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trlProps/ctrlProp12.xml" ContentType="application/vnd.ms-excel.controlproperties+xml"/>
  <Override PartName="/xl/drawings/drawing12.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6.xml" ContentType="application/vnd.openxmlformats-officedocument.spreadsheetml.comments+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codeName="{51196F13-6AD0-C1B8-E2B4-A1F9AE17003E}"/>
  <workbookPr codeName="EstaPasta_de_trabalho"/>
  <mc:AlternateContent xmlns:mc="http://schemas.openxmlformats.org/markup-compatibility/2006">
    <mc:Choice Requires="x15">
      <x15ac:absPath xmlns:x15ac="http://schemas.microsoft.com/office/spreadsheetml/2010/11/ac" url="B:\LICITAÇÕES 2025\CONCORRÊNCIA\Edital e anexos\Arquivos que acompanham o edital\"/>
    </mc:Choice>
  </mc:AlternateContent>
  <workbookProtection workbookAlgorithmName="SHA-512" workbookHashValue="Owus8UfNvRUoLK/ZTSdgoFctI3lx3QqHLaYDvlBGUo0+pNcsROq6J+BhfQ3CJDJ5b2sCIve2/aCFNmF37EHV/Q==" workbookSaltValue="wn+mCl7aCKB4yWUc7hy50g==" workbookSpinCount="100000" lockStructure="1"/>
  <bookViews>
    <workbookView xWindow="0" yWindow="0" windowWidth="15360" windowHeight="7650" tabRatio="801" activeTab="4"/>
  </bookViews>
  <sheets>
    <sheet name="NOVO" sheetId="3" r:id="rId1"/>
    <sheet name="MENU" sheetId="15" r:id="rId2"/>
    <sheet name="DADOS" sheetId="2" r:id="rId3"/>
    <sheet name="BDI" sheetId="4" r:id="rId4"/>
    <sheet name="ORÇAMENTO" sheetId="5" r:id="rId5"/>
    <sheet name="EVENTOS" sheetId="7" r:id="rId6"/>
    <sheet name="CÁLCULO" sheetId="6" r:id="rId7"/>
    <sheet name="CRONOPLE" sheetId="9" r:id="rId8"/>
    <sheet name="CRONO" sheetId="8" r:id="rId9"/>
    <sheet name="QCI" sheetId="11" r:id="rId10"/>
    <sheet name="PLE" sheetId="10" state="hidden" r:id="rId11"/>
    <sheet name="BM" sheetId="12" state="hidden" r:id="rId12"/>
    <sheet name="RRE" sheetId="13" state="hidden" r:id="rId13"/>
    <sheet name="OFÍCIO" sheetId="14" state="hidden" r:id="rId14"/>
    <sheet name="PO-PLE" sheetId="16" state="hidden" r:id="rId15"/>
    <sheet name="CFF-PLE" sheetId="17" state="hidden" r:id="rId16"/>
    <sheet name="PO-BM" sheetId="20" state="hidden" r:id="rId17"/>
    <sheet name="CFF-BM" sheetId="19" state="hidden" r:id="rId18"/>
  </sheets>
  <definedNames>
    <definedName name="_xlnm._FilterDatabase" localSheetId="3" hidden="1">BDI!$I$11:$I$132</definedName>
    <definedName name="_xlnm._FilterDatabase" localSheetId="11" hidden="1">BM!$C$15:$C$55</definedName>
    <definedName name="_xlnm._FilterDatabase" localSheetId="6" hidden="1">CÁLCULO!$C$15:$C$55</definedName>
    <definedName name="_xlnm._FilterDatabase" localSheetId="8" hidden="1">CRONO!$G$13:$G$58</definedName>
    <definedName name="_xlnm._FilterDatabase" localSheetId="7" hidden="1">CRONOPLE!$A$13:$A$38</definedName>
    <definedName name="_xlnm._FilterDatabase" localSheetId="5" hidden="1">EVENTOS!$A$13:$A$31</definedName>
    <definedName name="_xlnm._FilterDatabase" localSheetId="4" hidden="1">ORÇAMENTO!$L$15:$L$65585</definedName>
    <definedName name="_xlnm._FilterDatabase" localSheetId="10" hidden="1">PLE!$A$13:$A$40</definedName>
    <definedName name="_xlnm._FilterDatabase" localSheetId="9" hidden="1">QCI!$C$13:$C$25</definedName>
    <definedName name="_xlnm._FilterDatabase" localSheetId="12" hidden="1">RRE!$D$13:$D$30</definedName>
    <definedName name="_xleta.AND" hidden="1" xlm="1">#NAME?</definedName>
    <definedName name="_xleta.N" hidden="1" xlm="1">#NAME?</definedName>
    <definedName name="_xleta.NOT" hidden="1" xlm="1">#NAME?</definedName>
    <definedName name="ACOMPANHAMENTO" hidden="1">MENU!$J$4</definedName>
    <definedName name="AdmLocal" hidden="1">CÁLCULO!$A$11</definedName>
    <definedName name="_xlnm.Print_Area" localSheetId="3">BDI!$J$1:$S$132</definedName>
    <definedName name="_xlnm.Print_Area" localSheetId="11">BM!$D$1:$O$70</definedName>
    <definedName name="_xlnm.Print_Area" localSheetId="6">CÁLCULO!$E$6:$AA$63</definedName>
    <definedName name="_xlnm.Print_Area" localSheetId="8">CRONO!$I$1:$AG$58</definedName>
    <definedName name="_xlnm.Print_Area" localSheetId="5">EVENTOS!$C$2:$Z$31</definedName>
    <definedName name="_xlnm.Print_Area" localSheetId="1">MENU!$A$1:$I$25</definedName>
    <definedName name="_xlnm.Print_Area" localSheetId="13">OFÍCIO!$A$1:$G$56</definedName>
    <definedName name="_xlnm.Print_Area" localSheetId="4">ORÇAMENTO!$O$1:$Y$72</definedName>
    <definedName name="_xlnm.Print_Area" localSheetId="10">PLE!$B$3:$AG$41</definedName>
    <definedName name="_xlnm.Print_Area" localSheetId="9">QCI!$D$1:$O$37</definedName>
    <definedName name="_xlnm.Print_Area" localSheetId="12">RRE!$E$1:$P$49</definedName>
    <definedName name="AUTOEVENTO" hidden="1">CÁLCULO!$A$12</definedName>
    <definedName name="BDI.ColAux" hidden="1">BDI!$A:$G</definedName>
    <definedName name="BDI.Erro" hidden="1">BDI!$U$7</definedName>
    <definedName name="BDI.Filtro" hidden="1">BDI!$I$11:$I$132</definedName>
    <definedName name="BDI.Opcao" hidden="1">DADOS!$C$18</definedName>
    <definedName name="BDI.TipoObra" hidden="1">BDI!$A$138:$A$146</definedName>
    <definedName name="BDI_1.Título" hidden="1">BDI!$J$14</definedName>
    <definedName name="BDI_2.Título" hidden="1">BDI!$J$54</definedName>
    <definedName name="BDI_3.Título" hidden="1">BDI!$J$94</definedName>
    <definedName name="BM.AFAcumulado" hidden="1">BM!$R1</definedName>
    <definedName name="BM.AFAnterior" hidden="1">BM!$Q1</definedName>
    <definedName name="BM.CaixaColunas" hidden="1">BM!$Q:$AA</definedName>
    <definedName name="BM.Erro" hidden="1">BM!$F$10</definedName>
    <definedName name="BM.Filtro" hidden="1">BM!$C$15:$C$55</definedName>
    <definedName name="BM.firstrow" hidden="1">BM!$15:$15</definedName>
    <definedName name="BM.FormulaMed" hidden="1">BM!$AO$7</definedName>
    <definedName name="BM.lastrow" hidden="1">BM!$55:$55</definedName>
    <definedName name="BM.LinhaPadrão" hidden="1">BM!$14:$14</definedName>
    <definedName name="BM.MaxMed" hidden="1">IF(RegimeExecucao="Global",1,BM!$G1)</definedName>
    <definedName name="BM.MCAIXA.Filter" hidden="1">BM!$C$15:$Z$55</definedName>
    <definedName name="BM.MEDAcumulado" hidden="1">IF(COUNTIF(BM!$AB$13:$AM$13,BM.medicao)&gt;0,SUM(OFFSET(BM!$AB1,0,0,1,MATCH(BM.medicao,BM!$AB$13:$AM$13,0))),0)</definedName>
    <definedName name="BM.MEDAnterior" hidden="1">IF(COUNTIF(BM!$AB$13:$AM$13,BM.medicao-1)&gt;0,SUM(OFFSET(BM!$AB1,0,0,1,MATCH(BM.medicao-1,BM!$AB$13:$AM$13,0))),0)</definedName>
    <definedName name="BM.medicao" hidden="1">OFFSET(BM!$O$7,1,0)</definedName>
    <definedName name="BM.MinMed" hidden="1">IF(RegimeExecucao="Global",-1,-BM!$G1)</definedName>
    <definedName name="BM.Título" hidden="1">BM!$E$1</definedName>
    <definedName name="BM.TomadorColunas" hidden="1">BM!$AB:$AN</definedName>
    <definedName name="Brasao" hidden="1">OFÍCIO!$B$1</definedName>
    <definedName name="CAIXA.Modo" hidden="1">BM!$A$3</definedName>
    <definedName name="CÁLCULO.AgrupEventos" hidden="1">CÁLCULO!$K1</definedName>
    <definedName name="CÁLCULO.ColunaPadrão" hidden="1">CÁLCULO!$O:$O</definedName>
    <definedName name="CÁLCULO.Erro" hidden="1">CÁLCULO!$F$11</definedName>
    <definedName name="CÁLCULO.Filtro" hidden="1">CÁLCULO!$C$15:$C$55</definedName>
    <definedName name="CÁLCULO.firstcol" hidden="1">CÁLCULO!$P:$P</definedName>
    <definedName name="CÁLCULO.firstrow" hidden="1">CÁLCULO!$15:$15</definedName>
    <definedName name="CÁLCULO.Frenterow" hidden="1">CÁLCULO!$12:$12</definedName>
    <definedName name="CÁLCULO.FrentesPreenchidas" hidden="1">CÁLCULO!$M$1</definedName>
    <definedName name="CÁLCULO.lastcol" hidden="1">CÁLCULO!$AA:$AA</definedName>
    <definedName name="CÁLCULO.lastrow" hidden="1">CÁLCULO!$55:$55</definedName>
    <definedName name="CÁLCULO.LinhaPadrão" hidden="1">CÁLCULO!$14:$14</definedName>
    <definedName name="CÁLCULO.margemrow" hidden="1">CÁLCULO!$63:$63</definedName>
    <definedName name="CÁLCULO.MATRIZ1.ColunaPadrão" hidden="1">CÁLCULO!$AC:$AC</definedName>
    <definedName name="CÁLCULO.MATRIZ1.firstcol" hidden="1">CÁLCULO!$AA:$AA</definedName>
    <definedName name="CÁLCULO.MATRIZ1.lastcol" hidden="1">CÁLCULO!$AL:$AL</definedName>
    <definedName name="CÁLCULO.MATRIZ1.lastrow" hidden="1">CÁLCULO!$55:$55</definedName>
    <definedName name="CÁLCULO.MATRIZ2.ColunaPadrão" hidden="1">CÁLCULO!$AN:$AN</definedName>
    <definedName name="CÁLCULO.MATRIZ2.firstcol" hidden="1">CÁLCULO!$AL:$AL</definedName>
    <definedName name="CÁLCULO.MATRIZ2.lastcol" hidden="1">CÁLCULO!$AW:$AW</definedName>
    <definedName name="CÁLCULO.MATRIZ2.lastrow" hidden="1">CÁLCULO!$55:$55</definedName>
    <definedName name="CÁLCULO.MATRIZ3.ColunaPadrão" hidden="1">CÁLCULO!$AY:$AY</definedName>
    <definedName name="CÁLCULO.MATRIZ3.firstcol" hidden="1">CÁLCULO!$AW:$AW</definedName>
    <definedName name="CÁLCULO.MATRIZ3.lastcol" hidden="1">CÁLCULO!$BH:$BH</definedName>
    <definedName name="CÁLCULO.MATRIZ3.lastrow" hidden="1">CÁLCULO!$55:$55</definedName>
    <definedName name="CÁLCULO.nEvento" hidden="1">CÁLCULO!$M$12</definedName>
    <definedName name="CÁLCULO.NúmeroDeEventos" hidden="1">IF(AUTOEVENTO&lt;&gt;"manual",MAX(CÁLCULO!$M$15:$M$55),MAX(OFFSET(EVENTOS!$C$1:$C$24,1,0)))</definedName>
    <definedName name="CÁLCULO.NúmeroDeFrentes" hidden="1">COLUMN(CÁLCULO!$AA$15)-COLUMN(CÁLCULO!$Q$15)</definedName>
    <definedName name="CÁLCULO.Título" hidden="1">CÁLCULO!$F$6</definedName>
    <definedName name="CÁLCULO.TotalAdmLocal" hidden="1">IF(AUTOEVENTO="manual",SUMIF(CÁLCULO!$M$15:$M$55,1,ORÇAMENTO!$X$15:$X$55),0)</definedName>
    <definedName name="CRONO.ColAux" hidden="1">CRONO!$M:$R</definedName>
    <definedName name="CRONO.ColunaPadrão" hidden="1">CRONO!$E:$E</definedName>
    <definedName name="CRONO.Erro" hidden="1">CRONO!$K$10</definedName>
    <definedName name="CRONO.Filtro" hidden="1">CRONO!$G$13:$G$58</definedName>
    <definedName name="CRONO.FirstCol" hidden="1">CRONO!$T:$T</definedName>
    <definedName name="CRONO.firstrow" hidden="1">CRONO!$13:$13</definedName>
    <definedName name="CRONO.Frenterow" hidden="1">CRONO!$12:$12</definedName>
    <definedName name="CRONO.LastCol" hidden="1">CRONO!$AG:$AG</definedName>
    <definedName name="CRONO.lastrow" hidden="1">CRONO!$41:$41</definedName>
    <definedName name="CRONO.lastrow2" hidden="1">CRONO!$53:$53</definedName>
    <definedName name="CRONO.LinhaPadrão" hidden="1">CRONO!$1:$3</definedName>
    <definedName name="CRONO.LinhasNecessarias" hidden="1">COUNTIF(QCI!$B$13:$B$24,"Manual")+COUNTIF(QCI!$B$13:$B$24,"SemiAuto")+COUNT(ORÇAMENTO.ListaCrono)</definedName>
    <definedName name="CRONO.Lista.AdmLocal" hidden="1">CRONO!$A$13:$A$41</definedName>
    <definedName name="CRONO.Lista.Níveis" hidden="1">CRONO!$A$9:$A$11</definedName>
    <definedName name="CRONO.margemrow" hidden="1">CRONO!$58:$58</definedName>
    <definedName name="CRONO.MaxParc" hidden="1">CRONO!$H1048576+CRONO!A1</definedName>
    <definedName name="CRONO.NivelExibicao" hidden="1">CRONO!$H$10</definedName>
    <definedName name="CRONO.Parcela1" hidden="1">CRONO!$U$12:$U$13</definedName>
    <definedName name="CRONO.ParcelaFinal" hidden="1">MATCH(100%,CRONO!$U$47:$AG$47,0)</definedName>
    <definedName name="CRONO.Título" hidden="1">CRONO!$S$4</definedName>
    <definedName name="CRONOPLE.ColunaPadrão" hidden="1">CRONOPLE!$E:$E</definedName>
    <definedName name="CRONOPLE.Erro" hidden="1">CRONOPLE!$B$6</definedName>
    <definedName name="CRONOPLE.Filtro" hidden="1">CRONOPLE!$A$13:$A$38</definedName>
    <definedName name="CRONOPLE.FirstCol" hidden="1">CRONOPLE!$F:$F</definedName>
    <definedName name="CRONOPLE.firstrow" hidden="1">CRONOPLE!$15:$15</definedName>
    <definedName name="CRONOPLE.Frenterow" hidden="1">CRONOPLE!$11:$11</definedName>
    <definedName name="CRONOPLE.LastCol" hidden="1">CRONOPLE!$AF:$AF</definedName>
    <definedName name="CRONOPLE.lastrow" hidden="1">CRONOPLE!$24:$24</definedName>
    <definedName name="CRONOPLE.lastrow2" hidden="1">CRONOPLE!$33:$33</definedName>
    <definedName name="CRONOPLE.LinhaPadrão" hidden="1">CRONOPLE!$1:$1</definedName>
    <definedName name="CRONOPLE.Lista.AdmLocal" hidden="1">CRONOPLE!$F$15:$F$24</definedName>
    <definedName name="CRONOPLE.margemrow" hidden="1">CRONOPLE!$40:$40</definedName>
    <definedName name="CRONOPLE.Título" hidden="1">CRONOPLE!$G$2</definedName>
    <definedName name="CRONOPLE.ValorDoEvento" hidden="1">SUMIF(CÁLCULO!$M$15:$M$55,CRONOPLE!$B1,OFFSET(CÁLCULO!$AA$15:$AA$55,0,CRONOPLE!A$12))</definedName>
    <definedName name="DADOS.ColAux" hidden="1">DADOS!$G:$AW</definedName>
    <definedName name="DADOS.Erro" hidden="1">DADOS!$D$1</definedName>
    <definedName name="DADOS.Lista.Arredondamento" hidden="1">DADOS!$J$2:$J$3</definedName>
    <definedName name="DADOS.Lista.FonteRecursos" hidden="1">DADOS!$G$2:$G$4</definedName>
    <definedName name="DADOS.Lista.RegimeExecução" hidden="1">DADOS!$I$2:$I$9</definedName>
    <definedName name="DADOS.Lista.RegimePreviden" hidden="1">DADOS!$H$2:$H$5</definedName>
    <definedName name="DESONERACAO" hidden="1">IF(OR(Import.Desoneracao="DESONERADO",Import.Desoneracao="SIM"),"SIM","NÃO")</definedName>
    <definedName name="EVENTOS.ColunaPadrão" hidden="1">EVENTOS!$E:$E</definedName>
    <definedName name="EVENTOS.Erro" hidden="1">EVENTOS!$F$6</definedName>
    <definedName name="EVENTOS.Filtro" hidden="1">EVENTOS!$A$13:$A$31</definedName>
    <definedName name="EVENTOS.firstcol" hidden="1">EVENTOS!$G:$G</definedName>
    <definedName name="EVENTOS.firstrow" hidden="1">EVENTOS!$15:$15</definedName>
    <definedName name="EVENTOS.FrenteRow" hidden="1">EVENTOS!$10:$10</definedName>
    <definedName name="EVENTOS.LastCol" hidden="1">EVENTOS!$Z:$Z</definedName>
    <definedName name="EVENTOS.lastrow" hidden="1">EVENTOS!$24:$24</definedName>
    <definedName name="EVENTOS.LinhaPadrão" hidden="1">EVENTOS!$1:$1</definedName>
    <definedName name="EVENTOS.Lista" hidden="1">EVENTOS!$C$15:OFFSET(EVENTOS!$C$24,-1,0)</definedName>
    <definedName name="EVENTOS.Lista.Agrupar" hidden="1">EVENTOS!$B$6:$B$9</definedName>
    <definedName name="EVENTOS.ListaValidacao" hidden="1">EVENTOS!$B$15:OFFSET(EVENTOS!$B$24,-1,0)</definedName>
    <definedName name="EVENTOS.Manual.Preenchidos" hidden="1">EVENTOS!$C$10</definedName>
    <definedName name="EVENTOS.MargemRow" hidden="1">EVENTOS!$31:$31</definedName>
    <definedName name="EVENTOS.Título" hidden="1">EVENTOS!$F$2</definedName>
    <definedName name="Excel_BuiltIn_Database" hidden="1">TEXT(Import.DataBase,"mm-aaaa")</definedName>
    <definedName name="Import.Apelido" hidden="1">DADOS!$C$16</definedName>
    <definedName name="Import.BDI.Det1" hidden="1">BDI!$S$21:$S$26</definedName>
    <definedName name="Import.BDI.Det2" hidden="1">BDI!$S$61:$S$66</definedName>
    <definedName name="Import.BDI.Det3" hidden="1">BDI!$S$101:$S$106</definedName>
    <definedName name="Import.BDI.ISS" hidden="1">BDI!$R$10:$S$11</definedName>
    <definedName name="Import.BDI.Obs1" hidden="1">BDI!$J$43</definedName>
    <definedName name="Import.BDI.Obs2" hidden="1">BDI!$J$83</definedName>
    <definedName name="Import.BDI.Obs3" hidden="1">BDI!$J$123</definedName>
    <definedName name="Import.BDI.Tipo1" hidden="1">BDI!$J$17</definedName>
    <definedName name="Import.BDI.Tipo2" hidden="1">BDI!$J$57</definedName>
    <definedName name="Import.BDI.Tipo3" hidden="1">BDI!$J$97</definedName>
    <definedName name="Import.BM.Datas" hidden="1">BM!$AB$12:$AM$12</definedName>
    <definedName name="Import.BM.Obs" hidden="1">BM!$D$58</definedName>
    <definedName name="Import.BMAFAcumulado" hidden="1">OFFSET(BM!$R$15,1,0):OFFSET(BM!$R$55,-1,0)</definedName>
    <definedName name="Import.BMArred" hidden="1">BM!$A$9</definedName>
    <definedName name="Import.CNPJ" hidden="1">DADOS!$C$39</definedName>
    <definedName name="Import.Código" hidden="1">OFFSET(ORÇAMENTO!$Q$15,1,0):OFFSET(ORÇAMENTO!$Q$55,-1,0)</definedName>
    <definedName name="Import.Contrapartida" hidden="1">DADOS!$C$10</definedName>
    <definedName name="Import.CPMaxPerc" hidden="1">DADOS!$C$13</definedName>
    <definedName name="Import.CPMinAbsoluta" hidden="1">DADOS!$C$12</definedName>
    <definedName name="Import.CPMinPerc" hidden="1">DADOS!$C$11</definedName>
    <definedName name="Import.CR" hidden="1">DADOS!$C$7</definedName>
    <definedName name="Import.CRONOPLE" hidden="1">OFFSET(CRONOPLE!$F$15,1,1):OFFSET(CRONOPLE!$AF$24,-1,-1)</definedName>
    <definedName name="Import.CTEF" hidden="1">DADOS!$C$37</definedName>
    <definedName name="Import.CustoUnitário" hidden="1">OFFSET(ORÇAMENTO!$U$15,1,0):OFFSET(ORÇAMENTO!$U$55,-1,0)</definedName>
    <definedName name="Import.DataBase" hidden="1">OFFSET(DADOS!$D$19,0,-1)</definedName>
    <definedName name="Import.DataBaseLicit" hidden="1">OFFSET(DADOS!$D$41,0,-1)</definedName>
    <definedName name="Import.DataEmissaoLicit" hidden="1">DADOS!$C$36</definedName>
    <definedName name="Import.DataFechaRRE" hidden="1">DADOS!$C$48</definedName>
    <definedName name="Import.DataInicioObra" hidden="1">DADOS!$C$47</definedName>
    <definedName name="Import.DataPreenchimento" hidden="1">OFFSET(DADOS!$D$25,0,-1)</definedName>
    <definedName name="Import.DescLote" hidden="1">DADOS!$C$17</definedName>
    <definedName name="Import.Descrição" hidden="1">OFFSET(ORÇAMENTO!$R$15,1,0):OFFSET(ORÇAMENTO!$R$55,-1,0)</definedName>
    <definedName name="Import.Desoneracao" hidden="1">OFFSET(DADOS!$D$18,0,-1)</definedName>
    <definedName name="Import.empresa" hidden="1">DADOS!$C$38</definedName>
    <definedName name="Import.EventoAdmLocal" hidden="1">CRONOPLE!$B$8</definedName>
    <definedName name="Import.Eventos.Nível" hidden="1">EVENTOS!$C$8</definedName>
    <definedName name="Import.Eventos.Nomes" hidden="1">OFFSET(EVENTOS!$D$15,1,0):OFFSET(EVENTOS!$D$24,-1,0)</definedName>
    <definedName name="Import.Fonte" hidden="1">OFFSET(ORÇAMENTO!$P$15,1,0):OFFSET(ORÇAMENTO!$P$55,-1,0)</definedName>
    <definedName name="Import.FrenteDeObra" hidden="1">CÁLCULO!$Q$12:OFFSET(CÁLCULO!$AA$12,0,-1)</definedName>
    <definedName name="Import.MacrosserviçoAdmLocal" hidden="1">CRONO!$H$52</definedName>
    <definedName name="Import.Município" hidden="1">DADOS!$C$6</definedName>
    <definedName name="Import.Nível" hidden="1">OFFSET(ORÇAMENTO!$M$15,1,0):OFFSET(ORÇAMENTO!$M$55,-1,0)</definedName>
    <definedName name="Import.Ofício.Dest" hidden="1">OFÍCIO!$B$11</definedName>
    <definedName name="Import.Ofício.GIGOV" hidden="1">OFÍCIO!$C$11</definedName>
    <definedName name="Import.Ofício.Num" hidden="1">OFÍCIO!$C$6</definedName>
    <definedName name="Import.OpcaoBDI" hidden="1">OFFSET(ORÇAMENTO!$V$15,1,0):OFFSET(ORÇAMENTO!$V$55,-1,0)</definedName>
    <definedName name="Import.ORÇAMENTO.DivRecurso" hidden="1">OFFSET(ORÇAMENTO!$Y$15,1,0):OFFSET(ORÇAMENTO!$Y$55,-1,0)</definedName>
    <definedName name="Import.ORÇAMENTO.Obs" hidden="1">ORÇAMENTO!$O$61</definedName>
    <definedName name="Import.PLE" hidden="1">OFFSET(PLE!$G$15,1,1):OFFSET(PLE!$AG$24,-1,-1)</definedName>
    <definedName name="Import.PLE.Datas" hidden="1">PLE!$I$27:$AF$27</definedName>
    <definedName name="Import.PLQ" hidden="1">OFFSET(CÁLCULO!$P$15,1,1):OFFSET(CÁLCULO!$AA$55,-1,-1)</definedName>
    <definedName name="Import.PLQ.MemCalc" hidden="1">OFFSET(CÁLCULO!$I$15,1,0):OFFSET(CÁLCULO!$I$55,-1,0)</definedName>
    <definedName name="Import.PLQ.nAgrupEvent" hidden="1">OFFSET(CÁLCULO!$K$15,1,0):OFFSET(CÁLCULO!$K$55,-1,0)</definedName>
    <definedName name="Import.POArred" hidden="1">ORÇAMENTO!$AF$7:$AF$11</definedName>
    <definedName name="IMport.Prefeito" hidden="1">DADOS!$C$28:$C$29</definedName>
    <definedName name="Import.Proponente" hidden="1">DADOS!$C$5</definedName>
    <definedName name="Import.QCI.Divisao" hidden="1">OFFSET(QCI!$V$13,1,0):OFFSET(QCI!$V$24,-1,0)</definedName>
    <definedName name="Import.QCI.ItemInv" hidden="1">OFFSET(QCI!$E$13,1,0):OFFSET(QCI!$E$24,-1,0)</definedName>
    <definedName name="Import.QCI.Obs" hidden="1">QCI!$D$28</definedName>
    <definedName name="Import.QCI.Qtde" hidden="1">OFFSET(QCI!$I$13,1,0):OFFSET(QCI!$I$24,-1,0)</definedName>
    <definedName name="Import.QCI.Situacao" hidden="1">OFFSET(QCI!$H$13,1,0):OFFSET(QCI!$H$24,-1,0)</definedName>
    <definedName name="Import.QCI.SubItemInv" hidden="1">OFFSET(QCI!$F$13,1,0):OFFSET(QCI!$F$24,-1,0)</definedName>
    <definedName name="Import.QCICP" hidden="1">OFFSET(QCI!$W$13,1,0):OFFSET(QCI!$W$24,-1,0)</definedName>
    <definedName name="Import.QCIDesc" hidden="1">OFFSET(QCI!$R$13,1,0):OFFSET(QCI!$R$24,-1,0)</definedName>
    <definedName name="Import.QCIInv" hidden="1">OFFSET(QCI!$U$13,1,0):OFFSET(QCI!$U$24,-1,0)</definedName>
    <definedName name="Import.QCILote" hidden="1">OFFSET(QCI!$T$13,1,0):OFFSET(QCI!$T$24,-1,0)</definedName>
    <definedName name="Import.QCIOutros" hidden="1">OFFSET(QCI!$X$13,1,0):OFFSET(QCI!$X$24,-1,0)</definedName>
    <definedName name="Import.Quantidade" hidden="1">OFFSET(ORÇAMENTO!$AJ$15,1,0):OFFSET(ORÇAMENTO!$AJ$55,-1,0)</definedName>
    <definedName name="import.recurso" hidden="1">DADOS!$C$4</definedName>
    <definedName name="Import.RegimeExecução" hidden="1">OFFSET(DADOS!$D$40,0,-1)</definedName>
    <definedName name="Import.Repasse" hidden="1">DADOS!$C$9</definedName>
    <definedName name="Import.RespFiscalização" hidden="1">DADOS!$C$51:$C$54</definedName>
    <definedName name="Import.RespOrçamento" hidden="1">DADOS!$C$22:$C$24</definedName>
    <definedName name="Import.RRE.Financeiro" hidden="1">RRE!$M$47:$O$49</definedName>
    <definedName name="Import.RRE.Obs" hidden="1">RRE!$E$31</definedName>
    <definedName name="Import.RRE.Social" hidden="1">RRE!$F$47:$G$49</definedName>
    <definedName name="Import.SICONV" hidden="1">DADOS!$C$8</definedName>
    <definedName name="Import.TipoArredondamento" hidden="1">DADOS!$C$31</definedName>
    <definedName name="Import.TransfereGOV" hidden="1">DADOS!$C$8</definedName>
    <definedName name="Import.Unidade" hidden="1">OFFSET(ORÇAMENTO!$S$15,1,0):OFFSET(ORÇAMENTO!$S$55,-1,0)</definedName>
    <definedName name="Import.UnitarioLicitado" hidden="1">OFFSET(ORÇAMENTO!$AL$15,1,0):OFFSET(ORÇAMENTO!$AL$55,-1,0)</definedName>
    <definedName name="ListaTgov.Unidades" hidden="1">DADOS!$AV$3:$AV$220</definedName>
    <definedName name="MENU.Acompanhamento" hidden="1">MENU!$O$4</definedName>
    <definedName name="Menu.b.bdi" hidden="1">MENU!$C$10</definedName>
    <definedName name="Menu.b.bm" hidden="1">MENU!$G$22</definedName>
    <definedName name="Menu.b.branco" hidden="1">MENU!$G$12</definedName>
    <definedName name="Menu.b.cronolicit" hidden="1">MENU!$G$18</definedName>
    <definedName name="Menu.b.cronoprop" hidden="1">MENU!$E$12</definedName>
    <definedName name="Menu.b.dados" hidden="1">MENU!$E$6</definedName>
    <definedName name="Menu.b.novo" hidden="1">MENU!$G$6</definedName>
    <definedName name="Menu.b.oficio" hidden="1">MENU!$E$24</definedName>
    <definedName name="Menu.b.orçlicit" hidden="1">MENU!$C$18</definedName>
    <definedName name="Menu.b.orçprop" hidden="1">MENU!$E$10</definedName>
    <definedName name="Menu.b.PLE" hidden="1">MENU!$C$22</definedName>
    <definedName name="Menu.b.PLQ" hidden="1">MENU!$G$10</definedName>
    <definedName name="Menu.b.QCIlicit" hidden="1">MENU!$E$18</definedName>
    <definedName name="Menu.b.qciprop" hidden="1">MENU!$C$12</definedName>
    <definedName name="Menu.b.RRE" hidden="1">MENU!$E$22</definedName>
    <definedName name="MENU.CRONO" hidden="1">OFFSET(CRONO!$U$11,1,0)</definedName>
    <definedName name="MENU.Import.Form.PLQ" hidden="1">MENU!$K$2</definedName>
    <definedName name="MENU.Import.Form.PreçoUnit" hidden="1">MENU!$K$1</definedName>
    <definedName name="MENU.TipoOrçamento" hidden="1">MENU!$O$3</definedName>
    <definedName name="Menu.tit.acompanhamento" hidden="1">MENU!$B$20</definedName>
    <definedName name="Menu.tit.licitacao" hidden="1">MENU!$B$16</definedName>
    <definedName name="Menu.tit.proposta" hidden="1">MENU!$B$8</definedName>
    <definedName name="NumEventos" localSheetId="16" hidden="1">COUNT(OFFSET(Eventos,0,0,,1))</definedName>
    <definedName name="NumEventos" hidden="1">COUNT(OFFSET(Eventos,0,0,,1))</definedName>
    <definedName name="Objeto" hidden="1">MENU!$J$1</definedName>
    <definedName name="OFÍCIO.Erro" hidden="1">OFÍCIO!$C$5</definedName>
    <definedName name="ORÇAMENTO.BancoRef" hidden="1">ORÇAMENTO!$F$8</definedName>
    <definedName name="ORÇAMENTO.CodBarra" hidden="1">IF(ORÇAMENTO.Fonte="Sinapi",SUBSTITUTE(SUBSTITUTE(ORÇAMENTO.Codigo,"/00","/"),"/0","/"),ORÇAMENTO.Codigo)</definedName>
    <definedName name="ORÇAMENTO.Codigo" hidden="1">ORÇAMENTO!$Q1</definedName>
    <definedName name="ORÇAMENTO.ColAux1" hidden="1">ORÇAMENTO!$Z:$AB</definedName>
    <definedName name="ORÇAMENTO.ColAux2" hidden="1">ORÇAMENTO!$AD:$AF</definedName>
    <definedName name="ORÇAMENTO.ColunaLicit" hidden="1">ORÇAMENTO!$AL$15</definedName>
    <definedName name="ORÇAMENTO.CopyFormat1" hidden="1">ORÇAMENTO!$P$14:$S$14</definedName>
    <definedName name="ORÇAMENTO.CopyFormat2" hidden="1">ORÇAMENTO!$U$14:$V$14</definedName>
    <definedName name="ORÇAMENTO.CustoUnitario" hidden="1">ROUND(ORÇAMENTO!$U1,15-13*ORÇAMENTO!$AF$8)</definedName>
    <definedName name="ORÇAMENTO.Descricao" hidden="1">ORÇAMENTO!$R1</definedName>
    <definedName name="ORÇAMENTO.Erro" hidden="1">ORÇAMENTO!$O$12</definedName>
    <definedName name="ORÇAMENTO.Filtro" hidden="1">ORÇAMENTO!$L$15:$L$55</definedName>
    <definedName name="ORÇAMENTO.firstrow" hidden="1">ORÇAMENTO!$15:$15</definedName>
    <definedName name="ORÇAMENTO.Fonte" hidden="1">ORÇAMENTO!$P1</definedName>
    <definedName name="ORÇAMENTO.lastrow" hidden="1">ORÇAMENTO!$55:$55</definedName>
    <definedName name="ORÇAMENTO.LinhaPadrão" hidden="1">ORÇAMENTO!$14:$14</definedName>
    <definedName name="ORÇAMENTO.Lista.BDI" hidden="1">ORÇAMENTO!$F$4:$I$4</definedName>
    <definedName name="ORÇAMENTO.Lista.Fonte" hidden="1">ORÇAMENTO!$E$3:$I$3</definedName>
    <definedName name="ORÇAMENTO.Lista.Nível" hidden="1">ORÇAMENTO!$E$2:$I$2</definedName>
    <definedName name="ORÇAMENTO.Lista.Recurso" hidden="1">ORÇAMENTO!$F$7:$I$7</definedName>
    <definedName name="ORÇAMENTO.ListaCrono" hidden="1">OFFSET(ORÇAMENTO!$AD$15,1,0):OFFSET(ORÇAMENTO!$AD$55,-1,0)</definedName>
    <definedName name="ORÇAMENTO.MáximoListaCrono" hidden="1">MAX(ORÇAMENTO.ListaCrono)</definedName>
    <definedName name="ORÇAMENTO.Nivel" hidden="1">ORÇAMENTO!$M1</definedName>
    <definedName name="ORÇAMENTO.OpcaoBDI" hidden="1">ORÇAMENTO!$V1</definedName>
    <definedName name="ORÇAMENTO.PasteFormat1" hidden="1">OFFSET(ORÇAMENTO!$P$15,1,0):OFFSET(ORÇAMENTO!$S$55,-1,0)</definedName>
    <definedName name="ORÇAMENTO.PasteFormat2" hidden="1">OFFSET(ORÇAMENTO!$U$15,1,0):OFFSET(ORÇAMENTO!$V$55,-1,0)</definedName>
    <definedName name="ORÇAMENTO.PrecoUnitarioLicitado" hidden="1">ORÇAMENTO!$AL1</definedName>
    <definedName name="ORÇAMENTO.QuantBM" hidden="1">ORÇAMENTO!$AJ1</definedName>
    <definedName name="ORÇAMENTO.RangeQuant" hidden="1">OFFSET(ORÇAMENTO!$T$15,1,0):OFFSET(ORÇAMENTO!$T$55,-1,0)</definedName>
    <definedName name="ORÇAMENTO.SumCPMANUAL" hidden="1">SUMIF(ORÇAMENTO!$Z$15:$Z$55,"CP",ORÇAMENTO!$AA$15:$AA$55)</definedName>
    <definedName name="ORÇAMENTO.SumINVMANUAL" hidden="1">SUMIF(ORÇAMENTO!$Z$15:$Z$55,"RP",ORÇAMENTO!$X$15:$X$55)+SUMIF(ORÇAMENTO!$Z$15:$Z$55,"CP",ORÇAMENTO!$X$15:$X$55)+SUMIF(ORÇAMENTO!$Z$15:$Z$55,"OU",ORÇAMENTO!$X$15:$X$55)</definedName>
    <definedName name="ORÇAMENTO.SumOUTROSMANUAL" hidden="1">SUMIF(ORÇAMENTO!$Z$15:$Z$55,"OU",ORÇAMENTO!$AB$15:$AB$55)</definedName>
    <definedName name="ORÇAMENTO.SumREPASSEMANUAL" hidden="1">ORÇAMENTO.SumINVMANUAL-ORÇAMENTO.SumCPMANUAL-ORÇAMENTO.SumOUTROSMANUAL</definedName>
    <definedName name="ORÇAMENTO.Título" hidden="1">ORÇAMENTO!$R$1</definedName>
    <definedName name="ORÇAMENTO.Unidade" hidden="1">ORÇAMENTO!$S1</definedName>
    <definedName name="PLE.ColunaPadrão" hidden="1">PLE!$F:$F</definedName>
    <definedName name="PLE.Erro" hidden="1">PLE!$C$11</definedName>
    <definedName name="PLE.Filtro" hidden="1">PLE!$A$13:$A$40</definedName>
    <definedName name="PLE.FirstCol" hidden="1">PLE!$G:$G</definedName>
    <definedName name="PLE.firstrow" hidden="1">PLE!$15:$15</definedName>
    <definedName name="PLE.FrenteRow" hidden="1">PLE!$11:$11</definedName>
    <definedName name="PLE.LastCol" hidden="1">PLE!$AG:$AG</definedName>
    <definedName name="PLE.lastrow" hidden="1">PLE!$24:$24</definedName>
    <definedName name="PLE.LinhaPadrão" hidden="1">PLE!$1:$1</definedName>
    <definedName name="PLE.margemrow" hidden="1">PLE!$41:$41</definedName>
    <definedName name="PLE.Medicao" hidden="1">PLE!$J$9</definedName>
    <definedName name="PLE.MEDIÇÕES.firstrow" hidden="1">PLE!$25:$25</definedName>
    <definedName name="PLE.MEDIÇÕES.lastrow" hidden="1">PLE!$35:$35</definedName>
    <definedName name="PLE.MEDIÇÕES.LinhaPadrão" hidden="1">PLE!$25:$32</definedName>
    <definedName name="PLE.Título" hidden="1">PLE!$H$3</definedName>
    <definedName name="PLE.ValorDoEvento" hidden="1">SUMIF(CÁLCULO!$M$15:$M$55,PLE!$B1,OFFSET(CÁLCULO!$AA$15:$AA$55,0,PLE!A$12))</definedName>
    <definedName name="PO.ValoresBDI" hidden="1">OFFSET(ORÇAMENTO!$AH$15,1,0):OFFSET(ORÇAMENTO!$AH$55,-1,0)</definedName>
    <definedName name="QCI.ColAux" hidden="1">QCI!$Z:$AE</definedName>
    <definedName name="QCI.CPManual" hidden="1">ROUND(QCI!$W1,2)</definedName>
    <definedName name="QCI.DescManual" hidden="1">QCI!$R1</definedName>
    <definedName name="QCI.Divisao" hidden="1">QCI!$V1</definedName>
    <definedName name="QCI.Erro" hidden="1">QCI!$G$9</definedName>
    <definedName name="QCI.ExisteManual" hidden="1">(COUNTIF(QCI!$B$13:$B$24,"Manual")+COUNTIF(QCI!$B$13:$B$24,"SemiAuto"))&gt;0</definedName>
    <definedName name="QCI.Filtro" hidden="1">QCI!$C$13:$C$25</definedName>
    <definedName name="QCI.firstrow" hidden="1">QCI!$13:$13</definedName>
    <definedName name="QCI.InvManual" hidden="1">ROUND(QCI!$U1,2)</definedName>
    <definedName name="QCI.ItemInvestimento" hidden="1">OFFSET(DADOS!$L$2,1,0,COUNTA(DADOS!$L:$L)-1,1)</definedName>
    <definedName name="QCI.lastrow" hidden="1">QCI!$24:$24</definedName>
    <definedName name="QCI.LinhaPadrão" hidden="1">QCI!$12:$12</definedName>
    <definedName name="QCI.Lista.DivisãoInvest" hidden="1">QCI!$A$8:$A$9</definedName>
    <definedName name="QCI.Lista.Situação" hidden="1">QCI!$A$2:$A$6</definedName>
    <definedName name="QCI.LoteManual" hidden="1">QCI!$T1</definedName>
    <definedName name="QCI.MaxCPManual" hidden="1">QCI!$O1-QCI!$X1</definedName>
    <definedName name="QCI.MaxOUManual" hidden="1">QCI!$O1-QCI!$W1</definedName>
    <definedName name="QCI.OutrosManual" hidden="1">ROUND(QCI!$X1,2)</definedName>
    <definedName name="QCI.RepasseManual" hidden="1">QCI!$U1</definedName>
    <definedName name="QCI.SubItemInvestimento" hidden="1">OFFSET(DADOS!$A$2,1,MATCH(QCI!$E1,DADOS!$2:$2,0)-1,INDEX(DADOS!$2:$2,MATCH(QCI!$E1,DADOS!$2:$2,0)+1))</definedName>
    <definedName name="QCI.SumCPMANUAL" hidden="1">SUMIF(QCI!$B$13:$B$24,"Manual",QCI!$AA$13:$AA$24)</definedName>
    <definedName name="QCI.SumINVMANUAL" hidden="1">SUMIF(QCI!$B$13:$B$24,"Manual",QCI!$O$13:$O$24)</definedName>
    <definedName name="QCI.SumOUTROSMANUAL" hidden="1">SUMIF(QCI!$B$13:$B$24,"Manual",QCI!$AB$13:$AB$24)</definedName>
    <definedName name="QCI.SumREPASSEMANUAL" hidden="1">QCI.SumINVMANUAL-QCI.CPManual-QCI.OutrosManual</definedName>
    <definedName name="QCI.Título" hidden="1">QCI!$F$1</definedName>
    <definedName name="QCI.TotalCP" hidden="1">QCI!$M$24</definedName>
    <definedName name="REFERENCIA.Descricao" hidden="1">IF(ISNUMBER(ORÇAMENTO!$AF1),OFFSET(INDIRECT(_xlfn.SINGLE(ORÇAMENTO.BancoRef)),ORÇAMENTO!$AF1-1,3,1),ORÇAMENTO!$AF1)</definedName>
    <definedName name="REFERENCIA.Desonerado" hidden="1">IF(ISNUMBER(ORÇAMENTO!$AF1),VALUE(OFFSET(INDIRECT(ORÇAMENTO.BancoRef),ORÇAMENTO!$AF1-1,5,1)),0)</definedName>
    <definedName name="REFERENCIA.NaoDesonerado" hidden="1">IF(ISNUMBER(ORÇAMENTO!$AF1),VALUE(OFFSET(INDIRECT(ORÇAMENTO.BancoRef),ORÇAMENTO!$AF1-1,6,1)),0)</definedName>
    <definedName name="REFERENCIA.Unidade" hidden="1">IF(ISNUMBER(ORÇAMENTO!$AF1),OFFSET(INDIRECT(ORÇAMENTO.BancoRef),ORÇAMENTO!$AF1-1,4,1),"-")</definedName>
    <definedName name="RegimeExecucao" hidden="1">IF(OR(Import.RegimeExecução="",Import.RegimeExecução="Empreitada por Preço Global",Import.RegimeExecução="Empreitada Integral"),"Global","Unitário")</definedName>
    <definedName name="RRE.ColAux1" hidden="1">RRE!$Q:$V</definedName>
    <definedName name="RRE.ColAux2" hidden="1">RRE!$AC:$AO</definedName>
    <definedName name="RRE.CPDiferente" hidden="1">RRE!$Y$26:$Z$27</definedName>
    <definedName name="RRE.Filtro" hidden="1">RRE!$D$13:$D$28</definedName>
    <definedName name="RRE.firstrow" hidden="1">RRE!$13:$13</definedName>
    <definedName name="RRE.lastrow" hidden="1">RRE!$24:$24</definedName>
    <definedName name="RRE.LinhaPadrão" hidden="1">RRE!$12:$12</definedName>
    <definedName name="RRE.MaxCPAcum" hidden="1">RRE!$AD$26</definedName>
    <definedName name="RRE.MaxCPAnt" hidden="1">RRE!$AC$26</definedName>
    <definedName name="RRE.MaxOUAcum" hidden="1">RRE!$AD$27</definedName>
    <definedName name="RRE.MaxOUAnt" hidden="1">RRE!$AC$27</definedName>
    <definedName name="RRE.Numero" hidden="1">OFFSET(RRE!$O$7,0,1)</definedName>
    <definedName name="RRE.Título" hidden="1">RRE!$F$1</definedName>
    <definedName name="RRE.VIMeta" hidden="1">RRE!$L1</definedName>
    <definedName name="SENHAGT" hidden="1">"PM3CAIXA"</definedName>
    <definedName name="SomaAgrup" hidden="1">SUMIF(OFFSET(ORÇAMENTO!$C1,1,0,ORÇAMENTO!$D1),"S",OFFSET(ORÇAMENTO!A1,1,0,ORÇAMENTO!$D1))</definedName>
    <definedName name="SomaAgrupBM" hidden="1">SUMIF(OFFSET(BM!$A1,1,0,BM!$B1),"S",OFFSET(BM!A1,1,0,BM!$B1))</definedName>
    <definedName name="TIPOORCAMENTO" hidden="1">IF(VALUE(MENU!$O$3)=2,"Licitado","Proposto")</definedName>
    <definedName name="_xlnm.Print_Titles" localSheetId="3">BDI!$1:$13</definedName>
    <definedName name="_xlnm.Print_Titles" localSheetId="11">BM!$1:$15</definedName>
    <definedName name="_xlnm.Print_Titles" localSheetId="6">CÁLCULO!$E:$H,CÁLCULO!$6:$15</definedName>
    <definedName name="_xlnm.Print_Titles" localSheetId="8">CRONO!$I:$T,CRONO!$1:$13</definedName>
    <definedName name="_xlnm.Print_Titles" localSheetId="4">ORÇAMENTO!$1:$15</definedName>
    <definedName name="_xlnm.Print_Titles" localSheetId="10">PLE!$B:$E,PLE!$1:$13</definedName>
    <definedName name="_xlnm.Print_Titles" localSheetId="9">QCI!$1:$13</definedName>
    <definedName name="_xlnm.Print_Titles" localSheetId="12">RRE!$1:$13</definedName>
    <definedName name="Versao" hidden="1">MENU!$J$2</definedName>
    <definedName name="VTOTAL1" hidden="1">ROUND(ORÇAMENTO!$T1*ORÇAMENTO!$W1,15-13*ORÇAMENTO!$AF$11)</definedName>
    <definedName name="VTOTALBM" hidden="1">IF(BM!$I1=0,0,CHOOSE(MATCH(RegimeExecucao,{"Global","Unitário"},0),ROUND(ROUND(BM!XFB1,15-13*BM!$A$9)/100*BM!$I1,15-13*ORÇAMENTO!$AF$11),ROUND(ROUND(BM!XFB1,15-13*BM!$A$9)*ROUND(BM!$H1,15-13*ORÇAMENTO!$AF$10),15-13*ORÇAMENTO!$AF$11)))</definedName>
    <definedName name="VTOTALMED" hidden="1">BM!$P$14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7" i="5" l="1"/>
  <c r="A26" i="5"/>
  <c r="A19" i="5"/>
  <c r="A25" i="5"/>
  <c r="A46" i="5"/>
  <c r="H23" i="13" l="1"/>
  <c r="G23" i="13"/>
  <c r="H22" i="13"/>
  <c r="G22" i="13"/>
  <c r="H21" i="13"/>
  <c r="G21" i="13"/>
  <c r="H20" i="13"/>
  <c r="G20" i="13"/>
  <c r="H19" i="13"/>
  <c r="G19" i="13"/>
  <c r="H18" i="13"/>
  <c r="G18" i="13"/>
  <c r="H17" i="13"/>
  <c r="G17" i="13"/>
  <c r="H16" i="13"/>
  <c r="G16" i="13"/>
  <c r="E16" i="13"/>
  <c r="H15" i="13"/>
  <c r="G15" i="13"/>
  <c r="H14" i="13"/>
  <c r="G14" i="13"/>
  <c r="S23" i="11"/>
  <c r="J23" i="11"/>
  <c r="I23" i="13" s="1"/>
  <c r="D23" i="11"/>
  <c r="E23" i="13" s="1"/>
  <c r="S22" i="11"/>
  <c r="J22" i="11"/>
  <c r="I22" i="13" s="1"/>
  <c r="D22" i="11"/>
  <c r="E22" i="13" s="1"/>
  <c r="A22" i="11"/>
  <c r="S21" i="11"/>
  <c r="J21" i="11"/>
  <c r="I21" i="13" s="1"/>
  <c r="D21" i="11"/>
  <c r="E21" i="13" s="1"/>
  <c r="A21" i="11"/>
  <c r="S20" i="11"/>
  <c r="J20" i="11"/>
  <c r="I20" i="13" s="1"/>
  <c r="D20" i="11"/>
  <c r="E20" i="13" s="1"/>
  <c r="A20" i="11"/>
  <c r="S19" i="11"/>
  <c r="J19" i="11"/>
  <c r="I19" i="13" s="1"/>
  <c r="D19" i="11"/>
  <c r="E19" i="13" s="1"/>
  <c r="A19" i="11"/>
  <c r="S18" i="11"/>
  <c r="J18" i="11"/>
  <c r="I18" i="13" s="1"/>
  <c r="D18" i="11"/>
  <c r="A18" i="11" s="1"/>
  <c r="S17" i="11"/>
  <c r="J17" i="11"/>
  <c r="I17" i="13" s="1"/>
  <c r="D17" i="11"/>
  <c r="E17" i="13" s="1"/>
  <c r="A17" i="11"/>
  <c r="S16" i="11"/>
  <c r="J16" i="11"/>
  <c r="I16" i="13" s="1"/>
  <c r="D16" i="11"/>
  <c r="A16" i="11"/>
  <c r="S15" i="11"/>
  <c r="J15" i="11"/>
  <c r="I15" i="13" s="1"/>
  <c r="D15" i="11"/>
  <c r="E15" i="13" s="1"/>
  <c r="S14" i="11"/>
  <c r="D14" i="11"/>
  <c r="A14" i="11" s="1"/>
  <c r="B14" i="8"/>
  <c r="B17" i="8" s="1"/>
  <c r="A23" i="7"/>
  <c r="A22" i="7"/>
  <c r="A21" i="7"/>
  <c r="A20" i="7"/>
  <c r="A19" i="7"/>
  <c r="A18" i="7"/>
  <c r="A17" i="7"/>
  <c r="A16" i="7"/>
  <c r="L16" i="6"/>
  <c r="L17" i="6" s="1"/>
  <c r="A54" i="5"/>
  <c r="A53" i="5"/>
  <c r="A52" i="5"/>
  <c r="A51" i="5"/>
  <c r="A50" i="5"/>
  <c r="A49" i="5"/>
  <c r="A48" i="5"/>
  <c r="A45" i="5"/>
  <c r="A44" i="5"/>
  <c r="A43" i="5"/>
  <c r="A42" i="5"/>
  <c r="A41" i="5"/>
  <c r="A40" i="5"/>
  <c r="A39" i="5"/>
  <c r="A38" i="5"/>
  <c r="A37" i="5"/>
  <c r="A36" i="5"/>
  <c r="A35" i="5"/>
  <c r="A34" i="5"/>
  <c r="A33" i="5"/>
  <c r="A32" i="5"/>
  <c r="A31" i="5"/>
  <c r="A30" i="5"/>
  <c r="A29" i="5"/>
  <c r="A28" i="5"/>
  <c r="A27" i="5"/>
  <c r="A24" i="5"/>
  <c r="A23" i="5"/>
  <c r="A22" i="5"/>
  <c r="A21" i="5"/>
  <c r="A20" i="5"/>
  <c r="A18" i="5"/>
  <c r="A17" i="5"/>
  <c r="C16" i="5"/>
  <c r="A16" i="5"/>
  <c r="C184" i="3"/>
  <c r="C183" i="3"/>
  <c r="C181" i="3"/>
  <c r="E14" i="13" l="1"/>
  <c r="A16" i="12"/>
  <c r="C17" i="5"/>
  <c r="N16" i="5"/>
  <c r="D16" i="6" s="1"/>
  <c r="A23" i="11"/>
  <c r="F16" i="5"/>
  <c r="I16" i="5"/>
  <c r="W16" i="5" a="1"/>
  <c r="W16" i="5" s="1"/>
  <c r="H16" i="12" s="1" a="1"/>
  <c r="H16" i="12" s="1"/>
  <c r="AE16" i="5" a="1"/>
  <c r="AE16" i="5" s="1"/>
  <c r="G16" i="5"/>
  <c r="B16" i="5"/>
  <c r="H16" i="5"/>
  <c r="B16" i="6"/>
  <c r="B20" i="8"/>
  <c r="E18" i="13"/>
  <c r="A15" i="11"/>
  <c r="AC55" i="5" a="1"/>
  <c r="AC55" i="5" s="1"/>
  <c r="B17" i="5" l="1"/>
  <c r="B17" i="6"/>
  <c r="N17" i="5"/>
  <c r="D17" i="6" s="1"/>
  <c r="G17" i="5"/>
  <c r="E17" i="12"/>
  <c r="A17" i="12"/>
  <c r="H17" i="5"/>
  <c r="F17" i="5"/>
  <c r="AE17" i="5" a="1"/>
  <c r="AE17" i="5" s="1"/>
  <c r="W17" i="5" a="1"/>
  <c r="W17" i="5" s="1"/>
  <c r="H17" i="12" s="1" a="1"/>
  <c r="H17" i="12" s="1"/>
  <c r="I17" i="5"/>
  <c r="B23" i="8"/>
  <c r="E16" i="12"/>
  <c r="F16" i="6"/>
  <c r="N16" i="6"/>
  <c r="M16" i="6"/>
  <c r="H16" i="6" a="1"/>
  <c r="H16" i="6" s="1"/>
  <c r="T16" i="5" s="1"/>
  <c r="G16" i="12" s="1" a="1"/>
  <c r="G16" i="12" s="1"/>
  <c r="G16" i="6"/>
  <c r="AD16" i="5"/>
  <c r="E16" i="5"/>
  <c r="L18" i="6"/>
  <c r="L19" i="6" s="1"/>
  <c r="L14" i="6"/>
  <c r="AE7" i="10" a="1"/>
  <c r="AE7" i="10" s="1"/>
  <c r="AE6" i="10" a="1"/>
  <c r="AE6" i="10" s="1"/>
  <c r="C11" i="10" a="1"/>
  <c r="C11" i="10" s="1"/>
  <c r="V7" i="10" a="1"/>
  <c r="V7" i="10" s="1"/>
  <c r="V6" i="10" a="1"/>
  <c r="V6" i="10" s="1"/>
  <c r="D62" i="12" a="1"/>
  <c r="D62" i="12" s="1"/>
  <c r="AB15" i="12" a="1"/>
  <c r="AB15" i="12" s="1"/>
  <c r="Q12" i="12" a="1"/>
  <c r="Q12" i="12" s="1"/>
  <c r="X13" i="12" a="1"/>
  <c r="X13" i="12" s="1"/>
  <c r="W13" i="12" a="1"/>
  <c r="W13" i="12" s="1"/>
  <c r="V13" i="12" a="1"/>
  <c r="V13" i="12" s="1"/>
  <c r="J12" i="12" a="1"/>
  <c r="J12" i="12" s="1"/>
  <c r="I8" i="12" a="1"/>
  <c r="I8" i="12" s="1"/>
  <c r="I7" i="12" a="1"/>
  <c r="I7" i="12" s="1"/>
  <c r="A7" i="12" a="1"/>
  <c r="A7" i="12" s="1"/>
  <c r="E2" i="12" a="1"/>
  <c r="E2" i="12" s="1"/>
  <c r="AF8" i="8" a="1"/>
  <c r="AF8" i="8" s="1"/>
  <c r="AF7" i="8" a="1"/>
  <c r="AF7" i="8" s="1"/>
  <c r="S4" i="8" a="1"/>
  <c r="S4" i="8" s="1"/>
  <c r="Z8" i="8" a="1"/>
  <c r="Z8" i="8" s="1"/>
  <c r="Z7" i="8" a="1"/>
  <c r="Z7" i="8" s="1"/>
  <c r="D15" i="6" a="1"/>
  <c r="D15" i="6" s="1"/>
  <c r="J120" i="4" a="1"/>
  <c r="J120" i="4" s="1"/>
  <c r="J80" i="4" a="1"/>
  <c r="J80" i="4" s="1"/>
  <c r="J40" i="4" a="1"/>
  <c r="J40" i="4" s="1"/>
  <c r="D36" i="2" a="1"/>
  <c r="D36" i="2" s="1"/>
  <c r="D41" i="2" a="1"/>
  <c r="D41" i="2" s="1"/>
  <c r="D40" i="2" a="1"/>
  <c r="D40" i="2" s="1"/>
  <c r="D39" i="2" a="1"/>
  <c r="D39" i="2" s="1"/>
  <c r="D38" i="2" a="1"/>
  <c r="D38" i="2" s="1"/>
  <c r="D37" i="2" a="1"/>
  <c r="D37" i="2" s="1"/>
  <c r="G18" i="15" a="1"/>
  <c r="G18" i="15" s="1"/>
  <c r="G10" i="15" a="1"/>
  <c r="G10" i="15" s="1"/>
  <c r="E22" i="15" a="1"/>
  <c r="E22" i="15" s="1"/>
  <c r="E18" i="15" a="1"/>
  <c r="E18" i="15" s="1"/>
  <c r="E12" i="15" a="1"/>
  <c r="E12" i="15" s="1"/>
  <c r="E10" i="15" a="1"/>
  <c r="E10" i="15" s="1"/>
  <c r="E24" i="15" a="1"/>
  <c r="E24" i="15" s="1"/>
  <c r="C18" i="15" a="1"/>
  <c r="C18" i="15" s="1"/>
  <c r="C14" i="15" a="1"/>
  <c r="C14" i="15" s="1"/>
  <c r="C12" i="15" a="1"/>
  <c r="C12" i="15" s="1"/>
  <c r="C10" i="15" a="1"/>
  <c r="C10" i="15" s="1"/>
  <c r="N15" i="5" a="1"/>
  <c r="N15" i="5" s="1"/>
  <c r="M15" i="5" a="1"/>
  <c r="M15" i="5" s="1"/>
  <c r="F10" i="5" a="1"/>
  <c r="F10" i="5" s="1"/>
  <c r="F9" i="5" a="1"/>
  <c r="F9" i="5" s="1"/>
  <c r="F8" i="5" a="1"/>
  <c r="F8" i="5" s="1"/>
  <c r="A14" i="5"/>
  <c r="C165" i="3"/>
  <c r="G11" i="5" a="1"/>
  <c r="G11" i="5" s="1"/>
  <c r="F11" i="5" a="1"/>
  <c r="O8" i="5" a="1"/>
  <c r="C18" i="5" l="1"/>
  <c r="F17" i="6"/>
  <c r="AF16" i="5" a="1"/>
  <c r="AF16" i="5" s="1"/>
  <c r="AF17" i="5" a="1"/>
  <c r="AF17" i="5" s="1"/>
  <c r="B14" i="11"/>
  <c r="E17" i="5"/>
  <c r="AD17" i="5"/>
  <c r="L20" i="6"/>
  <c r="H17" i="6" a="1"/>
  <c r="H17" i="6" s="1"/>
  <c r="T17" i="5" s="1"/>
  <c r="G17" i="12" s="1" a="1"/>
  <c r="G17" i="12" s="1"/>
  <c r="G17" i="6"/>
  <c r="N17" i="6"/>
  <c r="M17" i="6"/>
  <c r="B26" i="8"/>
  <c r="B14" i="6"/>
  <c r="O8" i="5"/>
  <c r="F11" i="5"/>
  <c r="J18" i="5" l="1"/>
  <c r="C19" i="5"/>
  <c r="H18" i="5"/>
  <c r="B18" i="6"/>
  <c r="A18" i="12"/>
  <c r="D18" i="5"/>
  <c r="B18" i="12" s="1"/>
  <c r="B18" i="5"/>
  <c r="F18" i="5"/>
  <c r="K18" i="5"/>
  <c r="G18" i="5"/>
  <c r="N18" i="5"/>
  <c r="D18" i="6" s="1"/>
  <c r="AD18" i="5"/>
  <c r="AE18" i="5" a="1"/>
  <c r="AE18" i="5" s="1"/>
  <c r="G14" i="11"/>
  <c r="F14" i="13" s="1"/>
  <c r="K14" i="11" a="1"/>
  <c r="K14" i="11" s="1"/>
  <c r="J14" i="13" s="1"/>
  <c r="C14" i="13"/>
  <c r="L21" i="6"/>
  <c r="B29" i="8"/>
  <c r="S16" i="5" a="1"/>
  <c r="S16" i="5" s="1"/>
  <c r="AG16" i="5" a="1"/>
  <c r="AG16" i="5" s="1"/>
  <c r="S17" i="5" a="1"/>
  <c r="S17" i="5" s="1"/>
  <c r="F17" i="12" s="1" a="1"/>
  <c r="F17" i="12" s="1"/>
  <c r="AG17" i="5" a="1"/>
  <c r="AG17" i="5" s="1"/>
  <c r="F14" i="6"/>
  <c r="D14" i="6"/>
  <c r="C171" i="3"/>
  <c r="C170" i="3"/>
  <c r="C169" i="3"/>
  <c r="C166" i="3"/>
  <c r="C160" i="3"/>
  <c r="C159" i="3"/>
  <c r="A19" i="12" l="1"/>
  <c r="AE19" i="5" a="1"/>
  <c r="AE19" i="5" s="1"/>
  <c r="H19" i="5"/>
  <c r="AD19" i="5"/>
  <c r="G19" i="5"/>
  <c r="F19" i="5"/>
  <c r="N19" i="5"/>
  <c r="D19" i="5"/>
  <c r="B19" i="12" s="1"/>
  <c r="K19" i="5"/>
  <c r="J19" i="5"/>
  <c r="B19" i="5"/>
  <c r="C20" i="5" s="1"/>
  <c r="B19" i="6"/>
  <c r="F16" i="12" a="1"/>
  <c r="F16" i="12" s="1"/>
  <c r="B32" i="8"/>
  <c r="L22" i="6"/>
  <c r="E18" i="5"/>
  <c r="G14" i="6"/>
  <c r="H14" i="6" a="1"/>
  <c r="H14" i="6" s="1"/>
  <c r="X9" i="5"/>
  <c r="W9" i="5"/>
  <c r="V9" i="5"/>
  <c r="U9" i="5"/>
  <c r="T9" i="5"/>
  <c r="E19" i="5" l="1"/>
  <c r="E20" i="5" s="1"/>
  <c r="G20" i="5"/>
  <c r="B20" i="6"/>
  <c r="A20" i="12"/>
  <c r="F20" i="5"/>
  <c r="AE20" i="5" a="1"/>
  <c r="AE20" i="5" s="1"/>
  <c r="H20" i="5"/>
  <c r="N20" i="5"/>
  <c r="D20" i="6" s="1"/>
  <c r="B20" i="5"/>
  <c r="C21" i="5"/>
  <c r="AD20" i="5"/>
  <c r="D19" i="6"/>
  <c r="B35" i="8"/>
  <c r="L23" i="6"/>
  <c r="C177" i="3"/>
  <c r="C175" i="3"/>
  <c r="F21" i="5" l="1"/>
  <c r="H21" i="5"/>
  <c r="N21" i="5"/>
  <c r="D21" i="6" s="1"/>
  <c r="B21" i="5"/>
  <c r="AE21" i="5" a="1"/>
  <c r="AE21" i="5" s="1"/>
  <c r="B21" i="6"/>
  <c r="A21" i="12"/>
  <c r="C22" i="5"/>
  <c r="N22" i="5" s="1"/>
  <c r="D22" i="6" s="1"/>
  <c r="G21" i="5"/>
  <c r="AD21" i="5"/>
  <c r="B38" i="8"/>
  <c r="L24" i="6"/>
  <c r="L25" i="6" s="1"/>
  <c r="L26" i="6" s="1"/>
  <c r="E21" i="5"/>
  <c r="C157" i="3"/>
  <c r="C173" i="3"/>
  <c r="C167" i="3"/>
  <c r="C164" i="3"/>
  <c r="C163" i="3"/>
  <c r="C161" i="3"/>
  <c r="AD22" i="5" l="1"/>
  <c r="J22" i="5"/>
  <c r="G22" i="5"/>
  <c r="F22" i="5"/>
  <c r="K22" i="5"/>
  <c r="A22" i="12"/>
  <c r="H22" i="5"/>
  <c r="AE22" i="5" a="1"/>
  <c r="AE22" i="5" s="1"/>
  <c r="D22" i="5"/>
  <c r="B22" i="12" s="1"/>
  <c r="B22" i="6"/>
  <c r="B22" i="5"/>
  <c r="C23" i="5"/>
  <c r="E22" i="5"/>
  <c r="L27" i="6"/>
  <c r="C153" i="3"/>
  <c r="C151" i="3"/>
  <c r="F23" i="5" l="1"/>
  <c r="A23" i="12"/>
  <c r="AE23" i="5" a="1"/>
  <c r="AE23" i="5" s="1"/>
  <c r="AD23" i="5"/>
  <c r="N23" i="5"/>
  <c r="D23" i="6" s="1"/>
  <c r="B23" i="6"/>
  <c r="G23" i="5"/>
  <c r="B23" i="5"/>
  <c r="C24" i="5" s="1"/>
  <c r="C25" i="5" s="1"/>
  <c r="C26" i="5" s="1"/>
  <c r="H23" i="5"/>
  <c r="L28" i="6"/>
  <c r="E23" i="5"/>
  <c r="A12" i="6"/>
  <c r="A26" i="12" l="1"/>
  <c r="AE26" i="5" a="1"/>
  <c r="AE26" i="5" s="1"/>
  <c r="AD26" i="5"/>
  <c r="N26" i="5"/>
  <c r="D26" i="5"/>
  <c r="B26" i="12" s="1"/>
  <c r="K26" i="5"/>
  <c r="J26" i="5"/>
  <c r="B26" i="6"/>
  <c r="A25" i="12"/>
  <c r="AE25" i="5" a="1"/>
  <c r="AE25" i="5" s="1"/>
  <c r="AD25" i="5"/>
  <c r="N25" i="5"/>
  <c r="D25" i="5"/>
  <c r="B25" i="12" s="1"/>
  <c r="K25" i="5"/>
  <c r="J25" i="5"/>
  <c r="B25" i="6"/>
  <c r="B24" i="5"/>
  <c r="A24" i="12"/>
  <c r="AE24" i="5" a="1"/>
  <c r="AE24" i="5" s="1"/>
  <c r="B24" i="6"/>
  <c r="H24" i="5"/>
  <c r="H25" i="5" s="1"/>
  <c r="H26" i="5" s="1"/>
  <c r="N24" i="5"/>
  <c r="D24" i="6" s="1"/>
  <c r="G24" i="5"/>
  <c r="G25" i="5" s="1"/>
  <c r="G26" i="5" s="1"/>
  <c r="AD24" i="5"/>
  <c r="F24" i="5"/>
  <c r="F25" i="5" s="1"/>
  <c r="F26" i="5" s="1"/>
  <c r="E24" i="5"/>
  <c r="E25" i="5" s="1"/>
  <c r="E26" i="5" s="1"/>
  <c r="U23" i="7" a="1"/>
  <c r="U23" i="7" s="1"/>
  <c r="O23" i="7" a="1"/>
  <c r="O23" i="7" s="1"/>
  <c r="I23" i="7" a="1"/>
  <c r="I23" i="7" s="1"/>
  <c r="Y22" i="7" a="1"/>
  <c r="Y22" i="7" s="1"/>
  <c r="S22" i="7" a="1"/>
  <c r="S22" i="7" s="1"/>
  <c r="M22" i="7" a="1"/>
  <c r="M22" i="7" s="1"/>
  <c r="F22" i="7"/>
  <c r="W21" i="7" a="1"/>
  <c r="W21" i="7" s="1"/>
  <c r="Q21" i="7" a="1"/>
  <c r="Q21" i="7" s="1"/>
  <c r="K21" i="7" a="1"/>
  <c r="K21" i="7" s="1"/>
  <c r="U20" i="7" a="1"/>
  <c r="U20" i="7" s="1"/>
  <c r="O20" i="7" a="1"/>
  <c r="O20" i="7" s="1"/>
  <c r="I20" i="7" a="1"/>
  <c r="I20" i="7" s="1"/>
  <c r="Y19" i="7" a="1"/>
  <c r="Y19" i="7" s="1"/>
  <c r="S19" i="7" a="1"/>
  <c r="S19" i="7" s="1"/>
  <c r="M19" i="7" a="1"/>
  <c r="M19" i="7" s="1"/>
  <c r="F19" i="7"/>
  <c r="W18" i="7" a="1"/>
  <c r="W18" i="7" s="1"/>
  <c r="Q18" i="7" a="1"/>
  <c r="Q18" i="7" s="1"/>
  <c r="K18" i="7" a="1"/>
  <c r="K18" i="7" s="1"/>
  <c r="U17" i="7" a="1"/>
  <c r="U17" i="7" s="1"/>
  <c r="O17" i="7" a="1"/>
  <c r="O17" i="7" s="1"/>
  <c r="I17" i="7" a="1"/>
  <c r="I17" i="7" s="1"/>
  <c r="Y16" i="7" a="1"/>
  <c r="Y16" i="7" s="1"/>
  <c r="S16" i="7" a="1"/>
  <c r="S16" i="7" s="1"/>
  <c r="M16" i="7" a="1"/>
  <c r="M16" i="7" s="1"/>
  <c r="F16" i="7"/>
  <c r="T23" i="7" a="1"/>
  <c r="T23" i="7" s="1"/>
  <c r="N23" i="7" a="1"/>
  <c r="N23" i="7" s="1"/>
  <c r="H23" i="7" a="1"/>
  <c r="H23" i="7" s="1"/>
  <c r="X22" i="7" a="1"/>
  <c r="X22" i="7" s="1"/>
  <c r="R22" i="7" a="1"/>
  <c r="R22" i="7" s="1"/>
  <c r="L22" i="7" a="1"/>
  <c r="L22" i="7" s="1"/>
  <c r="E22" i="7" a="1"/>
  <c r="E22" i="7" s="1"/>
  <c r="V21" i="7" a="1"/>
  <c r="V21" i="7" s="1"/>
  <c r="P21" i="7" a="1"/>
  <c r="P21" i="7" s="1"/>
  <c r="J21" i="7" a="1"/>
  <c r="J21" i="7" s="1"/>
  <c r="T20" i="7" a="1"/>
  <c r="T20" i="7" s="1"/>
  <c r="N20" i="7" a="1"/>
  <c r="N20" i="7" s="1"/>
  <c r="H20" i="7" a="1"/>
  <c r="H20" i="7" s="1"/>
  <c r="X19" i="7" a="1"/>
  <c r="X19" i="7" s="1"/>
  <c r="R19" i="7" a="1"/>
  <c r="R19" i="7" s="1"/>
  <c r="L19" i="7" a="1"/>
  <c r="L19" i="7" s="1"/>
  <c r="E19" i="7" a="1"/>
  <c r="E19" i="7" s="1"/>
  <c r="V18" i="7" a="1"/>
  <c r="V18" i="7" s="1"/>
  <c r="P18" i="7" a="1"/>
  <c r="P18" i="7" s="1"/>
  <c r="J18" i="7" a="1"/>
  <c r="J18" i="7" s="1"/>
  <c r="T17" i="7" a="1"/>
  <c r="T17" i="7" s="1"/>
  <c r="N17" i="7" a="1"/>
  <c r="N17" i="7" s="1"/>
  <c r="H17" i="7" a="1"/>
  <c r="H17" i="7" s="1"/>
  <c r="X16" i="7" a="1"/>
  <c r="X16" i="7" s="1"/>
  <c r="R16" i="7" a="1"/>
  <c r="R16" i="7" s="1"/>
  <c r="L16" i="7" a="1"/>
  <c r="L16" i="7" s="1"/>
  <c r="E16" i="7" a="1"/>
  <c r="E16" i="7" s="1"/>
  <c r="Y23" i="7" a="1"/>
  <c r="Y23" i="7" s="1"/>
  <c r="S23" i="7" a="1"/>
  <c r="S23" i="7" s="1"/>
  <c r="M23" i="7" a="1"/>
  <c r="M23" i="7" s="1"/>
  <c r="F23" i="7"/>
  <c r="W22" i="7" a="1"/>
  <c r="W22" i="7" s="1"/>
  <c r="Q22" i="7" a="1"/>
  <c r="Q22" i="7" s="1"/>
  <c r="K22" i="7" a="1"/>
  <c r="K22" i="7" s="1"/>
  <c r="U21" i="7" a="1"/>
  <c r="U21" i="7" s="1"/>
  <c r="O21" i="7" a="1"/>
  <c r="O21" i="7" s="1"/>
  <c r="I21" i="7" a="1"/>
  <c r="I21" i="7" s="1"/>
  <c r="Y20" i="7" a="1"/>
  <c r="Y20" i="7" s="1"/>
  <c r="S20" i="7" a="1"/>
  <c r="S20" i="7" s="1"/>
  <c r="M20" i="7" a="1"/>
  <c r="M20" i="7" s="1"/>
  <c r="F20" i="7"/>
  <c r="W19" i="7" a="1"/>
  <c r="W19" i="7" s="1"/>
  <c r="Q19" i="7" a="1"/>
  <c r="Q19" i="7" s="1"/>
  <c r="K19" i="7" a="1"/>
  <c r="K19" i="7" s="1"/>
  <c r="U18" i="7" a="1"/>
  <c r="U18" i="7" s="1"/>
  <c r="O18" i="7" a="1"/>
  <c r="O18" i="7" s="1"/>
  <c r="I18" i="7" a="1"/>
  <c r="I18" i="7" s="1"/>
  <c r="Y17" i="7" a="1"/>
  <c r="Y17" i="7" s="1"/>
  <c r="S17" i="7" a="1"/>
  <c r="S17" i="7" s="1"/>
  <c r="M17" i="7" a="1"/>
  <c r="M17" i="7" s="1"/>
  <c r="F17" i="7"/>
  <c r="W16" i="7" a="1"/>
  <c r="W16" i="7" s="1"/>
  <c r="Q16" i="7" a="1"/>
  <c r="Q16" i="7" s="1"/>
  <c r="K16" i="7" a="1"/>
  <c r="K16" i="7" s="1"/>
  <c r="V23" i="7" a="1"/>
  <c r="V23" i="7" s="1"/>
  <c r="P23" i="7" a="1"/>
  <c r="P23" i="7" s="1"/>
  <c r="J23" i="7" a="1"/>
  <c r="J23" i="7" s="1"/>
  <c r="T22" i="7" a="1"/>
  <c r="T22" i="7" s="1"/>
  <c r="N22" i="7" a="1"/>
  <c r="N22" i="7" s="1"/>
  <c r="H22" i="7" a="1"/>
  <c r="H22" i="7" s="1"/>
  <c r="X21" i="7" a="1"/>
  <c r="X21" i="7" s="1"/>
  <c r="R21" i="7" a="1"/>
  <c r="R21" i="7" s="1"/>
  <c r="L21" i="7" a="1"/>
  <c r="L21" i="7" s="1"/>
  <c r="E21" i="7" a="1"/>
  <c r="E21" i="7" s="1"/>
  <c r="V20" i="7" a="1"/>
  <c r="V20" i="7" s="1"/>
  <c r="P20" i="7" a="1"/>
  <c r="P20" i="7" s="1"/>
  <c r="J20" i="7" a="1"/>
  <c r="J20" i="7" s="1"/>
  <c r="T19" i="7" a="1"/>
  <c r="T19" i="7" s="1"/>
  <c r="N19" i="7" a="1"/>
  <c r="N19" i="7" s="1"/>
  <c r="H19" i="7" a="1"/>
  <c r="H19" i="7" s="1"/>
  <c r="X18" i="7" a="1"/>
  <c r="X18" i="7" s="1"/>
  <c r="R18" i="7" a="1"/>
  <c r="R18" i="7" s="1"/>
  <c r="L18" i="7" a="1"/>
  <c r="L18" i="7" s="1"/>
  <c r="E18" i="7" a="1"/>
  <c r="E18" i="7" s="1"/>
  <c r="V17" i="7" a="1"/>
  <c r="V17" i="7" s="1"/>
  <c r="P17" i="7" a="1"/>
  <c r="P17" i="7" s="1"/>
  <c r="J17" i="7" a="1"/>
  <c r="J17" i="7" s="1"/>
  <c r="T16" i="7" a="1"/>
  <c r="T16" i="7" s="1"/>
  <c r="N16" i="7" a="1"/>
  <c r="N16" i="7" s="1"/>
  <c r="H16" i="7" a="1"/>
  <c r="H16" i="7" s="1"/>
  <c r="R23" i="7" a="1"/>
  <c r="R23" i="7" s="1"/>
  <c r="Q20" i="7" a="1"/>
  <c r="Q20" i="7" s="1"/>
  <c r="L17" i="7" a="1"/>
  <c r="L17" i="7" s="1"/>
  <c r="V22" i="7" a="1"/>
  <c r="V22" i="7" s="1"/>
  <c r="H21" i="7" a="1"/>
  <c r="H21" i="7" s="1"/>
  <c r="U19" i="7" a="1"/>
  <c r="U19" i="7" s="1"/>
  <c r="Y18" i="7" a="1"/>
  <c r="Y18" i="7" s="1"/>
  <c r="F18" i="7"/>
  <c r="P16" i="7" a="1"/>
  <c r="P16" i="7" s="1"/>
  <c r="Q23" i="7" a="1"/>
  <c r="Q23" i="7" s="1"/>
  <c r="L20" i="7" a="1"/>
  <c r="L20" i="7" s="1"/>
  <c r="K17" i="7" a="1"/>
  <c r="K17" i="7" s="1"/>
  <c r="U22" i="7" a="1"/>
  <c r="U22" i="7" s="1"/>
  <c r="Y21" i="7" a="1"/>
  <c r="Y21" i="7" s="1"/>
  <c r="F21" i="7"/>
  <c r="P19" i="7" a="1"/>
  <c r="P19" i="7" s="1"/>
  <c r="T18" i="7" a="1"/>
  <c r="T18" i="7" s="1"/>
  <c r="O16" i="7" a="1"/>
  <c r="O16" i="7" s="1"/>
  <c r="L23" i="7" a="1"/>
  <c r="L23" i="7" s="1"/>
  <c r="K20" i="7" a="1"/>
  <c r="K20" i="7" s="1"/>
  <c r="X17" i="7" a="1"/>
  <c r="X17" i="7" s="1"/>
  <c r="E17" i="7" a="1"/>
  <c r="E17" i="7" s="1"/>
  <c r="P22" i="7" a="1"/>
  <c r="P22" i="7" s="1"/>
  <c r="T21" i="7" a="1"/>
  <c r="T21" i="7" s="1"/>
  <c r="O19" i="7" a="1"/>
  <c r="O19" i="7" s="1"/>
  <c r="S18" i="7" a="1"/>
  <c r="S18" i="7" s="1"/>
  <c r="J16" i="7" a="1"/>
  <c r="J16" i="7" s="1"/>
  <c r="M18" i="7" a="1"/>
  <c r="M18" i="7" s="1"/>
  <c r="M21" i="7" a="1"/>
  <c r="M21" i="7" s="1"/>
  <c r="V16" i="7" a="1"/>
  <c r="V16" i="7" s="1"/>
  <c r="O22" i="7" a="1"/>
  <c r="O22" i="7" s="1"/>
  <c r="V19" i="7" a="1"/>
  <c r="V19" i="7" s="1"/>
  <c r="H18" i="7" a="1"/>
  <c r="H18" i="7" s="1"/>
  <c r="X23" i="7" a="1"/>
  <c r="X23" i="7" s="1"/>
  <c r="X20" i="7" a="1"/>
  <c r="X20" i="7" s="1"/>
  <c r="U16" i="7" a="1"/>
  <c r="U16" i="7" s="1"/>
  <c r="J22" i="7" a="1"/>
  <c r="J22" i="7" s="1"/>
  <c r="J19" i="7" a="1"/>
  <c r="J19" i="7" s="1"/>
  <c r="W17" i="7" a="1"/>
  <c r="W17" i="7" s="1"/>
  <c r="W23" i="7" a="1"/>
  <c r="W23" i="7" s="1"/>
  <c r="W20" i="7" a="1"/>
  <c r="W20" i="7" s="1"/>
  <c r="I16" i="7" a="1"/>
  <c r="I16" i="7" s="1"/>
  <c r="I19" i="7" a="1"/>
  <c r="I19" i="7" s="1"/>
  <c r="S21" i="7" a="1"/>
  <c r="S21" i="7" s="1"/>
  <c r="N21" i="7" a="1"/>
  <c r="N21" i="7" s="1"/>
  <c r="K23" i="7" a="1"/>
  <c r="K23" i="7" s="1"/>
  <c r="N18" i="7" a="1"/>
  <c r="N18" i="7" s="1"/>
  <c r="E23" i="7" a="1"/>
  <c r="E23" i="7" s="1"/>
  <c r="I22" i="7" a="1"/>
  <c r="I22" i="7" s="1"/>
  <c r="R17" i="7" a="1"/>
  <c r="R17" i="7" s="1"/>
  <c r="E20" i="7" a="1"/>
  <c r="E20" i="7" s="1"/>
  <c r="Q17" i="7" a="1"/>
  <c r="Q17" i="7" s="1"/>
  <c r="R20" i="7" a="1"/>
  <c r="R20" i="7" s="1"/>
  <c r="A16" i="6"/>
  <c r="A17" i="6"/>
  <c r="L29" i="6"/>
  <c r="A14" i="6"/>
  <c r="A11" i="6"/>
  <c r="C147" i="3"/>
  <c r="C149" i="3"/>
  <c r="C145" i="3"/>
  <c r="C143" i="3"/>
  <c r="C141" i="3"/>
  <c r="U11" i="4"/>
  <c r="U10" i="4"/>
  <c r="Y26" i="4"/>
  <c r="Z26" i="4" s="1"/>
  <c r="Y106" i="4"/>
  <c r="Z106" i="4" s="1"/>
  <c r="Y66" i="4"/>
  <c r="Z66" i="4" s="1"/>
  <c r="R64" i="4"/>
  <c r="R63" i="4"/>
  <c r="R23" i="4"/>
  <c r="R24" i="4"/>
  <c r="C133" i="3"/>
  <c r="E26" i="12" l="1"/>
  <c r="F26" i="6"/>
  <c r="D26" i="6"/>
  <c r="D25" i="6"/>
  <c r="B25" i="5"/>
  <c r="A20" i="6"/>
  <c r="X26" i="4"/>
  <c r="X106" i="4"/>
  <c r="X66" i="4"/>
  <c r="C137" i="3"/>
  <c r="C135" i="3"/>
  <c r="C132" i="3"/>
  <c r="A18" i="6" l="1"/>
  <c r="E27" i="12"/>
  <c r="F27" i="6"/>
  <c r="L30" i="6"/>
  <c r="A21" i="6"/>
  <c r="N20" i="6"/>
  <c r="C128" i="3"/>
  <c r="R2" i="5" a="1"/>
  <c r="R2" i="5" s="1"/>
  <c r="AH13" i="5" a="1"/>
  <c r="AH13" i="5" s="1"/>
  <c r="V13" i="5" a="1"/>
  <c r="V13" i="5" s="1"/>
  <c r="U13" i="5" a="1"/>
  <c r="U13" i="5" s="1"/>
  <c r="X7" i="5" a="1"/>
  <c r="X7" i="5" s="1"/>
  <c r="W7" i="5" a="1"/>
  <c r="W7" i="5" s="1"/>
  <c r="V7" i="5" a="1"/>
  <c r="V7" i="5" s="1"/>
  <c r="S7" i="5" a="1"/>
  <c r="S7" i="5" s="1"/>
  <c r="R7" i="5" a="1"/>
  <c r="R7" i="5" s="1"/>
  <c r="S8" i="5" a="1"/>
  <c r="S8" i="5" s="1"/>
  <c r="R8" i="5" a="1"/>
  <c r="R8" i="5" s="1"/>
  <c r="Q8" i="5" a="1"/>
  <c r="Q8" i="5" s="1"/>
  <c r="H13" i="7"/>
  <c r="E13" i="7"/>
  <c r="B26" i="5" l="1"/>
  <c r="C27" i="5" s="1"/>
  <c r="N18" i="6"/>
  <c r="A19" i="6"/>
  <c r="E28" i="12"/>
  <c r="F28" i="6"/>
  <c r="L31" i="6"/>
  <c r="A22" i="6"/>
  <c r="J4" i="15"/>
  <c r="AB13" i="12" a="1"/>
  <c r="AB13" i="12" s="1"/>
  <c r="I28" i="10"/>
  <c r="N27" i="5" l="1"/>
  <c r="D27" i="6" s="1"/>
  <c r="C28" i="5"/>
  <c r="N28" i="5" s="1"/>
  <c r="D28" i="6" s="1"/>
  <c r="AF27" i="5" a="1"/>
  <c r="AF27" i="5" s="1"/>
  <c r="AG27" i="5" s="1" a="1"/>
  <c r="AG27" i="5" s="1"/>
  <c r="G27" i="5"/>
  <c r="AE27" i="5" a="1"/>
  <c r="AE27" i="5" s="1"/>
  <c r="E27" i="5"/>
  <c r="A27" i="12"/>
  <c r="AD27" i="5"/>
  <c r="B27" i="5"/>
  <c r="B27" i="6"/>
  <c r="F27" i="5"/>
  <c r="H27" i="5"/>
  <c r="N19" i="6"/>
  <c r="AO23" i="13"/>
  <c r="AO21" i="13"/>
  <c r="AO19" i="13"/>
  <c r="AO17" i="13"/>
  <c r="AO15" i="13"/>
  <c r="AK22" i="13" a="1"/>
  <c r="AK22" i="13" s="1"/>
  <c r="AK20" i="13" a="1"/>
  <c r="AK20" i="13" s="1"/>
  <c r="AK18" i="13" a="1"/>
  <c r="AK18" i="13" s="1"/>
  <c r="AK16" i="13" a="1"/>
  <c r="AK16" i="13" s="1"/>
  <c r="AK14" i="13" a="1"/>
  <c r="AK14" i="13" s="1"/>
  <c r="AN23" i="13" a="1"/>
  <c r="AN23" i="13" s="1"/>
  <c r="AN21" i="13" a="1"/>
  <c r="AN21" i="13" s="1"/>
  <c r="AN19" i="13" a="1"/>
  <c r="AN19" i="13" s="1"/>
  <c r="AN17" i="13" a="1"/>
  <c r="AN17" i="13" s="1"/>
  <c r="AN15" i="13" a="1"/>
  <c r="AN15" i="13" s="1"/>
  <c r="AJ22" i="13" a="1"/>
  <c r="AJ22" i="13" s="1"/>
  <c r="AJ20" i="13" a="1"/>
  <c r="AJ20" i="13" s="1"/>
  <c r="AJ18" i="13" a="1"/>
  <c r="AJ18" i="13" s="1"/>
  <c r="AJ16" i="13" a="1"/>
  <c r="AJ16" i="13" s="1"/>
  <c r="AJ14" i="13" a="1"/>
  <c r="AJ14" i="13" s="1"/>
  <c r="AM23" i="13" a="1"/>
  <c r="AM23" i="13" s="1"/>
  <c r="AM21" i="13" a="1"/>
  <c r="AM21" i="13" s="1"/>
  <c r="AM19" i="13" a="1"/>
  <c r="AM19" i="13" s="1"/>
  <c r="AM17" i="13" a="1"/>
  <c r="AM17" i="13" s="1"/>
  <c r="AM15" i="13" a="1"/>
  <c r="AM15" i="13" s="1"/>
  <c r="AL23" i="13"/>
  <c r="AL21" i="13"/>
  <c r="AL19" i="13"/>
  <c r="AL17" i="13"/>
  <c r="AL15" i="13"/>
  <c r="AO22" i="13"/>
  <c r="AO20" i="13"/>
  <c r="AO18" i="13"/>
  <c r="AO16" i="13"/>
  <c r="AO14" i="13"/>
  <c r="AM22" i="13" a="1"/>
  <c r="AM22" i="13" s="1"/>
  <c r="AM20" i="13" a="1"/>
  <c r="AM20" i="13" s="1"/>
  <c r="AM18" i="13" a="1"/>
  <c r="AM18" i="13" s="1"/>
  <c r="AM16" i="13" a="1"/>
  <c r="AM16" i="13" s="1"/>
  <c r="AM14" i="13" a="1"/>
  <c r="AM14" i="13" s="1"/>
  <c r="AL22" i="13"/>
  <c r="AL20" i="13"/>
  <c r="AL18" i="13"/>
  <c r="AL16" i="13"/>
  <c r="AL14" i="13"/>
  <c r="AK23" i="13" a="1"/>
  <c r="AK23" i="13" s="1"/>
  <c r="AN22" i="13" a="1"/>
  <c r="AN22" i="13" s="1"/>
  <c r="AK21" i="13" a="1"/>
  <c r="AK21" i="13" s="1"/>
  <c r="AN20" i="13" a="1"/>
  <c r="AN20" i="13" s="1"/>
  <c r="AJ23" i="13" a="1"/>
  <c r="AJ23" i="13" s="1"/>
  <c r="AK19" i="13" a="1"/>
  <c r="AK19" i="13" s="1"/>
  <c r="AN18" i="13" a="1"/>
  <c r="AN18" i="13" s="1"/>
  <c r="AJ21" i="13" a="1"/>
  <c r="AJ21" i="13" s="1"/>
  <c r="AK17" i="13" a="1"/>
  <c r="AK17" i="13" s="1"/>
  <c r="AN16" i="13" a="1"/>
  <c r="AN16" i="13" s="1"/>
  <c r="AJ19" i="13" a="1"/>
  <c r="AJ19" i="13" s="1"/>
  <c r="AK15" i="13" a="1"/>
  <c r="AK15" i="13" s="1"/>
  <c r="AN14" i="13" a="1"/>
  <c r="AN14" i="13" s="1"/>
  <c r="AJ17" i="13" a="1"/>
  <c r="AJ17" i="13" s="1"/>
  <c r="AJ15" i="13" a="1"/>
  <c r="AJ15" i="13" s="1"/>
  <c r="G39" i="8" a="1"/>
  <c r="G39" i="8" s="1"/>
  <c r="G33" i="8" a="1"/>
  <c r="G33" i="8" s="1"/>
  <c r="G27" i="8" a="1"/>
  <c r="G27" i="8" s="1"/>
  <c r="G21" i="8" a="1"/>
  <c r="G21" i="8" s="1"/>
  <c r="G15" i="8" a="1"/>
  <c r="G15" i="8" s="1"/>
  <c r="G36" i="8" a="1"/>
  <c r="G36" i="8" s="1"/>
  <c r="G30" i="8" a="1"/>
  <c r="G30" i="8" s="1"/>
  <c r="G24" i="8" a="1"/>
  <c r="G24" i="8" s="1"/>
  <c r="G18" i="8" a="1"/>
  <c r="G18" i="8" s="1"/>
  <c r="P7" i="13"/>
  <c r="K14" i="13" a="1"/>
  <c r="K14" i="13" s="1"/>
  <c r="A23" i="6"/>
  <c r="L32" i="6"/>
  <c r="G22" i="15" a="1"/>
  <c r="G22" i="15" s="1"/>
  <c r="C22" i="15" a="1"/>
  <c r="C22" i="15" s="1"/>
  <c r="F10" i="12" a="1"/>
  <c r="F10" i="12" s="1"/>
  <c r="F8" i="7"/>
  <c r="M8" i="12" a="1"/>
  <c r="M8" i="12" s="1"/>
  <c r="H53" i="8" a="1"/>
  <c r="H53" i="8" s="1"/>
  <c r="H51" i="8" a="1"/>
  <c r="H51" i="8" s="1"/>
  <c r="F7" i="6" a="1"/>
  <c r="F7" i="6" s="1"/>
  <c r="F6" i="6" a="1"/>
  <c r="F6" i="6" s="1"/>
  <c r="Q1" i="6" a="1"/>
  <c r="Q1" i="6" s="1"/>
  <c r="O1" i="6" a="1"/>
  <c r="O1" i="6" s="1"/>
  <c r="C11" i="7" a="1"/>
  <c r="C11" i="7" s="1"/>
  <c r="C122" i="3"/>
  <c r="C120" i="3"/>
  <c r="G27" i="6" l="1"/>
  <c r="A28" i="12"/>
  <c r="E28" i="5"/>
  <c r="B28" i="5"/>
  <c r="AD28" i="5"/>
  <c r="F28" i="5"/>
  <c r="AE28" i="5" a="1"/>
  <c r="AE28" i="5" s="1"/>
  <c r="J28" i="5"/>
  <c r="D28" i="5"/>
  <c r="B28" i="12" s="1"/>
  <c r="G28" i="5"/>
  <c r="C29" i="5"/>
  <c r="D29" i="5" s="1"/>
  <c r="B29" i="12" s="1"/>
  <c r="B28" i="6"/>
  <c r="H28" i="5"/>
  <c r="S27" i="5" a="1"/>
  <c r="S27" i="5" s="1"/>
  <c r="F27" i="12" s="1" a="1"/>
  <c r="F27" i="12" s="1"/>
  <c r="K28" i="5"/>
  <c r="L33" i="6"/>
  <c r="A24" i="6"/>
  <c r="A25" i="6" s="1"/>
  <c r="A26" i="6" s="1"/>
  <c r="C14" i="14" a="1"/>
  <c r="C14" i="14" s="1"/>
  <c r="B39" i="14" a="1"/>
  <c r="B39" i="14" s="1"/>
  <c r="B37" i="14" a="1"/>
  <c r="B37" i="14" s="1"/>
  <c r="E28" i="14" a="1"/>
  <c r="E28" i="14" s="1"/>
  <c r="R1" i="6" a="1"/>
  <c r="R1" i="6" s="1"/>
  <c r="S67" i="4"/>
  <c r="U67" i="4" s="1"/>
  <c r="S107" i="4"/>
  <c r="U107" i="4" s="1"/>
  <c r="S27" i="4"/>
  <c r="U27" i="4" s="1"/>
  <c r="C124" i="3"/>
  <c r="N29" i="5" l="1"/>
  <c r="D29" i="6" s="1"/>
  <c r="AE29" i="5" a="1"/>
  <c r="AE29" i="5" s="1"/>
  <c r="G29" i="5"/>
  <c r="B29" i="5"/>
  <c r="F29" i="5"/>
  <c r="B29" i="6"/>
  <c r="E29" i="5"/>
  <c r="A29" i="12"/>
  <c r="AD29" i="5"/>
  <c r="J29" i="5"/>
  <c r="H29" i="5"/>
  <c r="K29" i="5"/>
  <c r="A27" i="6"/>
  <c r="L34" i="6"/>
  <c r="S1" i="6" a="1"/>
  <c r="S1" i="6" s="1"/>
  <c r="H26" i="9"/>
  <c r="E29" i="12" l="1"/>
  <c r="C30" i="5"/>
  <c r="A30" i="12" s="1"/>
  <c r="E30" i="12"/>
  <c r="F30" i="6"/>
  <c r="A28" i="6"/>
  <c r="T1" i="6" a="1"/>
  <c r="T1" i="6" s="1"/>
  <c r="C94" i="3"/>
  <c r="C92" i="3"/>
  <c r="B30" i="6" l="1"/>
  <c r="C31" i="5"/>
  <c r="AE31" i="5" s="1" a="1"/>
  <c r="AE31" i="5" s="1"/>
  <c r="AE30" i="5" a="1"/>
  <c r="AE30" i="5" s="1"/>
  <c r="AD30" i="5"/>
  <c r="B30" i="5"/>
  <c r="G30" i="5"/>
  <c r="H30" i="5"/>
  <c r="AF30" i="5" a="1"/>
  <c r="AF30" i="5" s="1"/>
  <c r="S30" i="5" s="1" a="1"/>
  <c r="S30" i="5" s="1"/>
  <c r="F30" i="12" s="1" a="1"/>
  <c r="F30" i="12" s="1"/>
  <c r="N30" i="5"/>
  <c r="D30" i="6" s="1"/>
  <c r="E30" i="5"/>
  <c r="F30" i="5"/>
  <c r="L35" i="6"/>
  <c r="A29" i="6"/>
  <c r="U1" i="6" a="1"/>
  <c r="U1" i="6" s="1"/>
  <c r="C98" i="3"/>
  <c r="G30" i="6" l="1"/>
  <c r="J31" i="5"/>
  <c r="E31" i="5"/>
  <c r="A31" i="12"/>
  <c r="B31" i="6"/>
  <c r="G31" i="5"/>
  <c r="D31" i="5"/>
  <c r="B31" i="12" s="1"/>
  <c r="H31" i="5"/>
  <c r="C32" i="5"/>
  <c r="AE32" i="5" s="1" a="1"/>
  <c r="AE32" i="5" s="1"/>
  <c r="N31" i="5"/>
  <c r="D31" i="6" s="1"/>
  <c r="K31" i="5"/>
  <c r="AD31" i="5"/>
  <c r="B31" i="5"/>
  <c r="F31" i="5"/>
  <c r="AG30" i="5" a="1"/>
  <c r="AG30" i="5" s="1"/>
  <c r="L36" i="6"/>
  <c r="V1" i="6" a="1"/>
  <c r="V1" i="6" s="1"/>
  <c r="C5" i="14"/>
  <c r="B32" i="5" l="1"/>
  <c r="C33" i="5" s="1"/>
  <c r="A33" i="12" s="1"/>
  <c r="E32" i="5"/>
  <c r="H32" i="5"/>
  <c r="D32" i="5"/>
  <c r="B32" i="12" s="1"/>
  <c r="AD32" i="5"/>
  <c r="G32" i="5"/>
  <c r="J32" i="5"/>
  <c r="B32" i="6"/>
  <c r="N32" i="5"/>
  <c r="D32" i="6" s="1"/>
  <c r="F32" i="5"/>
  <c r="A32" i="12"/>
  <c r="K32" i="5"/>
  <c r="E33" i="12"/>
  <c r="F33" i="6"/>
  <c r="A30" i="6"/>
  <c r="L37" i="6"/>
  <c r="W1" i="6" a="1"/>
  <c r="W1" i="6" s="1"/>
  <c r="S12" i="11"/>
  <c r="G33" i="5" l="1"/>
  <c r="B33" i="5"/>
  <c r="AF33" i="5" a="1"/>
  <c r="AF33" i="5" s="1"/>
  <c r="S33" i="5" s="1" a="1"/>
  <c r="S33" i="5" s="1"/>
  <c r="F33" i="12" s="1" a="1"/>
  <c r="F33" i="12" s="1"/>
  <c r="N33" i="5"/>
  <c r="D33" i="6" s="1"/>
  <c r="AE33" i="5" a="1"/>
  <c r="AE33" i="5" s="1"/>
  <c r="B33" i="6"/>
  <c r="AD33" i="5"/>
  <c r="C34" i="5"/>
  <c r="J34" i="5" s="1"/>
  <c r="H33" i="5"/>
  <c r="F33" i="5"/>
  <c r="E33" i="5"/>
  <c r="L38" i="6"/>
  <c r="A31" i="6"/>
  <c r="X1" i="6" a="1"/>
  <c r="X1" i="6" s="1"/>
  <c r="C1" i="7" a="1"/>
  <c r="C1" i="7" s="1"/>
  <c r="G33" i="6" l="1"/>
  <c r="AG33" i="5" a="1"/>
  <c r="AG33" i="5" s="1"/>
  <c r="K34" i="5"/>
  <c r="E34" i="5"/>
  <c r="D34" i="5"/>
  <c r="B34" i="12" s="1"/>
  <c r="N34" i="5"/>
  <c r="D34" i="6" s="1"/>
  <c r="AD34" i="5"/>
  <c r="B34" i="5"/>
  <c r="AE34" i="5" a="1"/>
  <c r="AE34" i="5" s="1"/>
  <c r="B34" i="6"/>
  <c r="H34" i="5"/>
  <c r="F34" i="5"/>
  <c r="G34" i="5"/>
  <c r="A34" i="12"/>
  <c r="C35" i="5"/>
  <c r="C36" i="5" s="1"/>
  <c r="C37" i="5" s="1"/>
  <c r="L39" i="6"/>
  <c r="A32" i="6"/>
  <c r="B1" i="7"/>
  <c r="Y1" i="6" a="1"/>
  <c r="Y1" i="6" s="1"/>
  <c r="D31" i="2"/>
  <c r="D29" i="2"/>
  <c r="D28" i="2"/>
  <c r="D24" i="2"/>
  <c r="D23" i="2"/>
  <c r="D22" i="2"/>
  <c r="D19" i="2"/>
  <c r="D18" i="2"/>
  <c r="D17" i="2"/>
  <c r="D16" i="2"/>
  <c r="D11" i="2"/>
  <c r="D10" i="2"/>
  <c r="D9" i="2"/>
  <c r="D8" i="2"/>
  <c r="D7" i="2"/>
  <c r="D6" i="2"/>
  <c r="D5" i="2"/>
  <c r="D4" i="2"/>
  <c r="C116" i="3"/>
  <c r="C114" i="3"/>
  <c r="C110" i="3"/>
  <c r="C109" i="3"/>
  <c r="C106" i="3"/>
  <c r="C105" i="3"/>
  <c r="C101" i="3"/>
  <c r="C90" i="3"/>
  <c r="J35" i="5" l="1"/>
  <c r="K35" i="5"/>
  <c r="A35" i="12"/>
  <c r="B36" i="6"/>
  <c r="AE36" i="5" a="1"/>
  <c r="AE36" i="5" s="1"/>
  <c r="D36" i="5"/>
  <c r="B36" i="12" s="1"/>
  <c r="AD35" i="5"/>
  <c r="A36" i="12"/>
  <c r="F35" i="5"/>
  <c r="F36" i="5" s="1"/>
  <c r="F37" i="5" s="1"/>
  <c r="AE35" i="5" a="1"/>
  <c r="AE35" i="5" s="1"/>
  <c r="K36" i="5"/>
  <c r="B35" i="5"/>
  <c r="B36" i="5" s="1"/>
  <c r="B37" i="5" s="1"/>
  <c r="C38" i="5" s="1"/>
  <c r="G35" i="5"/>
  <c r="G36" i="5" s="1"/>
  <c r="G37" i="5" s="1"/>
  <c r="AD36" i="5"/>
  <c r="N36" i="5"/>
  <c r="D36" i="6" s="1"/>
  <c r="D35" i="5"/>
  <c r="B35" i="12" s="1"/>
  <c r="J36" i="5"/>
  <c r="B35" i="6"/>
  <c r="H35" i="5"/>
  <c r="H36" i="5" s="1"/>
  <c r="H37" i="5" s="1"/>
  <c r="N35" i="5"/>
  <c r="D35" i="6" s="1"/>
  <c r="E35" i="5"/>
  <c r="E36" i="5" s="1"/>
  <c r="E37" i="5" s="1"/>
  <c r="K37" i="5"/>
  <c r="N37" i="5"/>
  <c r="D37" i="6" s="1"/>
  <c r="AE37" i="5" a="1"/>
  <c r="AE37" i="5" s="1"/>
  <c r="J37" i="5"/>
  <c r="D37" i="5"/>
  <c r="B37" i="12" s="1"/>
  <c r="B37" i="6"/>
  <c r="A37" i="12"/>
  <c r="AD37" i="5"/>
  <c r="L40" i="6"/>
  <c r="A33" i="6"/>
  <c r="Z1" i="6" a="1"/>
  <c r="Z1" i="6" s="1"/>
  <c r="D27" i="2"/>
  <c r="D15" i="2"/>
  <c r="D35" i="2"/>
  <c r="D3" i="2"/>
  <c r="C39" i="5" l="1"/>
  <c r="AD38" i="5"/>
  <c r="H38" i="5"/>
  <c r="A38" i="12"/>
  <c r="G38" i="5"/>
  <c r="F38" i="5"/>
  <c r="E38" i="5"/>
  <c r="AE38" i="5" a="1"/>
  <c r="AE38" i="5" s="1"/>
  <c r="AF38" i="5" a="1"/>
  <c r="AF38" i="5" s="1"/>
  <c r="N38" i="5"/>
  <c r="D38" i="6" s="1"/>
  <c r="B38" i="5"/>
  <c r="B38" i="6"/>
  <c r="L41" i="6"/>
  <c r="A34" i="6"/>
  <c r="H10" i="7"/>
  <c r="H39" i="5" l="1"/>
  <c r="B39" i="5"/>
  <c r="F39" i="5"/>
  <c r="E39" i="5"/>
  <c r="G39" i="5"/>
  <c r="S38" i="5" a="1"/>
  <c r="S38" i="5" s="1"/>
  <c r="F38" i="12" s="1" a="1"/>
  <c r="F38" i="12" s="1"/>
  <c r="AG38" i="5" a="1"/>
  <c r="AG38" i="5" s="1"/>
  <c r="C40" i="5"/>
  <c r="AE39" i="5" a="1"/>
  <c r="AE39" i="5" s="1"/>
  <c r="A39" i="12"/>
  <c r="N39" i="5"/>
  <c r="D39" i="6" s="1"/>
  <c r="AD39" i="5"/>
  <c r="K39" i="5"/>
  <c r="J39" i="5"/>
  <c r="D39" i="5"/>
  <c r="B39" i="12" s="1"/>
  <c r="B39" i="6"/>
  <c r="L42" i="6"/>
  <c r="AG53" i="8"/>
  <c r="AD40" i="5" l="1"/>
  <c r="G40" i="5"/>
  <c r="A40" i="12"/>
  <c r="F40" i="5"/>
  <c r="J40" i="5"/>
  <c r="E40" i="5"/>
  <c r="K40" i="5"/>
  <c r="B40" i="5"/>
  <c r="H40" i="5"/>
  <c r="C41" i="5"/>
  <c r="D40" i="5"/>
  <c r="B40" i="12" s="1"/>
  <c r="AE40" i="5" a="1"/>
  <c r="AE40" i="5" s="1"/>
  <c r="N40" i="5"/>
  <c r="D40" i="6" s="1"/>
  <c r="B40" i="6"/>
  <c r="E38" i="12"/>
  <c r="F38" i="6"/>
  <c r="G38" i="6"/>
  <c r="A35" i="6"/>
  <c r="L43" i="6"/>
  <c r="C103" i="3"/>
  <c r="C100" i="3"/>
  <c r="C96" i="3"/>
  <c r="D41" i="5" l="1"/>
  <c r="B41" i="12" s="1"/>
  <c r="H41" i="5"/>
  <c r="J41" i="5"/>
  <c r="AE41" i="5" a="1"/>
  <c r="AE41" i="5" s="1"/>
  <c r="AD41" i="5"/>
  <c r="B41" i="5"/>
  <c r="G41" i="5"/>
  <c r="N41" i="5"/>
  <c r="D41" i="6" s="1"/>
  <c r="A41" i="12"/>
  <c r="F41" i="5"/>
  <c r="C42" i="5"/>
  <c r="E41" i="5"/>
  <c r="K41" i="5"/>
  <c r="B41" i="6"/>
  <c r="A36" i="6"/>
  <c r="L44" i="6"/>
  <c r="C93" i="3"/>
  <c r="AD42" i="5" l="1"/>
  <c r="A42" i="12"/>
  <c r="G42" i="5"/>
  <c r="K42" i="5"/>
  <c r="F42" i="5"/>
  <c r="D42" i="5"/>
  <c r="B42" i="12" s="1"/>
  <c r="E42" i="5"/>
  <c r="J42" i="5"/>
  <c r="B42" i="5"/>
  <c r="C43" i="5"/>
  <c r="N42" i="5"/>
  <c r="D42" i="6" s="1"/>
  <c r="AE42" i="5" a="1"/>
  <c r="AE42" i="5" s="1"/>
  <c r="H42" i="5"/>
  <c r="B42" i="6"/>
  <c r="L45" i="6"/>
  <c r="L46" i="6" s="1"/>
  <c r="L47" i="6" s="1"/>
  <c r="A37" i="6"/>
  <c r="C112" i="3"/>
  <c r="C108" i="3"/>
  <c r="C70" i="3"/>
  <c r="L35" i="13"/>
  <c r="L34" i="13" s="1"/>
  <c r="C84" i="3"/>
  <c r="D43" i="5" l="1"/>
  <c r="B43" i="12" s="1"/>
  <c r="B43" i="5"/>
  <c r="G43" i="5"/>
  <c r="J43" i="5"/>
  <c r="A43" i="12"/>
  <c r="C44" i="5"/>
  <c r="N43" i="5"/>
  <c r="D43" i="6" s="1"/>
  <c r="E43" i="5"/>
  <c r="AD43" i="5"/>
  <c r="H43" i="5"/>
  <c r="K43" i="5"/>
  <c r="F43" i="5"/>
  <c r="AE43" i="5" a="1"/>
  <c r="AE43" i="5" s="1"/>
  <c r="B43" i="6"/>
  <c r="A38" i="6"/>
  <c r="L48" i="6"/>
  <c r="C56" i="3"/>
  <c r="C45" i="5" l="1"/>
  <c r="C46" i="5" s="1"/>
  <c r="C47" i="5" s="1"/>
  <c r="AE44" i="5" a="1"/>
  <c r="AE44" i="5" s="1"/>
  <c r="H44" i="5"/>
  <c r="A44" i="12"/>
  <c r="AD44" i="5"/>
  <c r="B44" i="5"/>
  <c r="G44" i="5"/>
  <c r="E44" i="5"/>
  <c r="N44" i="5"/>
  <c r="D44" i="6" s="1"/>
  <c r="F44" i="5"/>
  <c r="K44" i="5"/>
  <c r="J44" i="5"/>
  <c r="D44" i="5"/>
  <c r="B44" i="12" s="1"/>
  <c r="B44" i="6"/>
  <c r="A39" i="6"/>
  <c r="L49" i="6"/>
  <c r="Q13" i="6"/>
  <c r="A1" i="7"/>
  <c r="V29" i="7" a="1"/>
  <c r="V29" i="7" s="1"/>
  <c r="Y5" i="7"/>
  <c r="X5" i="7"/>
  <c r="P5" i="7"/>
  <c r="C60" i="3"/>
  <c r="F5" i="7"/>
  <c r="A47" i="12" l="1"/>
  <c r="AE47" i="5" a="1"/>
  <c r="AE47" i="5" s="1"/>
  <c r="AD47" i="5"/>
  <c r="N47" i="5"/>
  <c r="D47" i="5"/>
  <c r="B47" i="12" s="1"/>
  <c r="K47" i="5"/>
  <c r="J47" i="5"/>
  <c r="B47" i="6"/>
  <c r="A46" i="12"/>
  <c r="AE46" i="5" a="1"/>
  <c r="AE46" i="5" s="1"/>
  <c r="AD46" i="5"/>
  <c r="N46" i="5"/>
  <c r="D46" i="5"/>
  <c r="B46" i="12" s="1"/>
  <c r="K46" i="5"/>
  <c r="J46" i="5"/>
  <c r="B46" i="6"/>
  <c r="D45" i="5"/>
  <c r="B45" i="12" s="1"/>
  <c r="AE45" i="5" a="1"/>
  <c r="AE45" i="5" s="1"/>
  <c r="B45" i="5"/>
  <c r="B46" i="5" s="1"/>
  <c r="B47" i="5" s="1"/>
  <c r="H45" i="5"/>
  <c r="H46" i="5" s="1"/>
  <c r="H47" i="5" s="1"/>
  <c r="N45" i="5"/>
  <c r="D45" i="6" s="1"/>
  <c r="F45" i="5"/>
  <c r="F46" i="5" s="1"/>
  <c r="F47" i="5" s="1"/>
  <c r="J45" i="5"/>
  <c r="A45" i="12"/>
  <c r="E45" i="5"/>
  <c r="E46" i="5" s="1"/>
  <c r="E47" i="5" s="1"/>
  <c r="AD45" i="5"/>
  <c r="K45" i="5"/>
  <c r="G45" i="5"/>
  <c r="G46" i="5" s="1"/>
  <c r="G47" i="5" s="1"/>
  <c r="B45" i="6"/>
  <c r="A40" i="6"/>
  <c r="L50" i="6"/>
  <c r="R13" i="6"/>
  <c r="S13" i="6" s="1"/>
  <c r="V30" i="7"/>
  <c r="V31" i="7"/>
  <c r="N5" i="7"/>
  <c r="O5" i="7"/>
  <c r="D47" i="6" l="1"/>
  <c r="E47" i="12"/>
  <c r="F47" i="6"/>
  <c r="E46" i="12"/>
  <c r="F46" i="6"/>
  <c r="D46" i="6"/>
  <c r="C48" i="5"/>
  <c r="F48" i="5" s="1"/>
  <c r="E45" i="12"/>
  <c r="F45" i="6"/>
  <c r="A41" i="6"/>
  <c r="L51" i="6"/>
  <c r="T13" i="6"/>
  <c r="E10" i="7"/>
  <c r="C57" i="3"/>
  <c r="C82" i="3"/>
  <c r="C77" i="3"/>
  <c r="B37" i="9"/>
  <c r="D30" i="7"/>
  <c r="V36" i="9" a="1"/>
  <c r="V38" i="9" s="1"/>
  <c r="B34" i="9"/>
  <c r="J26" i="9"/>
  <c r="L26" i="9" s="1"/>
  <c r="N26" i="9" s="1"/>
  <c r="P26" i="9" s="1"/>
  <c r="R26" i="9" s="1"/>
  <c r="T26" i="9" s="1"/>
  <c r="V26" i="9" s="1"/>
  <c r="X26" i="9" s="1"/>
  <c r="Z26" i="9" s="1"/>
  <c r="AB26" i="9" s="1"/>
  <c r="AD26" i="9" s="1"/>
  <c r="M5" i="9"/>
  <c r="J5" i="9"/>
  <c r="G5" i="9"/>
  <c r="B5" i="9"/>
  <c r="G48" i="5" l="1"/>
  <c r="AE48" i="5" a="1"/>
  <c r="AE48" i="5" s="1"/>
  <c r="N48" i="5"/>
  <c r="D48" i="6" s="1"/>
  <c r="AD48" i="5"/>
  <c r="B48" i="5"/>
  <c r="A48" i="12"/>
  <c r="H48" i="5"/>
  <c r="B48" i="6"/>
  <c r="E48" i="5"/>
  <c r="AF48" i="5" a="1"/>
  <c r="AF48" i="5" s="1"/>
  <c r="S48" i="5" s="1" a="1"/>
  <c r="S48" i="5" s="1"/>
  <c r="F48" i="12" s="1" a="1"/>
  <c r="F48" i="12" s="1"/>
  <c r="C49" i="5"/>
  <c r="A49" i="12" s="1"/>
  <c r="E48" i="12"/>
  <c r="F48" i="6"/>
  <c r="A42" i="6"/>
  <c r="L52" i="6"/>
  <c r="U13" i="6"/>
  <c r="V36" i="9"/>
  <c r="V37" i="9"/>
  <c r="L29" i="7" a="1"/>
  <c r="L31" i="7" s="1"/>
  <c r="D27" i="7"/>
  <c r="C5" i="7"/>
  <c r="E49" i="5" l="1"/>
  <c r="AD49" i="5"/>
  <c r="J49" i="5"/>
  <c r="H49" i="5"/>
  <c r="D49" i="5"/>
  <c r="B49" i="12" s="1"/>
  <c r="B49" i="5"/>
  <c r="B49" i="6"/>
  <c r="F49" i="5"/>
  <c r="N49" i="5"/>
  <c r="D49" i="6" s="1"/>
  <c r="K49" i="5"/>
  <c r="C50" i="5"/>
  <c r="C51" i="5" s="1"/>
  <c r="G49" i="5"/>
  <c r="AE49" i="5" a="1"/>
  <c r="AE49" i="5" s="1"/>
  <c r="AG48" i="5" a="1"/>
  <c r="AG48" i="5" s="1"/>
  <c r="G48" i="6"/>
  <c r="A43" i="6"/>
  <c r="V13" i="6"/>
  <c r="L29" i="7"/>
  <c r="L30" i="7"/>
  <c r="C69" i="3"/>
  <c r="C86" i="3"/>
  <c r="C81" i="3"/>
  <c r="C80" i="3"/>
  <c r="C79" i="3"/>
  <c r="C76" i="3"/>
  <c r="C75" i="3"/>
  <c r="C74" i="3"/>
  <c r="C67" i="3"/>
  <c r="C65" i="3"/>
  <c r="C64" i="3"/>
  <c r="C61" i="3"/>
  <c r="C62" i="3"/>
  <c r="C59" i="3"/>
  <c r="C58" i="3"/>
  <c r="C72" i="3"/>
  <c r="S108" i="4" a="1"/>
  <c r="S108" i="4" s="1"/>
  <c r="S68" i="4" a="1"/>
  <c r="S68" i="4" s="1"/>
  <c r="S28" i="4" a="1"/>
  <c r="S28" i="4" s="1"/>
  <c r="N50" i="5" l="1"/>
  <c r="D50" i="6" s="1"/>
  <c r="A50" i="12"/>
  <c r="G50" i="5"/>
  <c r="G51" i="5" s="1"/>
  <c r="B50" i="6"/>
  <c r="E50" i="5"/>
  <c r="E51" i="5" s="1"/>
  <c r="D50" i="5"/>
  <c r="B50" i="12" s="1"/>
  <c r="H50" i="5"/>
  <c r="H51" i="5" s="1"/>
  <c r="AE50" i="5" a="1"/>
  <c r="AE50" i="5" s="1"/>
  <c r="J50" i="5"/>
  <c r="B50" i="5"/>
  <c r="B51" i="5" s="1"/>
  <c r="K50" i="5"/>
  <c r="AD50" i="5"/>
  <c r="F50" i="5"/>
  <c r="F51" i="5" s="1"/>
  <c r="A51" i="12"/>
  <c r="N51" i="5"/>
  <c r="D51" i="6" s="1"/>
  <c r="AD51" i="5"/>
  <c r="K51" i="5"/>
  <c r="J51" i="5"/>
  <c r="AE51" i="5" a="1"/>
  <c r="AE51" i="5" s="1"/>
  <c r="D51" i="5"/>
  <c r="B51" i="12" s="1"/>
  <c r="C52" i="5"/>
  <c r="B51" i="6"/>
  <c r="A44" i="6"/>
  <c r="L53" i="6"/>
  <c r="X108" i="4"/>
  <c r="Y28" i="4"/>
  <c r="X68" i="4"/>
  <c r="W13" i="6"/>
  <c r="X28" i="4"/>
  <c r="Z108" i="4"/>
  <c r="Y108" i="4"/>
  <c r="Z68" i="4"/>
  <c r="Y68" i="4"/>
  <c r="Z28" i="4"/>
  <c r="C15" i="14"/>
  <c r="L4" i="13"/>
  <c r="I5" i="12"/>
  <c r="F4" i="11"/>
  <c r="D7" i="10"/>
  <c r="K8" i="8"/>
  <c r="L5" i="4"/>
  <c r="C52" i="3"/>
  <c r="G10" i="6" a="1"/>
  <c r="G10" i="6" s="1"/>
  <c r="Q5" i="5" a="1"/>
  <c r="Q5" i="5" s="1"/>
  <c r="P85" i="4"/>
  <c r="C51" i="3"/>
  <c r="C47" i="3"/>
  <c r="C43" i="3"/>
  <c r="C41" i="3"/>
  <c r="C39" i="3"/>
  <c r="E2" i="15"/>
  <c r="C34" i="3"/>
  <c r="C32" i="3"/>
  <c r="AX13" i="6"/>
  <c r="AB13" i="6"/>
  <c r="AB12" i="6" s="1"/>
  <c r="AM13" i="6"/>
  <c r="H12" i="10"/>
  <c r="H11" i="10" s="1" a="1"/>
  <c r="H11" i="10" s="1"/>
  <c r="BG15" i="6"/>
  <c r="BF15" i="6"/>
  <c r="BE15" i="6"/>
  <c r="BD15" i="6"/>
  <c r="BC15" i="6"/>
  <c r="BB15" i="6"/>
  <c r="BA15" i="6"/>
  <c r="AZ15" i="6"/>
  <c r="AY15" i="6"/>
  <c r="AX15" i="6"/>
  <c r="G12" i="9"/>
  <c r="C20" i="3"/>
  <c r="C22" i="3"/>
  <c r="C24" i="3"/>
  <c r="C26" i="3"/>
  <c r="C28" i="3"/>
  <c r="C19" i="3"/>
  <c r="C15" i="3"/>
  <c r="C14" i="3"/>
  <c r="C12" i="3"/>
  <c r="I36" i="11"/>
  <c r="I35" i="11"/>
  <c r="AA56" i="8" a="1"/>
  <c r="T61" i="6" a="1"/>
  <c r="T63" i="6" s="1"/>
  <c r="I61" i="6" a="1"/>
  <c r="I62" i="6" s="1"/>
  <c r="C2" i="4"/>
  <c r="Z7" i="11"/>
  <c r="V12" i="8"/>
  <c r="E12" i="8"/>
  <c r="C14" i="5"/>
  <c r="AF14" i="5" s="1" a="1"/>
  <c r="AF14" i="5" s="1"/>
  <c r="AV15" i="6"/>
  <c r="AU15" i="6"/>
  <c r="AT15" i="6"/>
  <c r="AS15" i="6"/>
  <c r="AR15" i="6"/>
  <c r="AQ15" i="6"/>
  <c r="AP15" i="6"/>
  <c r="AO15" i="6"/>
  <c r="AN15" i="6"/>
  <c r="AM15" i="6"/>
  <c r="D12" i="11"/>
  <c r="A12" i="11" s="1"/>
  <c r="L39" i="13"/>
  <c r="C8" i="4"/>
  <c r="C9" i="4"/>
  <c r="C10" i="4"/>
  <c r="C11" i="4"/>
  <c r="C12" i="4"/>
  <c r="C13" i="4"/>
  <c r="L46" i="13"/>
  <c r="B1" i="8"/>
  <c r="B20" i="15"/>
  <c r="B16" i="15"/>
  <c r="B8" i="15"/>
  <c r="O1" i="4"/>
  <c r="A3" i="4"/>
  <c r="C3" i="4" s="1"/>
  <c r="J5" i="4"/>
  <c r="N5" i="4"/>
  <c r="J8" i="4"/>
  <c r="C14" i="4"/>
  <c r="A15" i="4"/>
  <c r="C15" i="4" s="1"/>
  <c r="C20" i="4"/>
  <c r="A21" i="4"/>
  <c r="A22" i="4" s="1"/>
  <c r="A23" i="4" s="1"/>
  <c r="A24" i="4" s="1"/>
  <c r="A25" i="4" s="1"/>
  <c r="C25" i="4" s="1"/>
  <c r="J21" i="4"/>
  <c r="R21" i="4"/>
  <c r="J22" i="4"/>
  <c r="R22" i="4"/>
  <c r="J25" i="4"/>
  <c r="R25" i="4"/>
  <c r="C26" i="4"/>
  <c r="A27" i="4"/>
  <c r="A28" i="4" s="1"/>
  <c r="A29" i="4" s="1"/>
  <c r="C29" i="4" s="1"/>
  <c r="C32" i="4"/>
  <c r="A33" i="4"/>
  <c r="A34" i="4" s="1"/>
  <c r="A35" i="4" s="1"/>
  <c r="N35" i="4"/>
  <c r="C38" i="4"/>
  <c r="C39" i="4"/>
  <c r="C40" i="4"/>
  <c r="C41" i="4"/>
  <c r="C42" i="4"/>
  <c r="C43" i="4"/>
  <c r="C44" i="4"/>
  <c r="J38" i="4"/>
  <c r="A45" i="4"/>
  <c r="A46" i="4" s="1"/>
  <c r="A47" i="4" s="1"/>
  <c r="A48" i="4" s="1"/>
  <c r="A49" i="4" s="1"/>
  <c r="C49" i="4" s="1"/>
  <c r="J45" i="4"/>
  <c r="K50" i="4" a="1"/>
  <c r="K52" i="4" s="1"/>
  <c r="J61" i="4"/>
  <c r="R61" i="4"/>
  <c r="J62" i="4"/>
  <c r="R62" i="4"/>
  <c r="J65" i="4"/>
  <c r="R65" i="4"/>
  <c r="N75" i="4"/>
  <c r="J78" i="4"/>
  <c r="J85" i="4"/>
  <c r="K90" i="4" a="1"/>
  <c r="K92" i="4" s="1"/>
  <c r="J101" i="4"/>
  <c r="R101" i="4"/>
  <c r="J102" i="4"/>
  <c r="R102" i="4"/>
  <c r="R103" i="4"/>
  <c r="R104" i="4"/>
  <c r="J105" i="4"/>
  <c r="R105" i="4"/>
  <c r="N115" i="4"/>
  <c r="J118" i="4"/>
  <c r="J125" i="4"/>
  <c r="K130" i="4" a="1"/>
  <c r="K131" i="4" s="1"/>
  <c r="E1" i="12"/>
  <c r="D5" i="12"/>
  <c r="F5" i="12"/>
  <c r="J5" i="12"/>
  <c r="O5" i="12"/>
  <c r="D8" i="12"/>
  <c r="E8" i="12"/>
  <c r="F8" i="12"/>
  <c r="D15" i="12"/>
  <c r="D64" i="12"/>
  <c r="E65" i="12"/>
  <c r="K67" i="12" a="1"/>
  <c r="K69" i="12" s="1"/>
  <c r="E10" i="6"/>
  <c r="I10" i="6"/>
  <c r="K10" i="6"/>
  <c r="S10" i="6"/>
  <c r="U10" i="6"/>
  <c r="O13" i="6"/>
  <c r="O15" i="6" s="1"/>
  <c r="O11" i="6" s="1"/>
  <c r="B15" i="6"/>
  <c r="C15" i="6"/>
  <c r="E15" i="6"/>
  <c r="B55" i="6"/>
  <c r="C55" i="6"/>
  <c r="F59" i="6"/>
  <c r="S5" i="8"/>
  <c r="I8" i="8"/>
  <c r="L8" i="8"/>
  <c r="U8" i="8"/>
  <c r="E13" i="8"/>
  <c r="V13" i="8"/>
  <c r="W13" i="8" s="1"/>
  <c r="X13" i="8" s="1"/>
  <c r="Y13" i="8" s="1"/>
  <c r="Z13" i="8" s="1"/>
  <c r="AA13" i="8" s="1"/>
  <c r="AB13" i="8" s="1"/>
  <c r="AC13" i="8" s="1"/>
  <c r="AD13" i="8" s="1"/>
  <c r="AE13" i="8" s="1"/>
  <c r="AF13" i="8" s="1"/>
  <c r="T43" i="8"/>
  <c r="T48" i="8"/>
  <c r="I54" i="8"/>
  <c r="B1" i="9"/>
  <c r="E12" i="9"/>
  <c r="N2" i="2"/>
  <c r="P2" i="2"/>
  <c r="R2" i="2"/>
  <c r="T2" i="2"/>
  <c r="V2" i="2"/>
  <c r="X2" i="2"/>
  <c r="Z2" i="2"/>
  <c r="AB2" i="2"/>
  <c r="AD2" i="2"/>
  <c r="AF2" i="2"/>
  <c r="AH2" i="2"/>
  <c r="AJ2" i="2"/>
  <c r="AL2" i="2"/>
  <c r="AN2" i="2"/>
  <c r="AP2" i="2"/>
  <c r="AR2" i="2"/>
  <c r="AT2" i="2"/>
  <c r="B9" i="2"/>
  <c r="C8" i="3"/>
  <c r="C9" i="3"/>
  <c r="C18" i="14"/>
  <c r="C19" i="14"/>
  <c r="B22" i="14"/>
  <c r="B24" i="14"/>
  <c r="B30" i="14"/>
  <c r="B54" i="14"/>
  <c r="B55" i="14"/>
  <c r="O5" i="5"/>
  <c r="R5" i="5"/>
  <c r="S5" i="5"/>
  <c r="O65" i="5"/>
  <c r="O15" i="5"/>
  <c r="O68" i="5"/>
  <c r="T70" i="5" a="1"/>
  <c r="T70" i="5" s="1"/>
  <c r="B1" i="10"/>
  <c r="H4" i="10"/>
  <c r="B7" i="10"/>
  <c r="H7" i="10"/>
  <c r="O7" i="10"/>
  <c r="F12" i="10"/>
  <c r="F11" i="10" s="1" a="1"/>
  <c r="F11" i="10" s="1"/>
  <c r="B36" i="10"/>
  <c r="W38" i="10" a="1"/>
  <c r="W39" i="10" s="1"/>
  <c r="D4" i="11"/>
  <c r="G4" i="11"/>
  <c r="J4" i="11"/>
  <c r="M6" i="11"/>
  <c r="D7" i="11"/>
  <c r="L7" i="11"/>
  <c r="M7" i="11"/>
  <c r="N7" i="11"/>
  <c r="J12" i="11"/>
  <c r="I12" i="13" s="1"/>
  <c r="L13" i="11"/>
  <c r="L9" i="11" s="1"/>
  <c r="D33" i="11"/>
  <c r="F1" i="13"/>
  <c r="E4" i="13"/>
  <c r="I4" i="13"/>
  <c r="P4" i="13"/>
  <c r="M6" i="13"/>
  <c r="E7" i="13"/>
  <c r="I7" i="13"/>
  <c r="M7" i="13"/>
  <c r="N7" i="13"/>
  <c r="M11" i="13"/>
  <c r="Y11" i="13"/>
  <c r="G12" i="13"/>
  <c r="H12" i="13"/>
  <c r="J25" i="13"/>
  <c r="AC2" i="13" s="1"/>
  <c r="E35" i="13"/>
  <c r="E39" i="13"/>
  <c r="F40" i="13"/>
  <c r="M40" i="13"/>
  <c r="E41" i="13"/>
  <c r="F41" i="13"/>
  <c r="L41" i="13"/>
  <c r="M41" i="13"/>
  <c r="M42" i="13"/>
  <c r="L43" i="13"/>
  <c r="M43" i="13"/>
  <c r="E46" i="13"/>
  <c r="E48" i="13"/>
  <c r="L48" i="13"/>
  <c r="E49" i="13"/>
  <c r="L49" i="13"/>
  <c r="J14" i="11" l="1"/>
  <c r="I14" i="13" s="1"/>
  <c r="AE52" i="5" a="1"/>
  <c r="AE52" i="5" s="1"/>
  <c r="B52" i="5"/>
  <c r="H52" i="5"/>
  <c r="N52" i="5"/>
  <c r="D52" i="6" s="1"/>
  <c r="G52" i="5"/>
  <c r="F52" i="5"/>
  <c r="AD52" i="5"/>
  <c r="J52" i="5"/>
  <c r="D52" i="5"/>
  <c r="B52" i="12" s="1"/>
  <c r="K52" i="5"/>
  <c r="A52" i="12"/>
  <c r="E52" i="5"/>
  <c r="B52" i="6"/>
  <c r="L54" i="6"/>
  <c r="A45" i="6"/>
  <c r="A46" i="6" s="1"/>
  <c r="A47" i="6" s="1"/>
  <c r="R14" i="5" a="1"/>
  <c r="R14" i="5" s="1"/>
  <c r="AE14" i="5" a="1"/>
  <c r="AE14" i="5" s="1"/>
  <c r="AM12" i="6"/>
  <c r="AX12" i="6"/>
  <c r="K130" i="4"/>
  <c r="U108" i="4"/>
  <c r="U68" i="4"/>
  <c r="U28" i="4"/>
  <c r="A15" i="6" a="1"/>
  <c r="A15" i="6" s="1"/>
  <c r="S109" i="4"/>
  <c r="S69" i="4"/>
  <c r="S29" i="4"/>
  <c r="C34" i="4"/>
  <c r="C45" i="4"/>
  <c r="AY13" i="6"/>
  <c r="K50" i="4"/>
  <c r="N9" i="10"/>
  <c r="C33" i="4"/>
  <c r="C48" i="4"/>
  <c r="C27" i="4"/>
  <c r="A16" i="4"/>
  <c r="W12" i="8"/>
  <c r="X13" i="6"/>
  <c r="O7" i="11"/>
  <c r="AC13" i="12"/>
  <c r="K28" i="10"/>
  <c r="K33" i="10" s="1"/>
  <c r="W41" i="10"/>
  <c r="E12" i="13"/>
  <c r="C47" i="4"/>
  <c r="C23" i="4"/>
  <c r="A30" i="4"/>
  <c r="A31" i="4" s="1"/>
  <c r="C31" i="4" s="1"/>
  <c r="C46" i="4"/>
  <c r="C28" i="4"/>
  <c r="K70" i="12"/>
  <c r="C21" i="4"/>
  <c r="C22" i="4"/>
  <c r="K132" i="4"/>
  <c r="W40" i="10"/>
  <c r="K67" i="12"/>
  <c r="T72" i="5"/>
  <c r="O7" i="13"/>
  <c r="T62" i="6"/>
  <c r="P125" i="4"/>
  <c r="I57" i="8"/>
  <c r="I63" i="6"/>
  <c r="I61" i="6"/>
  <c r="AC13" i="6"/>
  <c r="AC12" i="6" s="1"/>
  <c r="AN13" i="6"/>
  <c r="B14" i="5"/>
  <c r="F14" i="5"/>
  <c r="G15" i="9"/>
  <c r="H15" i="10"/>
  <c r="S110" i="4"/>
  <c r="I12" i="10"/>
  <c r="I11" i="10" s="1" a="1"/>
  <c r="I11" i="10" s="1"/>
  <c r="H12" i="9"/>
  <c r="S30" i="4"/>
  <c r="A36" i="4"/>
  <c r="C35" i="4"/>
  <c r="C24" i="4"/>
  <c r="AA57" i="8"/>
  <c r="AA58" i="8"/>
  <c r="AA56" i="8"/>
  <c r="P45" i="4"/>
  <c r="K14" i="5"/>
  <c r="J14" i="5"/>
  <c r="H14" i="5"/>
  <c r="A14" i="12"/>
  <c r="D14" i="5"/>
  <c r="B14" i="12" s="1"/>
  <c r="AD14" i="5"/>
  <c r="E14" i="5"/>
  <c r="G14" i="5"/>
  <c r="N14" i="5"/>
  <c r="E68" i="12"/>
  <c r="B39" i="10"/>
  <c r="F62" i="6"/>
  <c r="O71" i="5"/>
  <c r="D36" i="11"/>
  <c r="W38" i="10"/>
  <c r="A4" i="4"/>
  <c r="K51" i="4"/>
  <c r="K68" i="12"/>
  <c r="S70" i="4"/>
  <c r="K91" i="4"/>
  <c r="T61" i="6"/>
  <c r="K90" i="4"/>
  <c r="T71" i="5"/>
  <c r="N47" i="6" l="1"/>
  <c r="AB17" i="6"/>
  <c r="N46" i="6"/>
  <c r="AB16" i="6"/>
  <c r="C53" i="5"/>
  <c r="A48" i="6"/>
  <c r="AC16" i="6"/>
  <c r="AC17" i="6"/>
  <c r="AZ16" i="6" a="1"/>
  <c r="AZ16" i="6" s="1"/>
  <c r="AY16" i="6" a="1"/>
  <c r="AY16" i="6" s="1"/>
  <c r="AR17" i="6"/>
  <c r="AZ17" i="6" a="1"/>
  <c r="AZ17" i="6" s="1"/>
  <c r="BD17" i="6" a="1"/>
  <c r="BD17" i="6" s="1"/>
  <c r="BB16" i="6" a="1"/>
  <c r="BB16" i="6" s="1"/>
  <c r="AO16" i="6"/>
  <c r="AT16" i="6"/>
  <c r="AX17" i="6" a="1"/>
  <c r="AX17" i="6" s="1"/>
  <c r="AO17" i="6"/>
  <c r="AR16" i="6"/>
  <c r="AN17" i="6"/>
  <c r="BG16" i="6" a="1"/>
  <c r="BG16" i="6" s="1"/>
  <c r="BF16" i="6" a="1"/>
  <c r="BF16" i="6" s="1"/>
  <c r="BD16" i="6" a="1"/>
  <c r="BD16" i="6" s="1"/>
  <c r="AQ17" i="6"/>
  <c r="BA16" i="6" a="1"/>
  <c r="BA16" i="6" s="1"/>
  <c r="AP17" i="6"/>
  <c r="BA17" i="6" a="1"/>
  <c r="BA17" i="6" s="1"/>
  <c r="AM16" i="6"/>
  <c r="AS17" i="6"/>
  <c r="AX16" i="6" a="1"/>
  <c r="AX16" i="6" s="1"/>
  <c r="BG17" i="6" a="1"/>
  <c r="BG17" i="6" s="1"/>
  <c r="AM17" i="6"/>
  <c r="AY17" i="6" a="1"/>
  <c r="AY17" i="6" s="1"/>
  <c r="AV16" i="6"/>
  <c r="AS16" i="6"/>
  <c r="AQ16" i="6"/>
  <c r="BC16" i="6" a="1"/>
  <c r="BC16" i="6" s="1"/>
  <c r="AU16" i="6"/>
  <c r="AU17" i="6"/>
  <c r="AT17" i="6"/>
  <c r="AV17" i="6"/>
  <c r="BB17" i="6" a="1"/>
  <c r="BB17" i="6" s="1"/>
  <c r="AN16" i="6"/>
  <c r="AP16" i="6"/>
  <c r="BE16" i="6" a="1"/>
  <c r="BE16" i="6" s="1"/>
  <c r="BE17" i="6" a="1"/>
  <c r="BE17" i="6" s="1"/>
  <c r="BC17" i="6" a="1"/>
  <c r="BC17" i="6" s="1"/>
  <c r="BF17" i="6" a="1"/>
  <c r="BF17" i="6" s="1"/>
  <c r="AN12" i="6"/>
  <c r="AY12" i="6"/>
  <c r="U97" i="4"/>
  <c r="U57" i="4"/>
  <c r="C15" i="7" a="1"/>
  <c r="C15" i="7" s="1"/>
  <c r="B10" i="9"/>
  <c r="M28" i="10"/>
  <c r="M33" i="10" s="1"/>
  <c r="I12" i="9"/>
  <c r="U17" i="4"/>
  <c r="U14" i="4" s="1"/>
  <c r="T21" i="4" s="1"/>
  <c r="H5" i="5"/>
  <c r="X8" i="5" s="1" a="1"/>
  <c r="X8" i="5" s="1"/>
  <c r="F5" i="5"/>
  <c r="G5" i="5"/>
  <c r="W8" i="5" s="1" a="1"/>
  <c r="W8" i="5" s="1"/>
  <c r="I104" i="4"/>
  <c r="I102" i="4"/>
  <c r="I114" i="4"/>
  <c r="I108" i="4"/>
  <c r="I121" i="4"/>
  <c r="I58" i="4"/>
  <c r="I88" i="4"/>
  <c r="I54" i="4"/>
  <c r="I75" i="4"/>
  <c r="I93" i="4"/>
  <c r="I62" i="4"/>
  <c r="I79" i="4"/>
  <c r="I63" i="4"/>
  <c r="I81" i="4"/>
  <c r="I73" i="4"/>
  <c r="I66" i="4"/>
  <c r="I70" i="4"/>
  <c r="I84" i="4"/>
  <c r="I68" i="4"/>
  <c r="I85" i="4"/>
  <c r="I82" i="4"/>
  <c r="I71" i="4"/>
  <c r="I80" i="4"/>
  <c r="I91" i="4"/>
  <c r="I74" i="4"/>
  <c r="I86" i="4"/>
  <c r="I90" i="4"/>
  <c r="I57" i="4"/>
  <c r="I59" i="4"/>
  <c r="I89" i="4"/>
  <c r="I78" i="4"/>
  <c r="I64" i="4"/>
  <c r="I60" i="4"/>
  <c r="I55" i="4"/>
  <c r="I77" i="4"/>
  <c r="I61" i="4"/>
  <c r="I72" i="4"/>
  <c r="I132" i="4"/>
  <c r="I122" i="4"/>
  <c r="I123" i="4"/>
  <c r="I105" i="4"/>
  <c r="I97" i="4"/>
  <c r="I109" i="4"/>
  <c r="I116" i="4"/>
  <c r="I124" i="4"/>
  <c r="I127" i="4"/>
  <c r="I120" i="4"/>
  <c r="I100" i="4"/>
  <c r="I96" i="4"/>
  <c r="I128" i="4"/>
  <c r="I101" i="4"/>
  <c r="I99" i="4"/>
  <c r="I94" i="4"/>
  <c r="I113" i="4"/>
  <c r="I107" i="4"/>
  <c r="I125" i="4"/>
  <c r="I119" i="4"/>
  <c r="I65" i="4"/>
  <c r="I87" i="4"/>
  <c r="I76" i="4"/>
  <c r="I67" i="4"/>
  <c r="I69" i="4"/>
  <c r="I56" i="4"/>
  <c r="I126" i="4"/>
  <c r="I106" i="4"/>
  <c r="I111" i="4"/>
  <c r="I117" i="4"/>
  <c r="I130" i="4"/>
  <c r="I95" i="4"/>
  <c r="I110" i="4"/>
  <c r="I131" i="4"/>
  <c r="I129" i="4"/>
  <c r="I98" i="4"/>
  <c r="I112" i="4"/>
  <c r="I118" i="4"/>
  <c r="I103" i="4"/>
  <c r="I115" i="4"/>
  <c r="I83" i="4"/>
  <c r="I92" i="4"/>
  <c r="AZ13" i="6"/>
  <c r="C30" i="4"/>
  <c r="C16" i="4"/>
  <c r="A17" i="4"/>
  <c r="X12" i="8"/>
  <c r="AD13" i="12"/>
  <c r="Y13" i="6"/>
  <c r="B42" i="14"/>
  <c r="AD13" i="6"/>
  <c r="AD12" i="6" s="1"/>
  <c r="AO13" i="6"/>
  <c r="B8" i="14"/>
  <c r="I10" i="13"/>
  <c r="J12" i="10"/>
  <c r="J11" i="10" s="1" a="1"/>
  <c r="J11" i="10" s="1"/>
  <c r="C4" i="4"/>
  <c r="A5" i="4"/>
  <c r="C36" i="4"/>
  <c r="A37" i="4"/>
  <c r="C37" i="4" s="1"/>
  <c r="AH26" i="5" l="1"/>
  <c r="AN26" i="5" s="1" a="1"/>
  <c r="AN26" i="5" s="1"/>
  <c r="AH47" i="5"/>
  <c r="AH19" i="5"/>
  <c r="AN19" i="5" s="1" a="1"/>
  <c r="AN19" i="5" s="1"/>
  <c r="AH46" i="5"/>
  <c r="AN46" i="5" s="1" a="1"/>
  <c r="AN46" i="5" s="1"/>
  <c r="AH25" i="5"/>
  <c r="F53" i="5"/>
  <c r="B53" i="5"/>
  <c r="E53" i="5"/>
  <c r="A53" i="12"/>
  <c r="C54" i="5"/>
  <c r="G53" i="5"/>
  <c r="AE53" i="5" a="1"/>
  <c r="AE53" i="5" s="1"/>
  <c r="H53" i="5"/>
  <c r="AF53" i="5" a="1"/>
  <c r="AF53" i="5" s="1"/>
  <c r="N53" i="5"/>
  <c r="D53" i="6" s="1"/>
  <c r="AD53" i="5"/>
  <c r="B53" i="6"/>
  <c r="M18" i="6"/>
  <c r="A49" i="6"/>
  <c r="AD16" i="6"/>
  <c r="AD17" i="6"/>
  <c r="AH44" i="5"/>
  <c r="AH33" i="5"/>
  <c r="AH20" i="5"/>
  <c r="AH35" i="5"/>
  <c r="AH39" i="5"/>
  <c r="AH29" i="5"/>
  <c r="AH27" i="5"/>
  <c r="AH48" i="5"/>
  <c r="AH22" i="5"/>
  <c r="AH54" i="5"/>
  <c r="AH41" i="5"/>
  <c r="AH30" i="5"/>
  <c r="AH17" i="5"/>
  <c r="AN17" i="5" s="1" a="1"/>
  <c r="AN17" i="5" s="1"/>
  <c r="AH16" i="5"/>
  <c r="AN16" i="5" s="1" a="1"/>
  <c r="AN16" i="5" s="1"/>
  <c r="AH50" i="5"/>
  <c r="AH36" i="5"/>
  <c r="AH24" i="5"/>
  <c r="AH43" i="5"/>
  <c r="AH32" i="5"/>
  <c r="AH18" i="5"/>
  <c r="AH52" i="5"/>
  <c r="AH38" i="5"/>
  <c r="AH28" i="5"/>
  <c r="AH49" i="5"/>
  <c r="AH23" i="5"/>
  <c r="AH45" i="5"/>
  <c r="AH34" i="5"/>
  <c r="AH21" i="5"/>
  <c r="AH53" i="5"/>
  <c r="AH40" i="5"/>
  <c r="AH51" i="5"/>
  <c r="AH42" i="5"/>
  <c r="AH31" i="5"/>
  <c r="AH37" i="5"/>
  <c r="AZ12" i="6"/>
  <c r="AO12" i="6"/>
  <c r="U94" i="4"/>
  <c r="T101" i="4" s="1"/>
  <c r="U54" i="4"/>
  <c r="T61" i="4" s="1"/>
  <c r="B15" i="9"/>
  <c r="B16" i="9" s="1"/>
  <c r="T57" i="4"/>
  <c r="T97" i="4"/>
  <c r="T22" i="4"/>
  <c r="T23" i="4"/>
  <c r="T24" i="4"/>
  <c r="T25" i="4"/>
  <c r="T26" i="4"/>
  <c r="U26" i="4" s="1"/>
  <c r="T17" i="4"/>
  <c r="V8" i="5" a="1"/>
  <c r="V8" i="5" s="1"/>
  <c r="O28" i="10"/>
  <c r="O33" i="10" s="1"/>
  <c r="J12" i="9"/>
  <c r="AH14" i="5"/>
  <c r="W14" i="5" s="1" a="1"/>
  <c r="W14" i="5" s="1"/>
  <c r="BA13" i="6"/>
  <c r="A18" i="4"/>
  <c r="C17" i="4"/>
  <c r="Y12" i="8"/>
  <c r="AE13" i="12"/>
  <c r="Z13" i="6"/>
  <c r="AE13" i="6"/>
  <c r="AP13" i="6"/>
  <c r="K12" i="10"/>
  <c r="K11" i="10" s="1" a="1"/>
  <c r="K11" i="10" s="1"/>
  <c r="C5" i="4"/>
  <c r="A6" i="4"/>
  <c r="W26" i="5" l="1" a="1"/>
  <c r="W26" i="5" s="1"/>
  <c r="H26" i="12" s="1" a="1"/>
  <c r="H26" i="12" s="1"/>
  <c r="AN47" i="5" a="1"/>
  <c r="AN47" i="5" s="1"/>
  <c r="W47" i="5" a="1"/>
  <c r="W47" i="5" s="1"/>
  <c r="H47" i="12" s="1" a="1"/>
  <c r="H47" i="12" s="1"/>
  <c r="M19" i="6"/>
  <c r="AZ19" i="6" s="1" a="1"/>
  <c r="AZ19" i="6" s="1"/>
  <c r="W19" i="5" a="1"/>
  <c r="W19" i="5" s="1"/>
  <c r="H19" i="12" s="1" a="1"/>
  <c r="H19" i="12" s="1"/>
  <c r="W46" i="5" a="1"/>
  <c r="W46" i="5" s="1"/>
  <c r="H46" i="12" s="1" a="1"/>
  <c r="H46" i="12" s="1"/>
  <c r="AN25" i="5" a="1"/>
  <c r="AN25" i="5" s="1"/>
  <c r="W25" i="5" a="1"/>
  <c r="W25" i="5" s="1"/>
  <c r="H25" i="12" s="1" a="1"/>
  <c r="H25" i="12" s="1"/>
  <c r="S53" i="5" a="1"/>
  <c r="S53" i="5" s="1"/>
  <c r="F53" i="12" s="1" a="1"/>
  <c r="F53" i="12" s="1"/>
  <c r="AG53" i="5" a="1"/>
  <c r="AG53" i="5" s="1"/>
  <c r="N54" i="5"/>
  <c r="D54" i="6" s="1"/>
  <c r="F54" i="5"/>
  <c r="B54" i="5"/>
  <c r="K54" i="5"/>
  <c r="A54" i="12"/>
  <c r="J54" i="5"/>
  <c r="E54" i="5"/>
  <c r="A14" i="13" s="1"/>
  <c r="H54" i="5"/>
  <c r="D54" i="5"/>
  <c r="B54" i="12" s="1"/>
  <c r="AD54" i="5"/>
  <c r="AE54" i="5" a="1"/>
  <c r="AE54" i="5" s="1"/>
  <c r="G54" i="5"/>
  <c r="B54" i="6"/>
  <c r="AO18" i="6"/>
  <c r="M20" i="6"/>
  <c r="AY18" i="6" a="1"/>
  <c r="AY18" i="6" s="1"/>
  <c r="AM18" i="6"/>
  <c r="AN18" i="6"/>
  <c r="AX18" i="6" a="1"/>
  <c r="AX18" i="6" s="1"/>
  <c r="AZ18" i="6" a="1"/>
  <c r="AZ18" i="6" s="1"/>
  <c r="AN41" i="5" a="1"/>
  <c r="AN41" i="5" s="1"/>
  <c r="W41" i="5" a="1"/>
  <c r="W41" i="5" s="1"/>
  <c r="H41" i="12" s="1" a="1"/>
  <c r="H41" i="12" s="1"/>
  <c r="AN51" i="5" a="1"/>
  <c r="AN51" i="5" s="1"/>
  <c r="W51" i="5" a="1"/>
  <c r="W51" i="5" s="1"/>
  <c r="H51" i="12" s="1" a="1"/>
  <c r="H51" i="12" s="1"/>
  <c r="B17" i="9"/>
  <c r="AN24" i="5" a="1"/>
  <c r="AN24" i="5" s="1"/>
  <c r="W24" i="5" a="1"/>
  <c r="W24" i="5" s="1"/>
  <c r="H24" i="12" s="1" a="1"/>
  <c r="H24" i="12" s="1"/>
  <c r="AN54" i="5" a="1"/>
  <c r="AN54" i="5" s="1"/>
  <c r="W54" i="5" a="1"/>
  <c r="W54" i="5" s="1"/>
  <c r="H54" i="12" s="1" a="1"/>
  <c r="H54" i="12" s="1"/>
  <c r="AN37" i="5" a="1"/>
  <c r="AN37" i="5" s="1"/>
  <c r="W37" i="5" a="1"/>
  <c r="W37" i="5" s="1"/>
  <c r="H37" i="12" s="1" a="1"/>
  <c r="H37" i="12" s="1"/>
  <c r="AN18" i="5" a="1"/>
  <c r="AN18" i="5" s="1"/>
  <c r="W18" i="5" a="1"/>
  <c r="W18" i="5" s="1"/>
  <c r="H18" i="12" s="1" a="1"/>
  <c r="H18" i="12" s="1"/>
  <c r="AN36" i="5" a="1"/>
  <c r="AN36" i="5" s="1"/>
  <c r="W36" i="5" a="1"/>
  <c r="W36" i="5" s="1"/>
  <c r="H36" i="12" s="1" a="1"/>
  <c r="H36" i="12" s="1"/>
  <c r="AN30" i="5" a="1"/>
  <c r="AN30" i="5" s="1"/>
  <c r="W30" i="5" a="1"/>
  <c r="W30" i="5" s="1"/>
  <c r="H30" i="12" s="1" a="1"/>
  <c r="H30" i="12" s="1"/>
  <c r="AN23" i="5" a="1"/>
  <c r="AN23" i="5" s="1"/>
  <c r="W23" i="5" a="1"/>
  <c r="W23" i="5" s="1"/>
  <c r="H23" i="12" s="1" a="1"/>
  <c r="H23" i="12" s="1"/>
  <c r="AN50" i="5" a="1"/>
  <c r="AN50" i="5" s="1"/>
  <c r="W50" i="5" a="1"/>
  <c r="W50" i="5" s="1"/>
  <c r="H50" i="12" s="1" a="1"/>
  <c r="H50" i="12" s="1"/>
  <c r="AN35" i="5" a="1"/>
  <c r="AN35" i="5" s="1"/>
  <c r="W35" i="5" a="1"/>
  <c r="W35" i="5" s="1"/>
  <c r="H35" i="12" s="1" a="1"/>
  <c r="H35" i="12" s="1"/>
  <c r="AN27" i="5" a="1"/>
  <c r="AN27" i="5" s="1"/>
  <c r="W27" i="5" a="1"/>
  <c r="W27" i="5" s="1"/>
  <c r="H27" i="12" s="1" a="1"/>
  <c r="H27" i="12" s="1"/>
  <c r="AN29" i="5" a="1"/>
  <c r="AN29" i="5" s="1"/>
  <c r="W29" i="5" a="1"/>
  <c r="W29" i="5" s="1"/>
  <c r="H29" i="12" s="1" a="1"/>
  <c r="H29" i="12" s="1"/>
  <c r="AN33" i="5" a="1"/>
  <c r="AN33" i="5" s="1"/>
  <c r="W33" i="5" a="1"/>
  <c r="W33" i="5" s="1"/>
  <c r="H33" i="12" s="1" a="1"/>
  <c r="H33" i="12" s="1"/>
  <c r="AN40" i="5" a="1"/>
  <c r="AN40" i="5" s="1"/>
  <c r="W40" i="5" a="1"/>
  <c r="W40" i="5" s="1"/>
  <c r="H40" i="12" s="1" a="1"/>
  <c r="H40" i="12" s="1"/>
  <c r="AN21" i="5" a="1"/>
  <c r="AN21" i="5" s="1"/>
  <c r="W21" i="5" a="1"/>
  <c r="W21" i="5" s="1"/>
  <c r="H21" i="12" s="1" a="1"/>
  <c r="H21" i="12" s="1"/>
  <c r="AN38" i="5" a="1"/>
  <c r="AN38" i="5" s="1"/>
  <c r="W38" i="5" a="1"/>
  <c r="W38" i="5" s="1"/>
  <c r="H38" i="12" s="1" a="1"/>
  <c r="H38" i="12" s="1"/>
  <c r="AN39" i="5" a="1"/>
  <c r="AN39" i="5" s="1"/>
  <c r="W39" i="5" a="1"/>
  <c r="W39" i="5" s="1"/>
  <c r="H39" i="12" s="1" a="1"/>
  <c r="H39" i="12" s="1"/>
  <c r="AN44" i="5" a="1"/>
  <c r="AN44" i="5" s="1"/>
  <c r="W44" i="5" a="1"/>
  <c r="W44" i="5" s="1"/>
  <c r="H44" i="12" s="1" a="1"/>
  <c r="H44" i="12" s="1"/>
  <c r="A50" i="6"/>
  <c r="BA18" i="6" a="1"/>
  <c r="BA18" i="6" s="1"/>
  <c r="AN32" i="5" a="1"/>
  <c r="AN32" i="5" s="1"/>
  <c r="W32" i="5" a="1"/>
  <c r="W32" i="5" s="1"/>
  <c r="H32" i="12" s="1" a="1"/>
  <c r="H32" i="12" s="1"/>
  <c r="AN20" i="5" a="1"/>
  <c r="AN20" i="5" s="1"/>
  <c r="W20" i="5" a="1"/>
  <c r="W20" i="5" s="1"/>
  <c r="H20" i="12" s="1" a="1"/>
  <c r="H20" i="12" s="1"/>
  <c r="AN28" i="5" a="1"/>
  <c r="AN28" i="5" s="1"/>
  <c r="W28" i="5" a="1"/>
  <c r="W28" i="5" s="1"/>
  <c r="H28" i="12" s="1" a="1"/>
  <c r="H28" i="12" s="1"/>
  <c r="AN53" i="5" a="1"/>
  <c r="AN53" i="5" s="1"/>
  <c r="W53" i="5" a="1"/>
  <c r="W53" i="5" s="1"/>
  <c r="H53" i="12" s="1" a="1"/>
  <c r="H53" i="12" s="1"/>
  <c r="AN34" i="5" a="1"/>
  <c r="AN34" i="5" s="1"/>
  <c r="W34" i="5" a="1"/>
  <c r="W34" i="5" s="1"/>
  <c r="H34" i="12" s="1" a="1"/>
  <c r="H34" i="12" s="1"/>
  <c r="AN52" i="5" a="1"/>
  <c r="AN52" i="5" s="1"/>
  <c r="W52" i="5" a="1"/>
  <c r="W52" i="5" s="1"/>
  <c r="H52" i="12" s="1" a="1"/>
  <c r="H52" i="12" s="1"/>
  <c r="AN31" i="5" a="1"/>
  <c r="AN31" i="5" s="1"/>
  <c r="W31" i="5" a="1"/>
  <c r="W31" i="5" s="1"/>
  <c r="H31" i="12" s="1" a="1"/>
  <c r="H31" i="12" s="1"/>
  <c r="AN45" i="5" a="1"/>
  <c r="AN45" i="5" s="1"/>
  <c r="W45" i="5" a="1"/>
  <c r="W45" i="5" s="1"/>
  <c r="H45" i="12" s="1" a="1"/>
  <c r="H45" i="12" s="1"/>
  <c r="AN22" i="5" a="1"/>
  <c r="AN22" i="5" s="1"/>
  <c r="W22" i="5" a="1"/>
  <c r="W22" i="5" s="1"/>
  <c r="H22" i="12" s="1" a="1"/>
  <c r="H22" i="12" s="1"/>
  <c r="AN49" i="5" a="1"/>
  <c r="AN49" i="5" s="1"/>
  <c r="W49" i="5" a="1"/>
  <c r="W49" i="5" s="1"/>
  <c r="H49" i="12" s="1" a="1"/>
  <c r="H49" i="12" s="1"/>
  <c r="AN42" i="5" a="1"/>
  <c r="AN42" i="5" s="1"/>
  <c r="W42" i="5" a="1"/>
  <c r="W42" i="5" s="1"/>
  <c r="H42" i="12" s="1" a="1"/>
  <c r="H42" i="12" s="1"/>
  <c r="AN43" i="5" a="1"/>
  <c r="AN43" i="5" s="1"/>
  <c r="W43" i="5" a="1"/>
  <c r="W43" i="5" s="1"/>
  <c r="H43" i="12" s="1" a="1"/>
  <c r="H43" i="12" s="1"/>
  <c r="AN48" i="5" a="1"/>
  <c r="AN48" i="5" s="1"/>
  <c r="W48" i="5" a="1"/>
  <c r="W48" i="5" s="1"/>
  <c r="H48" i="12" s="1" a="1"/>
  <c r="H48" i="12" s="1"/>
  <c r="AP18" i="6"/>
  <c r="BA12" i="6"/>
  <c r="AP12" i="6"/>
  <c r="H14" i="12" a="1"/>
  <c r="H14" i="12" s="1"/>
  <c r="AN14" i="5" a="1"/>
  <c r="AN14" i="5" s="1"/>
  <c r="T62" i="4"/>
  <c r="T63" i="4"/>
  <c r="T64" i="4"/>
  <c r="T66" i="4"/>
  <c r="U66" i="4" s="1"/>
  <c r="T65" i="4"/>
  <c r="T102" i="4"/>
  <c r="T104" i="4"/>
  <c r="T103" i="4"/>
  <c r="T106" i="4"/>
  <c r="U106" i="4" s="1"/>
  <c r="T105" i="4"/>
  <c r="U7" i="4"/>
  <c r="H27" i="10"/>
  <c r="Q28" i="10"/>
  <c r="Q33" i="10" s="1"/>
  <c r="K12" i="9"/>
  <c r="BB13" i="6"/>
  <c r="AF13" i="6"/>
  <c r="AF12" i="6" s="1"/>
  <c r="AE12" i="6"/>
  <c r="A19" i="4"/>
  <c r="C19" i="4" s="1"/>
  <c r="C18" i="4"/>
  <c r="Z12" i="8"/>
  <c r="AF13" i="12"/>
  <c r="AQ13" i="6"/>
  <c r="L12" i="10"/>
  <c r="L11" i="10" s="1" a="1"/>
  <c r="L11" i="10" s="1"/>
  <c r="A7" i="4"/>
  <c r="C7" i="4" s="1"/>
  <c r="C6" i="4"/>
  <c r="BB19" i="6" l="1" a="1"/>
  <c r="BB19" i="6" s="1"/>
  <c r="AQ19" i="6"/>
  <c r="BA19" i="6" a="1"/>
  <c r="BA19" i="6" s="1"/>
  <c r="AN19" i="6"/>
  <c r="AM19" i="6"/>
  <c r="AY19" i="6" a="1"/>
  <c r="AY19" i="6" s="1"/>
  <c r="AO19" i="6"/>
  <c r="AP19" i="6"/>
  <c r="AX19" i="6" a="1"/>
  <c r="AX19" i="6" s="1"/>
  <c r="M21" i="6"/>
  <c r="AP20" i="6"/>
  <c r="G53" i="6"/>
  <c r="E53" i="12"/>
  <c r="F53" i="6"/>
  <c r="BA20" i="6" a="1"/>
  <c r="BA20" i="6" s="1"/>
  <c r="AN20" i="6"/>
  <c r="AZ20" i="6" a="1"/>
  <c r="AZ20" i="6" s="1"/>
  <c r="AX20" i="6" a="1"/>
  <c r="AX20" i="6" s="1"/>
  <c r="AO20" i="6"/>
  <c r="AM20" i="6"/>
  <c r="AY20" i="6" a="1"/>
  <c r="AY20" i="6" s="1"/>
  <c r="AF16" i="6"/>
  <c r="AF17" i="6"/>
  <c r="BB20" i="6" a="1"/>
  <c r="BB20" i="6" s="1"/>
  <c r="BB18" i="6" a="1"/>
  <c r="BB18" i="6" s="1"/>
  <c r="B18" i="9"/>
  <c r="AQ18" i="6"/>
  <c r="AQ20" i="6"/>
  <c r="A51" i="6"/>
  <c r="AE16" i="6"/>
  <c r="AE17" i="6"/>
  <c r="X29" i="4"/>
  <c r="S28" i="10"/>
  <c r="S33" i="10" s="1"/>
  <c r="L12" i="9"/>
  <c r="BB12" i="6"/>
  <c r="AQ12" i="6"/>
  <c r="AG13" i="6"/>
  <c r="AG12" i="6" s="1"/>
  <c r="BC13" i="6"/>
  <c r="BC19" i="6" s="1" a="1"/>
  <c r="BC19" i="6" s="1"/>
  <c r="AA12" i="8"/>
  <c r="AG13" i="12"/>
  <c r="AR13" i="6"/>
  <c r="AR19" i="6" s="1"/>
  <c r="M12" i="10"/>
  <c r="M11" i="10" s="1" a="1"/>
  <c r="M11" i="10" s="1"/>
  <c r="Z69" i="4"/>
  <c r="Y29" i="4"/>
  <c r="Z21" i="4"/>
  <c r="Y64" i="4"/>
  <c r="X21" i="4"/>
  <c r="Y24" i="4"/>
  <c r="X103" i="4"/>
  <c r="Y102" i="4"/>
  <c r="Y101" i="4"/>
  <c r="Y21" i="4"/>
  <c r="X105" i="4"/>
  <c r="Y103" i="4"/>
  <c r="Z62" i="4"/>
  <c r="X109" i="4"/>
  <c r="X101" i="4"/>
  <c r="Z23" i="4"/>
  <c r="Y62" i="4"/>
  <c r="X62" i="4"/>
  <c r="Z109" i="4"/>
  <c r="Z103" i="4"/>
  <c r="Z102" i="4"/>
  <c r="Z24" i="4"/>
  <c r="X61" i="4"/>
  <c r="Z63" i="4"/>
  <c r="X23" i="4"/>
  <c r="X65" i="4"/>
  <c r="Z105" i="4"/>
  <c r="Y104" i="4"/>
  <c r="Z61" i="4"/>
  <c r="Z29" i="4"/>
  <c r="Y65" i="4"/>
  <c r="Y109" i="4"/>
  <c r="Z104" i="4"/>
  <c r="Y69" i="4"/>
  <c r="X25" i="4"/>
  <c r="Z25" i="4"/>
  <c r="X22" i="4"/>
  <c r="X63" i="4"/>
  <c r="Y25" i="4"/>
  <c r="Y22" i="4"/>
  <c r="Z65" i="4"/>
  <c r="X69" i="4"/>
  <c r="Y61" i="4"/>
  <c r="X102" i="4"/>
  <c r="X104" i="4"/>
  <c r="X64" i="4"/>
  <c r="Y105" i="4"/>
  <c r="Y63" i="4"/>
  <c r="Z22" i="4"/>
  <c r="Z101" i="4"/>
  <c r="Z64" i="4"/>
  <c r="X24" i="4"/>
  <c r="Y23" i="4"/>
  <c r="M26" i="6" l="1"/>
  <c r="AR26" i="6" s="1"/>
  <c r="M25" i="6"/>
  <c r="M22" i="6"/>
  <c r="BB21" i="6" a="1"/>
  <c r="BB21" i="6" s="1"/>
  <c r="BA21" i="6" a="1"/>
  <c r="BA21" i="6" s="1"/>
  <c r="AO21" i="6"/>
  <c r="AM21" i="6"/>
  <c r="AP21" i="6"/>
  <c r="AQ21" i="6"/>
  <c r="AX21" i="6" a="1"/>
  <c r="AX21" i="6" s="1"/>
  <c r="AY21" i="6" a="1"/>
  <c r="AY21" i="6" s="1"/>
  <c r="AN21" i="6"/>
  <c r="AZ21" i="6" a="1"/>
  <c r="AZ21" i="6" s="1"/>
  <c r="E54" i="12"/>
  <c r="F54" i="6"/>
  <c r="M24" i="6"/>
  <c r="M23" i="6"/>
  <c r="BC20" i="6" a="1"/>
  <c r="BC20" i="6" s="1"/>
  <c r="BC18" i="6" a="1"/>
  <c r="BC18" i="6" s="1"/>
  <c r="BC21" i="6" a="1"/>
  <c r="BC21" i="6" s="1"/>
  <c r="B19" i="9"/>
  <c r="A52" i="6"/>
  <c r="AR18" i="6"/>
  <c r="AR20" i="6"/>
  <c r="AR21" i="6"/>
  <c r="AG16" i="6"/>
  <c r="AG17" i="6"/>
  <c r="U29" i="4"/>
  <c r="U69" i="4"/>
  <c r="U65" i="4"/>
  <c r="U103" i="4"/>
  <c r="U61" i="4"/>
  <c r="U105" i="4"/>
  <c r="U64" i="4"/>
  <c r="U102" i="4"/>
  <c r="U62" i="4"/>
  <c r="U21" i="4"/>
  <c r="U23" i="4"/>
  <c r="U104" i="4"/>
  <c r="U101" i="4"/>
  <c r="U24" i="4"/>
  <c r="U25" i="4"/>
  <c r="U22" i="4"/>
  <c r="U63" i="4"/>
  <c r="U109" i="4"/>
  <c r="K112" i="4" s="1"/>
  <c r="U28" i="10"/>
  <c r="U33" i="10" s="1"/>
  <c r="M12" i="9"/>
  <c r="BC12" i="6"/>
  <c r="AR12" i="6"/>
  <c r="AH13" i="6"/>
  <c r="AH12" i="6" s="1"/>
  <c r="BD13" i="6"/>
  <c r="BD19" i="6" s="1" a="1"/>
  <c r="BD19" i="6" s="1"/>
  <c r="AB12" i="8"/>
  <c r="AH13" i="12"/>
  <c r="AS13" i="6"/>
  <c r="AS19" i="6" s="1"/>
  <c r="N12" i="10"/>
  <c r="N11" i="10" s="1" a="1"/>
  <c r="N11" i="10" s="1"/>
  <c r="AX26" i="6" l="1" a="1"/>
  <c r="AX26" i="6" s="1"/>
  <c r="AY26" i="6" a="1"/>
  <c r="AY26" i="6" s="1"/>
  <c r="BC26" i="6" a="1"/>
  <c r="BC26" i="6" s="1"/>
  <c r="AN26" i="6"/>
  <c r="AP26" i="6"/>
  <c r="AZ26" i="6" a="1"/>
  <c r="AZ26" i="6" s="1"/>
  <c r="AQ26" i="6"/>
  <c r="AM26" i="6"/>
  <c r="BA26" i="6" a="1"/>
  <c r="BA26" i="6" s="1"/>
  <c r="AO26" i="6"/>
  <c r="BB26" i="6" a="1"/>
  <c r="BB26" i="6" s="1"/>
  <c r="AP25" i="6"/>
  <c r="BC23" i="6" a="1"/>
  <c r="BC23" i="6" s="1"/>
  <c r="AQ24" i="6"/>
  <c r="AZ22" i="6" a="1"/>
  <c r="AZ22" i="6" s="1"/>
  <c r="AS26" i="6"/>
  <c r="BD26" i="6" a="1"/>
  <c r="BD26" i="6" s="1"/>
  <c r="AQ25" i="6"/>
  <c r="AX25" i="6" a="1"/>
  <c r="AX25" i="6" s="1"/>
  <c r="BB25" i="6" a="1"/>
  <c r="BB25" i="6" s="1"/>
  <c r="AO25" i="6"/>
  <c r="AM25" i="6"/>
  <c r="AY25" i="6" a="1"/>
  <c r="AY25" i="6" s="1"/>
  <c r="BC25" i="6" a="1"/>
  <c r="BC25" i="6" s="1"/>
  <c r="AZ25" i="6" a="1"/>
  <c r="AZ25" i="6" s="1"/>
  <c r="AN25" i="6"/>
  <c r="AR25" i="6"/>
  <c r="BA25" i="6" a="1"/>
  <c r="BA25" i="6" s="1"/>
  <c r="AM22" i="6"/>
  <c r="AO22" i="6"/>
  <c r="BA22" i="6" a="1"/>
  <c r="BA22" i="6" s="1"/>
  <c r="AR22" i="6"/>
  <c r="BC22" i="6" a="1"/>
  <c r="BC22" i="6" s="1"/>
  <c r="AY22" i="6" a="1"/>
  <c r="AY22" i="6" s="1"/>
  <c r="AX22" i="6" a="1"/>
  <c r="AX22" i="6" s="1"/>
  <c r="BB22" i="6" a="1"/>
  <c r="BB22" i="6" s="1"/>
  <c r="AP22" i="6"/>
  <c r="AQ22" i="6"/>
  <c r="AN22" i="6"/>
  <c r="AS25" i="6"/>
  <c r="BD25" i="6" a="1"/>
  <c r="BD25" i="6" s="1"/>
  <c r="AR24" i="6"/>
  <c r="AP24" i="6"/>
  <c r="AX24" i="6" a="1"/>
  <c r="AX24" i="6" s="1"/>
  <c r="BC24" i="6" a="1"/>
  <c r="BC24" i="6" s="1"/>
  <c r="BA24" i="6" a="1"/>
  <c r="BA24" i="6" s="1"/>
  <c r="AO24" i="6"/>
  <c r="AZ24" i="6" a="1"/>
  <c r="AZ24" i="6" s="1"/>
  <c r="AN24" i="6"/>
  <c r="AM24" i="6"/>
  <c r="M27" i="6"/>
  <c r="AR23" i="6"/>
  <c r="AZ23" i="6" a="1"/>
  <c r="AZ23" i="6" s="1"/>
  <c r="BA23" i="6" a="1"/>
  <c r="BA23" i="6" s="1"/>
  <c r="AP23" i="6"/>
  <c r="AX23" i="6" a="1"/>
  <c r="AX23" i="6" s="1"/>
  <c r="AY23" i="6" a="1"/>
  <c r="AY23" i="6" s="1"/>
  <c r="AQ23" i="6"/>
  <c r="AO23" i="6"/>
  <c r="AM23" i="6"/>
  <c r="AN23" i="6"/>
  <c r="BB23" i="6" a="1"/>
  <c r="BB23" i="6" s="1"/>
  <c r="AY24" i="6" a="1"/>
  <c r="AY24" i="6" s="1"/>
  <c r="BB24" i="6" a="1"/>
  <c r="BB24" i="6" s="1"/>
  <c r="AH16" i="6"/>
  <c r="AH17" i="6"/>
  <c r="B20" i="9"/>
  <c r="AS24" i="6"/>
  <c r="AS22" i="6"/>
  <c r="AS23" i="6"/>
  <c r="AS20" i="6"/>
  <c r="AS18" i="6"/>
  <c r="AS21" i="6"/>
  <c r="BD20" i="6" a="1"/>
  <c r="BD20" i="6" s="1"/>
  <c r="BD18" i="6" a="1"/>
  <c r="BD18" i="6" s="1"/>
  <c r="BD21" i="6" a="1"/>
  <c r="BD21" i="6" s="1"/>
  <c r="BD24" i="6" a="1"/>
  <c r="BD24" i="6" s="1"/>
  <c r="BD22" i="6" a="1"/>
  <c r="BD22" i="6" s="1"/>
  <c r="BD23" i="6" a="1"/>
  <c r="BD23" i="6" s="1"/>
  <c r="AB10" i="12"/>
  <c r="W28" i="10"/>
  <c r="W33" i="10" s="1"/>
  <c r="N12" i="9"/>
  <c r="J72" i="4"/>
  <c r="U8" i="4"/>
  <c r="BD12" i="6"/>
  <c r="AS12" i="6"/>
  <c r="AI13" i="6"/>
  <c r="AI12" i="6" s="1"/>
  <c r="BE13" i="6"/>
  <c r="AC12" i="8"/>
  <c r="AI13" i="12"/>
  <c r="K72" i="4"/>
  <c r="J112" i="4"/>
  <c r="AT13" i="6"/>
  <c r="O12" i="10"/>
  <c r="O11" i="10" s="1" a="1"/>
  <c r="O11" i="10" s="1"/>
  <c r="K32" i="4"/>
  <c r="J32" i="4"/>
  <c r="AZ27" i="6" l="1" a="1"/>
  <c r="AZ27" i="6" s="1"/>
  <c r="AT19" i="6"/>
  <c r="AT26" i="6"/>
  <c r="BE19" i="6" a="1"/>
  <c r="BE19" i="6" s="1"/>
  <c r="BE26" i="6" a="1"/>
  <c r="BE26" i="6" s="1"/>
  <c r="BE25" i="6" a="1"/>
  <c r="BE25" i="6" s="1"/>
  <c r="AT25" i="6"/>
  <c r="AQ27" i="6"/>
  <c r="AX27" i="6" a="1"/>
  <c r="AX27" i="6" s="1"/>
  <c r="AM27" i="6"/>
  <c r="AO27" i="6"/>
  <c r="BD27" i="6" a="1"/>
  <c r="BD27" i="6" s="1"/>
  <c r="BB27" i="6" a="1"/>
  <c r="BB27" i="6" s="1"/>
  <c r="K53" i="5"/>
  <c r="AP27" i="6"/>
  <c r="AS27" i="6"/>
  <c r="BA27" i="6" a="1"/>
  <c r="BA27" i="6" s="1"/>
  <c r="BC27" i="6" a="1"/>
  <c r="BC27" i="6" s="1"/>
  <c r="AN27" i="6"/>
  <c r="AY27" i="6" a="1"/>
  <c r="AY27" i="6" s="1"/>
  <c r="AR27" i="6"/>
  <c r="M28" i="6"/>
  <c r="AI16" i="6"/>
  <c r="AI17" i="6"/>
  <c r="A53" i="6"/>
  <c r="B21" i="9"/>
  <c r="BE20" i="6" a="1"/>
  <c r="BE20" i="6" s="1"/>
  <c r="BE18" i="6" a="1"/>
  <c r="BE18" i="6" s="1"/>
  <c r="BE23" i="6" a="1"/>
  <c r="BE23" i="6" s="1"/>
  <c r="BE21" i="6" a="1"/>
  <c r="BE21" i="6" s="1"/>
  <c r="BE24" i="6" a="1"/>
  <c r="BE24" i="6" s="1"/>
  <c r="BE22" i="6" a="1"/>
  <c r="BE22" i="6" s="1"/>
  <c r="BE27" i="6" a="1"/>
  <c r="BE27" i="6" s="1"/>
  <c r="AT21" i="6"/>
  <c r="AT23" i="6"/>
  <c r="AT22" i="6"/>
  <c r="AT24" i="6"/>
  <c r="AT18" i="6"/>
  <c r="AT20" i="6"/>
  <c r="AT27" i="6"/>
  <c r="O12" i="9"/>
  <c r="Y28" i="10"/>
  <c r="Y33" i="10" s="1"/>
  <c r="T11" i="11"/>
  <c r="BE12" i="6"/>
  <c r="AT12" i="6"/>
  <c r="AJ13" i="6"/>
  <c r="AJ12" i="6" s="1"/>
  <c r="BF13" i="6"/>
  <c r="BF26" i="6" s="1" a="1"/>
  <c r="BF26" i="6" s="1"/>
  <c r="AD12" i="8"/>
  <c r="AJ13" i="12"/>
  <c r="AU13" i="6"/>
  <c r="AU26" i="6" s="1"/>
  <c r="P12" i="10"/>
  <c r="P11" i="10" s="1" a="1"/>
  <c r="P11" i="10" s="1"/>
  <c r="J53" i="5" l="1"/>
  <c r="D53" i="5" s="1"/>
  <c r="B53" i="12" s="1"/>
  <c r="AU19" i="6"/>
  <c r="BF19" i="6" a="1"/>
  <c r="BF19" i="6" s="1"/>
  <c r="AU25" i="6"/>
  <c r="BF25" i="6" a="1"/>
  <c r="BF25" i="6" s="1"/>
  <c r="M29" i="6"/>
  <c r="BE28" i="6" a="1"/>
  <c r="BE28" i="6" s="1"/>
  <c r="AT28" i="6"/>
  <c r="M30" i="6"/>
  <c r="BA28" i="6" a="1"/>
  <c r="BA28" i="6" s="1"/>
  <c r="AP28" i="6"/>
  <c r="AR28" i="6"/>
  <c r="AQ28" i="6"/>
  <c r="BB28" i="6" a="1"/>
  <c r="BB28" i="6" s="1"/>
  <c r="BC28" i="6" a="1"/>
  <c r="BC28" i="6" s="1"/>
  <c r="AS28" i="6"/>
  <c r="AY28" i="6" a="1"/>
  <c r="AY28" i="6" s="1"/>
  <c r="BD28" i="6" a="1"/>
  <c r="BD28" i="6" s="1"/>
  <c r="AO28" i="6"/>
  <c r="AM28" i="6"/>
  <c r="AZ28" i="6" a="1"/>
  <c r="AZ28" i="6" s="1"/>
  <c r="AN28" i="6"/>
  <c r="AX28" i="6" a="1"/>
  <c r="AX28" i="6" s="1"/>
  <c r="AJ16" i="6"/>
  <c r="AJ17" i="6"/>
  <c r="B22" i="9"/>
  <c r="AU24" i="6"/>
  <c r="AU23" i="6"/>
  <c r="AU20" i="6"/>
  <c r="AU22" i="6"/>
  <c r="AU21" i="6"/>
  <c r="AU18" i="6"/>
  <c r="AU27" i="6"/>
  <c r="AU28" i="6"/>
  <c r="BF23" i="6" a="1"/>
  <c r="BF23" i="6" s="1"/>
  <c r="BF21" i="6" a="1"/>
  <c r="BF21" i="6" s="1"/>
  <c r="BF22" i="6" a="1"/>
  <c r="BF22" i="6" s="1"/>
  <c r="BF18" i="6" a="1"/>
  <c r="BF18" i="6" s="1"/>
  <c r="BF24" i="6" a="1"/>
  <c r="BF24" i="6" s="1"/>
  <c r="BF20" i="6" a="1"/>
  <c r="BF20" i="6" s="1"/>
  <c r="BF27" i="6" a="1"/>
  <c r="BF27" i="6" s="1"/>
  <c r="BF28" i="6" a="1"/>
  <c r="BF28" i="6" s="1"/>
  <c r="A54" i="6"/>
  <c r="P12" i="9"/>
  <c r="AA28" i="10"/>
  <c r="AA33" i="10" s="1"/>
  <c r="BF12" i="6"/>
  <c r="AU12" i="6"/>
  <c r="AK13" i="6"/>
  <c r="BG13" i="6"/>
  <c r="AE12" i="8"/>
  <c r="AK13" i="12"/>
  <c r="AV13" i="6"/>
  <c r="Q12" i="10"/>
  <c r="Q11" i="10" s="1" a="1"/>
  <c r="Q11" i="10" s="1"/>
  <c r="AV26" i="6" l="1"/>
  <c r="BD30" i="6" a="1"/>
  <c r="BD30" i="6" s="1"/>
  <c r="BG26" i="6" a="1"/>
  <c r="BG26" i="6" s="1"/>
  <c r="AM29" i="6"/>
  <c r="AV19" i="6"/>
  <c r="BG19" i="6" a="1"/>
  <c r="BG19" i="6" s="1"/>
  <c r="AV25" i="6"/>
  <c r="BG25" i="6" a="1"/>
  <c r="BG25" i="6" s="1"/>
  <c r="M31" i="6"/>
  <c r="AU30" i="6"/>
  <c r="AQ30" i="6"/>
  <c r="AN29" i="6"/>
  <c r="AM30" i="6"/>
  <c r="BB30" i="6" a="1"/>
  <c r="BB30" i="6" s="1"/>
  <c r="AS30" i="6"/>
  <c r="BC29" i="6" a="1"/>
  <c r="BC29" i="6" s="1"/>
  <c r="AO29" i="6"/>
  <c r="BF29" i="6" a="1"/>
  <c r="BF29" i="6" s="1"/>
  <c r="BC30" i="6" a="1"/>
  <c r="BC30" i="6" s="1"/>
  <c r="AX30" i="6" a="1"/>
  <c r="AX30" i="6" s="1"/>
  <c r="AQ29" i="6"/>
  <c r="AR29" i="6"/>
  <c r="AU29" i="6"/>
  <c r="AY30" i="6" a="1"/>
  <c r="AY30" i="6" s="1"/>
  <c r="AN30" i="6"/>
  <c r="BB29" i="6" a="1"/>
  <c r="BB29" i="6" s="1"/>
  <c r="AZ30" i="6" a="1"/>
  <c r="AZ30" i="6" s="1"/>
  <c r="BA30" i="6" a="1"/>
  <c r="BA30" i="6" s="1"/>
  <c r="AP29" i="6"/>
  <c r="AX29" i="6" a="1"/>
  <c r="AX29" i="6" s="1"/>
  <c r="AO30" i="6"/>
  <c r="AP30" i="6"/>
  <c r="AZ29" i="6" a="1"/>
  <c r="AZ29" i="6" s="1"/>
  <c r="BA29" i="6" a="1"/>
  <c r="BA29" i="6" s="1"/>
  <c r="AR30" i="6"/>
  <c r="BD29" i="6" a="1"/>
  <c r="BD29" i="6" s="1"/>
  <c r="AS29" i="6"/>
  <c r="BF30" i="6" a="1"/>
  <c r="BF30" i="6" s="1"/>
  <c r="AY29" i="6" a="1"/>
  <c r="AY29" i="6" s="1"/>
  <c r="BE29" i="6" a="1"/>
  <c r="BE29" i="6" s="1"/>
  <c r="AT29" i="6"/>
  <c r="AT30" i="6"/>
  <c r="BE30" i="6" a="1"/>
  <c r="BE30" i="6" s="1"/>
  <c r="BG21" i="6" a="1"/>
  <c r="BG21" i="6" s="1"/>
  <c r="BG23" i="6" a="1"/>
  <c r="BG23" i="6" s="1"/>
  <c r="BG18" i="6" a="1"/>
  <c r="BG18" i="6" s="1"/>
  <c r="BG20" i="6" a="1"/>
  <c r="BG20" i="6" s="1"/>
  <c r="BG22" i="6" a="1"/>
  <c r="BG22" i="6" s="1"/>
  <c r="BG24" i="6" a="1"/>
  <c r="BG24" i="6" s="1"/>
  <c r="BG30" i="6" a="1"/>
  <c r="BG30" i="6" s="1"/>
  <c r="BG29" i="6" a="1"/>
  <c r="BG29" i="6" s="1"/>
  <c r="BG27" i="6" a="1"/>
  <c r="BG27" i="6" s="1"/>
  <c r="BG28" i="6" a="1"/>
  <c r="BG28" i="6" s="1"/>
  <c r="B23" i="9"/>
  <c r="AV23" i="6"/>
  <c r="AV18" i="6"/>
  <c r="AV20" i="6"/>
  <c r="AV24" i="6"/>
  <c r="AV21" i="6"/>
  <c r="AV22" i="6"/>
  <c r="AV27" i="6"/>
  <c r="AV30" i="6"/>
  <c r="AV28" i="6"/>
  <c r="AV29" i="6"/>
  <c r="AK12" i="6"/>
  <c r="Q12" i="9"/>
  <c r="AC28" i="10"/>
  <c r="AC33" i="10" s="1"/>
  <c r="BG12" i="6"/>
  <c r="AV12" i="6"/>
  <c r="AF12" i="8"/>
  <c r="AL13" i="12"/>
  <c r="R12" i="10"/>
  <c r="R11" i="10" s="1" a="1"/>
  <c r="R11" i="10" s="1"/>
  <c r="AO31" i="6" l="1"/>
  <c r="BC31" i="6" a="1"/>
  <c r="BC31" i="6" s="1"/>
  <c r="AV31" i="6"/>
  <c r="AS31" i="6"/>
  <c r="AZ31" i="6" a="1"/>
  <c r="AZ31" i="6" s="1"/>
  <c r="AR31" i="6"/>
  <c r="AU31" i="6"/>
  <c r="AM31" i="6"/>
  <c r="AX31" i="6" a="1"/>
  <c r="AX31" i="6" s="1"/>
  <c r="BG31" i="6" a="1"/>
  <c r="BG31" i="6" s="1"/>
  <c r="BA31" i="6" a="1"/>
  <c r="BA31" i="6" s="1"/>
  <c r="BE31" i="6" a="1"/>
  <c r="BE31" i="6" s="1"/>
  <c r="AY31" i="6" a="1"/>
  <c r="AY31" i="6" s="1"/>
  <c r="AQ31" i="6"/>
  <c r="BD31" i="6" a="1"/>
  <c r="BD31" i="6" s="1"/>
  <c r="AT31" i="6"/>
  <c r="AP31" i="6"/>
  <c r="BF31" i="6" a="1"/>
  <c r="BF31" i="6" s="1"/>
  <c r="BB31" i="6" a="1"/>
  <c r="BB31" i="6" s="1"/>
  <c r="M32" i="6"/>
  <c r="M33" i="6"/>
  <c r="AN31" i="6"/>
  <c r="AK16" i="6"/>
  <c r="AK17" i="6"/>
  <c r="R12" i="9"/>
  <c r="AE28" i="10"/>
  <c r="AE33" i="10" s="1"/>
  <c r="AM13" i="12"/>
  <c r="S12" i="10"/>
  <c r="S11" i="10" s="1" a="1"/>
  <c r="S11" i="10" s="1"/>
  <c r="L47" i="12" l="1" a="1"/>
  <c r="L47" i="12" s="1"/>
  <c r="J47" i="12" a="1"/>
  <c r="J47" i="12" s="1"/>
  <c r="AN33" i="6"/>
  <c r="BE32" i="6" a="1"/>
  <c r="BE32" i="6" s="1"/>
  <c r="J26" i="12" a="1"/>
  <c r="J26" i="12" s="1"/>
  <c r="L26" i="12" a="1"/>
  <c r="L26" i="12" s="1"/>
  <c r="L19" i="12" a="1"/>
  <c r="L19" i="12" s="1"/>
  <c r="J19" i="12" a="1"/>
  <c r="J19" i="12" s="1"/>
  <c r="L25" i="12" a="1"/>
  <c r="L25" i="12" s="1"/>
  <c r="J25" i="12" a="1"/>
  <c r="J25" i="12" s="1"/>
  <c r="L46" i="12" a="1"/>
  <c r="L46" i="12" s="1"/>
  <c r="J46" i="12" a="1"/>
  <c r="J46" i="12" s="1"/>
  <c r="M34" i="6"/>
  <c r="AP33" i="6"/>
  <c r="AU33" i="6"/>
  <c r="AX33" i="6" a="1"/>
  <c r="AX33" i="6" s="1"/>
  <c r="BF33" i="6" a="1"/>
  <c r="BF33" i="6" s="1"/>
  <c r="AR33" i="6"/>
  <c r="AQ33" i="6"/>
  <c r="AM33" i="6"/>
  <c r="AX32" i="6" a="1"/>
  <c r="AX32" i="6" s="1"/>
  <c r="BF32" i="6" a="1"/>
  <c r="BF32" i="6" s="1"/>
  <c r="AS33" i="6"/>
  <c r="BC33" i="6" a="1"/>
  <c r="BC33" i="6" s="1"/>
  <c r="BE33" i="6" a="1"/>
  <c r="BE33" i="6" s="1"/>
  <c r="AT33" i="6"/>
  <c r="AV33" i="6"/>
  <c r="AO33" i="6"/>
  <c r="BG33" i="6" a="1"/>
  <c r="BG33" i="6" s="1"/>
  <c r="AZ33" i="6" a="1"/>
  <c r="AZ33" i="6" s="1"/>
  <c r="BA33" i="6" a="1"/>
  <c r="BA33" i="6" s="1"/>
  <c r="BB33" i="6" a="1"/>
  <c r="BB33" i="6" s="1"/>
  <c r="BD33" i="6" a="1"/>
  <c r="BD33" i="6" s="1"/>
  <c r="AY33" i="6" a="1"/>
  <c r="AY33" i="6" s="1"/>
  <c r="AU32" i="6"/>
  <c r="BC32" i="6" a="1"/>
  <c r="BC32" i="6" s="1"/>
  <c r="AT32" i="6"/>
  <c r="BD32" i="6" a="1"/>
  <c r="BD32" i="6" s="1"/>
  <c r="BA32" i="6" a="1"/>
  <c r="BA32" i="6" s="1"/>
  <c r="BB32" i="6" a="1"/>
  <c r="BB32" i="6" s="1"/>
  <c r="AS32" i="6"/>
  <c r="AP32" i="6"/>
  <c r="AQ32" i="6"/>
  <c r="AO32" i="6"/>
  <c r="AN32" i="6"/>
  <c r="AV32" i="6"/>
  <c r="AZ32" i="6" a="1"/>
  <c r="AZ32" i="6" s="1"/>
  <c r="AM32" i="6"/>
  <c r="BG32" i="6" a="1"/>
  <c r="BG32" i="6" s="1"/>
  <c r="AR32" i="6"/>
  <c r="AY32" i="6" a="1"/>
  <c r="AY32" i="6" s="1"/>
  <c r="L29" i="12" a="1"/>
  <c r="L29" i="12" s="1"/>
  <c r="J18" i="12" a="1"/>
  <c r="J18" i="12" s="1"/>
  <c r="J22" i="12" a="1"/>
  <c r="J22" i="12" s="1"/>
  <c r="J29" i="12" a="1"/>
  <c r="J29" i="12" s="1"/>
  <c r="J51" i="12" a="1"/>
  <c r="J51" i="12" s="1"/>
  <c r="J43" i="12" a="1"/>
  <c r="J43" i="12" s="1"/>
  <c r="J45" i="12" a="1"/>
  <c r="J45" i="12" s="1"/>
  <c r="J50" i="12" a="1"/>
  <c r="J50" i="12" s="1"/>
  <c r="L37" i="12" a="1"/>
  <c r="L37" i="12" s="1"/>
  <c r="L45" i="12" a="1"/>
  <c r="L45" i="12" s="1"/>
  <c r="L22" i="12" a="1"/>
  <c r="L22" i="12" s="1"/>
  <c r="L18" i="12" a="1"/>
  <c r="L18" i="12" s="1"/>
  <c r="J52" i="12" a="1"/>
  <c r="J52" i="12" s="1"/>
  <c r="L39" i="12" a="1"/>
  <c r="L39" i="12" s="1"/>
  <c r="J28" i="12" a="1"/>
  <c r="J28" i="12" s="1"/>
  <c r="J32" i="12" a="1"/>
  <c r="J32" i="12" s="1"/>
  <c r="J37" i="12" a="1"/>
  <c r="J37" i="12" s="1"/>
  <c r="L51" i="12" a="1"/>
  <c r="L51" i="12" s="1"/>
  <c r="J44" i="12" a="1"/>
  <c r="J44" i="12" s="1"/>
  <c r="L34" i="12" a="1"/>
  <c r="L34" i="12" s="1"/>
  <c r="J36" i="12" a="1"/>
  <c r="J36" i="12" s="1"/>
  <c r="L32" i="12" a="1"/>
  <c r="L32" i="12" s="1"/>
  <c r="L28" i="12" a="1"/>
  <c r="L28" i="12" s="1"/>
  <c r="L40" i="12" a="1"/>
  <c r="L40" i="12" s="1"/>
  <c r="J39" i="12" a="1"/>
  <c r="J39" i="12" s="1"/>
  <c r="L36" i="12" a="1"/>
  <c r="L36" i="12" s="1"/>
  <c r="J42" i="12" a="1"/>
  <c r="J42" i="12" s="1"/>
  <c r="L50" i="12" a="1"/>
  <c r="L50" i="12" s="1"/>
  <c r="J41" i="12" a="1"/>
  <c r="J41" i="12" s="1"/>
  <c r="L44" i="12" a="1"/>
  <c r="L44" i="12" s="1"/>
  <c r="L43" i="12" a="1"/>
  <c r="L43" i="12" s="1"/>
  <c r="J40" i="12" a="1"/>
  <c r="J40" i="12" s="1"/>
  <c r="L41" i="12" a="1"/>
  <c r="L41" i="12" s="1"/>
  <c r="J34" i="12" a="1"/>
  <c r="J34" i="12" s="1"/>
  <c r="J31" i="12" a="1"/>
  <c r="J31" i="12" s="1"/>
  <c r="J35" i="12" a="1"/>
  <c r="J35" i="12" s="1"/>
  <c r="L35" i="12" a="1"/>
  <c r="L35" i="12" s="1"/>
  <c r="L49" i="12" a="1"/>
  <c r="L49" i="12" s="1"/>
  <c r="L54" i="12" a="1"/>
  <c r="L54" i="12" s="1"/>
  <c r="L31" i="12" a="1"/>
  <c r="L31" i="12" s="1"/>
  <c r="L42" i="12" a="1"/>
  <c r="L42" i="12" s="1"/>
  <c r="L52" i="12" a="1"/>
  <c r="L52" i="12" s="1"/>
  <c r="J49" i="12" a="1"/>
  <c r="J49" i="12" s="1"/>
  <c r="J54" i="12" a="1"/>
  <c r="J54" i="12" s="1"/>
  <c r="AO7" i="12" a="1"/>
  <c r="AO7" i="12" s="1"/>
  <c r="L14" i="12" a="1"/>
  <c r="L14" i="12" s="1"/>
  <c r="J14" i="12" a="1"/>
  <c r="J14" i="12" s="1"/>
  <c r="S12" i="9"/>
  <c r="T12" i="10"/>
  <c r="T11" i="10" s="1" a="1"/>
  <c r="T11" i="10" s="1"/>
  <c r="K47" i="12" l="1"/>
  <c r="BF34" i="6" a="1"/>
  <c r="BF34" i="6" s="1"/>
  <c r="K26" i="12"/>
  <c r="K19" i="12"/>
  <c r="K25" i="12"/>
  <c r="K46" i="12"/>
  <c r="AO34" i="6"/>
  <c r="AP34" i="6"/>
  <c r="BG34" i="6" a="1"/>
  <c r="BG34" i="6" s="1"/>
  <c r="AM34" i="6"/>
  <c r="AX34" i="6" a="1"/>
  <c r="AX34" i="6" s="1"/>
  <c r="BE34" i="6" a="1"/>
  <c r="BE34" i="6" s="1"/>
  <c r="AQ34" i="6"/>
  <c r="AZ34" i="6" a="1"/>
  <c r="AZ34" i="6" s="1"/>
  <c r="AT34" i="6"/>
  <c r="BB34" i="6" a="1"/>
  <c r="BB34" i="6" s="1"/>
  <c r="BC34" i="6" a="1"/>
  <c r="BC34" i="6" s="1"/>
  <c r="AR34" i="6"/>
  <c r="AN34" i="6"/>
  <c r="BA34" i="6" a="1"/>
  <c r="BA34" i="6" s="1"/>
  <c r="AV34" i="6"/>
  <c r="AS34" i="6"/>
  <c r="AY34" i="6" a="1"/>
  <c r="AY34" i="6" s="1"/>
  <c r="BD34" i="6" a="1"/>
  <c r="BD34" i="6" s="1"/>
  <c r="AU34" i="6"/>
  <c r="M38" i="6"/>
  <c r="M36" i="6"/>
  <c r="M35" i="6"/>
  <c r="M37" i="6"/>
  <c r="K32" i="12"/>
  <c r="K50" i="12"/>
  <c r="K42" i="12"/>
  <c r="K31" i="12"/>
  <c r="K54" i="12"/>
  <c r="K44" i="12"/>
  <c r="K28" i="12"/>
  <c r="K18" i="12"/>
  <c r="K22" i="12"/>
  <c r="K49" i="12"/>
  <c r="K40" i="12"/>
  <c r="K52" i="12"/>
  <c r="K43" i="12"/>
  <c r="K39" i="12"/>
  <c r="K35" i="12"/>
  <c r="K34" i="12"/>
  <c r="K36" i="12"/>
  <c r="K51" i="12"/>
  <c r="K45" i="12"/>
  <c r="K29" i="12"/>
  <c r="K37" i="12"/>
  <c r="K41" i="12"/>
  <c r="T12" i="9"/>
  <c r="K14" i="12"/>
  <c r="U12" i="10"/>
  <c r="U11" i="10" s="1" a="1"/>
  <c r="U11" i="10" s="1"/>
  <c r="M39" i="6" l="1"/>
  <c r="M47" i="6" s="1"/>
  <c r="AR36" i="6"/>
  <c r="BA36" i="6" a="1"/>
  <c r="BA36" i="6" s="1"/>
  <c r="AY36" i="6" a="1"/>
  <c r="AY36" i="6" s="1"/>
  <c r="AQ36" i="6"/>
  <c r="AO36" i="6"/>
  <c r="AN36" i="6"/>
  <c r="AX36" i="6" a="1"/>
  <c r="AX36" i="6" s="1"/>
  <c r="AU36" i="6"/>
  <c r="BC36" i="6" a="1"/>
  <c r="BC36" i="6" s="1"/>
  <c r="AV36" i="6"/>
  <c r="AT36" i="6"/>
  <c r="AZ36" i="6" a="1"/>
  <c r="AZ36" i="6" s="1"/>
  <c r="BF36" i="6" a="1"/>
  <c r="BF36" i="6" s="1"/>
  <c r="BG36" i="6" a="1"/>
  <c r="BG36" i="6" s="1"/>
  <c r="BE36" i="6" a="1"/>
  <c r="BE36" i="6" s="1"/>
  <c r="BD36" i="6" a="1"/>
  <c r="BD36" i="6" s="1"/>
  <c r="BB36" i="6" a="1"/>
  <c r="BB36" i="6" s="1"/>
  <c r="AM36" i="6"/>
  <c r="AS36" i="6"/>
  <c r="AP36" i="6"/>
  <c r="AY37" i="6" a="1"/>
  <c r="AY37" i="6" s="1"/>
  <c r="BA37" i="6" a="1"/>
  <c r="BA37" i="6" s="1"/>
  <c r="AO37" i="6"/>
  <c r="AN37" i="6"/>
  <c r="BD37" i="6" a="1"/>
  <c r="BD37" i="6" s="1"/>
  <c r="BB37" i="6" a="1"/>
  <c r="BB37" i="6" s="1"/>
  <c r="AR37" i="6"/>
  <c r="AM37" i="6"/>
  <c r="BF37" i="6" a="1"/>
  <c r="BF37" i="6" s="1"/>
  <c r="AP37" i="6"/>
  <c r="AZ37" i="6" a="1"/>
  <c r="AZ37" i="6" s="1"/>
  <c r="AX37" i="6" a="1"/>
  <c r="AX37" i="6" s="1"/>
  <c r="BG37" i="6" a="1"/>
  <c r="BG37" i="6" s="1"/>
  <c r="AS37" i="6"/>
  <c r="AU37" i="6"/>
  <c r="AV37" i="6"/>
  <c r="BC37" i="6" a="1"/>
  <c r="BC37" i="6" s="1"/>
  <c r="AQ37" i="6"/>
  <c r="BE37" i="6" a="1"/>
  <c r="BE37" i="6" s="1"/>
  <c r="AT37" i="6"/>
  <c r="BG38" i="6" a="1"/>
  <c r="BG38" i="6" s="1"/>
  <c r="AT38" i="6"/>
  <c r="BC38" i="6" a="1"/>
  <c r="BC38" i="6" s="1"/>
  <c r="AZ38" i="6" a="1"/>
  <c r="AZ38" i="6" s="1"/>
  <c r="AO38" i="6"/>
  <c r="AV38" i="6"/>
  <c r="BA38" i="6" a="1"/>
  <c r="BA38" i="6" s="1"/>
  <c r="AU38" i="6"/>
  <c r="AN38" i="6"/>
  <c r="AM38" i="6"/>
  <c r="AP38" i="6"/>
  <c r="AS38" i="6"/>
  <c r="AR38" i="6"/>
  <c r="BD38" i="6" a="1"/>
  <c r="BD38" i="6" s="1"/>
  <c r="AX38" i="6" a="1"/>
  <c r="AX38" i="6" s="1"/>
  <c r="AQ38" i="6"/>
  <c r="BF38" i="6" a="1"/>
  <c r="BF38" i="6" s="1"/>
  <c r="BE38" i="6" a="1"/>
  <c r="BE38" i="6" s="1"/>
  <c r="BB38" i="6" a="1"/>
  <c r="BB38" i="6" s="1"/>
  <c r="AY38" i="6" a="1"/>
  <c r="AY38" i="6" s="1"/>
  <c r="AY35" i="6" a="1"/>
  <c r="AY35" i="6" s="1"/>
  <c r="BF35" i="6" a="1"/>
  <c r="BF35" i="6" s="1"/>
  <c r="AN35" i="6"/>
  <c r="BG35" i="6" a="1"/>
  <c r="BG35" i="6" s="1"/>
  <c r="BC35" i="6" a="1"/>
  <c r="BC35" i="6" s="1"/>
  <c r="AT35" i="6"/>
  <c r="AR35" i="6"/>
  <c r="AZ35" i="6" a="1"/>
  <c r="AZ35" i="6" s="1"/>
  <c r="BE35" i="6" a="1"/>
  <c r="BE35" i="6" s="1"/>
  <c r="AM35" i="6"/>
  <c r="BB35" i="6" a="1"/>
  <c r="BB35" i="6" s="1"/>
  <c r="AU35" i="6"/>
  <c r="AX35" i="6" a="1"/>
  <c r="AX35" i="6" s="1"/>
  <c r="AO35" i="6"/>
  <c r="BA35" i="6" a="1"/>
  <c r="BA35" i="6" s="1"/>
  <c r="BD35" i="6" a="1"/>
  <c r="BD35" i="6" s="1"/>
  <c r="AP35" i="6"/>
  <c r="AQ35" i="6"/>
  <c r="AS35" i="6"/>
  <c r="AV35" i="6"/>
  <c r="U12" i="9"/>
  <c r="V12" i="10"/>
  <c r="V11" i="10" s="1" a="1"/>
  <c r="V11" i="10" s="1"/>
  <c r="BD47" i="6" l="1" a="1"/>
  <c r="BD47" i="6" s="1"/>
  <c r="AZ47" i="6" a="1"/>
  <c r="AZ47" i="6" s="1"/>
  <c r="BG47" i="6" a="1"/>
  <c r="BG47" i="6" s="1"/>
  <c r="BF47" i="6" a="1"/>
  <c r="BF47" i="6" s="1"/>
  <c r="BE47" i="6" a="1"/>
  <c r="BE47" i="6" s="1"/>
  <c r="AP47" i="6"/>
  <c r="AS47" i="6"/>
  <c r="BC47" i="6" a="1"/>
  <c r="BC47" i="6" s="1"/>
  <c r="BB47" i="6" a="1"/>
  <c r="BB47" i="6" s="1"/>
  <c r="BA47" i="6" a="1"/>
  <c r="BA47" i="6" s="1"/>
  <c r="AY47" i="6" a="1"/>
  <c r="AY47" i="6" s="1"/>
  <c r="AX47" i="6" a="1"/>
  <c r="AX47" i="6" s="1"/>
  <c r="AU47" i="6"/>
  <c r="AQ47" i="6"/>
  <c r="AO47" i="6"/>
  <c r="AM47" i="6"/>
  <c r="AN47" i="6"/>
  <c r="AR47" i="6"/>
  <c r="AV47" i="6"/>
  <c r="AT47" i="6"/>
  <c r="M46" i="6"/>
  <c r="AS46" i="6" s="1"/>
  <c r="AS39" i="6"/>
  <c r="BA39" i="6" a="1"/>
  <c r="BA39" i="6" s="1"/>
  <c r="AZ39" i="6" a="1"/>
  <c r="AZ39" i="6" s="1"/>
  <c r="M41" i="6"/>
  <c r="AP39" i="6"/>
  <c r="AT39" i="6"/>
  <c r="AR39" i="6"/>
  <c r="AM39" i="6"/>
  <c r="AX39" i="6" a="1"/>
  <c r="AX39" i="6" s="1"/>
  <c r="AN39" i="6"/>
  <c r="AO39" i="6"/>
  <c r="M40" i="6"/>
  <c r="AU39" i="6"/>
  <c r="BB39" i="6" a="1"/>
  <c r="BB39" i="6" s="1"/>
  <c r="M42" i="6"/>
  <c r="BE39" i="6" a="1"/>
  <c r="BE39" i="6" s="1"/>
  <c r="BD39" i="6" a="1"/>
  <c r="BD39" i="6" s="1"/>
  <c r="M43" i="6"/>
  <c r="BF39" i="6" a="1"/>
  <c r="BF39" i="6" s="1"/>
  <c r="AY39" i="6" a="1"/>
  <c r="AY39" i="6" s="1"/>
  <c r="AV39" i="6"/>
  <c r="M48" i="6"/>
  <c r="M45" i="6"/>
  <c r="AQ39" i="6"/>
  <c r="BC39" i="6" a="1"/>
  <c r="BC39" i="6" s="1"/>
  <c r="BG39" i="6" a="1"/>
  <c r="BG39" i="6" s="1"/>
  <c r="M44" i="6"/>
  <c r="V12" i="9"/>
  <c r="W12" i="10"/>
  <c r="W11" i="10" s="1" a="1"/>
  <c r="W11" i="10" s="1"/>
  <c r="BE46" i="6" l="1" a="1"/>
  <c r="BE46" i="6" s="1"/>
  <c r="AM46" i="6"/>
  <c r="BF46" i="6" a="1"/>
  <c r="BF46" i="6" s="1"/>
  <c r="AZ46" i="6" a="1"/>
  <c r="AZ46" i="6" s="1"/>
  <c r="AO46" i="6"/>
  <c r="AP46" i="6"/>
  <c r="AX46" i="6" a="1"/>
  <c r="AX46" i="6" s="1"/>
  <c r="AU46" i="6"/>
  <c r="AY46" i="6" a="1"/>
  <c r="AY46" i="6" s="1"/>
  <c r="AV46" i="6"/>
  <c r="BB46" i="6" a="1"/>
  <c r="BB46" i="6" s="1"/>
  <c r="BA46" i="6" a="1"/>
  <c r="BA46" i="6" s="1"/>
  <c r="BC46" i="6" a="1"/>
  <c r="BC46" i="6" s="1"/>
  <c r="BD46" i="6" a="1"/>
  <c r="BD46" i="6" s="1"/>
  <c r="AR46" i="6"/>
  <c r="BG46" i="6" a="1"/>
  <c r="BG46" i="6" s="1"/>
  <c r="AN46" i="6"/>
  <c r="AT41" i="6"/>
  <c r="AQ46" i="6"/>
  <c r="AT46" i="6"/>
  <c r="M49" i="6"/>
  <c r="BF41" i="6" a="1"/>
  <c r="BF41" i="6" s="1"/>
  <c r="AR41" i="6"/>
  <c r="AX41" i="6" a="1"/>
  <c r="AX41" i="6" s="1"/>
  <c r="AZ41" i="6" a="1"/>
  <c r="AZ41" i="6" s="1"/>
  <c r="BG41" i="6" a="1"/>
  <c r="BG41" i="6" s="1"/>
  <c r="AO41" i="6"/>
  <c r="AM41" i="6"/>
  <c r="AV41" i="6"/>
  <c r="BE41" i="6" a="1"/>
  <c r="BE41" i="6" s="1"/>
  <c r="AY41" i="6" a="1"/>
  <c r="AY41" i="6" s="1"/>
  <c r="AN41" i="6"/>
  <c r="BB41" i="6" a="1"/>
  <c r="BB41" i="6" s="1"/>
  <c r="AQ41" i="6"/>
  <c r="AP41" i="6"/>
  <c r="BA41" i="6" a="1"/>
  <c r="BA41" i="6" s="1"/>
  <c r="BD41" i="6" a="1"/>
  <c r="BD41" i="6" s="1"/>
  <c r="AU41" i="6"/>
  <c r="BC41" i="6" a="1"/>
  <c r="BC41" i="6" s="1"/>
  <c r="AS41" i="6"/>
  <c r="AT43" i="6"/>
  <c r="AP43" i="6"/>
  <c r="BD43" i="6" a="1"/>
  <c r="BD43" i="6" s="1"/>
  <c r="AN43" i="6"/>
  <c r="AR43" i="6"/>
  <c r="AZ43" i="6" a="1"/>
  <c r="AZ43" i="6" s="1"/>
  <c r="BA43" i="6" a="1"/>
  <c r="BA43" i="6" s="1"/>
  <c r="AU43" i="6"/>
  <c r="AV43" i="6"/>
  <c r="AQ43" i="6"/>
  <c r="BG43" i="6" a="1"/>
  <c r="BG43" i="6" s="1"/>
  <c r="AY43" i="6" a="1"/>
  <c r="AY43" i="6" s="1"/>
  <c r="AS43" i="6"/>
  <c r="BF43" i="6" a="1"/>
  <c r="BF43" i="6" s="1"/>
  <c r="BC43" i="6" a="1"/>
  <c r="BC43" i="6" s="1"/>
  <c r="AM43" i="6"/>
  <c r="BE43" i="6" a="1"/>
  <c r="BE43" i="6" s="1"/>
  <c r="AO43" i="6"/>
  <c r="BB43" i="6" a="1"/>
  <c r="BB43" i="6" s="1"/>
  <c r="AX43" i="6" a="1"/>
  <c r="AX43" i="6" s="1"/>
  <c r="AQ44" i="6"/>
  <c r="AT44" i="6"/>
  <c r="AP44" i="6"/>
  <c r="AU44" i="6"/>
  <c r="AX44" i="6" a="1"/>
  <c r="AX44" i="6" s="1"/>
  <c r="BE44" i="6" a="1"/>
  <c r="BE44" i="6" s="1"/>
  <c r="AO44" i="6"/>
  <c r="BC44" i="6" a="1"/>
  <c r="BC44" i="6" s="1"/>
  <c r="AS44" i="6"/>
  <c r="BA44" i="6" a="1"/>
  <c r="BA44" i="6" s="1"/>
  <c r="BF44" i="6" a="1"/>
  <c r="BF44" i="6" s="1"/>
  <c r="AM44" i="6"/>
  <c r="AN44" i="6"/>
  <c r="AR44" i="6"/>
  <c r="BB44" i="6" a="1"/>
  <c r="BB44" i="6" s="1"/>
  <c r="BG44" i="6" a="1"/>
  <c r="BG44" i="6" s="1"/>
  <c r="AV44" i="6"/>
  <c r="AY44" i="6" a="1"/>
  <c r="AY44" i="6" s="1"/>
  <c r="BD44" i="6" a="1"/>
  <c r="BD44" i="6" s="1"/>
  <c r="AZ44" i="6" a="1"/>
  <c r="AZ44" i="6" s="1"/>
  <c r="AN40" i="6"/>
  <c r="AX40" i="6" a="1"/>
  <c r="AX40" i="6" s="1"/>
  <c r="BF40" i="6" a="1"/>
  <c r="BF40" i="6" s="1"/>
  <c r="AU40" i="6"/>
  <c r="AO40" i="6"/>
  <c r="BA40" i="6" a="1"/>
  <c r="BA40" i="6" s="1"/>
  <c r="BC40" i="6" a="1"/>
  <c r="BC40" i="6" s="1"/>
  <c r="AV40" i="6"/>
  <c r="AR40" i="6"/>
  <c r="AP40" i="6"/>
  <c r="BD40" i="6" a="1"/>
  <c r="BD40" i="6" s="1"/>
  <c r="BG40" i="6" a="1"/>
  <c r="BG40" i="6" s="1"/>
  <c r="AM40" i="6"/>
  <c r="AT40" i="6"/>
  <c r="BE40" i="6" a="1"/>
  <c r="BE40" i="6" s="1"/>
  <c r="BB40" i="6" a="1"/>
  <c r="BB40" i="6" s="1"/>
  <c r="AY40" i="6" a="1"/>
  <c r="AY40" i="6" s="1"/>
  <c r="AZ40" i="6" a="1"/>
  <c r="AZ40" i="6" s="1"/>
  <c r="AQ40" i="6"/>
  <c r="AS40" i="6"/>
  <c r="AQ45" i="6"/>
  <c r="BG45" i="6" a="1"/>
  <c r="BG45" i="6" s="1"/>
  <c r="AZ45" i="6" a="1"/>
  <c r="AZ45" i="6" s="1"/>
  <c r="AO45" i="6"/>
  <c r="AP45" i="6"/>
  <c r="AX45" i="6" a="1"/>
  <c r="AX45" i="6" s="1"/>
  <c r="BD45" i="6" a="1"/>
  <c r="BD45" i="6" s="1"/>
  <c r="BB45" i="6" a="1"/>
  <c r="BB45" i="6" s="1"/>
  <c r="AT45" i="6"/>
  <c r="BF45" i="6" a="1"/>
  <c r="BF45" i="6" s="1"/>
  <c r="AN45" i="6"/>
  <c r="AS45" i="6"/>
  <c r="AM45" i="6"/>
  <c r="BC45" i="6" a="1"/>
  <c r="BC45" i="6" s="1"/>
  <c r="AR45" i="6"/>
  <c r="BA45" i="6" a="1"/>
  <c r="BA45" i="6" s="1"/>
  <c r="AV45" i="6"/>
  <c r="AY45" i="6" a="1"/>
  <c r="AY45" i="6" s="1"/>
  <c r="AU45" i="6"/>
  <c r="BE45" i="6" a="1"/>
  <c r="BE45" i="6" s="1"/>
  <c r="AV48" i="6"/>
  <c r="AU48" i="6"/>
  <c r="AX48" i="6" a="1"/>
  <c r="AX48" i="6" s="1"/>
  <c r="BG48" i="6" a="1"/>
  <c r="BG48" i="6" s="1"/>
  <c r="AR48" i="6"/>
  <c r="BA48" i="6" a="1"/>
  <c r="BA48" i="6" s="1"/>
  <c r="BF48" i="6" a="1"/>
  <c r="BF48" i="6" s="1"/>
  <c r="BC48" i="6" a="1"/>
  <c r="BC48" i="6" s="1"/>
  <c r="AY48" i="6" a="1"/>
  <c r="AY48" i="6" s="1"/>
  <c r="AQ48" i="6"/>
  <c r="AP48" i="6"/>
  <c r="BE48" i="6" a="1"/>
  <c r="BE48" i="6" s="1"/>
  <c r="AO48" i="6"/>
  <c r="BD48" i="6" a="1"/>
  <c r="BD48" i="6" s="1"/>
  <c r="AM48" i="6"/>
  <c r="AS48" i="6"/>
  <c r="AZ48" i="6" a="1"/>
  <c r="AZ48" i="6" s="1"/>
  <c r="AT48" i="6"/>
  <c r="AN48" i="6"/>
  <c r="BB48" i="6" a="1"/>
  <c r="BB48" i="6" s="1"/>
  <c r="BF42" i="6" a="1"/>
  <c r="BF42" i="6" s="1"/>
  <c r="AU42" i="6"/>
  <c r="AT42" i="6"/>
  <c r="BB42" i="6" a="1"/>
  <c r="BB42" i="6" s="1"/>
  <c r="AS42" i="6"/>
  <c r="AO42" i="6"/>
  <c r="BA42" i="6" a="1"/>
  <c r="BA42" i="6" s="1"/>
  <c r="AQ42" i="6"/>
  <c r="AP42" i="6"/>
  <c r="AX42" i="6" a="1"/>
  <c r="AX42" i="6" s="1"/>
  <c r="AN42" i="6"/>
  <c r="AZ42" i="6" a="1"/>
  <c r="AZ42" i="6" s="1"/>
  <c r="AR42" i="6"/>
  <c r="AY42" i="6" a="1"/>
  <c r="AY42" i="6" s="1"/>
  <c r="BC42" i="6" a="1"/>
  <c r="BC42" i="6" s="1"/>
  <c r="AM42" i="6"/>
  <c r="BG42" i="6" a="1"/>
  <c r="BG42" i="6" s="1"/>
  <c r="AV42" i="6"/>
  <c r="BD42" i="6" a="1"/>
  <c r="BD42" i="6" s="1"/>
  <c r="BE42" i="6" a="1"/>
  <c r="BE42" i="6" s="1"/>
  <c r="W12" i="9"/>
  <c r="X12" i="10"/>
  <c r="X11" i="10" s="1" a="1"/>
  <c r="X11" i="10" s="1"/>
  <c r="AQ49" i="6" l="1"/>
  <c r="AR49" i="6"/>
  <c r="AO49" i="6"/>
  <c r="BF49" i="6" a="1"/>
  <c r="BF49" i="6" s="1"/>
  <c r="AV49" i="6"/>
  <c r="AX49" i="6" a="1"/>
  <c r="AX49" i="6" s="1"/>
  <c r="BD49" i="6" a="1"/>
  <c r="BD49" i="6" s="1"/>
  <c r="BE49" i="6" a="1"/>
  <c r="BE49" i="6" s="1"/>
  <c r="AP49" i="6"/>
  <c r="AT49" i="6"/>
  <c r="BG49" i="6" a="1"/>
  <c r="BG49" i="6" s="1"/>
  <c r="AZ49" i="6" a="1"/>
  <c r="AZ49" i="6" s="1"/>
  <c r="BA49" i="6" a="1"/>
  <c r="BA49" i="6" s="1"/>
  <c r="AM49" i="6"/>
  <c r="M53" i="6"/>
  <c r="AS49" i="6"/>
  <c r="AU49" i="6"/>
  <c r="M50" i="6"/>
  <c r="BB49" i="6" a="1"/>
  <c r="BB49" i="6" s="1"/>
  <c r="M51" i="6"/>
  <c r="M52" i="6"/>
  <c r="AN49" i="6"/>
  <c r="BC49" i="6" a="1"/>
  <c r="BC49" i="6" s="1"/>
  <c r="AY49" i="6" a="1"/>
  <c r="AY49" i="6" s="1"/>
  <c r="X12" i="9"/>
  <c r="Y12" i="10"/>
  <c r="Y11" i="10" s="1" a="1"/>
  <c r="Y11" i="10" s="1"/>
  <c r="M54" i="6" l="1"/>
  <c r="AM53" i="6"/>
  <c r="BA51" i="6" a="1"/>
  <c r="BA51" i="6" s="1"/>
  <c r="BE53" i="6" a="1"/>
  <c r="BE53" i="6" s="1"/>
  <c r="AN53" i="6"/>
  <c r="AT53" i="6"/>
  <c r="AX53" i="6" a="1"/>
  <c r="AX53" i="6" s="1"/>
  <c r="AO53" i="6"/>
  <c r="AY53" i="6" a="1"/>
  <c r="AY53" i="6" s="1"/>
  <c r="BD53" i="6" a="1"/>
  <c r="BD53" i="6" s="1"/>
  <c r="BC53" i="6" a="1"/>
  <c r="BC53" i="6" s="1"/>
  <c r="AP53" i="6"/>
  <c r="AS53" i="6"/>
  <c r="AU53" i="6"/>
  <c r="AQ53" i="6"/>
  <c r="BF53" i="6" a="1"/>
  <c r="BF53" i="6" s="1"/>
  <c r="BB53" i="6" a="1"/>
  <c r="BB53" i="6" s="1"/>
  <c r="BA53" i="6" a="1"/>
  <c r="BA53" i="6" s="1"/>
  <c r="AV53" i="6"/>
  <c r="AZ53" i="6" a="1"/>
  <c r="AZ53" i="6" s="1"/>
  <c r="AR53" i="6"/>
  <c r="BG53" i="6" a="1"/>
  <c r="BG53" i="6" s="1"/>
  <c r="BF52" i="6" a="1"/>
  <c r="BF52" i="6" s="1"/>
  <c r="BA52" i="6" a="1"/>
  <c r="BA52" i="6" s="1"/>
  <c r="BG52" i="6" a="1"/>
  <c r="BG52" i="6" s="1"/>
  <c r="BE52" i="6" a="1"/>
  <c r="BE52" i="6" s="1"/>
  <c r="BC52" i="6" a="1"/>
  <c r="BC52" i="6" s="1"/>
  <c r="BD52" i="6" a="1"/>
  <c r="BD52" i="6" s="1"/>
  <c r="AO52" i="6"/>
  <c r="AR52" i="6"/>
  <c r="AV52" i="6"/>
  <c r="AY52" i="6" a="1"/>
  <c r="AY52" i="6" s="1"/>
  <c r="AS52" i="6"/>
  <c r="AZ52" i="6" a="1"/>
  <c r="AZ52" i="6" s="1"/>
  <c r="AT52" i="6"/>
  <c r="AQ52" i="6"/>
  <c r="AU52" i="6"/>
  <c r="AX52" i="6" a="1"/>
  <c r="AX52" i="6" s="1"/>
  <c r="BB52" i="6" a="1"/>
  <c r="BB52" i="6" s="1"/>
  <c r="AM52" i="6"/>
  <c r="AN52" i="6"/>
  <c r="AP52" i="6"/>
  <c r="AN51" i="6"/>
  <c r="AP51" i="6"/>
  <c r="BE51" i="6" a="1"/>
  <c r="BE51" i="6" s="1"/>
  <c r="AM51" i="6"/>
  <c r="AT51" i="6"/>
  <c r="AZ51" i="6" a="1"/>
  <c r="AZ51" i="6" s="1"/>
  <c r="AY51" i="6" a="1"/>
  <c r="AY51" i="6" s="1"/>
  <c r="BF51" i="6" a="1"/>
  <c r="BF51" i="6" s="1"/>
  <c r="AQ51" i="6"/>
  <c r="AV51" i="6"/>
  <c r="AX51" i="6" a="1"/>
  <c r="AX51" i="6" s="1"/>
  <c r="BB51" i="6" a="1"/>
  <c r="BB51" i="6" s="1"/>
  <c r="AR51" i="6"/>
  <c r="BG51" i="6" a="1"/>
  <c r="BG51" i="6" s="1"/>
  <c r="BD51" i="6" a="1"/>
  <c r="BD51" i="6" s="1"/>
  <c r="AS51" i="6"/>
  <c r="BC51" i="6" a="1"/>
  <c r="BC51" i="6" s="1"/>
  <c r="AU51" i="6"/>
  <c r="AO51" i="6"/>
  <c r="AP50" i="6"/>
  <c r="AQ50" i="6"/>
  <c r="AN50" i="6"/>
  <c r="AO50" i="6"/>
  <c r="AY50" i="6" a="1"/>
  <c r="AY50" i="6" s="1"/>
  <c r="BB50" i="6" a="1"/>
  <c r="BB50" i="6" s="1"/>
  <c r="AV50" i="6"/>
  <c r="AS50" i="6"/>
  <c r="BD50" i="6" a="1"/>
  <c r="BD50" i="6" s="1"/>
  <c r="AM50" i="6"/>
  <c r="AT50" i="6"/>
  <c r="AX50" i="6" a="1"/>
  <c r="AX50" i="6" s="1"/>
  <c r="AU50" i="6"/>
  <c r="BF50" i="6" a="1"/>
  <c r="BF50" i="6" s="1"/>
  <c r="AZ50" i="6" a="1"/>
  <c r="AZ50" i="6" s="1"/>
  <c r="BC50" i="6" a="1"/>
  <c r="BC50" i="6" s="1"/>
  <c r="BG50" i="6" a="1"/>
  <c r="BG50" i="6" s="1"/>
  <c r="BA50" i="6" a="1"/>
  <c r="BA50" i="6" s="1"/>
  <c r="AR50" i="6"/>
  <c r="BE50" i="6" a="1"/>
  <c r="BE50" i="6" s="1"/>
  <c r="Y12" i="9"/>
  <c r="Z12" i="10"/>
  <c r="Z11" i="10" s="1" a="1"/>
  <c r="Z11" i="10" s="1"/>
  <c r="BD54" i="6" l="1" a="1"/>
  <c r="BD54" i="6" s="1"/>
  <c r="AU54" i="6"/>
  <c r="AO54" i="6"/>
  <c r="BE54" i="6" a="1"/>
  <c r="BE54" i="6" s="1"/>
  <c r="AZ54" i="6" a="1"/>
  <c r="AZ54" i="6" s="1"/>
  <c r="AV54" i="6"/>
  <c r="AN54" i="6"/>
  <c r="AY54" i="6" a="1"/>
  <c r="AY54" i="6" s="1"/>
  <c r="AX54" i="6" a="1"/>
  <c r="AX54" i="6" s="1"/>
  <c r="AR54" i="6"/>
  <c r="AP54" i="6"/>
  <c r="AT54" i="6"/>
  <c r="BC54" i="6" a="1"/>
  <c r="BC54" i="6" s="1"/>
  <c r="BF54" i="6" a="1"/>
  <c r="BF54" i="6" s="1"/>
  <c r="AQ54" i="6"/>
  <c r="AM54" i="6"/>
  <c r="AS54" i="6"/>
  <c r="BB54" i="6" a="1"/>
  <c r="BB54" i="6" s="1"/>
  <c r="BA54" i="6" a="1"/>
  <c r="BA54" i="6" s="1"/>
  <c r="BG54" i="6" a="1"/>
  <c r="BG54" i="6" s="1"/>
  <c r="Z12" i="9"/>
  <c r="AA12" i="10"/>
  <c r="AA11" i="10" s="1" a="1"/>
  <c r="AA11" i="10" s="1"/>
  <c r="AA12" i="9" l="1"/>
  <c r="AB12" i="10"/>
  <c r="AB11" i="10" s="1" a="1"/>
  <c r="AB11" i="10" s="1"/>
  <c r="AB12" i="9" l="1"/>
  <c r="AC12" i="10"/>
  <c r="AC11" i="10" s="1" a="1"/>
  <c r="AC11" i="10" s="1"/>
  <c r="AC12" i="9" l="1"/>
  <c r="AD12" i="10"/>
  <c r="AD11" i="10" s="1" a="1"/>
  <c r="AD11" i="10" s="1"/>
  <c r="AD12" i="9" l="1"/>
  <c r="AE12" i="10"/>
  <c r="AE11" i="10" s="1" a="1"/>
  <c r="AE11" i="10" s="1"/>
  <c r="AE12" i="9" l="1"/>
  <c r="AF12" i="10"/>
  <c r="AF11" i="10" s="1" a="1"/>
  <c r="AF11" i="10" s="1"/>
  <c r="M1" i="6" l="1"/>
  <c r="H47" i="6" l="1" a="1"/>
  <c r="H47" i="6" s="1"/>
  <c r="H26" i="6" a="1"/>
  <c r="H26" i="6" s="1"/>
  <c r="H19" i="6" a="1"/>
  <c r="H19" i="6" s="1"/>
  <c r="H25" i="6" a="1"/>
  <c r="H25" i="6" s="1"/>
  <c r="H46" i="6" a="1"/>
  <c r="H46" i="6" s="1"/>
  <c r="J16" i="6" a="1"/>
  <c r="J16" i="6" s="1"/>
  <c r="J17" i="6" a="1"/>
  <c r="J17" i="6" s="1"/>
  <c r="H21" i="6" a="1"/>
  <c r="H21" i="6" s="1"/>
  <c r="H22" i="6" a="1"/>
  <c r="H22" i="6" s="1"/>
  <c r="H23" i="6" a="1"/>
  <c r="H23" i="6" s="1"/>
  <c r="H24" i="6" a="1"/>
  <c r="H24" i="6" s="1"/>
  <c r="H18" i="6" a="1"/>
  <c r="H18" i="6" s="1"/>
  <c r="H30" i="6" a="1"/>
  <c r="H30" i="6" s="1"/>
  <c r="H28" i="6" a="1"/>
  <c r="H28" i="6" s="1"/>
  <c r="H27" i="6" a="1"/>
  <c r="H27" i="6" s="1"/>
  <c r="H20" i="6" a="1"/>
  <c r="H20" i="6" s="1"/>
  <c r="H29" i="6" a="1"/>
  <c r="H29" i="6" s="1"/>
  <c r="H31" i="6" a="1"/>
  <c r="H31" i="6" s="1"/>
  <c r="H32" i="6" a="1"/>
  <c r="H32" i="6" s="1"/>
  <c r="H33" i="6" a="1"/>
  <c r="H33" i="6" s="1"/>
  <c r="H34" i="6" a="1"/>
  <c r="H34" i="6" s="1"/>
  <c r="H35" i="6" a="1"/>
  <c r="H35" i="6" s="1"/>
  <c r="H36" i="6" a="1"/>
  <c r="H36" i="6" s="1"/>
  <c r="H37" i="6" a="1"/>
  <c r="H37" i="6" s="1"/>
  <c r="H38" i="6" a="1"/>
  <c r="H38" i="6" s="1"/>
  <c r="H39" i="6" a="1"/>
  <c r="H39" i="6" s="1"/>
  <c r="H40" i="6" a="1"/>
  <c r="H40" i="6" s="1"/>
  <c r="H41" i="6" a="1"/>
  <c r="H41" i="6" s="1"/>
  <c r="H42" i="6" a="1"/>
  <c r="H42" i="6" s="1"/>
  <c r="H43" i="6" a="1"/>
  <c r="H43" i="6" s="1"/>
  <c r="H44" i="6" a="1"/>
  <c r="H44" i="6" s="1"/>
  <c r="H45" i="6" a="1"/>
  <c r="H45" i="6" s="1"/>
  <c r="H48" i="6" a="1"/>
  <c r="H48" i="6" s="1"/>
  <c r="H49" i="6" a="1"/>
  <c r="H49" i="6" s="1"/>
  <c r="H50" i="6" a="1"/>
  <c r="H50" i="6" s="1"/>
  <c r="H51" i="6" a="1"/>
  <c r="H51" i="6" s="1"/>
  <c r="H52" i="6" a="1"/>
  <c r="H52" i="6" s="1"/>
  <c r="H53" i="6" a="1"/>
  <c r="H53" i="6" s="1"/>
  <c r="H54" i="6" a="1"/>
  <c r="H54" i="6" s="1"/>
  <c r="N12" i="6"/>
  <c r="I13" i="7"/>
  <c r="J13" i="7" s="1"/>
  <c r="E11" i="9"/>
  <c r="G11" i="9"/>
  <c r="T11" i="9"/>
  <c r="S11" i="9"/>
  <c r="V11" i="9"/>
  <c r="J11" i="9"/>
  <c r="Z11" i="9"/>
  <c r="X11" i="9"/>
  <c r="R11" i="9"/>
  <c r="Q11" i="9"/>
  <c r="AD11" i="9"/>
  <c r="O11" i="9"/>
  <c r="P11" i="9"/>
  <c r="M11" i="9"/>
  <c r="AE11" i="9"/>
  <c r="AC11" i="9"/>
  <c r="AB11" i="9"/>
  <c r="L11" i="9"/>
  <c r="Y11" i="9"/>
  <c r="I11" i="9"/>
  <c r="AA11" i="9"/>
  <c r="N11" i="9"/>
  <c r="U11" i="9"/>
  <c r="H11" i="9"/>
  <c r="W11" i="9"/>
  <c r="K11" i="9"/>
  <c r="T47" i="5" l="1"/>
  <c r="AB47" i="6"/>
  <c r="AC47" i="6"/>
  <c r="AD47" i="6"/>
  <c r="AE47" i="6"/>
  <c r="AF47" i="6"/>
  <c r="AG47" i="6"/>
  <c r="AH47" i="6"/>
  <c r="AI47" i="6"/>
  <c r="AJ47" i="6"/>
  <c r="AK47" i="6"/>
  <c r="T26" i="5"/>
  <c r="AB26" i="6"/>
  <c r="AC26" i="6"/>
  <c r="AD26" i="6"/>
  <c r="AE26" i="6"/>
  <c r="AF26" i="6"/>
  <c r="AG26" i="6"/>
  <c r="AH26" i="6"/>
  <c r="AI26" i="6"/>
  <c r="AJ26" i="6"/>
  <c r="AK26" i="6"/>
  <c r="T19" i="5"/>
  <c r="AB19" i="6"/>
  <c r="AC19" i="6"/>
  <c r="AD19" i="6"/>
  <c r="AE19" i="6"/>
  <c r="AF19" i="6"/>
  <c r="AG19" i="6"/>
  <c r="AH19" i="6"/>
  <c r="AI19" i="6"/>
  <c r="AJ19" i="6"/>
  <c r="AK19" i="6"/>
  <c r="T25" i="5"/>
  <c r="AB25" i="6"/>
  <c r="AC25" i="6"/>
  <c r="AD25" i="6"/>
  <c r="AF25" i="6"/>
  <c r="AE25" i="6"/>
  <c r="AG25" i="6"/>
  <c r="AH25" i="6"/>
  <c r="AI25" i="6"/>
  <c r="AJ25" i="6"/>
  <c r="AK25" i="6"/>
  <c r="T46" i="5"/>
  <c r="AB46" i="6"/>
  <c r="AC46" i="6"/>
  <c r="AD46" i="6"/>
  <c r="AF46" i="6"/>
  <c r="AE46" i="6"/>
  <c r="AG46" i="6"/>
  <c r="AH46" i="6"/>
  <c r="AI46" i="6"/>
  <c r="AJ46" i="6"/>
  <c r="AK46" i="6"/>
  <c r="T45" i="5"/>
  <c r="AB45" i="6"/>
  <c r="AC45" i="6"/>
  <c r="AD45" i="6"/>
  <c r="AF45" i="6"/>
  <c r="AE45" i="6"/>
  <c r="AG45" i="6"/>
  <c r="AH45" i="6"/>
  <c r="AI45" i="6"/>
  <c r="AJ45" i="6"/>
  <c r="AK45" i="6"/>
  <c r="T39" i="5"/>
  <c r="AB39" i="6"/>
  <c r="AC39" i="6"/>
  <c r="AD39" i="6"/>
  <c r="AE39" i="6"/>
  <c r="AF39" i="6"/>
  <c r="AG39" i="6"/>
  <c r="AH39" i="6"/>
  <c r="AI39" i="6"/>
  <c r="AJ39" i="6"/>
  <c r="AK39" i="6"/>
  <c r="T34" i="5"/>
  <c r="AB34" i="6"/>
  <c r="AC34" i="6"/>
  <c r="AD34" i="6"/>
  <c r="AF34" i="6"/>
  <c r="AE34" i="6"/>
  <c r="AG34" i="6"/>
  <c r="AH34" i="6"/>
  <c r="AI34" i="6"/>
  <c r="AJ34" i="6"/>
  <c r="AK34" i="6"/>
  <c r="T18" i="5"/>
  <c r="AB18" i="6"/>
  <c r="AC18" i="6"/>
  <c r="AD18" i="6"/>
  <c r="AE18" i="6"/>
  <c r="AF18" i="6"/>
  <c r="AG18" i="6"/>
  <c r="AH18" i="6"/>
  <c r="AI18" i="6"/>
  <c r="AJ18" i="6"/>
  <c r="AK18" i="6"/>
  <c r="T52" i="5"/>
  <c r="AB52" i="6"/>
  <c r="AC52" i="6"/>
  <c r="AD52" i="6"/>
  <c r="AE52" i="6"/>
  <c r="AF52" i="6"/>
  <c r="AG52" i="6"/>
  <c r="AH52" i="6"/>
  <c r="AI52" i="6"/>
  <c r="AJ52" i="6"/>
  <c r="AK52" i="6"/>
  <c r="T44" i="5"/>
  <c r="AB44" i="6"/>
  <c r="AC44" i="6"/>
  <c r="AD44" i="6"/>
  <c r="AF44" i="6"/>
  <c r="AE44" i="6"/>
  <c r="AG44" i="6"/>
  <c r="AH44" i="6"/>
  <c r="AI44" i="6"/>
  <c r="AJ44" i="6"/>
  <c r="AK44" i="6"/>
  <c r="T38" i="5"/>
  <c r="AB38" i="6"/>
  <c r="AC38" i="6"/>
  <c r="AD38" i="6"/>
  <c r="AE38" i="6"/>
  <c r="AF38" i="6"/>
  <c r="AG38" i="6"/>
  <c r="AH38" i="6"/>
  <c r="AI38" i="6"/>
  <c r="AJ38" i="6"/>
  <c r="AK38" i="6"/>
  <c r="T33" i="5"/>
  <c r="AB33" i="6"/>
  <c r="AC33" i="6"/>
  <c r="AD33" i="6"/>
  <c r="AF33" i="6"/>
  <c r="AE33" i="6"/>
  <c r="AG33" i="6"/>
  <c r="AH33" i="6"/>
  <c r="AI33" i="6"/>
  <c r="AJ33" i="6"/>
  <c r="AK33" i="6"/>
  <c r="T24" i="5"/>
  <c r="AB24" i="6"/>
  <c r="AC24" i="6"/>
  <c r="AD24" i="6"/>
  <c r="AF24" i="6"/>
  <c r="AE24" i="6"/>
  <c r="AG24" i="6"/>
  <c r="AH24" i="6"/>
  <c r="AI24" i="6"/>
  <c r="AJ24" i="6"/>
  <c r="AK24" i="6"/>
  <c r="T37" i="5"/>
  <c r="AB37" i="6"/>
  <c r="AC37" i="6"/>
  <c r="AD37" i="6"/>
  <c r="AE37" i="6"/>
  <c r="AF37" i="6"/>
  <c r="AG37" i="6"/>
  <c r="AH37" i="6"/>
  <c r="AI37" i="6"/>
  <c r="AJ37" i="6"/>
  <c r="AK37" i="6"/>
  <c r="T51" i="5"/>
  <c r="AB51" i="6"/>
  <c r="AC51" i="6"/>
  <c r="AD51" i="6"/>
  <c r="AE51" i="6"/>
  <c r="AF51" i="6"/>
  <c r="AG51" i="6"/>
  <c r="AH51" i="6"/>
  <c r="AI51" i="6"/>
  <c r="AJ51" i="6"/>
  <c r="AK51" i="6"/>
  <c r="T43" i="5"/>
  <c r="AB43" i="6"/>
  <c r="AC43" i="6"/>
  <c r="AD43" i="6"/>
  <c r="AE43" i="6"/>
  <c r="AF43" i="6"/>
  <c r="AG43" i="6"/>
  <c r="AH43" i="6"/>
  <c r="AI43" i="6"/>
  <c r="AJ43" i="6"/>
  <c r="AK43" i="6"/>
  <c r="T32" i="5"/>
  <c r="AB32" i="6"/>
  <c r="AC32" i="6"/>
  <c r="AD32" i="6"/>
  <c r="AE32" i="6"/>
  <c r="AF32" i="6"/>
  <c r="AG32" i="6"/>
  <c r="AH32" i="6"/>
  <c r="AI32" i="6"/>
  <c r="AJ32" i="6"/>
  <c r="AK32" i="6"/>
  <c r="T22" i="5"/>
  <c r="AB22" i="6"/>
  <c r="AC22" i="6"/>
  <c r="AD22" i="6"/>
  <c r="AF22" i="6"/>
  <c r="AE22" i="6"/>
  <c r="AG22" i="6"/>
  <c r="AH22" i="6"/>
  <c r="AI22" i="6"/>
  <c r="AJ22" i="6"/>
  <c r="AK22" i="6"/>
  <c r="T50" i="5"/>
  <c r="AB50" i="6"/>
  <c r="AC50" i="6"/>
  <c r="AD50" i="6"/>
  <c r="AF50" i="6"/>
  <c r="AE50" i="6"/>
  <c r="AG50" i="6"/>
  <c r="AH50" i="6"/>
  <c r="AI50" i="6"/>
  <c r="AJ50" i="6"/>
  <c r="AK50" i="6"/>
  <c r="T36" i="5"/>
  <c r="AB36" i="6"/>
  <c r="AC36" i="6"/>
  <c r="AD36" i="6"/>
  <c r="AF36" i="6"/>
  <c r="AE36" i="6"/>
  <c r="AG36" i="6"/>
  <c r="AH36" i="6"/>
  <c r="AI36" i="6"/>
  <c r="AJ36" i="6"/>
  <c r="AK36" i="6"/>
  <c r="T23" i="5"/>
  <c r="AB23" i="6"/>
  <c r="AC23" i="6"/>
  <c r="AD23" i="6"/>
  <c r="AF23" i="6"/>
  <c r="AE23" i="6"/>
  <c r="AG23" i="6"/>
  <c r="AH23" i="6"/>
  <c r="AI23" i="6"/>
  <c r="AJ23" i="6"/>
  <c r="AK23" i="6"/>
  <c r="T42" i="5"/>
  <c r="AB42" i="6"/>
  <c r="AC42" i="6"/>
  <c r="AD42" i="6"/>
  <c r="AE42" i="6"/>
  <c r="AF42" i="6"/>
  <c r="AG42" i="6"/>
  <c r="AH42" i="6"/>
  <c r="AI42" i="6"/>
  <c r="AJ42" i="6"/>
  <c r="AK42" i="6"/>
  <c r="T31" i="5"/>
  <c r="AB31" i="6"/>
  <c r="AC31" i="6"/>
  <c r="AD31" i="6"/>
  <c r="AE31" i="6"/>
  <c r="AF31" i="6"/>
  <c r="AG31" i="6"/>
  <c r="AH31" i="6"/>
  <c r="AI31" i="6"/>
  <c r="AJ31" i="6"/>
  <c r="AK31" i="6"/>
  <c r="T21" i="5"/>
  <c r="AB21" i="6"/>
  <c r="AC21" i="6"/>
  <c r="AD21" i="6"/>
  <c r="AF21" i="6"/>
  <c r="AE21" i="6"/>
  <c r="AG21" i="6"/>
  <c r="AH21" i="6"/>
  <c r="AI21" i="6"/>
  <c r="AJ21" i="6"/>
  <c r="AK21" i="6"/>
  <c r="T49" i="5"/>
  <c r="AB49" i="6"/>
  <c r="AC49" i="6"/>
  <c r="AD49" i="6"/>
  <c r="AF49" i="6"/>
  <c r="AE49" i="6"/>
  <c r="AG49" i="6"/>
  <c r="AH49" i="6"/>
  <c r="AI49" i="6"/>
  <c r="AJ49" i="6"/>
  <c r="AK49" i="6"/>
  <c r="T41" i="5"/>
  <c r="AB41" i="6"/>
  <c r="AC41" i="6"/>
  <c r="AD41" i="6"/>
  <c r="AF41" i="6"/>
  <c r="AE41" i="6"/>
  <c r="AG41" i="6"/>
  <c r="AH41" i="6"/>
  <c r="AI41" i="6"/>
  <c r="AJ41" i="6"/>
  <c r="AK41" i="6"/>
  <c r="T29" i="5"/>
  <c r="AB29" i="6"/>
  <c r="AC29" i="6"/>
  <c r="AD29" i="6"/>
  <c r="AE29" i="6"/>
  <c r="AF29" i="6"/>
  <c r="AG29" i="6"/>
  <c r="AH29" i="6"/>
  <c r="AI29" i="6"/>
  <c r="AJ29" i="6"/>
  <c r="AK29" i="6"/>
  <c r="T54" i="5"/>
  <c r="AD54" i="6"/>
  <c r="AB54" i="6"/>
  <c r="AC54" i="6"/>
  <c r="AF54" i="6"/>
  <c r="AE54" i="6"/>
  <c r="AG54" i="6"/>
  <c r="AH54" i="6"/>
  <c r="AI54" i="6"/>
  <c r="AJ54" i="6"/>
  <c r="AK54" i="6"/>
  <c r="T35" i="5"/>
  <c r="AB35" i="6"/>
  <c r="AC35" i="6"/>
  <c r="AD35" i="6"/>
  <c r="AF35" i="6"/>
  <c r="AE35" i="6"/>
  <c r="AG35" i="6"/>
  <c r="AH35" i="6"/>
  <c r="AI35" i="6"/>
  <c r="AJ35" i="6"/>
  <c r="AK35" i="6"/>
  <c r="T20" i="5"/>
  <c r="AB20" i="6"/>
  <c r="AC20" i="6"/>
  <c r="AD20" i="6"/>
  <c r="AF20" i="6"/>
  <c r="AE20" i="6"/>
  <c r="AG20" i="6"/>
  <c r="AH20" i="6"/>
  <c r="AI20" i="6"/>
  <c r="AJ20" i="6"/>
  <c r="AK20" i="6"/>
  <c r="T53" i="5"/>
  <c r="AC53" i="6"/>
  <c r="AB53" i="6"/>
  <c r="AD53" i="6"/>
  <c r="AF53" i="6"/>
  <c r="AE53" i="6"/>
  <c r="AG53" i="6"/>
  <c r="AH53" i="6"/>
  <c r="AI53" i="6"/>
  <c r="AJ53" i="6"/>
  <c r="AK53" i="6"/>
  <c r="T40" i="5"/>
  <c r="AB40" i="6"/>
  <c r="AC40" i="6"/>
  <c r="AD40" i="6"/>
  <c r="AE40" i="6"/>
  <c r="AF40" i="6"/>
  <c r="AG40" i="6"/>
  <c r="AH40" i="6"/>
  <c r="AI40" i="6"/>
  <c r="AJ40" i="6"/>
  <c r="AK40" i="6"/>
  <c r="T27" i="5"/>
  <c r="AB27" i="6"/>
  <c r="AC27" i="6"/>
  <c r="AD27" i="6"/>
  <c r="AE27" i="6"/>
  <c r="AF27" i="6"/>
  <c r="AG27" i="6"/>
  <c r="AH27" i="6"/>
  <c r="AI27" i="6"/>
  <c r="AJ27" i="6"/>
  <c r="AK27" i="6"/>
  <c r="T48" i="5"/>
  <c r="AB48" i="6"/>
  <c r="AC48" i="6"/>
  <c r="AD48" i="6"/>
  <c r="AF48" i="6"/>
  <c r="AE48" i="6"/>
  <c r="AG48" i="6"/>
  <c r="AH48" i="6"/>
  <c r="AI48" i="6"/>
  <c r="AJ48" i="6"/>
  <c r="AK48" i="6"/>
  <c r="T28" i="5"/>
  <c r="AB28" i="6"/>
  <c r="AC28" i="6"/>
  <c r="AD28" i="6"/>
  <c r="AF28" i="6"/>
  <c r="AE28" i="6"/>
  <c r="AG28" i="6"/>
  <c r="AH28" i="6"/>
  <c r="AI28" i="6"/>
  <c r="AJ28" i="6"/>
  <c r="AK28" i="6"/>
  <c r="T30" i="5"/>
  <c r="AB30" i="6"/>
  <c r="AC30" i="6"/>
  <c r="AD30" i="6"/>
  <c r="AF30" i="6"/>
  <c r="AE30" i="6"/>
  <c r="AG30" i="6"/>
  <c r="AH30" i="6"/>
  <c r="AI30" i="6"/>
  <c r="AJ30" i="6"/>
  <c r="AK30" i="6"/>
  <c r="I10" i="7"/>
  <c r="K13" i="7"/>
  <c r="L13" i="7" s="1"/>
  <c r="J10" i="7"/>
  <c r="X47" i="5" l="1" a="1"/>
  <c r="X47" i="5" s="1"/>
  <c r="G47" i="12" a="1"/>
  <c r="G47" i="12" s="1"/>
  <c r="X26" i="5" a="1"/>
  <c r="X26" i="5" s="1"/>
  <c r="G26" i="12" a="1"/>
  <c r="G26" i="12" s="1"/>
  <c r="X19" i="5" a="1"/>
  <c r="X19" i="5" s="1"/>
  <c r="G19" i="12" a="1"/>
  <c r="G19" i="12" s="1"/>
  <c r="X25" i="5" a="1"/>
  <c r="X25" i="5" s="1"/>
  <c r="G25" i="12" a="1"/>
  <c r="G25" i="12" s="1"/>
  <c r="X46" i="5" a="1"/>
  <c r="X46" i="5" s="1"/>
  <c r="G46" i="12" a="1"/>
  <c r="G46" i="12" s="1"/>
  <c r="X22" i="5" a="1"/>
  <c r="X22" i="5" s="1"/>
  <c r="I22" i="12" s="1"/>
  <c r="X37" i="5" a="1"/>
  <c r="X37" i="5" s="1"/>
  <c r="Z37" i="5" s="1"/>
  <c r="G22" i="12" a="1"/>
  <c r="G22" i="12" s="1"/>
  <c r="G20" i="12" a="1"/>
  <c r="G20" i="12" s="1"/>
  <c r="X29" i="5" a="1"/>
  <c r="X29" i="5" s="1"/>
  <c r="G41" i="12" a="1"/>
  <c r="G41" i="12" s="1"/>
  <c r="G21" i="12" a="1"/>
  <c r="G21" i="12" s="1"/>
  <c r="X43" i="5" a="1"/>
  <c r="X43" i="5" s="1"/>
  <c r="G51" i="12" a="1"/>
  <c r="G51" i="12" s="1"/>
  <c r="G44" i="12" a="1"/>
  <c r="G44" i="12" s="1"/>
  <c r="G29" i="12" a="1"/>
  <c r="G29" i="12" s="1"/>
  <c r="X32" i="5" a="1"/>
  <c r="X32" i="5" s="1"/>
  <c r="G43" i="12" a="1"/>
  <c r="G43" i="12" s="1"/>
  <c r="G38" i="12" a="1"/>
  <c r="G38" i="12" s="1"/>
  <c r="G33" i="12" a="1"/>
  <c r="G33" i="12" s="1"/>
  <c r="G37" i="12" a="1"/>
  <c r="G37" i="12" s="1"/>
  <c r="G32" i="12" a="1"/>
  <c r="G32" i="12" s="1"/>
  <c r="G24" i="12" a="1"/>
  <c r="G24" i="12" s="1"/>
  <c r="G40" i="12" a="1"/>
  <c r="G40" i="12" s="1"/>
  <c r="G36" i="12" a="1"/>
  <c r="G36" i="12" s="1"/>
  <c r="X45" i="5" a="1"/>
  <c r="X45" i="5" s="1"/>
  <c r="X50" i="5" a="1"/>
  <c r="X50" i="5" s="1"/>
  <c r="G50" i="12" a="1"/>
  <c r="G50" i="12" s="1"/>
  <c r="G27" i="12" a="1"/>
  <c r="G27" i="12" s="1"/>
  <c r="X39" i="5" a="1"/>
  <c r="X39" i="5" s="1"/>
  <c r="G45" i="12" a="1"/>
  <c r="G45" i="12" s="1"/>
  <c r="G48" i="12" a="1"/>
  <c r="G48" i="12" s="1"/>
  <c r="X54" i="5" a="1"/>
  <c r="X54" i="5" s="1"/>
  <c r="X34" i="5" a="1"/>
  <c r="X34" i="5" s="1"/>
  <c r="G39" i="12" a="1"/>
  <c r="G39" i="12" s="1"/>
  <c r="X40" i="5" a="1"/>
  <c r="X40" i="5" s="1"/>
  <c r="X36" i="5" a="1"/>
  <c r="X36" i="5" s="1"/>
  <c r="X28" i="5" a="1"/>
  <c r="X28" i="5" s="1"/>
  <c r="X42" i="5" a="1"/>
  <c r="X42" i="5" s="1"/>
  <c r="X18" i="5" a="1"/>
  <c r="X18" i="5" s="1"/>
  <c r="G34" i="12" a="1"/>
  <c r="G34" i="12" s="1"/>
  <c r="G30" i="12" a="1"/>
  <c r="G30" i="12" s="1"/>
  <c r="G28" i="12" a="1"/>
  <c r="G28" i="12" s="1"/>
  <c r="X35" i="5" a="1"/>
  <c r="X35" i="5" s="1"/>
  <c r="G54" i="12" a="1"/>
  <c r="G54" i="12" s="1"/>
  <c r="X49" i="5" a="1"/>
  <c r="X49" i="5" s="1"/>
  <c r="X31" i="5" a="1"/>
  <c r="X31" i="5" s="1"/>
  <c r="G42" i="12" a="1"/>
  <c r="G42" i="12" s="1"/>
  <c r="G23" i="12" a="1"/>
  <c r="G23" i="12" s="1"/>
  <c r="X52" i="5" a="1"/>
  <c r="X52" i="5" s="1"/>
  <c r="G18" i="12" a="1"/>
  <c r="G18" i="12" s="1"/>
  <c r="G53" i="12" a="1"/>
  <c r="G53" i="12" s="1"/>
  <c r="G35" i="12" a="1"/>
  <c r="G35" i="12" s="1"/>
  <c r="X41" i="5" a="1"/>
  <c r="X41" i="5" s="1"/>
  <c r="G49" i="12" a="1"/>
  <c r="G49" i="12" s="1"/>
  <c r="G31" i="12" a="1"/>
  <c r="G31" i="12" s="1"/>
  <c r="X51" i="5" a="1"/>
  <c r="X51" i="5" s="1"/>
  <c r="X44" i="5" a="1"/>
  <c r="X44" i="5" s="1"/>
  <c r="G52" i="12" a="1"/>
  <c r="G52" i="12" s="1"/>
  <c r="M13" i="7"/>
  <c r="L10" i="7"/>
  <c r="X53" i="5" l="1" a="1"/>
  <c r="X53" i="5" s="1"/>
  <c r="L53" i="5" s="1"/>
  <c r="AM47" i="5"/>
  <c r="L47" i="5"/>
  <c r="I47" i="12"/>
  <c r="Z47" i="5"/>
  <c r="AM26" i="5"/>
  <c r="L26" i="5"/>
  <c r="I26" i="12"/>
  <c r="Z26" i="5"/>
  <c r="AM19" i="5"/>
  <c r="L19" i="5"/>
  <c r="I19" i="12"/>
  <c r="Z19" i="5"/>
  <c r="AM25" i="5"/>
  <c r="L25" i="5"/>
  <c r="I25" i="12"/>
  <c r="Z25" i="5"/>
  <c r="AM46" i="5"/>
  <c r="L46" i="5"/>
  <c r="I46" i="12"/>
  <c r="Z46" i="5"/>
  <c r="Z22" i="5"/>
  <c r="AB22" i="5" s="1" a="1"/>
  <c r="AB22" i="5" s="1"/>
  <c r="AM37" i="5"/>
  <c r="L37" i="5"/>
  <c r="I37" i="12"/>
  <c r="O37" i="12" s="1" a="1"/>
  <c r="O37" i="12" s="1"/>
  <c r="L22" i="5"/>
  <c r="AM22" i="5"/>
  <c r="I28" i="12"/>
  <c r="L28" i="5"/>
  <c r="AM28" i="5"/>
  <c r="Z28" i="5"/>
  <c r="I44" i="12"/>
  <c r="L44" i="5"/>
  <c r="AM44" i="5"/>
  <c r="Z44" i="5"/>
  <c r="I49" i="12"/>
  <c r="L49" i="5"/>
  <c r="AM49" i="5"/>
  <c r="Z49" i="5"/>
  <c r="I29" i="12"/>
  <c r="AM29" i="5"/>
  <c r="L29" i="5"/>
  <c r="Z29" i="5"/>
  <c r="I51" i="12"/>
  <c r="L51" i="5"/>
  <c r="AM51" i="5"/>
  <c r="Z51" i="5"/>
  <c r="I35" i="12"/>
  <c r="L35" i="5"/>
  <c r="AM35" i="5"/>
  <c r="Z35" i="5"/>
  <c r="I43" i="12"/>
  <c r="AM43" i="5"/>
  <c r="L43" i="5"/>
  <c r="Z43" i="5"/>
  <c r="C22" i="12"/>
  <c r="M22" i="12" a="1"/>
  <c r="M22" i="12" s="1"/>
  <c r="O22" i="12" a="1"/>
  <c r="O22" i="12" s="1"/>
  <c r="AO22" i="12" a="1"/>
  <c r="AO22" i="12" s="1"/>
  <c r="I54" i="12"/>
  <c r="AM54" i="5"/>
  <c r="L54" i="5"/>
  <c r="Z54" i="5"/>
  <c r="I42" i="12"/>
  <c r="L42" i="5"/>
  <c r="AM42" i="5"/>
  <c r="Z42" i="5"/>
  <c r="I18" i="5"/>
  <c r="I20" i="5" s="1"/>
  <c r="I50" i="12"/>
  <c r="AM50" i="5"/>
  <c r="L50" i="5"/>
  <c r="Z50" i="5"/>
  <c r="I52" i="12"/>
  <c r="AM52" i="5"/>
  <c r="L52" i="5"/>
  <c r="Z52" i="5"/>
  <c r="I41" i="12"/>
  <c r="AM41" i="5"/>
  <c r="L41" i="5"/>
  <c r="Z41" i="5"/>
  <c r="I31" i="12"/>
  <c r="L31" i="5"/>
  <c r="AM31" i="5"/>
  <c r="Z31" i="5"/>
  <c r="I32" i="12"/>
  <c r="AM32" i="5"/>
  <c r="L32" i="5"/>
  <c r="Z32" i="5"/>
  <c r="AB37" i="5" a="1"/>
  <c r="AB37" i="5" s="1"/>
  <c r="I18" i="12"/>
  <c r="AM18" i="5"/>
  <c r="L18" i="5"/>
  <c r="Z18" i="5"/>
  <c r="I36" i="12"/>
  <c r="AM36" i="5"/>
  <c r="L36" i="5"/>
  <c r="Z36" i="5"/>
  <c r="I34" i="12"/>
  <c r="L34" i="5"/>
  <c r="AM34" i="5"/>
  <c r="Z34" i="5"/>
  <c r="I39" i="12"/>
  <c r="AM39" i="5"/>
  <c r="L39" i="5"/>
  <c r="Z39" i="5"/>
  <c r="I40" i="12"/>
  <c r="AM40" i="5"/>
  <c r="L40" i="5"/>
  <c r="Z40" i="5"/>
  <c r="I45" i="12"/>
  <c r="L45" i="5"/>
  <c r="AM45" i="5"/>
  <c r="Z45" i="5"/>
  <c r="N13" i="7"/>
  <c r="M10" i="7"/>
  <c r="I53" i="12" l="1"/>
  <c r="L53" i="12" s="1" a="1"/>
  <c r="L53" i="12" s="1"/>
  <c r="Z53" i="5"/>
  <c r="AM53" i="5"/>
  <c r="AB47" i="5" a="1"/>
  <c r="AB47" i="5" s="1"/>
  <c r="C47" i="12"/>
  <c r="O47" i="12" a="1"/>
  <c r="O47" i="12" s="1"/>
  <c r="AO47" i="12" a="1"/>
  <c r="AO47" i="12" s="1"/>
  <c r="M47" i="12" a="1"/>
  <c r="M47" i="12" s="1"/>
  <c r="C47" i="6"/>
  <c r="AB26" i="5" a="1"/>
  <c r="AB26" i="5" s="1"/>
  <c r="C26" i="12"/>
  <c r="M26" i="12" a="1"/>
  <c r="M26" i="12" s="1"/>
  <c r="O26" i="12" a="1"/>
  <c r="O26" i="12" s="1"/>
  <c r="AO26" i="12" a="1"/>
  <c r="AO26" i="12" s="1"/>
  <c r="C26" i="6"/>
  <c r="I19" i="5"/>
  <c r="AB19" i="5" a="1"/>
  <c r="AB19" i="5" s="1"/>
  <c r="C19" i="12"/>
  <c r="AO19" i="12" a="1"/>
  <c r="AO19" i="12" s="1"/>
  <c r="M19" i="12" a="1"/>
  <c r="M19" i="12" s="1"/>
  <c r="O19" i="12" a="1"/>
  <c r="O19" i="12" s="1"/>
  <c r="C19" i="6"/>
  <c r="AB25" i="5" a="1"/>
  <c r="AB25" i="5" s="1"/>
  <c r="C25" i="12"/>
  <c r="AO25" i="12" a="1"/>
  <c r="AO25" i="12" s="1"/>
  <c r="O25" i="12" a="1"/>
  <c r="O25" i="12" s="1"/>
  <c r="M25" i="12" a="1"/>
  <c r="M25" i="12" s="1"/>
  <c r="C25" i="6"/>
  <c r="AB46" i="5" a="1"/>
  <c r="AB46" i="5" s="1"/>
  <c r="C46" i="12"/>
  <c r="AO46" i="12" a="1"/>
  <c r="AO46" i="12" s="1"/>
  <c r="O46" i="12" a="1"/>
  <c r="O46" i="12" s="1"/>
  <c r="M46" i="12" a="1"/>
  <c r="M46" i="12" s="1"/>
  <c r="C46" i="6"/>
  <c r="AO37" i="12" a="1"/>
  <c r="AO37" i="12" s="1"/>
  <c r="Y37" i="12" s="1"/>
  <c r="C37" i="12"/>
  <c r="C37" i="6"/>
  <c r="M37" i="12" a="1"/>
  <c r="M37" i="12" s="1"/>
  <c r="N37" i="12" s="1"/>
  <c r="C22" i="6"/>
  <c r="N22" i="12"/>
  <c r="C39" i="6"/>
  <c r="C41" i="6"/>
  <c r="C40" i="12"/>
  <c r="M40" i="12" a="1"/>
  <c r="M40" i="12" s="1"/>
  <c r="AO40" i="12" a="1"/>
  <c r="AO40" i="12" s="1"/>
  <c r="O40" i="12" a="1"/>
  <c r="O40" i="12" s="1"/>
  <c r="C18" i="12"/>
  <c r="O18" i="12" a="1"/>
  <c r="O18" i="12" s="1"/>
  <c r="M18" i="12" a="1"/>
  <c r="M18" i="12" s="1"/>
  <c r="AO18" i="12" a="1"/>
  <c r="AO18" i="12" s="1"/>
  <c r="C52" i="12"/>
  <c r="O52" i="12" a="1"/>
  <c r="O52" i="12" s="1"/>
  <c r="M52" i="12" a="1"/>
  <c r="M52" i="12" s="1"/>
  <c r="AO52" i="12" a="1"/>
  <c r="AO52" i="12" s="1"/>
  <c r="C35" i="6"/>
  <c r="AB39" i="5" a="1"/>
  <c r="AB39" i="5" s="1"/>
  <c r="C34" i="6"/>
  <c r="AB41" i="5" a="1"/>
  <c r="AB41" i="5" s="1"/>
  <c r="C42" i="6"/>
  <c r="C35" i="12"/>
  <c r="O35" i="12" a="1"/>
  <c r="O35" i="12" s="1"/>
  <c r="AO35" i="12" a="1"/>
  <c r="AO35" i="12" s="1"/>
  <c r="M35" i="12" a="1"/>
  <c r="M35" i="12" s="1"/>
  <c r="AB45" i="5" a="1"/>
  <c r="AB45" i="5" s="1"/>
  <c r="AB29" i="5" a="1"/>
  <c r="AB29" i="5" s="1"/>
  <c r="C39" i="12"/>
  <c r="O39" i="12" a="1"/>
  <c r="O39" i="12" s="1"/>
  <c r="AO39" i="12" a="1"/>
  <c r="AO39" i="12" s="1"/>
  <c r="M39" i="12" a="1"/>
  <c r="M39" i="12" s="1"/>
  <c r="AB54" i="5" a="1"/>
  <c r="AB54" i="5" s="1"/>
  <c r="AB28" i="5" a="1"/>
  <c r="AB28" i="5" s="1"/>
  <c r="AB36" i="5" a="1"/>
  <c r="AB36" i="5" s="1"/>
  <c r="C50" i="6"/>
  <c r="C41" i="12"/>
  <c r="M41" i="12" a="1"/>
  <c r="M41" i="12" s="1"/>
  <c r="AO41" i="12" a="1"/>
  <c r="AO41" i="12" s="1"/>
  <c r="O41" i="12" a="1"/>
  <c r="O41" i="12" s="1"/>
  <c r="C36" i="6"/>
  <c r="AB32" i="5" a="1"/>
  <c r="AB32" i="5" s="1"/>
  <c r="C50" i="12"/>
  <c r="O50" i="12" a="1"/>
  <c r="O50" i="12" s="1"/>
  <c r="AO50" i="12" a="1"/>
  <c r="AO50" i="12" s="1"/>
  <c r="M50" i="12" a="1"/>
  <c r="M50" i="12" s="1"/>
  <c r="C51" i="6"/>
  <c r="C29" i="6"/>
  <c r="C45" i="6"/>
  <c r="C32" i="6"/>
  <c r="C54" i="6"/>
  <c r="AB43" i="5" a="1"/>
  <c r="AB43" i="5" s="1"/>
  <c r="C51" i="12"/>
  <c r="M51" i="12" a="1"/>
  <c r="M51" i="12" s="1"/>
  <c r="O51" i="12" a="1"/>
  <c r="O51" i="12" s="1"/>
  <c r="AO51" i="12" a="1"/>
  <c r="AO51" i="12" s="1"/>
  <c r="AB44" i="5" a="1"/>
  <c r="AB44" i="5" s="1"/>
  <c r="C28" i="6"/>
  <c r="C43" i="6"/>
  <c r="C29" i="12"/>
  <c r="AO29" i="12" a="1"/>
  <c r="AO29" i="12" s="1"/>
  <c r="O29" i="12" a="1"/>
  <c r="O29" i="12" s="1"/>
  <c r="M29" i="12" a="1"/>
  <c r="M29" i="12" s="1"/>
  <c r="AB49" i="5" a="1"/>
  <c r="AB49" i="5" s="1"/>
  <c r="C28" i="12"/>
  <c r="AO28" i="12" a="1"/>
  <c r="AO28" i="12" s="1"/>
  <c r="M28" i="12" a="1"/>
  <c r="M28" i="12" s="1"/>
  <c r="O28" i="12" a="1"/>
  <c r="O28" i="12" s="1"/>
  <c r="C36" i="12"/>
  <c r="AO36" i="12" a="1"/>
  <c r="AO36" i="12" s="1"/>
  <c r="M36" i="12" a="1"/>
  <c r="M36" i="12" s="1"/>
  <c r="O36" i="12" a="1"/>
  <c r="O36" i="12" s="1"/>
  <c r="C32" i="12"/>
  <c r="O32" i="12" a="1"/>
  <c r="O32" i="12" s="1"/>
  <c r="AO32" i="12" a="1"/>
  <c r="AO32" i="12" s="1"/>
  <c r="M32" i="12" a="1"/>
  <c r="M32" i="12" s="1"/>
  <c r="AB31" i="5" a="1"/>
  <c r="AB31" i="5" s="1"/>
  <c r="C54" i="12"/>
  <c r="AO54" i="12" a="1"/>
  <c r="AO54" i="12" s="1"/>
  <c r="M54" i="12" a="1"/>
  <c r="M54" i="12" s="1"/>
  <c r="O54" i="12" a="1"/>
  <c r="O54" i="12" s="1"/>
  <c r="C44" i="6"/>
  <c r="C45" i="12"/>
  <c r="M45" i="12" a="1"/>
  <c r="M45" i="12" s="1"/>
  <c r="AO45" i="12" a="1"/>
  <c r="AO45" i="12" s="1"/>
  <c r="O45" i="12" a="1"/>
  <c r="O45" i="12" s="1"/>
  <c r="AB40" i="5" a="1"/>
  <c r="AB40" i="5" s="1"/>
  <c r="AB18" i="5" a="1"/>
  <c r="AB18" i="5" s="1"/>
  <c r="AB52" i="5" a="1"/>
  <c r="AB52" i="5" s="1"/>
  <c r="Y22" i="12"/>
  <c r="C43" i="12"/>
  <c r="M43" i="12" a="1"/>
  <c r="M43" i="12" s="1"/>
  <c r="O43" i="12" a="1"/>
  <c r="O43" i="12" s="1"/>
  <c r="AO43" i="12" a="1"/>
  <c r="AO43" i="12" s="1"/>
  <c r="AB35" i="5" a="1"/>
  <c r="AB35" i="5" s="1"/>
  <c r="C44" i="12"/>
  <c r="O44" i="12" a="1"/>
  <c r="O44" i="12" s="1"/>
  <c r="M44" i="12" a="1"/>
  <c r="M44" i="12" s="1"/>
  <c r="AO44" i="12" a="1"/>
  <c r="AO44" i="12" s="1"/>
  <c r="C42" i="12"/>
  <c r="O42" i="12" a="1"/>
  <c r="O42" i="12" s="1"/>
  <c r="M42" i="12" a="1"/>
  <c r="M42" i="12" s="1"/>
  <c r="AO42" i="12" a="1"/>
  <c r="AO42" i="12" s="1"/>
  <c r="AB51" i="5" a="1"/>
  <c r="AB51" i="5" s="1"/>
  <c r="C40" i="6"/>
  <c r="C18" i="6"/>
  <c r="C31" i="6"/>
  <c r="C52" i="6"/>
  <c r="C53" i="6"/>
  <c r="AC53" i="5" a="1"/>
  <c r="AC53" i="5" s="1"/>
  <c r="C49" i="6"/>
  <c r="C34" i="12"/>
  <c r="M34" i="12" a="1"/>
  <c r="M34" i="12" s="1"/>
  <c r="AO34" i="12" a="1"/>
  <c r="AO34" i="12" s="1"/>
  <c r="O34" i="12" a="1"/>
  <c r="O34" i="12" s="1"/>
  <c r="AB50" i="5" a="1"/>
  <c r="AB50" i="5" s="1"/>
  <c r="AB34" i="5" a="1"/>
  <c r="AB34" i="5" s="1"/>
  <c r="C31" i="12"/>
  <c r="M31" i="12" a="1"/>
  <c r="M31" i="12" s="1"/>
  <c r="AO31" i="12" a="1"/>
  <c r="AO31" i="12" s="1"/>
  <c r="O31" i="12" a="1"/>
  <c r="O31" i="12" s="1"/>
  <c r="AB42" i="5" a="1"/>
  <c r="AB42" i="5" s="1"/>
  <c r="C49" i="12"/>
  <c r="O49" i="12" a="1"/>
  <c r="O49" i="12" s="1"/>
  <c r="AO49" i="12" a="1"/>
  <c r="AO49" i="12" s="1"/>
  <c r="M49" i="12" a="1"/>
  <c r="M49" i="12" s="1"/>
  <c r="O13" i="7"/>
  <c r="N10" i="7"/>
  <c r="C53" i="12" l="1"/>
  <c r="J53" i="12" a="1"/>
  <c r="J53" i="12" s="1"/>
  <c r="K53" i="12" s="1"/>
  <c r="M53" i="12" a="1"/>
  <c r="M53" i="12" s="1"/>
  <c r="AO53" i="12" a="1"/>
  <c r="AO53" i="12" s="1"/>
  <c r="AB53" i="5" a="1"/>
  <c r="AB53" i="5" s="1"/>
  <c r="O53" i="12" a="1"/>
  <c r="O53" i="12" s="1"/>
  <c r="Y47" i="12"/>
  <c r="W47" i="12" s="1" a="1"/>
  <c r="W47" i="12" s="1"/>
  <c r="N47" i="12"/>
  <c r="Y26" i="12"/>
  <c r="W26" i="12" s="1" a="1"/>
  <c r="W26" i="12" s="1"/>
  <c r="N26" i="12"/>
  <c r="Y19" i="12"/>
  <c r="W19" i="12" s="1" a="1"/>
  <c r="W19" i="12" s="1"/>
  <c r="N19" i="12"/>
  <c r="N25" i="12"/>
  <c r="Y25" i="12"/>
  <c r="N46" i="12"/>
  <c r="Y46" i="12"/>
  <c r="N36" i="12"/>
  <c r="Y51" i="12"/>
  <c r="X51" i="12" s="1" a="1"/>
  <c r="X51" i="12" s="1"/>
  <c r="N28" i="12"/>
  <c r="Y41" i="12"/>
  <c r="W41" i="12" s="1" a="1"/>
  <c r="W41" i="12" s="1"/>
  <c r="Y54" i="12"/>
  <c r="X54" i="12" s="1" a="1"/>
  <c r="X54" i="12" s="1"/>
  <c r="Y18" i="12"/>
  <c r="X18" i="12" s="1" a="1"/>
  <c r="X18" i="12" s="1"/>
  <c r="Y49" i="12"/>
  <c r="W49" i="12" s="1" a="1"/>
  <c r="W49" i="12" s="1"/>
  <c r="Y32" i="12"/>
  <c r="X32" i="12" s="1" a="1"/>
  <c r="X32" i="12" s="1"/>
  <c r="N40" i="12"/>
  <c r="Y29" i="12"/>
  <c r="X29" i="12" s="1" a="1"/>
  <c r="X29" i="12" s="1"/>
  <c r="Y52" i="12"/>
  <c r="X52" i="12" s="1" a="1"/>
  <c r="X52" i="12" s="1"/>
  <c r="Y50" i="12"/>
  <c r="W50" i="12" s="1" a="1"/>
  <c r="W50" i="12" s="1"/>
  <c r="N49" i="12"/>
  <c r="Y36" i="12"/>
  <c r="X36" i="12" s="1" a="1"/>
  <c r="X36" i="12" s="1"/>
  <c r="N50" i="12"/>
  <c r="N52" i="12"/>
  <c r="Y31" i="12"/>
  <c r="X31" i="12" s="1" a="1"/>
  <c r="X31" i="12" s="1"/>
  <c r="N42" i="12"/>
  <c r="N45" i="12"/>
  <c r="Y43" i="12"/>
  <c r="W43" i="12" s="1" a="1"/>
  <c r="W43" i="12" s="1"/>
  <c r="Y28" i="12"/>
  <c r="W28" i="12" s="1" a="1"/>
  <c r="W28" i="12" s="1"/>
  <c r="Y40" i="12"/>
  <c r="Y44" i="12"/>
  <c r="X22" i="12" a="1"/>
  <c r="X22" i="12" s="1"/>
  <c r="W22" i="12" a="1"/>
  <c r="W22" i="12" s="1"/>
  <c r="Y45" i="12"/>
  <c r="Y39" i="12"/>
  <c r="N39" i="12"/>
  <c r="N31" i="12"/>
  <c r="Y42" i="12"/>
  <c r="N44" i="12"/>
  <c r="N34" i="12"/>
  <c r="Y34" i="12"/>
  <c r="N32" i="12"/>
  <c r="N51" i="12"/>
  <c r="N29" i="12"/>
  <c r="Y35" i="12"/>
  <c r="N18" i="12"/>
  <c r="N43" i="12"/>
  <c r="N54" i="12"/>
  <c r="N41" i="12"/>
  <c r="N35" i="12"/>
  <c r="W37" i="12" a="1"/>
  <c r="W37" i="12" s="1"/>
  <c r="X37" i="12" a="1"/>
  <c r="X37" i="12" s="1"/>
  <c r="P13" i="7"/>
  <c r="O10" i="7"/>
  <c r="N53" i="12" l="1"/>
  <c r="Y53" i="12"/>
  <c r="X53" i="12" s="1" a="1"/>
  <c r="X53" i="12" s="1"/>
  <c r="X47" i="12" a="1"/>
  <c r="X47" i="12" s="1"/>
  <c r="V47" i="12" a="1"/>
  <c r="V47" i="12" s="1"/>
  <c r="U47" i="12"/>
  <c r="T47" i="12"/>
  <c r="X26" i="12" a="1"/>
  <c r="X26" i="12" s="1"/>
  <c r="V26" i="12" a="1"/>
  <c r="V26" i="12" s="1"/>
  <c r="U26" i="12"/>
  <c r="T26" i="12"/>
  <c r="X19" i="12" a="1"/>
  <c r="X19" i="12" s="1"/>
  <c r="V19" i="12" a="1"/>
  <c r="V19" i="12" s="1"/>
  <c r="U19" i="12"/>
  <c r="T19" i="12"/>
  <c r="X25" i="12" a="1"/>
  <c r="X25" i="12" s="1"/>
  <c r="W25" i="12" a="1"/>
  <c r="W25" i="12" s="1"/>
  <c r="X46" i="12" a="1"/>
  <c r="X46" i="12" s="1"/>
  <c r="W46" i="12" a="1"/>
  <c r="W46" i="12" s="1"/>
  <c r="X41" i="12" a="1"/>
  <c r="X41" i="12" s="1"/>
  <c r="W36" i="12" a="1"/>
  <c r="W36" i="12" s="1"/>
  <c r="U36" i="12" s="1"/>
  <c r="W18" i="12" a="1"/>
  <c r="W18" i="12" s="1"/>
  <c r="U18" i="12" s="1"/>
  <c r="X28" i="12" a="1"/>
  <c r="X28" i="12" s="1"/>
  <c r="W29" i="12" a="1"/>
  <c r="W29" i="12" s="1"/>
  <c r="U29" i="12" s="1"/>
  <c r="W51" i="12" a="1"/>
  <c r="W51" i="12" s="1"/>
  <c r="V51" i="12" s="1" a="1"/>
  <c r="V51" i="12" s="1"/>
  <c r="W54" i="12" a="1"/>
  <c r="W54" i="12" s="1"/>
  <c r="U54" i="12" s="1"/>
  <c r="W31" i="12" a="1"/>
  <c r="W31" i="12" s="1"/>
  <c r="V31" i="12" s="1" a="1"/>
  <c r="V31" i="12" s="1"/>
  <c r="X49" i="12" a="1"/>
  <c r="X49" i="12" s="1"/>
  <c r="W32" i="12" a="1"/>
  <c r="W32" i="12" s="1"/>
  <c r="U32" i="12" s="1"/>
  <c r="X50" i="12" a="1"/>
  <c r="X50" i="12" s="1"/>
  <c r="W52" i="12" a="1"/>
  <c r="W52" i="12" s="1"/>
  <c r="V52" i="12" s="1" a="1"/>
  <c r="V52" i="12" s="1"/>
  <c r="X43" i="12" a="1"/>
  <c r="X43" i="12" s="1"/>
  <c r="T41" i="12"/>
  <c r="V41" i="12" a="1"/>
  <c r="V41" i="12" s="1"/>
  <c r="U41" i="12"/>
  <c r="V49" i="12" a="1"/>
  <c r="V49" i="12" s="1"/>
  <c r="T49" i="12"/>
  <c r="U49" i="12"/>
  <c r="V50" i="12" a="1"/>
  <c r="V50" i="12" s="1"/>
  <c r="T50" i="12"/>
  <c r="U50" i="12"/>
  <c r="V22" i="12" a="1"/>
  <c r="V22" i="12" s="1"/>
  <c r="T22" i="12"/>
  <c r="U22" i="12"/>
  <c r="V28" i="12" a="1"/>
  <c r="V28" i="12" s="1"/>
  <c r="T28" i="12"/>
  <c r="U28" i="12"/>
  <c r="X39" i="12" a="1"/>
  <c r="X39" i="12" s="1"/>
  <c r="W39" i="12" a="1"/>
  <c r="W39" i="12" s="1"/>
  <c r="U43" i="12"/>
  <c r="V43" i="12" a="1"/>
  <c r="V43" i="12" s="1"/>
  <c r="T43" i="12"/>
  <c r="X44" i="12" a="1"/>
  <c r="X44" i="12" s="1"/>
  <c r="W44" i="12" a="1"/>
  <c r="W44" i="12" s="1"/>
  <c r="X35" i="12" a="1"/>
  <c r="X35" i="12" s="1"/>
  <c r="W35" i="12" a="1"/>
  <c r="W35" i="12" s="1"/>
  <c r="W42" i="12" a="1"/>
  <c r="W42" i="12" s="1"/>
  <c r="X42" i="12" a="1"/>
  <c r="X42" i="12" s="1"/>
  <c r="W34" i="12" a="1"/>
  <c r="W34" i="12" s="1"/>
  <c r="X34" i="12" a="1"/>
  <c r="X34" i="12" s="1"/>
  <c r="W40" i="12" a="1"/>
  <c r="W40" i="12" s="1"/>
  <c r="X40" i="12" a="1"/>
  <c r="X40" i="12" s="1"/>
  <c r="V37" i="12" a="1"/>
  <c r="V37" i="12" s="1"/>
  <c r="U37" i="12"/>
  <c r="T37" i="12"/>
  <c r="W45" i="12" a="1"/>
  <c r="W45" i="12" s="1"/>
  <c r="X45" i="12" a="1"/>
  <c r="X45" i="12" s="1"/>
  <c r="Q13" i="7"/>
  <c r="P10" i="7"/>
  <c r="W53" i="12" l="1" a="1"/>
  <c r="W53" i="12" s="1"/>
  <c r="U53" i="12" s="1"/>
  <c r="V25" i="12" a="1"/>
  <c r="V25" i="12" s="1"/>
  <c r="U25" i="12"/>
  <c r="T25" i="12"/>
  <c r="V46" i="12" a="1"/>
  <c r="V46" i="12" s="1"/>
  <c r="U46" i="12"/>
  <c r="T46" i="12"/>
  <c r="V54" i="12" a="1"/>
  <c r="V54" i="12" s="1"/>
  <c r="T54" i="12"/>
  <c r="V18" i="12" a="1"/>
  <c r="V18" i="12" s="1"/>
  <c r="T36" i="12"/>
  <c r="V36" i="12" a="1"/>
  <c r="V36" i="12" s="1"/>
  <c r="T18" i="12"/>
  <c r="V29" i="12" a="1"/>
  <c r="V29" i="12" s="1"/>
  <c r="T29" i="12"/>
  <c r="T51" i="12"/>
  <c r="U51" i="12"/>
  <c r="V32" i="12" a="1"/>
  <c r="V32" i="12" s="1"/>
  <c r="U31" i="12"/>
  <c r="T32" i="12"/>
  <c r="T31" i="12"/>
  <c r="T52" i="12"/>
  <c r="U52" i="12"/>
  <c r="U40" i="12"/>
  <c r="V40" i="12" a="1"/>
  <c r="V40" i="12" s="1"/>
  <c r="T40" i="12"/>
  <c r="U44" i="12"/>
  <c r="T44" i="12"/>
  <c r="V44" i="12" a="1"/>
  <c r="V44" i="12" s="1"/>
  <c r="U45" i="12"/>
  <c r="T45" i="12"/>
  <c r="V45" i="12" a="1"/>
  <c r="V45" i="12" s="1"/>
  <c r="U39" i="12"/>
  <c r="V39" i="12" a="1"/>
  <c r="V39" i="12" s="1"/>
  <c r="T39" i="12"/>
  <c r="V34" i="12" a="1"/>
  <c r="V34" i="12" s="1"/>
  <c r="T34" i="12"/>
  <c r="U34" i="12"/>
  <c r="U35" i="12"/>
  <c r="T35" i="12"/>
  <c r="V35" i="12" a="1"/>
  <c r="V35" i="12" s="1"/>
  <c r="V42" i="12" a="1"/>
  <c r="V42" i="12" s="1"/>
  <c r="T42" i="12"/>
  <c r="U42" i="12"/>
  <c r="R13" i="7"/>
  <c r="Q10" i="7"/>
  <c r="T53" i="12" l="1"/>
  <c r="V53" i="12" a="1"/>
  <c r="V53" i="12" s="1"/>
  <c r="S13" i="7"/>
  <c r="R10" i="7"/>
  <c r="T13" i="7" l="1"/>
  <c r="S10" i="7"/>
  <c r="U13" i="7" l="1"/>
  <c r="T10" i="7"/>
  <c r="V13" i="7" l="1"/>
  <c r="U10" i="7"/>
  <c r="K10" i="7"/>
  <c r="W13" i="7" l="1"/>
  <c r="V10" i="7"/>
  <c r="T14" i="5"/>
  <c r="G14" i="12" s="1" a="1"/>
  <c r="G14" i="12" s="1"/>
  <c r="X13" i="7" l="1"/>
  <c r="W10" i="7"/>
  <c r="Y13" i="7" l="1"/>
  <c r="X10" i="7"/>
  <c r="A8" i="9"/>
  <c r="B7" i="9" a="1"/>
  <c r="B7" i="9" s="1"/>
  <c r="Y10" i="7" l="1"/>
  <c r="D15" i="7"/>
  <c r="C16" i="7" s="1" a="1"/>
  <c r="C16" i="7" s="1"/>
  <c r="B15" i="10"/>
  <c r="B16" i="10" s="1"/>
  <c r="B17" i="10" l="1"/>
  <c r="C17" i="7" a="1"/>
  <c r="C17" i="7" s="1"/>
  <c r="B16" i="7"/>
  <c r="A15" i="10"/>
  <c r="B15" i="7"/>
  <c r="C15" i="9"/>
  <c r="F15" i="9" s="1"/>
  <c r="C15" i="10"/>
  <c r="A15" i="7"/>
  <c r="B18" i="10" l="1"/>
  <c r="C18" i="7" a="1"/>
  <c r="C18" i="7" s="1"/>
  <c r="B17" i="7"/>
  <c r="D21" i="2"/>
  <c r="B18" i="7" l="1"/>
  <c r="C19" i="7" a="1"/>
  <c r="C19" i="7" s="1"/>
  <c r="B19" i="10"/>
  <c r="N14" i="6"/>
  <c r="B19" i="7" l="1"/>
  <c r="C20" i="7" a="1"/>
  <c r="C20" i="7" s="1"/>
  <c r="B20" i="10"/>
  <c r="U1" i="7" a="1"/>
  <c r="U1" i="7" s="1"/>
  <c r="W1" i="7" a="1"/>
  <c r="W1" i="7" s="1"/>
  <c r="Y1" i="7" a="1"/>
  <c r="Y1" i="7" s="1"/>
  <c r="S1" i="7" a="1"/>
  <c r="S1" i="7" s="1"/>
  <c r="T1" i="7" a="1"/>
  <c r="T1" i="7" s="1"/>
  <c r="V1" i="7" a="1"/>
  <c r="V1" i="7" s="1"/>
  <c r="X1" i="7" a="1"/>
  <c r="X1" i="7" s="1"/>
  <c r="C21" i="7" l="1" a="1"/>
  <c r="C21" i="7" s="1"/>
  <c r="B20" i="7"/>
  <c r="B21" i="10"/>
  <c r="R1" i="7" a="1"/>
  <c r="R1" i="7" s="1"/>
  <c r="M1" i="7" a="1"/>
  <c r="M1" i="7" s="1"/>
  <c r="P1" i="7" a="1"/>
  <c r="P1" i="7" s="1"/>
  <c r="Q1" i="7" a="1"/>
  <c r="Q1" i="7" s="1"/>
  <c r="O1" i="7" a="1"/>
  <c r="O1" i="7" s="1"/>
  <c r="N1" i="7" a="1"/>
  <c r="N1" i="7" s="1"/>
  <c r="B21" i="7" l="1"/>
  <c r="C22" i="7" a="1"/>
  <c r="C22" i="7" s="1"/>
  <c r="B22" i="10"/>
  <c r="A10" i="9"/>
  <c r="B22" i="7" l="1"/>
  <c r="C23" i="7" a="1"/>
  <c r="C23" i="7" s="1"/>
  <c r="B23" i="10"/>
  <c r="F15" i="7" a="1"/>
  <c r="F15" i="7" s="1"/>
  <c r="B23" i="7" l="1"/>
  <c r="I15" i="7"/>
  <c r="J15" i="7"/>
  <c r="J1" i="7" a="1"/>
  <c r="J1" i="7" s="1"/>
  <c r="Q15" i="7"/>
  <c r="Q14" i="7" s="1"/>
  <c r="L1" i="7" a="1"/>
  <c r="L1" i="7" s="1"/>
  <c r="L15" i="7"/>
  <c r="K15" i="7"/>
  <c r="K1" i="7" a="1"/>
  <c r="K1" i="7" s="1"/>
  <c r="L14" i="7" l="1"/>
  <c r="K14" i="7"/>
  <c r="J14" i="7"/>
  <c r="P15" i="7"/>
  <c r="P14" i="7" s="1"/>
  <c r="S15" i="7"/>
  <c r="S14" i="7" s="1"/>
  <c r="N15" i="7"/>
  <c r="N14" i="7" s="1"/>
  <c r="X15" i="7"/>
  <c r="X14" i="7" s="1"/>
  <c r="R15" i="7"/>
  <c r="R14" i="7" s="1"/>
  <c r="O15" i="7"/>
  <c r="O14" i="7" s="1"/>
  <c r="T15" i="7"/>
  <c r="T14" i="7" s="1"/>
  <c r="Y15" i="7"/>
  <c r="Y14" i="7" s="1"/>
  <c r="U15" i="7"/>
  <c r="U14" i="7" s="1"/>
  <c r="M15" i="7"/>
  <c r="M14" i="7" s="1"/>
  <c r="V15" i="7"/>
  <c r="V14" i="7" s="1"/>
  <c r="W15" i="7"/>
  <c r="W14" i="7" s="1"/>
  <c r="H15" i="7" l="1"/>
  <c r="E15" i="7"/>
  <c r="I1" i="7" l="1" a="1"/>
  <c r="I1" i="7" s="1"/>
  <c r="E1" i="7" a="1"/>
  <c r="E1" i="7" s="1"/>
  <c r="H1" i="7" a="1"/>
  <c r="H1" i="7" s="1"/>
  <c r="F1" i="7"/>
  <c r="E14" i="7" l="1"/>
  <c r="F14" i="7"/>
  <c r="H14" i="7"/>
  <c r="I14" i="7"/>
  <c r="G20" i="7" l="1"/>
  <c r="G17" i="7"/>
  <c r="G18" i="7"/>
  <c r="G21" i="7"/>
  <c r="G19" i="7"/>
  <c r="G16" i="7"/>
  <c r="G22" i="7"/>
  <c r="G23" i="7"/>
  <c r="G1" i="7"/>
  <c r="F6" i="7"/>
  <c r="J10" i="13" l="1"/>
  <c r="AO12" i="13" l="1"/>
  <c r="AL12" i="13"/>
  <c r="AN12" i="13" l="1" a="1"/>
  <c r="AN12" i="13" s="1"/>
  <c r="AK12" i="13" a="1"/>
  <c r="AK12" i="13" s="1"/>
  <c r="AJ12" i="13" a="1"/>
  <c r="AJ12" i="13" s="1"/>
  <c r="O15" i="12" l="1" a="1"/>
  <c r="O15" i="12" s="1"/>
  <c r="M15" i="12" a="1"/>
  <c r="M15" i="12" s="1"/>
  <c r="J14" i="6" a="1"/>
  <c r="J14" i="6" s="1"/>
  <c r="I15" i="12" l="1" a="1"/>
  <c r="I15" i="12" s="1"/>
  <c r="J15" i="12" a="1"/>
  <c r="J15" i="12" s="1"/>
  <c r="L15" i="12" a="1"/>
  <c r="L15" i="12" s="1"/>
  <c r="K15" i="12" l="1"/>
  <c r="N15" i="12"/>
  <c r="P10" i="12"/>
  <c r="O10" i="12" s="1"/>
  <c r="D1" i="2" l="1"/>
  <c r="M14" i="6" l="1"/>
  <c r="AX14" i="6" l="1" a="1"/>
  <c r="AX14" i="6" s="1"/>
  <c r="AT14" i="6"/>
  <c r="BC14" i="6" a="1"/>
  <c r="BC14" i="6" s="1"/>
  <c r="AB14" i="6"/>
  <c r="AM14" i="6"/>
  <c r="AN14" i="6"/>
  <c r="AD14" i="6"/>
  <c r="BF14" i="6" a="1"/>
  <c r="BF14" i="6" s="1"/>
  <c r="BG14" i="6" a="1"/>
  <c r="BG14" i="6" s="1"/>
  <c r="AO14" i="6"/>
  <c r="BE14" i="6" a="1"/>
  <c r="BE14" i="6" s="1"/>
  <c r="AE14" i="6"/>
  <c r="BA14" i="6" a="1"/>
  <c r="BA14" i="6" s="1"/>
  <c r="BB14" i="6" a="1"/>
  <c r="BB14" i="6" s="1"/>
  <c r="AP14" i="6"/>
  <c r="AQ14" i="6"/>
  <c r="AH14" i="6"/>
  <c r="AY14" i="6" a="1"/>
  <c r="AY14" i="6" s="1"/>
  <c r="AR14" i="6"/>
  <c r="AU14" i="6"/>
  <c r="AK14" i="6"/>
  <c r="BD14" i="6" a="1"/>
  <c r="BD14" i="6" s="1"/>
  <c r="AI14" i="6"/>
  <c r="AG14" i="6"/>
  <c r="AS14" i="6"/>
  <c r="AJ14" i="6"/>
  <c r="AV14" i="6"/>
  <c r="AC14" i="6"/>
  <c r="AZ14" i="6" a="1"/>
  <c r="AZ14" i="6" s="1"/>
  <c r="AF14" i="6"/>
  <c r="X14" i="5" l="1" a="1"/>
  <c r="X14" i="5" s="1"/>
  <c r="I14" i="5" l="1"/>
  <c r="I14" i="12"/>
  <c r="L14" i="5"/>
  <c r="AM14" i="5"/>
  <c r="Z14" i="5"/>
  <c r="O14" i="5" l="1"/>
  <c r="AA14" i="5" a="1"/>
  <c r="AA14" i="5" s="1"/>
  <c r="AB14" i="5" a="1"/>
  <c r="AB14" i="5" s="1"/>
  <c r="AO14" i="12" a="1"/>
  <c r="AO14" i="12" s="1"/>
  <c r="C14" i="12"/>
  <c r="M14" i="12" a="1"/>
  <c r="M14" i="12" s="1"/>
  <c r="O14" i="12" a="1"/>
  <c r="O14" i="12" s="1"/>
  <c r="N14" i="12" l="1"/>
  <c r="Y14" i="12"/>
  <c r="D14" i="12"/>
  <c r="W14" i="12" l="1" a="1"/>
  <c r="W14" i="12" s="1"/>
  <c r="X14" i="12" a="1"/>
  <c r="X14" i="12" s="1"/>
  <c r="U14" i="12" l="1"/>
  <c r="V14" i="12" a="1"/>
  <c r="V14" i="12" s="1"/>
  <c r="T14" i="12"/>
  <c r="AG14" i="5" l="1" a="1"/>
  <c r="AG14" i="5" s="1"/>
  <c r="S14" i="5" a="1"/>
  <c r="S14" i="5" s="1"/>
  <c r="F14" i="12" s="1" a="1"/>
  <c r="F14" i="12" s="1"/>
  <c r="E14" i="12" l="1"/>
  <c r="AC14" i="5" a="1"/>
  <c r="AC14" i="5" s="1"/>
  <c r="C10" i="7" l="1"/>
  <c r="K21" i="5" l="1"/>
  <c r="D21" i="5" s="1"/>
  <c r="J21" i="5"/>
  <c r="L55" i="6"/>
  <c r="K17" i="5"/>
  <c r="A5" i="5" l="1"/>
  <c r="B21" i="12"/>
  <c r="O53" i="5" l="1"/>
  <c r="D53" i="12" s="1"/>
  <c r="O19" i="5"/>
  <c r="D19" i="12" s="1"/>
  <c r="O18" i="5"/>
  <c r="E18" i="6" s="1"/>
  <c r="B18" i="11"/>
  <c r="E53" i="6" l="1"/>
  <c r="E19" i="6"/>
  <c r="K48" i="5"/>
  <c r="J48" i="5"/>
  <c r="J38" i="5"/>
  <c r="K38" i="5"/>
  <c r="K33" i="5"/>
  <c r="J33" i="5"/>
  <c r="K20" i="5"/>
  <c r="J30" i="5"/>
  <c r="K30" i="5"/>
  <c r="D18" i="12"/>
  <c r="B17" i="11"/>
  <c r="G17" i="11" s="1"/>
  <c r="F17" i="13" s="1"/>
  <c r="K27" i="5"/>
  <c r="J27" i="5"/>
  <c r="B23" i="11"/>
  <c r="O23" i="11" s="1" a="1"/>
  <c r="O23" i="11" s="1"/>
  <c r="A16" i="13"/>
  <c r="K16" i="5"/>
  <c r="B12" i="11"/>
  <c r="G12" i="11" s="1"/>
  <c r="F12" i="13" s="1"/>
  <c r="B15" i="11"/>
  <c r="A17" i="13"/>
  <c r="B17" i="13" s="1"/>
  <c r="AG17" i="13" s="1" a="1"/>
  <c r="AG17" i="13" s="1"/>
  <c r="A15" i="13"/>
  <c r="A21" i="13"/>
  <c r="B21" i="13" s="1"/>
  <c r="AF21" i="13" s="1" a="1"/>
  <c r="AF21" i="13" s="1"/>
  <c r="J17" i="5"/>
  <c r="D17" i="5" s="1"/>
  <c r="B17" i="12" s="1"/>
  <c r="J16" i="5"/>
  <c r="J20" i="5"/>
  <c r="AA18" i="11" a="1"/>
  <c r="AA18" i="11" s="1"/>
  <c r="C18" i="13"/>
  <c r="G18" i="11"/>
  <c r="F18" i="13" s="1"/>
  <c r="O18" i="11" a="1"/>
  <c r="O18" i="11" s="1"/>
  <c r="AB18" i="11" a="1"/>
  <c r="AB18" i="11" s="1"/>
  <c r="N18" i="11" s="1"/>
  <c r="K18" i="11" a="1"/>
  <c r="K18" i="11" s="1"/>
  <c r="J18" i="13" s="1"/>
  <c r="A23" i="13"/>
  <c r="B22" i="11"/>
  <c r="A19" i="13"/>
  <c r="F14" i="8" a="1"/>
  <c r="F14" i="8" s="1"/>
  <c r="F15" i="8" s="1"/>
  <c r="F26" i="8" a="1"/>
  <c r="F26" i="8" s="1"/>
  <c r="F38" i="8" a="1"/>
  <c r="F38" i="8" s="1"/>
  <c r="B19" i="11"/>
  <c r="F17" i="8" a="1"/>
  <c r="F17" i="8" s="1"/>
  <c r="F18" i="8" s="1"/>
  <c r="K23" i="5"/>
  <c r="J23" i="5"/>
  <c r="A18" i="13"/>
  <c r="A22" i="13"/>
  <c r="F23" i="8" a="1"/>
  <c r="F23" i="8" s="1"/>
  <c r="F1" i="8" a="1"/>
  <c r="F1" i="8" s="1"/>
  <c r="F2" i="8" s="1"/>
  <c r="F20" i="8" a="1"/>
  <c r="F20" i="8" s="1"/>
  <c r="F21" i="8" s="1"/>
  <c r="M20" i="8" s="1"/>
  <c r="P20" i="8" s="1"/>
  <c r="F32" i="8" a="1"/>
  <c r="F32" i="8" s="1"/>
  <c r="B20" i="11"/>
  <c r="B21" i="11"/>
  <c r="F35" i="8" a="1"/>
  <c r="F35" i="8" s="1"/>
  <c r="J24" i="5"/>
  <c r="A12" i="13"/>
  <c r="F29" i="8" a="1"/>
  <c r="F29" i="8" s="1"/>
  <c r="K24" i="5"/>
  <c r="D24" i="5" s="1"/>
  <c r="B24" i="12" s="1"/>
  <c r="B16" i="11"/>
  <c r="A20" i="13"/>
  <c r="D48" i="5" l="1"/>
  <c r="B48" i="12" s="1"/>
  <c r="D38" i="5"/>
  <c r="B38" i="12" s="1"/>
  <c r="D33" i="5"/>
  <c r="D30" i="5"/>
  <c r="B30" i="12" s="1"/>
  <c r="D20" i="5"/>
  <c r="B20" i="12" s="1"/>
  <c r="AA17" i="11" a="1"/>
  <c r="AA17" i="11" s="1"/>
  <c r="K17" i="11" a="1"/>
  <c r="K17" i="11" s="1"/>
  <c r="J17" i="13" s="1"/>
  <c r="AA12" i="11" a="1"/>
  <c r="AA12" i="11" s="1"/>
  <c r="C12" i="13"/>
  <c r="M12" i="13" s="1"/>
  <c r="K12" i="11" a="1"/>
  <c r="K12" i="11" s="1"/>
  <c r="J12" i="13" s="1"/>
  <c r="AB12" i="11" a="1"/>
  <c r="AB12" i="11" s="1"/>
  <c r="N12" i="11" s="1"/>
  <c r="AB17" i="11" a="1"/>
  <c r="AB17" i="11" s="1"/>
  <c r="N17" i="11" s="1"/>
  <c r="C17" i="13"/>
  <c r="O17" i="13" s="1"/>
  <c r="O12" i="11" a="1"/>
  <c r="O12" i="11" s="1"/>
  <c r="O17" i="11" a="1"/>
  <c r="O17" i="11" s="1"/>
  <c r="G23" i="11"/>
  <c r="F23" i="13" s="1"/>
  <c r="AA23" i="11" a="1"/>
  <c r="AA23" i="11" s="1"/>
  <c r="K23" i="11" a="1"/>
  <c r="K23" i="11" s="1"/>
  <c r="J23" i="13" s="1"/>
  <c r="C23" i="13"/>
  <c r="O23" i="13" s="1"/>
  <c r="AB23" i="11" a="1"/>
  <c r="AB23" i="11" s="1"/>
  <c r="N23" i="11" s="1"/>
  <c r="D27" i="5"/>
  <c r="B27" i="12" s="1"/>
  <c r="AG21" i="13" a="1"/>
  <c r="AG21" i="13" s="1"/>
  <c r="D16" i="5"/>
  <c r="B14" i="13" s="1"/>
  <c r="AD21" i="13" a="1"/>
  <c r="AD21" i="13" s="1"/>
  <c r="AH21" i="13"/>
  <c r="AC21" i="13" a="1"/>
  <c r="AC21" i="13" s="1"/>
  <c r="C15" i="13"/>
  <c r="K15" i="13" s="1" a="1"/>
  <c r="K15" i="13" s="1"/>
  <c r="K15" i="11" a="1"/>
  <c r="K15" i="11" s="1"/>
  <c r="J15" i="13" s="1"/>
  <c r="AF17" i="13" a="1"/>
  <c r="AF17" i="13" s="1"/>
  <c r="AE17" i="13"/>
  <c r="AD17" i="13" a="1"/>
  <c r="AD17" i="13" s="1"/>
  <c r="AC17" i="13" a="1"/>
  <c r="AC17" i="13" s="1"/>
  <c r="AE21" i="13"/>
  <c r="B16" i="13"/>
  <c r="AH17" i="13"/>
  <c r="G21" i="11"/>
  <c r="F21" i="13" s="1"/>
  <c r="K21" i="11" a="1"/>
  <c r="K21" i="11" s="1"/>
  <c r="J21" i="13" s="1"/>
  <c r="C21" i="13"/>
  <c r="O21" i="11" a="1"/>
  <c r="O21" i="11" s="1"/>
  <c r="AB21" i="11" a="1"/>
  <c r="AB21" i="11" s="1"/>
  <c r="N21" i="11" s="1"/>
  <c r="AA21" i="11" a="1"/>
  <c r="AA21" i="11" s="1"/>
  <c r="P18" i="11"/>
  <c r="L18" i="13"/>
  <c r="D18" i="13" s="1"/>
  <c r="Z18" i="11"/>
  <c r="C18" i="11"/>
  <c r="B20" i="13"/>
  <c r="AC20" i="13" s="1" a="1"/>
  <c r="AC20" i="13" s="1"/>
  <c r="C20" i="13"/>
  <c r="AB20" i="11" a="1"/>
  <c r="AB20" i="11" s="1"/>
  <c r="N20" i="11" s="1"/>
  <c r="K20" i="11" a="1"/>
  <c r="K20" i="11" s="1"/>
  <c r="J20" i="13" s="1"/>
  <c r="O20" i="11" a="1"/>
  <c r="O20" i="11" s="1"/>
  <c r="G20" i="11"/>
  <c r="F20" i="13" s="1"/>
  <c r="AA20" i="11" a="1"/>
  <c r="AA20" i="11" s="1"/>
  <c r="O1" i="8"/>
  <c r="I1" i="8"/>
  <c r="Q1" i="8"/>
  <c r="P1" i="8"/>
  <c r="N1" i="8"/>
  <c r="S1" i="8"/>
  <c r="G1" i="8" s="1"/>
  <c r="G2" i="8" s="1" a="1"/>
  <c r="G2" i="8" s="1"/>
  <c r="J1" i="8"/>
  <c r="M1" i="8"/>
  <c r="D23" i="5"/>
  <c r="K22" i="11" a="1"/>
  <c r="K22" i="11" s="1"/>
  <c r="J22" i="13" s="1"/>
  <c r="C22" i="13"/>
  <c r="AA22" i="11" a="1"/>
  <c r="AA22" i="11" s="1"/>
  <c r="G22" i="11"/>
  <c r="F22" i="13" s="1"/>
  <c r="O22" i="11" a="1"/>
  <c r="O22" i="11" s="1"/>
  <c r="AB22" i="11" a="1"/>
  <c r="AB22" i="11" s="1"/>
  <c r="N22" i="11" s="1"/>
  <c r="O16" i="11" a="1"/>
  <c r="O16" i="11" s="1"/>
  <c r="K16" i="11" a="1"/>
  <c r="K16" i="11" s="1"/>
  <c r="J16" i="13" s="1"/>
  <c r="F10" i="8" a="1"/>
  <c r="F10" i="8" s="1"/>
  <c r="AB16" i="11" a="1"/>
  <c r="AB16" i="11" s="1"/>
  <c r="N16" i="11" s="1"/>
  <c r="AA16" i="11" a="1"/>
  <c r="AA16" i="11" s="1"/>
  <c r="C16" i="13"/>
  <c r="G16" i="11"/>
  <c r="F16" i="13" s="1"/>
  <c r="K19" i="11" a="1"/>
  <c r="K19" i="11" s="1"/>
  <c r="J19" i="13" s="1"/>
  <c r="G19" i="11"/>
  <c r="F19" i="13" s="1"/>
  <c r="O19" i="11" a="1"/>
  <c r="O19" i="11" s="1"/>
  <c r="C19" i="13"/>
  <c r="AB19" i="11" a="1"/>
  <c r="AB19" i="11" s="1"/>
  <c r="N19" i="11" s="1"/>
  <c r="AA19" i="11" a="1"/>
  <c r="AA19" i="11" s="1"/>
  <c r="M14" i="8"/>
  <c r="Q14" i="8" s="1"/>
  <c r="J14" i="8"/>
  <c r="B23" i="13"/>
  <c r="AF23" i="13" s="1" a="1"/>
  <c r="AF23" i="13" s="1"/>
  <c r="O18" i="13"/>
  <c r="K18" i="13" a="1"/>
  <c r="K18" i="13" s="1"/>
  <c r="U18" i="13"/>
  <c r="T18" i="13"/>
  <c r="R18" i="13"/>
  <c r="S18" i="13"/>
  <c r="M18" i="13"/>
  <c r="C23" i="11"/>
  <c r="L23" i="13"/>
  <c r="D23" i="13" s="1"/>
  <c r="P23" i="11"/>
  <c r="B22" i="13"/>
  <c r="AD22" i="13" s="1" a="1"/>
  <c r="AD22" i="13" s="1"/>
  <c r="B18" i="13"/>
  <c r="AG18" i="13" s="1" a="1"/>
  <c r="AG18" i="13" s="1"/>
  <c r="B19" i="13"/>
  <c r="AG19" i="13" s="1" a="1"/>
  <c r="AG19" i="13" s="1"/>
  <c r="M17" i="8"/>
  <c r="P17" i="8" s="1"/>
  <c r="J17" i="8"/>
  <c r="B12" i="13"/>
  <c r="AM12" i="13" s="1" a="1"/>
  <c r="AM12" i="13" s="1"/>
  <c r="S22" i="8"/>
  <c r="Q20" i="8"/>
  <c r="A20" i="8"/>
  <c r="B33" i="12" l="1"/>
  <c r="K12" i="13" a="1"/>
  <c r="K12" i="13" s="1"/>
  <c r="O12" i="13"/>
  <c r="S12" i="13"/>
  <c r="P12" i="11"/>
  <c r="T17" i="13"/>
  <c r="U12" i="13"/>
  <c r="L12" i="13"/>
  <c r="V12" i="13" s="1"/>
  <c r="C12" i="11"/>
  <c r="S17" i="13"/>
  <c r="K17" i="13" a="1"/>
  <c r="K17" i="13" s="1"/>
  <c r="M17" i="13"/>
  <c r="N17" i="13" s="1"/>
  <c r="T12" i="13"/>
  <c r="Z12" i="11"/>
  <c r="R12" i="13"/>
  <c r="C17" i="11"/>
  <c r="Z17" i="11"/>
  <c r="L17" i="13"/>
  <c r="D17" i="13" s="1"/>
  <c r="P17" i="11"/>
  <c r="R17" i="13"/>
  <c r="U17" i="13"/>
  <c r="Z23" i="11"/>
  <c r="U23" i="13"/>
  <c r="S23" i="13"/>
  <c r="M23" i="13"/>
  <c r="N23" i="13" s="1"/>
  <c r="K23" i="13" a="1"/>
  <c r="K23" i="13" s="1"/>
  <c r="R23" i="13"/>
  <c r="T23" i="13"/>
  <c r="B16" i="12"/>
  <c r="AH22" i="13"/>
  <c r="AH20" i="13"/>
  <c r="AE20" i="13"/>
  <c r="AC22" i="13" a="1"/>
  <c r="AC22" i="13" s="1"/>
  <c r="AE22" i="13"/>
  <c r="AF20" i="13" a="1"/>
  <c r="AF20" i="13" s="1"/>
  <c r="AD20" i="13" a="1"/>
  <c r="AD20" i="13" s="1"/>
  <c r="AC16" i="13" a="1"/>
  <c r="AC16" i="13" s="1"/>
  <c r="AF16" i="13" a="1"/>
  <c r="AF16" i="13" s="1"/>
  <c r="AE16" i="13"/>
  <c r="AG16" i="13" a="1"/>
  <c r="AG16" i="13" s="1"/>
  <c r="AH16" i="13"/>
  <c r="AF12" i="13" a="1"/>
  <c r="AF12" i="13" s="1"/>
  <c r="F24" i="8"/>
  <c r="M23" i="8" s="1"/>
  <c r="AD12" i="13" a="1"/>
  <c r="AD12" i="13" s="1"/>
  <c r="P14" i="8"/>
  <c r="O14" i="8"/>
  <c r="AE19" i="13"/>
  <c r="AF22" i="13" a="1"/>
  <c r="AF22" i="13" s="1"/>
  <c r="AF19" i="13" a="1"/>
  <c r="AF19" i="13" s="1"/>
  <c r="AD16" i="13" a="1"/>
  <c r="AD16" i="13" s="1"/>
  <c r="B23" i="12"/>
  <c r="B15" i="13"/>
  <c r="D15" i="5"/>
  <c r="P18" i="13"/>
  <c r="N18" i="13"/>
  <c r="Z16" i="11"/>
  <c r="C16" i="11"/>
  <c r="P16" i="11"/>
  <c r="L16" i="13"/>
  <c r="D16" i="13" s="1"/>
  <c r="AF18" i="13" a="1"/>
  <c r="AF18" i="13" s="1"/>
  <c r="AC23" i="13" a="1"/>
  <c r="AC23" i="13" s="1"/>
  <c r="S3" i="8"/>
  <c r="A1" i="8"/>
  <c r="R1" i="8"/>
  <c r="AE12" i="13"/>
  <c r="P17" i="13"/>
  <c r="AH18" i="13"/>
  <c r="AD23" i="13" a="1"/>
  <c r="AD23" i="13" s="1"/>
  <c r="Z22" i="11"/>
  <c r="P22" i="11"/>
  <c r="C22" i="11"/>
  <c r="L22" i="13"/>
  <c r="D22" i="13" s="1"/>
  <c r="P23" i="13"/>
  <c r="Z21" i="11"/>
  <c r="C21" i="11"/>
  <c r="P21" i="11"/>
  <c r="L21" i="13"/>
  <c r="D21" i="13" s="1"/>
  <c r="AC12" i="13" a="1"/>
  <c r="AC12" i="13" s="1"/>
  <c r="Q17" i="8"/>
  <c r="S19" i="8"/>
  <c r="AD19" i="13" a="1"/>
  <c r="AD19" i="13" s="1"/>
  <c r="AE18" i="13"/>
  <c r="AG23" i="13" a="1"/>
  <c r="AG23" i="13" s="1"/>
  <c r="S16" i="8"/>
  <c r="A14" i="8"/>
  <c r="K16" i="13" a="1"/>
  <c r="K16" i="13" s="1"/>
  <c r="U16" i="13"/>
  <c r="T16" i="13"/>
  <c r="R16" i="13"/>
  <c r="M16" i="13"/>
  <c r="S16" i="13"/>
  <c r="O16" i="13"/>
  <c r="H2" i="8" a="1"/>
  <c r="H2" i="8" s="1"/>
  <c r="H1" i="8" a="1"/>
  <c r="H1" i="8" s="1"/>
  <c r="J2" i="8" s="1"/>
  <c r="C20" i="11"/>
  <c r="P20" i="11"/>
  <c r="L20" i="13"/>
  <c r="D20" i="13" s="1"/>
  <c r="Z20" i="11"/>
  <c r="R21" i="13"/>
  <c r="O21" i="13"/>
  <c r="M21" i="13"/>
  <c r="T21" i="13"/>
  <c r="S21" i="13"/>
  <c r="U21" i="13"/>
  <c r="K21" i="13" a="1"/>
  <c r="K21" i="13" s="1"/>
  <c r="P19" i="11"/>
  <c r="L19" i="13"/>
  <c r="D19" i="13" s="1"/>
  <c r="Z19" i="11"/>
  <c r="C19" i="11"/>
  <c r="AG12" i="13" a="1"/>
  <c r="AG12" i="13" s="1"/>
  <c r="AH19" i="13"/>
  <c r="AD18" i="13" a="1"/>
  <c r="AD18" i="13" s="1"/>
  <c r="AG22" i="13" a="1"/>
  <c r="AG22" i="13" s="1"/>
  <c r="AE23" i="13"/>
  <c r="N12" i="13"/>
  <c r="AH12" i="13"/>
  <c r="AC19" i="13" a="1"/>
  <c r="AC19" i="13" s="1"/>
  <c r="AC18" i="13" a="1"/>
  <c r="AC18" i="13" s="1"/>
  <c r="AH23" i="13"/>
  <c r="O22" i="13"/>
  <c r="M22" i="13"/>
  <c r="K22" i="13" a="1"/>
  <c r="K22" i="13" s="1"/>
  <c r="U22" i="13"/>
  <c r="T22" i="13"/>
  <c r="S22" i="13"/>
  <c r="R22" i="13"/>
  <c r="R19" i="13"/>
  <c r="O19" i="13"/>
  <c r="M19" i="13"/>
  <c r="T19" i="13"/>
  <c r="S19" i="13"/>
  <c r="U19" i="13"/>
  <c r="K19" i="13" a="1"/>
  <c r="K19" i="13" s="1"/>
  <c r="K20" i="13" a="1"/>
  <c r="K20" i="13" s="1"/>
  <c r="U20" i="13"/>
  <c r="T20" i="13"/>
  <c r="S20" i="13"/>
  <c r="R20" i="13"/>
  <c r="M20" i="13"/>
  <c r="O20" i="13"/>
  <c r="AG20" i="13" a="1"/>
  <c r="AG20" i="13" s="1"/>
  <c r="D12" i="13" l="1"/>
  <c r="P12" i="13"/>
  <c r="P21" i="13"/>
  <c r="N21" i="13"/>
  <c r="P16" i="13"/>
  <c r="N16" i="13"/>
  <c r="N19" i="13"/>
  <c r="P19" i="13"/>
  <c r="N22" i="13"/>
  <c r="P22" i="13"/>
  <c r="N20" i="13"/>
  <c r="P20" i="13"/>
  <c r="AD3" i="8" a="1"/>
  <c r="AD3" i="8" s="1"/>
  <c r="U3" i="8" a="1"/>
  <c r="U3" i="8" s="1"/>
  <c r="V1" i="8" a="1"/>
  <c r="V1" i="8" s="1"/>
  <c r="Z1" i="8" a="1"/>
  <c r="Z1" i="8" s="1"/>
  <c r="AC1" i="8" a="1"/>
  <c r="AC1" i="8" s="1"/>
  <c r="AF3" i="8" a="1"/>
  <c r="AF3" i="8" s="1"/>
  <c r="AB1" i="8" a="1"/>
  <c r="AB1" i="8" s="1"/>
  <c r="E3" i="8" a="1"/>
  <c r="E3" i="8" s="1"/>
  <c r="AE1" i="8" a="1"/>
  <c r="AE1" i="8" s="1"/>
  <c r="X1" i="8" a="1"/>
  <c r="X1" i="8" s="1"/>
  <c r="U1" i="8" a="1"/>
  <c r="U1" i="8" s="1"/>
  <c r="X3" i="8" a="1"/>
  <c r="X3" i="8" s="1"/>
  <c r="V3" i="8" a="1"/>
  <c r="V3" i="8" s="1"/>
  <c r="AE3" i="8" a="1"/>
  <c r="AE3" i="8" s="1"/>
  <c r="AC3" i="8" a="1"/>
  <c r="AC3" i="8" s="1"/>
  <c r="E1" i="8" a="1"/>
  <c r="E1" i="8" s="1"/>
  <c r="C1" i="8"/>
  <c r="W1" i="8" a="1"/>
  <c r="W1" i="8" s="1"/>
  <c r="AA3" i="8" a="1"/>
  <c r="AA3" i="8" s="1"/>
  <c r="F3" i="8"/>
  <c r="AF1" i="8" a="1"/>
  <c r="AF1" i="8" s="1"/>
  <c r="AA1" i="8" a="1"/>
  <c r="AA1" i="8" s="1"/>
  <c r="AB3" i="8" a="1"/>
  <c r="AB3" i="8" s="1"/>
  <c r="W3" i="8" a="1"/>
  <c r="W3" i="8" s="1"/>
  <c r="D1" i="8"/>
  <c r="Y1" i="8" a="1"/>
  <c r="Y1" i="8" s="1"/>
  <c r="Y3" i="8" a="1"/>
  <c r="Y3" i="8" s="1"/>
  <c r="AD1" i="8" a="1"/>
  <c r="AD1" i="8" s="1"/>
  <c r="Z3" i="8" a="1"/>
  <c r="Z3" i="8" s="1"/>
  <c r="P23" i="8"/>
  <c r="Q23" i="8"/>
  <c r="S25" i="8"/>
  <c r="F27" i="8"/>
  <c r="A23" i="8"/>
  <c r="M26" i="8" l="1"/>
  <c r="P26" i="8" l="1"/>
  <c r="Q26" i="8"/>
  <c r="S28" i="8"/>
  <c r="F30" i="8"/>
  <c r="A26" i="8"/>
  <c r="M29" i="8" l="1"/>
  <c r="A16" i="9"/>
  <c r="C16" i="9"/>
  <c r="F16" i="9" s="1"/>
  <c r="A17" i="9"/>
  <c r="A18" i="9"/>
  <c r="A19" i="9"/>
  <c r="A21" i="9"/>
  <c r="A20" i="9"/>
  <c r="A22" i="9"/>
  <c r="A23" i="9"/>
  <c r="C16" i="10"/>
  <c r="A16" i="10" s="1"/>
  <c r="M12" i="6" a="1"/>
  <c r="M12" i="6" s="1"/>
  <c r="A15" i="9"/>
  <c r="C1" i="10"/>
  <c r="A1" i="10" s="1"/>
  <c r="C1" i="9"/>
  <c r="F1" i="9" s="1"/>
  <c r="A1" i="9"/>
  <c r="AE15" i="6"/>
  <c r="T15" i="6" s="1"/>
  <c r="T11" i="6" s="1"/>
  <c r="AG15" i="6"/>
  <c r="V15" i="6" s="1"/>
  <c r="V11" i="6" s="1"/>
  <c r="AD15" i="6"/>
  <c r="S15" i="6" s="1"/>
  <c r="S11" i="6" s="1"/>
  <c r="AC15" i="6"/>
  <c r="R15" i="6" s="1"/>
  <c r="R11" i="6" s="1"/>
  <c r="AF15" i="6"/>
  <c r="U15" i="6" s="1"/>
  <c r="U11" i="6" s="1"/>
  <c r="AJ15" i="6"/>
  <c r="Y15" i="6" s="1"/>
  <c r="Y11" i="6" s="1"/>
  <c r="AK15" i="6"/>
  <c r="Z15" i="6" s="1"/>
  <c r="Z11" i="6" s="1"/>
  <c r="AH15" i="6"/>
  <c r="W15" i="6" s="1"/>
  <c r="W11" i="6" s="1"/>
  <c r="AI15" i="6"/>
  <c r="X15" i="6" s="1"/>
  <c r="X11" i="6" s="1"/>
  <c r="AH15" i="13" l="1"/>
  <c r="O15" i="13" s="1"/>
  <c r="AE15" i="13"/>
  <c r="M15" i="13" s="1"/>
  <c r="AB15" i="6"/>
  <c r="Q15" i="6" s="1"/>
  <c r="Q11" i="6" s="1"/>
  <c r="S31" i="8"/>
  <c r="F33" i="8"/>
  <c r="AA32" i="10" a="1"/>
  <c r="AA32" i="10" s="1"/>
  <c r="M32" i="10" a="1"/>
  <c r="M32" i="10" s="1"/>
  <c r="I32" i="10" a="1"/>
  <c r="I32" i="10" s="1"/>
  <c r="K32" i="10" a="1"/>
  <c r="K32" i="10" s="1"/>
  <c r="Y32" i="10" a="1"/>
  <c r="Y32" i="10" s="1"/>
  <c r="Q32" i="10" a="1"/>
  <c r="Q32" i="10" s="1"/>
  <c r="O32" i="10" a="1"/>
  <c r="O32" i="10" s="1"/>
  <c r="W32" i="10" a="1"/>
  <c r="W32" i="10" s="1"/>
  <c r="AE32" i="10" a="1"/>
  <c r="AE32" i="10" s="1"/>
  <c r="S32" i="10" a="1"/>
  <c r="S32" i="10" s="1"/>
  <c r="U32" i="10" a="1"/>
  <c r="U32" i="10" s="1"/>
  <c r="AC32" i="10" a="1"/>
  <c r="AC32" i="10" s="1"/>
  <c r="AH14" i="13"/>
  <c r="O14" i="13" s="1"/>
  <c r="P29" i="8"/>
  <c r="AE14" i="13"/>
  <c r="M14" i="13" s="1"/>
  <c r="M28" i="13" s="1"/>
  <c r="Q29" i="8"/>
  <c r="A29" i="8"/>
  <c r="X38" i="5" l="1" a="1"/>
  <c r="X38" i="5" s="1"/>
  <c r="I38" i="12" s="1"/>
  <c r="X48" i="5" a="1"/>
  <c r="X48" i="5" s="1"/>
  <c r="X30" i="5" a="1"/>
  <c r="X30" i="5" s="1"/>
  <c r="AM30" i="5" s="1"/>
  <c r="X33" i="5" a="1"/>
  <c r="X33" i="5" s="1"/>
  <c r="X27" i="5" a="1"/>
  <c r="X27" i="5" s="1"/>
  <c r="X23" i="5" s="1" a="1"/>
  <c r="X23" i="5" s="1"/>
  <c r="X21" i="5" a="1"/>
  <c r="X21" i="5" s="1"/>
  <c r="I21" i="5" s="1"/>
  <c r="I22" i="5" s="1"/>
  <c r="O22" i="5" s="1"/>
  <c r="N15" i="13"/>
  <c r="AA30" i="10"/>
  <c r="U30" i="10"/>
  <c r="S30" i="10"/>
  <c r="M32" i="8"/>
  <c r="M30" i="10"/>
  <c r="AE30" i="10"/>
  <c r="AC30" i="10"/>
  <c r="W30" i="10"/>
  <c r="O30" i="10"/>
  <c r="Q30" i="10"/>
  <c r="X17" i="5" a="1"/>
  <c r="X17" i="5" s="1"/>
  <c r="N14" i="13"/>
  <c r="O28" i="13"/>
  <c r="Y30" i="10"/>
  <c r="K30" i="10"/>
  <c r="I30" i="10" a="1"/>
  <c r="I30" i="10" s="1"/>
  <c r="Z38" i="5" l="1"/>
  <c r="AM38" i="5"/>
  <c r="L38" i="5"/>
  <c r="AC38" i="5" s="1" a="1"/>
  <c r="AC38" i="5" s="1"/>
  <c r="Z48" i="5"/>
  <c r="AM48" i="5"/>
  <c r="I48" i="12"/>
  <c r="L48" i="5"/>
  <c r="AC48" i="5" s="1" a="1"/>
  <c r="AC48" i="5" s="1"/>
  <c r="J38" i="12" a="1"/>
  <c r="J38" i="12" s="1"/>
  <c r="L38" i="12" a="1"/>
  <c r="L38" i="12" s="1"/>
  <c r="C38" i="12"/>
  <c r="Z30" i="5"/>
  <c r="L30" i="5"/>
  <c r="AC30" i="5" s="1" a="1"/>
  <c r="AC30" i="5" s="1"/>
  <c r="I30" i="12"/>
  <c r="C30" i="12" s="1"/>
  <c r="I33" i="12"/>
  <c r="AM33" i="5"/>
  <c r="L33" i="5"/>
  <c r="AC33" i="5" s="1" a="1"/>
  <c r="AC33" i="5" s="1"/>
  <c r="Z33" i="5"/>
  <c r="D22" i="12"/>
  <c r="E22" i="6"/>
  <c r="I23" i="5"/>
  <c r="I23" i="12"/>
  <c r="AM23" i="5"/>
  <c r="L23" i="5"/>
  <c r="Z23" i="5"/>
  <c r="X24" i="5" a="1"/>
  <c r="X24" i="5" s="1"/>
  <c r="X15" i="5" s="1"/>
  <c r="O31" i="10" s="1"/>
  <c r="O34" i="10" s="1"/>
  <c r="I27" i="12"/>
  <c r="L27" i="5"/>
  <c r="AC27" i="5" s="1" a="1"/>
  <c r="AC27" i="5" s="1"/>
  <c r="AM27" i="5"/>
  <c r="Z27" i="5"/>
  <c r="I21" i="12"/>
  <c r="L21" i="5"/>
  <c r="AM21" i="5"/>
  <c r="Z21" i="5"/>
  <c r="I33" i="10"/>
  <c r="P32" i="8"/>
  <c r="D48" i="2" a="1"/>
  <c r="D48" i="2" s="1"/>
  <c r="D54" i="2" a="1"/>
  <c r="D54" i="2" s="1"/>
  <c r="F33" i="14"/>
  <c r="D52" i="2" a="1"/>
  <c r="D52" i="2" s="1"/>
  <c r="D51" i="2" a="1"/>
  <c r="D51" i="2" s="1"/>
  <c r="AD6" i="13"/>
  <c r="N28" i="13"/>
  <c r="D47" i="2" a="1"/>
  <c r="D47" i="2" s="1"/>
  <c r="D53" i="2" a="1"/>
  <c r="D53" i="2" s="1"/>
  <c r="Q32" i="8"/>
  <c r="I17" i="12"/>
  <c r="AM17" i="5"/>
  <c r="L17" i="5"/>
  <c r="AC17" i="5" s="1" a="1"/>
  <c r="AC17" i="5" s="1"/>
  <c r="Z17" i="5"/>
  <c r="S34" i="8"/>
  <c r="F36" i="8"/>
  <c r="A32" i="8"/>
  <c r="AO38" i="12" l="1" a="1"/>
  <c r="AO38" i="12" s="1"/>
  <c r="AO48" i="12" a="1"/>
  <c r="AO48" i="12" s="1"/>
  <c r="C38" i="6"/>
  <c r="O38" i="12" a="1"/>
  <c r="O38" i="12" s="1"/>
  <c r="O48" i="12" a="1"/>
  <c r="O48" i="12" s="1"/>
  <c r="O38" i="5"/>
  <c r="D38" i="12" s="1"/>
  <c r="M38" i="12" a="1"/>
  <c r="M38" i="12" s="1"/>
  <c r="M48" i="12" a="1"/>
  <c r="M48" i="12" s="1"/>
  <c r="O48" i="5"/>
  <c r="I35" i="8" s="1"/>
  <c r="C48" i="6"/>
  <c r="J48" i="12" a="1"/>
  <c r="J48" i="12" s="1"/>
  <c r="L48" i="12" a="1"/>
  <c r="L48" i="12" s="1"/>
  <c r="C48" i="12"/>
  <c r="AB38" i="5" a="1"/>
  <c r="AB38" i="5" s="1"/>
  <c r="AB48" i="5" a="1"/>
  <c r="AB48" i="5" s="1"/>
  <c r="K38" i="12"/>
  <c r="C30" i="6"/>
  <c r="O30" i="5"/>
  <c r="E30" i="6" s="1"/>
  <c r="J30" i="12" a="1"/>
  <c r="J30" i="12" s="1"/>
  <c r="L30" i="12" a="1"/>
  <c r="L30" i="12" s="1"/>
  <c r="J33" i="12" a="1"/>
  <c r="J33" i="12" s="1"/>
  <c r="L33" i="12" a="1"/>
  <c r="L33" i="12" s="1"/>
  <c r="C33" i="12"/>
  <c r="AO30" i="12" a="1"/>
  <c r="AO30" i="12" s="1"/>
  <c r="AO33" i="12" a="1"/>
  <c r="AO33" i="12" s="1"/>
  <c r="M30" i="12" a="1"/>
  <c r="M30" i="12" s="1"/>
  <c r="M33" i="12" a="1"/>
  <c r="M33" i="12" s="1"/>
  <c r="O30" i="12" a="1"/>
  <c r="O30" i="12" s="1"/>
  <c r="O33" i="12" a="1"/>
  <c r="O33" i="12" s="1"/>
  <c r="O33" i="5"/>
  <c r="C33" i="6"/>
  <c r="AB30" i="5" a="1"/>
  <c r="AB30" i="5" s="1"/>
  <c r="AB33" i="5" a="1"/>
  <c r="AB33" i="5" s="1"/>
  <c r="X20" i="5" a="1"/>
  <c r="X20" i="5" s="1"/>
  <c r="I24" i="12"/>
  <c r="L24" i="12" s="1" a="1"/>
  <c r="L24" i="12" s="1"/>
  <c r="X16" i="5" a="1"/>
  <c r="X16" i="5" s="1"/>
  <c r="S17" i="8" s="1"/>
  <c r="G17" i="8" s="1"/>
  <c r="I24" i="5"/>
  <c r="L24" i="5"/>
  <c r="AM24" i="5"/>
  <c r="O23" i="5"/>
  <c r="C23" i="6"/>
  <c r="J24" i="12" a="1"/>
  <c r="J24" i="12" s="1"/>
  <c r="Z24" i="5"/>
  <c r="J23" i="12" a="1"/>
  <c r="J23" i="12" s="1"/>
  <c r="L23" i="12" a="1"/>
  <c r="L23" i="12" s="1"/>
  <c r="C23" i="12"/>
  <c r="AB27" i="5" a="1"/>
  <c r="AB27" i="5" s="1"/>
  <c r="M27" i="12" a="1"/>
  <c r="M27" i="12" s="1"/>
  <c r="AO27" i="12" a="1"/>
  <c r="AO27" i="12" s="1"/>
  <c r="AO23" i="12" s="1" a="1"/>
  <c r="AO23" i="12" s="1"/>
  <c r="O27" i="12" a="1"/>
  <c r="O27" i="12" s="1"/>
  <c r="O27" i="5"/>
  <c r="C27" i="6"/>
  <c r="L27" i="12" a="1"/>
  <c r="L27" i="12" s="1"/>
  <c r="J27" i="12" a="1"/>
  <c r="J27" i="12" s="1"/>
  <c r="C27" i="12"/>
  <c r="M29" i="10"/>
  <c r="W29" i="10"/>
  <c r="I31" i="10"/>
  <c r="AE9" i="10" s="1"/>
  <c r="AC31" i="10"/>
  <c r="AC34" i="10" s="1"/>
  <c r="Y29" i="10"/>
  <c r="Z15" i="5"/>
  <c r="Q31" i="10"/>
  <c r="Q34" i="10" s="1"/>
  <c r="S23" i="8"/>
  <c r="G23" i="8" s="1"/>
  <c r="K31" i="10"/>
  <c r="K34" i="10" s="1"/>
  <c r="U29" i="10"/>
  <c r="AA29" i="10"/>
  <c r="U31" i="10"/>
  <c r="U34" i="10" s="1"/>
  <c r="W31" i="10"/>
  <c r="W34" i="10" s="1"/>
  <c r="AE31" i="10"/>
  <c r="AE34" i="10" s="1"/>
  <c r="S29" i="10"/>
  <c r="K29" i="10"/>
  <c r="O29" i="10"/>
  <c r="I29" i="10"/>
  <c r="Y9" i="10" s="1"/>
  <c r="AM15" i="5"/>
  <c r="M31" i="10"/>
  <c r="M34" i="10" s="1"/>
  <c r="AA31" i="10"/>
  <c r="AA34" i="10" s="1"/>
  <c r="Y31" i="10"/>
  <c r="Y34" i="10" s="1"/>
  <c r="S31" i="10"/>
  <c r="S34" i="10" s="1"/>
  <c r="AC29" i="10"/>
  <c r="AE29" i="10"/>
  <c r="Q29" i="10"/>
  <c r="O21" i="5"/>
  <c r="C21" i="6"/>
  <c r="L21" i="12" a="1"/>
  <c r="L21" i="12" s="1"/>
  <c r="O21" i="12" s="1" a="1"/>
  <c r="O21" i="12" s="1"/>
  <c r="J21" i="12" a="1"/>
  <c r="J21" i="12" s="1"/>
  <c r="M21" i="12" s="1" a="1"/>
  <c r="M21" i="12" s="1"/>
  <c r="C21" i="12"/>
  <c r="AO21" i="12" a="1"/>
  <c r="AO21" i="12" s="1"/>
  <c r="AB21" i="5" a="1"/>
  <c r="AB21" i="5" s="1"/>
  <c r="D50" i="2"/>
  <c r="AO17" i="12" a="1"/>
  <c r="AO17" i="12" s="1"/>
  <c r="M17" i="12" a="1"/>
  <c r="M17" i="12" s="1"/>
  <c r="O17" i="12" a="1"/>
  <c r="O17" i="12" s="1"/>
  <c r="M35" i="8"/>
  <c r="O17" i="5"/>
  <c r="C17" i="6"/>
  <c r="AB17" i="5" a="1"/>
  <c r="AB17" i="5" s="1"/>
  <c r="D46" i="2"/>
  <c r="E33" i="14"/>
  <c r="C17" i="12"/>
  <c r="J17" i="12" a="1"/>
  <c r="J17" i="12" s="1"/>
  <c r="L17" i="12" a="1"/>
  <c r="L17" i="12" s="1"/>
  <c r="AE6" i="13"/>
  <c r="O15" i="11" l="1" a="1"/>
  <c r="O15" i="11" s="1"/>
  <c r="S32" i="8" s="1"/>
  <c r="G32" i="8" s="1"/>
  <c r="I27" i="5"/>
  <c r="I28" i="5" s="1"/>
  <c r="I29" i="5" s="1"/>
  <c r="I25" i="5"/>
  <c r="Y38" i="12"/>
  <c r="X38" i="12" s="1" a="1"/>
  <c r="X38" i="12" s="1"/>
  <c r="I32" i="8"/>
  <c r="E38" i="6"/>
  <c r="K48" i="12"/>
  <c r="N38" i="12"/>
  <c r="N48" i="12"/>
  <c r="Y48" i="12"/>
  <c r="E48" i="6"/>
  <c r="D48" i="12"/>
  <c r="S35" i="8"/>
  <c r="G35" i="8" s="1"/>
  <c r="K30" i="12"/>
  <c r="D30" i="12"/>
  <c r="K33" i="12"/>
  <c r="Y33" i="12"/>
  <c r="X33" i="12" s="1" a="1"/>
  <c r="X33" i="12" s="1"/>
  <c r="N30" i="12"/>
  <c r="Y30" i="12"/>
  <c r="W30" i="12" s="1" a="1"/>
  <c r="W30" i="12" s="1"/>
  <c r="U30" i="12" s="1"/>
  <c r="D33" i="12"/>
  <c r="E33" i="6"/>
  <c r="I29" i="8"/>
  <c r="N33" i="12"/>
  <c r="L20" i="5"/>
  <c r="C20" i="6" s="1"/>
  <c r="Z20" i="5"/>
  <c r="O24" i="12" a="1"/>
  <c r="O24" i="12" s="1"/>
  <c r="C24" i="12"/>
  <c r="S29" i="8"/>
  <c r="AM20" i="5"/>
  <c r="M23" i="12" a="1"/>
  <c r="M23" i="12" s="1"/>
  <c r="AO24" i="12" a="1"/>
  <c r="AO24" i="12" s="1"/>
  <c r="AO20" i="12" s="1" a="1"/>
  <c r="AO20" i="12" s="1"/>
  <c r="K24" i="12"/>
  <c r="S20" i="8"/>
  <c r="G20" i="8" s="1"/>
  <c r="I20" i="12"/>
  <c r="L20" i="12" s="1" a="1"/>
  <c r="L20" i="12" s="1"/>
  <c r="S26" i="8"/>
  <c r="G26" i="8" s="1"/>
  <c r="I34" i="10"/>
  <c r="H34" i="10" s="1"/>
  <c r="Z16" i="5"/>
  <c r="L16" i="5"/>
  <c r="O14" i="11" a="1"/>
  <c r="O14" i="11" s="1"/>
  <c r="S14" i="8" s="1"/>
  <c r="AM16" i="5"/>
  <c r="I16" i="12"/>
  <c r="M24" i="12" a="1"/>
  <c r="M24" i="12" s="1"/>
  <c r="AB23" i="5" a="1"/>
  <c r="AB23" i="5" s="1"/>
  <c r="AB24" i="5" a="1"/>
  <c r="AB24" i="5" s="1"/>
  <c r="D23" i="12"/>
  <c r="E23" i="6"/>
  <c r="N27" i="12"/>
  <c r="O23" i="12" a="1"/>
  <c r="O23" i="12" s="1"/>
  <c r="K23" i="12"/>
  <c r="C24" i="6"/>
  <c r="O24" i="5"/>
  <c r="K27" i="12"/>
  <c r="D27" i="12"/>
  <c r="E27" i="6"/>
  <c r="I26" i="8"/>
  <c r="Y27" i="12"/>
  <c r="Q35" i="8"/>
  <c r="Y21" i="12"/>
  <c r="X21" i="12" s="1" a="1"/>
  <c r="X21" i="12" s="1"/>
  <c r="K21" i="12"/>
  <c r="D21" i="12"/>
  <c r="E21" i="6"/>
  <c r="N21" i="12"/>
  <c r="K17" i="12"/>
  <c r="N17" i="12"/>
  <c r="S37" i="8"/>
  <c r="F39" i="8"/>
  <c r="Y17" i="12"/>
  <c r="D17" i="12"/>
  <c r="E17" i="6"/>
  <c r="P35" i="8"/>
  <c r="S36" i="10"/>
  <c r="J65" i="12"/>
  <c r="A17" i="8"/>
  <c r="A35" i="8"/>
  <c r="C15" i="11" l="1"/>
  <c r="L15" i="13"/>
  <c r="D15" i="13" s="1"/>
  <c r="P15" i="11"/>
  <c r="I30" i="5"/>
  <c r="I31" i="5" s="1"/>
  <c r="I32" i="5" s="1"/>
  <c r="O32" i="5" s="1"/>
  <c r="O29" i="5"/>
  <c r="O25" i="5"/>
  <c r="D25" i="12" s="1"/>
  <c r="O28" i="5"/>
  <c r="D28" i="12" s="1"/>
  <c r="W38" i="12" a="1"/>
  <c r="W38" i="12" s="1"/>
  <c r="U38" i="12" s="1"/>
  <c r="X48" i="12" a="1"/>
  <c r="X48" i="12" s="1"/>
  <c r="W48" i="12" a="1"/>
  <c r="W48" i="12" s="1"/>
  <c r="W33" i="12" a="1"/>
  <c r="W33" i="12" s="1"/>
  <c r="U33" i="12" s="1"/>
  <c r="T30" i="12"/>
  <c r="X30" i="12" a="1"/>
  <c r="X30" i="12" s="1"/>
  <c r="V30" i="12" a="1"/>
  <c r="V30" i="12" s="1"/>
  <c r="I33" i="5"/>
  <c r="I34" i="5" s="1"/>
  <c r="N24" i="12"/>
  <c r="O20" i="5"/>
  <c r="G29" i="8"/>
  <c r="N23" i="12"/>
  <c r="AO16" i="12" a="1"/>
  <c r="AO16" i="12" s="1"/>
  <c r="J20" i="12" a="1"/>
  <c r="J20" i="12" s="1"/>
  <c r="K20" i="12" s="1"/>
  <c r="Y24" i="12"/>
  <c r="W24" i="12" s="1" a="1"/>
  <c r="W24" i="12" s="1"/>
  <c r="C20" i="12"/>
  <c r="AB16" i="5" a="1"/>
  <c r="AB16" i="5" s="1"/>
  <c r="AB15" i="5"/>
  <c r="M16" i="12" a="1"/>
  <c r="M16" i="12" s="1"/>
  <c r="M20" i="12" a="1"/>
  <c r="M20" i="12" s="1"/>
  <c r="AB20" i="5" a="1"/>
  <c r="AB20" i="5" s="1"/>
  <c r="O16" i="12" a="1"/>
  <c r="O16" i="12" s="1"/>
  <c r="O20" i="12" a="1"/>
  <c r="O20" i="12" s="1"/>
  <c r="Y20" i="12" s="1"/>
  <c r="X20" i="12" s="1" a="1"/>
  <c r="X20" i="12" s="1"/>
  <c r="J16" i="12" a="1"/>
  <c r="J16" i="12" s="1"/>
  <c r="L16" i="12" a="1"/>
  <c r="L16" i="12" s="1"/>
  <c r="C16" i="12"/>
  <c r="G14" i="8"/>
  <c r="L14" i="13"/>
  <c r="O24" i="11"/>
  <c r="P14" i="11"/>
  <c r="C14" i="11"/>
  <c r="W21" i="12" a="1"/>
  <c r="W21" i="12" s="1"/>
  <c r="U21" i="12" s="1"/>
  <c r="AC16" i="5" a="1"/>
  <c r="AC16" i="5" s="1"/>
  <c r="C16" i="6"/>
  <c r="C14" i="6"/>
  <c r="O16" i="5"/>
  <c r="I17" i="8" s="1"/>
  <c r="D24" i="12"/>
  <c r="E24" i="6"/>
  <c r="Y23" i="12"/>
  <c r="W27" i="12" a="1"/>
  <c r="W27" i="12" s="1"/>
  <c r="X27" i="12" a="1"/>
  <c r="X27" i="12" s="1"/>
  <c r="S38" i="8"/>
  <c r="G38" i="8" s="1"/>
  <c r="I38" i="8"/>
  <c r="M38" i="8"/>
  <c r="W17" i="12" a="1"/>
  <c r="W17" i="12" s="1"/>
  <c r="X17" i="12" a="1"/>
  <c r="X17" i="12" s="1"/>
  <c r="AD14" i="13" l="1" a="1"/>
  <c r="AD14" i="13" s="1"/>
  <c r="AG14" i="13" a="1"/>
  <c r="AG14" i="13" s="1"/>
  <c r="G11" i="11"/>
  <c r="P15" i="13"/>
  <c r="D20" i="12"/>
  <c r="I23" i="8"/>
  <c r="AB14" i="11" a="1"/>
  <c r="AB14" i="11" s="1"/>
  <c r="AB15" i="11" a="1"/>
  <c r="AB15" i="11" s="1"/>
  <c r="N15" i="11" s="1"/>
  <c r="AD15" i="13" a="1"/>
  <c r="AD15" i="13" s="1"/>
  <c r="AG15" i="13" a="1"/>
  <c r="AG15" i="13" s="1"/>
  <c r="O31" i="5"/>
  <c r="D31" i="12" s="1"/>
  <c r="E29" i="6"/>
  <c r="D29" i="12"/>
  <c r="I26" i="5"/>
  <c r="O26" i="5" s="1"/>
  <c r="E25" i="6"/>
  <c r="E28" i="6"/>
  <c r="T38" i="12"/>
  <c r="V38" i="12" a="1"/>
  <c r="V38" i="12" s="1"/>
  <c r="U48" i="12"/>
  <c r="T48" i="12"/>
  <c r="V48" i="12" a="1"/>
  <c r="V48" i="12" s="1"/>
  <c r="I20" i="8"/>
  <c r="E20" i="6"/>
  <c r="I35" i="5"/>
  <c r="O34" i="5"/>
  <c r="V33" i="12" a="1"/>
  <c r="V33" i="12" s="1"/>
  <c r="T33" i="12"/>
  <c r="E32" i="6"/>
  <c r="D32" i="12"/>
  <c r="X24" i="12" a="1"/>
  <c r="X24" i="12" s="1"/>
  <c r="V21" i="12" a="1"/>
  <c r="V21" i="12" s="1"/>
  <c r="N20" i="12"/>
  <c r="N16" i="12"/>
  <c r="T21" i="12"/>
  <c r="K16" i="12"/>
  <c r="Y16" i="12"/>
  <c r="D16" i="12"/>
  <c r="I14" i="8"/>
  <c r="E14" i="6"/>
  <c r="E16" i="6"/>
  <c r="D14" i="13"/>
  <c r="V14" i="13"/>
  <c r="V15" i="13" s="1"/>
  <c r="V16" i="13" s="1"/>
  <c r="V17" i="13" s="1"/>
  <c r="V18" i="13" s="1"/>
  <c r="V19" i="13" s="1"/>
  <c r="V20" i="13" s="1"/>
  <c r="V21" i="13" s="1"/>
  <c r="V22" i="13" s="1"/>
  <c r="V23" i="13" s="1"/>
  <c r="L28" i="13"/>
  <c r="P14" i="13"/>
  <c r="W20" i="12" a="1"/>
  <c r="W20" i="12" s="1"/>
  <c r="T20" i="12" s="1"/>
  <c r="O25" i="11"/>
  <c r="AA7" i="11"/>
  <c r="X23" i="12" a="1"/>
  <c r="X23" i="12" s="1"/>
  <c r="W23" i="12" a="1"/>
  <c r="W23" i="12" s="1"/>
  <c r="V27" i="12" a="1"/>
  <c r="V27" i="12" s="1"/>
  <c r="T27" i="12"/>
  <c r="U27" i="12"/>
  <c r="Q38" i="8"/>
  <c r="V24" i="12" a="1"/>
  <c r="V24" i="12" s="1"/>
  <c r="U24" i="12"/>
  <c r="T24" i="12"/>
  <c r="P38" i="8"/>
  <c r="S40" i="8"/>
  <c r="T17" i="12"/>
  <c r="V17" i="12" a="1"/>
  <c r="V17" i="12" s="1"/>
  <c r="U17" i="12"/>
  <c r="A38" i="8"/>
  <c r="U14" i="13" l="1"/>
  <c r="U15" i="13"/>
  <c r="N14" i="11"/>
  <c r="N24" i="11" s="1"/>
  <c r="L27" i="13" s="1"/>
  <c r="D32" i="14" s="1"/>
  <c r="S15" i="13"/>
  <c r="AB24" i="11"/>
  <c r="AB7" i="11" s="1"/>
  <c r="Z3" i="11" s="1"/>
  <c r="AA3" i="11" s="1" a="1"/>
  <c r="AA3" i="11" s="1"/>
  <c r="AA54" i="5" s="1" a="1"/>
  <c r="AA54" i="5" s="1"/>
  <c r="AA53" i="5" s="1" a="1"/>
  <c r="AA53" i="5" s="1"/>
  <c r="S14" i="13"/>
  <c r="E31" i="6"/>
  <c r="D26" i="12"/>
  <c r="E26" i="6"/>
  <c r="I36" i="5"/>
  <c r="O35" i="5"/>
  <c r="D34" i="12"/>
  <c r="E34" i="6"/>
  <c r="V20" i="12" a="1"/>
  <c r="V20" i="12" s="1"/>
  <c r="U20" i="12"/>
  <c r="W16" i="12" a="1"/>
  <c r="W16" i="12" s="1"/>
  <c r="X16" i="12" a="1"/>
  <c r="X16" i="12" s="1"/>
  <c r="D33" i="14"/>
  <c r="M24" i="13"/>
  <c r="L24" i="13"/>
  <c r="O29" i="13"/>
  <c r="P24" i="13"/>
  <c r="E34" i="14"/>
  <c r="N24" i="13"/>
  <c r="O24" i="13"/>
  <c r="V23" i="12" a="1"/>
  <c r="V23" i="12" s="1"/>
  <c r="T23" i="12"/>
  <c r="U23" i="12"/>
  <c r="AD4" i="13" l="1"/>
  <c r="AC27" i="13"/>
  <c r="AD27" i="13"/>
  <c r="N25" i="11"/>
  <c r="M27" i="13"/>
  <c r="N17" i="8"/>
  <c r="N20" i="8"/>
  <c r="N26" i="8"/>
  <c r="N23" i="8"/>
  <c r="N32" i="8"/>
  <c r="N29" i="8"/>
  <c r="N14" i="8"/>
  <c r="R14" i="8" s="1"/>
  <c r="N35" i="8"/>
  <c r="AA47" i="5" a="1"/>
  <c r="AA47" i="5" s="1"/>
  <c r="AA52" i="5" a="1"/>
  <c r="AA52" i="5" s="1"/>
  <c r="AA29" i="5" a="1"/>
  <c r="AA29" i="5" s="1"/>
  <c r="AA26" i="5" a="1"/>
  <c r="AA26" i="5" s="1"/>
  <c r="AA25" i="5" a="1"/>
  <c r="AA25" i="5" s="1"/>
  <c r="AA19" i="5" a="1"/>
  <c r="AA19" i="5" s="1"/>
  <c r="AA49" i="5" a="1"/>
  <c r="AA49" i="5" s="1"/>
  <c r="AA46" i="5" a="1"/>
  <c r="AA46" i="5" s="1"/>
  <c r="AA50" i="5" a="1"/>
  <c r="AA50" i="5" s="1"/>
  <c r="AA51" i="5" a="1"/>
  <c r="AA51" i="5" s="1"/>
  <c r="AA44" i="5" a="1"/>
  <c r="AA44" i="5" s="1"/>
  <c r="AA28" i="5" a="1"/>
  <c r="AA28" i="5" s="1"/>
  <c r="AA43" i="5" a="1"/>
  <c r="AA43" i="5" s="1"/>
  <c r="AA45" i="5" a="1"/>
  <c r="AA45" i="5" s="1"/>
  <c r="AA41" i="5" a="1"/>
  <c r="AA41" i="5" s="1"/>
  <c r="AA42" i="5" a="1"/>
  <c r="AA42" i="5" s="1"/>
  <c r="AA39" i="5" a="1"/>
  <c r="AA39" i="5" s="1"/>
  <c r="AA40" i="5" a="1"/>
  <c r="AA40" i="5" s="1"/>
  <c r="AA36" i="5" a="1"/>
  <c r="AA36" i="5" s="1"/>
  <c r="AA37" i="5" a="1"/>
  <c r="AA37" i="5" s="1"/>
  <c r="I37" i="5"/>
  <c r="O36" i="5"/>
  <c r="AA34" i="5" a="1"/>
  <c r="AA34" i="5" s="1"/>
  <c r="AA35" i="5" a="1"/>
  <c r="AA35" i="5" s="1"/>
  <c r="D35" i="12"/>
  <c r="E35" i="6"/>
  <c r="AA31" i="5" a="1"/>
  <c r="AA31" i="5" s="1"/>
  <c r="AA32" i="5" a="1"/>
  <c r="AA32" i="5" s="1"/>
  <c r="AA23" i="5" a="1"/>
  <c r="AA23" i="5" s="1"/>
  <c r="AA24" i="5" a="1"/>
  <c r="AA24" i="5" s="1"/>
  <c r="AD16" i="11"/>
  <c r="AA22" i="5" a="1"/>
  <c r="AA22" i="5" s="1"/>
  <c r="U16" i="12"/>
  <c r="T16" i="12"/>
  <c r="V16" i="12" a="1"/>
  <c r="V16" i="12" s="1"/>
  <c r="AD23" i="11"/>
  <c r="AD15" i="11"/>
  <c r="AD20" i="11"/>
  <c r="AD17" i="11"/>
  <c r="AA21" i="5" a="1"/>
  <c r="AA21" i="5" s="1"/>
  <c r="AD18" i="11"/>
  <c r="AD21" i="11"/>
  <c r="AA18" i="5" a="1"/>
  <c r="AA18" i="5" s="1"/>
  <c r="AD22" i="11"/>
  <c r="AD12" i="11"/>
  <c r="AD14" i="11"/>
  <c r="AD19" i="11"/>
  <c r="F34" i="14"/>
  <c r="G10" i="13"/>
  <c r="N38" i="8"/>
  <c r="AE4" i="13" l="1"/>
  <c r="O27" i="13" s="1"/>
  <c r="N27" i="13" s="1"/>
  <c r="E32" i="14" s="1"/>
  <c r="D14" i="8"/>
  <c r="H14" i="8" a="1"/>
  <c r="H14" i="8" s="1"/>
  <c r="J15" i="8" s="1"/>
  <c r="H15" i="8" a="1"/>
  <c r="H15" i="8" s="1"/>
  <c r="F16" i="8"/>
  <c r="C14" i="8"/>
  <c r="AA27" i="5" a="1"/>
  <c r="AA27" i="5" s="1"/>
  <c r="AA48" i="5" a="1"/>
  <c r="AA48" i="5" s="1"/>
  <c r="AA38" i="5" a="1"/>
  <c r="AA38" i="5" s="1"/>
  <c r="I38" i="5"/>
  <c r="I39" i="5" s="1"/>
  <c r="O37" i="5"/>
  <c r="AA33" i="5" a="1"/>
  <c r="AA33" i="5" s="1"/>
  <c r="E36" i="6"/>
  <c r="D36" i="12"/>
  <c r="AA30" i="5" a="1"/>
  <c r="AA30" i="5" s="1"/>
  <c r="AA20" i="5" a="1"/>
  <c r="AA20" i="5" s="1"/>
  <c r="AE16" i="11"/>
  <c r="M16" i="11" s="1"/>
  <c r="L16" i="11" s="1"/>
  <c r="AE19" i="11"/>
  <c r="M19" i="11" s="1"/>
  <c r="L19" i="11" s="1"/>
  <c r="AA16" i="5" a="1"/>
  <c r="AA16" i="5" s="1"/>
  <c r="AE20" i="11"/>
  <c r="M20" i="11" s="1"/>
  <c r="L20" i="11" s="1"/>
  <c r="AE17" i="11"/>
  <c r="M17" i="11" s="1"/>
  <c r="L17" i="11" s="1"/>
  <c r="AE18" i="11"/>
  <c r="M18" i="11" s="1"/>
  <c r="L18" i="11" s="1"/>
  <c r="AA15" i="5"/>
  <c r="AE12" i="11"/>
  <c r="M12" i="11" s="1"/>
  <c r="L12" i="11" s="1"/>
  <c r="AA17" i="5" a="1"/>
  <c r="AA17" i="5" s="1"/>
  <c r="AE21" i="11"/>
  <c r="M21" i="11" s="1"/>
  <c r="L21" i="11" s="1"/>
  <c r="AE22" i="11"/>
  <c r="M22" i="11" s="1"/>
  <c r="L22" i="11" s="1"/>
  <c r="AE23" i="11"/>
  <c r="M23" i="11" s="1"/>
  <c r="L23" i="11" s="1"/>
  <c r="F32" i="14" l="1"/>
  <c r="AF14" i="13" a="1"/>
  <c r="AF14" i="13" s="1"/>
  <c r="AC14" i="13" a="1"/>
  <c r="AC14" i="13" s="1"/>
  <c r="AA14" i="11" a="1"/>
  <c r="AA14" i="11" s="1"/>
  <c r="Z14" i="11" s="1"/>
  <c r="AA15" i="11" a="1"/>
  <c r="AA15" i="11" s="1"/>
  <c r="Z15" i="11" s="1"/>
  <c r="AC15" i="13" a="1"/>
  <c r="AC15" i="13" s="1"/>
  <c r="AF15" i="13" a="1"/>
  <c r="AF15" i="13" s="1"/>
  <c r="I40" i="5"/>
  <c r="O39" i="5"/>
  <c r="D37" i="12"/>
  <c r="E37" i="6"/>
  <c r="T15" i="13" l="1"/>
  <c r="R15" i="13"/>
  <c r="T14" i="13"/>
  <c r="Z24" i="11"/>
  <c r="AE14" i="11" s="1"/>
  <c r="M14" i="11" s="1"/>
  <c r="L14" i="11" s="1"/>
  <c r="AA24" i="11"/>
  <c r="AE15" i="11"/>
  <c r="M15" i="11" s="1"/>
  <c r="L15" i="11" s="1"/>
  <c r="R14" i="13"/>
  <c r="I41" i="5"/>
  <c r="O40" i="5"/>
  <c r="D39" i="12"/>
  <c r="E39" i="6"/>
  <c r="M26" i="13" l="1"/>
  <c r="M25" i="13" s="1"/>
  <c r="AD3" i="13"/>
  <c r="AD2" i="13" s="1"/>
  <c r="L24" i="11"/>
  <c r="M24" i="11"/>
  <c r="L26" i="13" s="1"/>
  <c r="I42" i="5"/>
  <c r="O41" i="5"/>
  <c r="D40" i="12"/>
  <c r="E40" i="6"/>
  <c r="AE3" i="13" l="1"/>
  <c r="O26" i="13" s="1"/>
  <c r="M10" i="11"/>
  <c r="N10" i="13" s="1"/>
  <c r="M25" i="11"/>
  <c r="L25" i="11"/>
  <c r="L10" i="11"/>
  <c r="M10" i="13" s="1"/>
  <c r="L25" i="13"/>
  <c r="D30" i="14" s="1"/>
  <c r="I43" i="5"/>
  <c r="O42" i="5"/>
  <c r="D41" i="12"/>
  <c r="E41" i="6"/>
  <c r="D31" i="14"/>
  <c r="AD26" i="13"/>
  <c r="AC26" i="13"/>
  <c r="G9" i="11" l="1"/>
  <c r="AE2" i="13"/>
  <c r="N26" i="13"/>
  <c r="E31" i="14" s="1"/>
  <c r="F31" i="14"/>
  <c r="O25" i="13"/>
  <c r="I44" i="5"/>
  <c r="O43" i="5"/>
  <c r="D42" i="12"/>
  <c r="E42" i="6"/>
  <c r="F30" i="14" l="1"/>
  <c r="N25" i="13"/>
  <c r="E30" i="14" s="1"/>
  <c r="I45" i="5"/>
  <c r="O44" i="5"/>
  <c r="D43" i="12"/>
  <c r="E43" i="6"/>
  <c r="O45" i="5" l="1"/>
  <c r="D45" i="12" s="1"/>
  <c r="I46" i="5"/>
  <c r="I48" i="5"/>
  <c r="I49" i="5" s="1"/>
  <c r="E44" i="6"/>
  <c r="D44" i="12"/>
  <c r="O46" i="5" l="1"/>
  <c r="D46" i="12" s="1"/>
  <c r="I47" i="5"/>
  <c r="O47" i="5" s="1"/>
  <c r="I50" i="5"/>
  <c r="I51" i="5" s="1"/>
  <c r="O49" i="5"/>
  <c r="E45" i="6"/>
  <c r="D47" i="12" l="1"/>
  <c r="E47" i="6"/>
  <c r="E46" i="6"/>
  <c r="O50" i="5"/>
  <c r="D50" i="12" s="1"/>
  <c r="D49" i="12"/>
  <c r="E49" i="6"/>
  <c r="I52" i="5"/>
  <c r="O51" i="5"/>
  <c r="O52" i="5" l="1"/>
  <c r="E50" i="6"/>
  <c r="D51" i="12"/>
  <c r="E51" i="6"/>
  <c r="I53" i="5" l="1"/>
  <c r="I54" i="5" s="1"/>
  <c r="D52" i="12"/>
  <c r="E52" i="6"/>
  <c r="O54" i="5" l="1"/>
  <c r="E54" i="6" l="1"/>
  <c r="D54" i="12"/>
  <c r="O38" i="8" l="1"/>
  <c r="R38" i="8" s="1"/>
  <c r="H38" i="8" l="1" a="1"/>
  <c r="H38" i="8" s="1"/>
  <c r="J39" i="8" s="1"/>
  <c r="H39" i="8" a="1"/>
  <c r="H39" i="8" s="1"/>
  <c r="D38" i="8"/>
  <c r="F40" i="8"/>
  <c r="AE40" i="8" s="1" a="1"/>
  <c r="AE40" i="8" s="1"/>
  <c r="AE38" i="8" s="1" a="1"/>
  <c r="AE38" i="8" s="1"/>
  <c r="C38" i="8"/>
  <c r="O32" i="8"/>
  <c r="R32" i="8" s="1"/>
  <c r="C32" i="8" s="1"/>
  <c r="O35" i="8"/>
  <c r="R35" i="8" s="1"/>
  <c r="O26" i="8"/>
  <c r="R26" i="8" s="1"/>
  <c r="O29" i="8"/>
  <c r="R29" i="8" s="1"/>
  <c r="O20" i="8"/>
  <c r="R20" i="8" s="1"/>
  <c r="O23" i="8"/>
  <c r="R23" i="8" s="1"/>
  <c r="O17" i="8"/>
  <c r="R17" i="8" s="1"/>
  <c r="R42" i="8"/>
  <c r="I42" i="8" s="1"/>
  <c r="Y40" i="8" l="1" a="1"/>
  <c r="Y40" i="8" s="1"/>
  <c r="Y38" i="8" s="1" a="1"/>
  <c r="Y38" i="8" s="1"/>
  <c r="E40" i="8" a="1"/>
  <c r="E40" i="8" s="1"/>
  <c r="E38" i="8" s="1" a="1"/>
  <c r="E38" i="8" s="1"/>
  <c r="V40" i="8" a="1"/>
  <c r="V40" i="8" s="1"/>
  <c r="V38" i="8" s="1" a="1"/>
  <c r="V38" i="8" s="1"/>
  <c r="AD40" i="8" a="1"/>
  <c r="AD40" i="8" s="1"/>
  <c r="AD38" i="8" s="1" a="1"/>
  <c r="AD38" i="8" s="1"/>
  <c r="U40" i="8" a="1"/>
  <c r="U40" i="8" s="1"/>
  <c r="U38" i="8" s="1" a="1"/>
  <c r="U38" i="8" s="1"/>
  <c r="AF40" i="8" a="1"/>
  <c r="AF40" i="8" s="1"/>
  <c r="AF38" i="8" s="1" a="1"/>
  <c r="AF38" i="8" s="1"/>
  <c r="AA40" i="8" a="1"/>
  <c r="AA40" i="8" s="1"/>
  <c r="AA38" i="8" s="1" a="1"/>
  <c r="AA38" i="8" s="1"/>
  <c r="W40" i="8" a="1"/>
  <c r="W40" i="8" s="1"/>
  <c r="W38" i="8" s="1" a="1"/>
  <c r="W38" i="8" s="1"/>
  <c r="X40" i="8" a="1"/>
  <c r="X40" i="8" s="1"/>
  <c r="X38" i="8" s="1" a="1"/>
  <c r="X38" i="8" s="1"/>
  <c r="AC40" i="8" a="1"/>
  <c r="AC40" i="8" s="1"/>
  <c r="AC38" i="8" s="1" a="1"/>
  <c r="AC38" i="8" s="1"/>
  <c r="Z40" i="8" a="1"/>
  <c r="Z40" i="8" s="1"/>
  <c r="Z38" i="8" s="1" a="1"/>
  <c r="Z38" i="8" s="1"/>
  <c r="AB40" i="8" a="1"/>
  <c r="AB40" i="8" s="1"/>
  <c r="AB38" i="8" s="1" a="1"/>
  <c r="AB38" i="8" s="1"/>
  <c r="H36" i="8" a="1"/>
  <c r="H36" i="8" s="1"/>
  <c r="H35" i="8" a="1"/>
  <c r="H35" i="8" s="1"/>
  <c r="J36" i="8" s="1"/>
  <c r="D32" i="8"/>
  <c r="F34" i="8"/>
  <c r="AF34" i="8" s="1" a="1"/>
  <c r="AF34" i="8" s="1"/>
  <c r="AF32" i="8" s="1" a="1"/>
  <c r="AF32" i="8" s="1"/>
  <c r="H33" i="8" a="1"/>
  <c r="H33" i="8" s="1"/>
  <c r="H32" i="8" a="1"/>
  <c r="H32" i="8" s="1"/>
  <c r="J33" i="8" s="1"/>
  <c r="D35" i="8"/>
  <c r="F37" i="8"/>
  <c r="W37" i="8" s="1" a="1"/>
  <c r="W37" i="8" s="1"/>
  <c r="W35" i="8" s="1" a="1"/>
  <c r="W35" i="8" s="1"/>
  <c r="C35" i="8"/>
  <c r="H24" i="8" a="1"/>
  <c r="H24" i="8" s="1"/>
  <c r="H23" i="8" a="1"/>
  <c r="H23" i="8" s="1"/>
  <c r="J24" i="8" s="1"/>
  <c r="H30" i="8" a="1"/>
  <c r="H30" i="8" s="1"/>
  <c r="H29" i="8" a="1"/>
  <c r="H29" i="8" s="1"/>
  <c r="J30" i="8" s="1"/>
  <c r="F28" i="8"/>
  <c r="AE28" i="8" s="1" a="1"/>
  <c r="AE28" i="8" s="1"/>
  <c r="AE26" i="8" s="1" a="1"/>
  <c r="AE26" i="8" s="1"/>
  <c r="H27" i="8" a="1"/>
  <c r="H27" i="8" s="1"/>
  <c r="H26" i="8" a="1"/>
  <c r="H26" i="8" s="1"/>
  <c r="J27" i="8" s="1"/>
  <c r="C26" i="8"/>
  <c r="D26" i="8"/>
  <c r="F31" i="8"/>
  <c r="U31" i="8" s="1" a="1"/>
  <c r="U31" i="8" s="1"/>
  <c r="U29" i="8" s="1" a="1"/>
  <c r="U29" i="8" s="1"/>
  <c r="C29" i="8"/>
  <c r="D29" i="8"/>
  <c r="C20" i="8"/>
  <c r="H20" i="8" a="1"/>
  <c r="H20" i="8" s="1"/>
  <c r="J21" i="8" s="1"/>
  <c r="H21" i="8" a="1"/>
  <c r="H21" i="8" s="1"/>
  <c r="F22" i="8"/>
  <c r="D20" i="8"/>
  <c r="C23" i="8"/>
  <c r="D23" i="8"/>
  <c r="F25" i="8"/>
  <c r="E25" i="8" s="1" a="1"/>
  <c r="E25" i="8" s="1"/>
  <c r="H18" i="8" a="1"/>
  <c r="H18" i="8" s="1"/>
  <c r="H17" i="8" a="1"/>
  <c r="H17" i="8" s="1"/>
  <c r="J18" i="8" s="1"/>
  <c r="F19" i="8"/>
  <c r="D17" i="8"/>
  <c r="C17" i="8"/>
  <c r="AC37" i="8" l="1" a="1"/>
  <c r="AC37" i="8" s="1"/>
  <c r="AC35" i="8" s="1" a="1"/>
  <c r="AC35" i="8" s="1"/>
  <c r="AD34" i="8" a="1"/>
  <c r="AD34" i="8" s="1"/>
  <c r="AD32" i="8" s="1" a="1"/>
  <c r="AD32" i="8" s="1"/>
  <c r="W34" i="8" a="1"/>
  <c r="W34" i="8" s="1"/>
  <c r="W32" i="8" s="1" a="1"/>
  <c r="W32" i="8" s="1"/>
  <c r="X34" i="8" a="1"/>
  <c r="X34" i="8" s="1"/>
  <c r="X32" i="8" s="1" a="1"/>
  <c r="X32" i="8" s="1"/>
  <c r="V34" i="8" a="1"/>
  <c r="V34" i="8" s="1"/>
  <c r="V32" i="8" s="1" a="1"/>
  <c r="V32" i="8" s="1"/>
  <c r="AB34" i="8" a="1"/>
  <c r="AB34" i="8" s="1"/>
  <c r="AB32" i="8" s="1" a="1"/>
  <c r="AB32" i="8" s="1"/>
  <c r="U34" i="8" a="1"/>
  <c r="U34" i="8" s="1"/>
  <c r="U32" i="8" s="1" a="1"/>
  <c r="U32" i="8" s="1"/>
  <c r="AE34" i="8" a="1"/>
  <c r="AE34" i="8" s="1"/>
  <c r="AE32" i="8" s="1" a="1"/>
  <c r="AE32" i="8" s="1"/>
  <c r="V37" i="8" a="1"/>
  <c r="V37" i="8" s="1"/>
  <c r="V35" i="8" s="1" a="1"/>
  <c r="V35" i="8" s="1"/>
  <c r="AB37" i="8" a="1"/>
  <c r="AB37" i="8" s="1"/>
  <c r="AB35" i="8" s="1" a="1"/>
  <c r="AB35" i="8" s="1"/>
  <c r="AD37" i="8" a="1"/>
  <c r="AD37" i="8" s="1"/>
  <c r="AD35" i="8" s="1" a="1"/>
  <c r="AD35" i="8" s="1"/>
  <c r="E37" i="8" a="1"/>
  <c r="E37" i="8" s="1"/>
  <c r="E35" i="8" s="1" a="1"/>
  <c r="E35" i="8" s="1"/>
  <c r="AE37" i="8" a="1"/>
  <c r="AE37" i="8" s="1"/>
  <c r="AE35" i="8" s="1" a="1"/>
  <c r="AE35" i="8" s="1"/>
  <c r="AA37" i="8" a="1"/>
  <c r="AA37" i="8" s="1"/>
  <c r="AA35" i="8" s="1" a="1"/>
  <c r="AA35" i="8" s="1"/>
  <c r="AC34" i="8" a="1"/>
  <c r="AC34" i="8" s="1"/>
  <c r="AC32" i="8" s="1" a="1"/>
  <c r="AC32" i="8" s="1"/>
  <c r="E34" i="8" a="1"/>
  <c r="E34" i="8" s="1"/>
  <c r="E32" i="8" s="1" a="1"/>
  <c r="E32" i="8" s="1"/>
  <c r="Z34" i="8" a="1"/>
  <c r="Z34" i="8" s="1"/>
  <c r="Z32" i="8" s="1" a="1"/>
  <c r="Z32" i="8" s="1"/>
  <c r="X37" i="8" a="1"/>
  <c r="X37" i="8" s="1"/>
  <c r="X35" i="8" s="1" a="1"/>
  <c r="X35" i="8" s="1"/>
  <c r="AF37" i="8" a="1"/>
  <c r="AF37" i="8" s="1"/>
  <c r="AF35" i="8" s="1" a="1"/>
  <c r="AF35" i="8" s="1"/>
  <c r="Y37" i="8" a="1"/>
  <c r="Y37" i="8" s="1"/>
  <c r="Y35" i="8" s="1" a="1"/>
  <c r="Y35" i="8" s="1"/>
  <c r="U37" i="8" a="1"/>
  <c r="U37" i="8" s="1"/>
  <c r="U35" i="8" s="1" a="1"/>
  <c r="U35" i="8" s="1"/>
  <c r="Z37" i="8" a="1"/>
  <c r="Z37" i="8" s="1"/>
  <c r="Z35" i="8" s="1" a="1"/>
  <c r="Z35" i="8" s="1"/>
  <c r="Y34" i="8" a="1"/>
  <c r="Y34" i="8" s="1"/>
  <c r="Y32" i="8" s="1" a="1"/>
  <c r="Y32" i="8" s="1"/>
  <c r="AA34" i="8" a="1"/>
  <c r="AA34" i="8" s="1"/>
  <c r="AA32" i="8" s="1" a="1"/>
  <c r="AA32" i="8" s="1"/>
  <c r="Z31" i="8" a="1"/>
  <c r="Z31" i="8" s="1"/>
  <c r="Z29" i="8" s="1" a="1"/>
  <c r="Z29" i="8" s="1"/>
  <c r="AB31" i="8" a="1"/>
  <c r="AB31" i="8" s="1"/>
  <c r="AB29" i="8" s="1" a="1"/>
  <c r="AB29" i="8" s="1"/>
  <c r="AD31" i="8" a="1"/>
  <c r="AD31" i="8" s="1"/>
  <c r="AD29" i="8" s="1" a="1"/>
  <c r="AD29" i="8" s="1"/>
  <c r="V31" i="8" a="1"/>
  <c r="V31" i="8" s="1"/>
  <c r="V29" i="8" s="1" a="1"/>
  <c r="V29" i="8" s="1"/>
  <c r="AA31" i="8" a="1"/>
  <c r="AA31" i="8" s="1"/>
  <c r="AA29" i="8" s="1" a="1"/>
  <c r="AA29" i="8" s="1"/>
  <c r="E31" i="8" a="1"/>
  <c r="E31" i="8" s="1"/>
  <c r="E29" i="8" s="1" a="1"/>
  <c r="E29" i="8" s="1"/>
  <c r="AE31" i="8" a="1"/>
  <c r="AE31" i="8" s="1"/>
  <c r="AE29" i="8" s="1" a="1"/>
  <c r="AE29" i="8" s="1"/>
  <c r="AC31" i="8" a="1"/>
  <c r="AC31" i="8" s="1"/>
  <c r="AC29" i="8" s="1" a="1"/>
  <c r="AC29" i="8" s="1"/>
  <c r="AF31" i="8" a="1"/>
  <c r="AF31" i="8" s="1"/>
  <c r="AF29" i="8" s="1" a="1"/>
  <c r="AF29" i="8" s="1"/>
  <c r="W31" i="8" a="1"/>
  <c r="W31" i="8" s="1"/>
  <c r="W29" i="8" s="1" a="1"/>
  <c r="W29" i="8" s="1"/>
  <c r="Y31" i="8" a="1"/>
  <c r="Y31" i="8" s="1"/>
  <c r="Y29" i="8" s="1" a="1"/>
  <c r="Y29" i="8" s="1"/>
  <c r="X31" i="8" a="1"/>
  <c r="X31" i="8" s="1"/>
  <c r="X29" i="8" s="1" a="1"/>
  <c r="X29" i="8" s="1"/>
  <c r="AB28" i="8" a="1"/>
  <c r="AB28" i="8" s="1"/>
  <c r="AB26" i="8" s="1" a="1"/>
  <c r="AB26" i="8" s="1"/>
  <c r="E28" i="8" a="1"/>
  <c r="E28" i="8" s="1"/>
  <c r="E26" i="8" s="1" a="1"/>
  <c r="E26" i="8" s="1"/>
  <c r="Y28" i="8" a="1"/>
  <c r="Y28" i="8" s="1"/>
  <c r="Y26" i="8" s="1" a="1"/>
  <c r="Y26" i="8" s="1"/>
  <c r="AA28" i="8" a="1"/>
  <c r="AA28" i="8" s="1"/>
  <c r="AA26" i="8" s="1" a="1"/>
  <c r="AA26" i="8" s="1"/>
  <c r="AD28" i="8" a="1"/>
  <c r="AD28" i="8" s="1"/>
  <c r="AD26" i="8" s="1" a="1"/>
  <c r="AD26" i="8" s="1"/>
  <c r="W28" i="8" a="1"/>
  <c r="W28" i="8" s="1"/>
  <c r="W26" i="8" s="1" a="1"/>
  <c r="W26" i="8" s="1"/>
  <c r="Z28" i="8" a="1"/>
  <c r="Z28" i="8" s="1"/>
  <c r="Z26" i="8" s="1" a="1"/>
  <c r="Z26" i="8" s="1"/>
  <c r="AF28" i="8" a="1"/>
  <c r="AF28" i="8" s="1"/>
  <c r="AF26" i="8" s="1" a="1"/>
  <c r="AF26" i="8" s="1"/>
  <c r="U28" i="8" a="1"/>
  <c r="U28" i="8" s="1"/>
  <c r="U26" i="8" s="1" a="1"/>
  <c r="U26" i="8" s="1"/>
  <c r="X28" i="8" a="1"/>
  <c r="X28" i="8" s="1"/>
  <c r="X26" i="8" s="1" a="1"/>
  <c r="X26" i="8" s="1"/>
  <c r="V28" i="8" a="1"/>
  <c r="V28" i="8" s="1"/>
  <c r="V26" i="8" s="1" a="1"/>
  <c r="V26" i="8" s="1"/>
  <c r="AC28" i="8" a="1"/>
  <c r="AC28" i="8" s="1"/>
  <c r="AC26" i="8" s="1" a="1"/>
  <c r="AC26" i="8" s="1"/>
  <c r="V25" i="8" a="1"/>
  <c r="V25" i="8" s="1"/>
  <c r="V23" i="8" s="1" a="1"/>
  <c r="V23" i="8" s="1"/>
  <c r="AF25" i="8" a="1"/>
  <c r="AF25" i="8" s="1"/>
  <c r="AF23" i="8" s="1" a="1"/>
  <c r="AF23" i="8" s="1"/>
  <c r="AA25" i="8" a="1"/>
  <c r="AA25" i="8" s="1"/>
  <c r="AA23" i="8" s="1" a="1"/>
  <c r="AA23" i="8" s="1"/>
  <c r="U25" i="8" a="1"/>
  <c r="U25" i="8" s="1"/>
  <c r="U23" i="8" s="1" a="1"/>
  <c r="U23" i="8" s="1"/>
  <c r="Z25" i="8" a="1"/>
  <c r="Z25" i="8" s="1"/>
  <c r="Z23" i="8" s="1" a="1"/>
  <c r="Z23" i="8" s="1"/>
  <c r="X25" i="8" a="1"/>
  <c r="X25" i="8" s="1"/>
  <c r="X23" i="8" s="1" a="1"/>
  <c r="X23" i="8" s="1"/>
  <c r="E23" i="8" a="1"/>
  <c r="E23" i="8" s="1"/>
  <c r="E22" i="8" a="1"/>
  <c r="E22" i="8" s="1"/>
  <c r="E20" i="8" s="1" a="1"/>
  <c r="E20" i="8" s="1"/>
  <c r="Z22" i="8" a="1"/>
  <c r="Z22" i="8" s="1"/>
  <c r="Z20" i="8" s="1" a="1"/>
  <c r="Z20" i="8" s="1"/>
  <c r="W25" i="8" a="1"/>
  <c r="W25" i="8" s="1"/>
  <c r="Y25" i="8" a="1"/>
  <c r="Y25" i="8" s="1"/>
  <c r="AF22" i="8" a="1"/>
  <c r="AF22" i="8" s="1"/>
  <c r="AF20" i="8" s="1" a="1"/>
  <c r="AF20" i="8" s="1"/>
  <c r="AC25" i="8" a="1"/>
  <c r="AC25" i="8" s="1"/>
  <c r="U22" i="8" a="1"/>
  <c r="U22" i="8" s="1"/>
  <c r="U20" i="8" s="1" a="1"/>
  <c r="U20" i="8" s="1"/>
  <c r="AD25" i="8" a="1"/>
  <c r="AD25" i="8" s="1"/>
  <c r="AB25" i="8" a="1"/>
  <c r="AB25" i="8" s="1"/>
  <c r="V22" i="8" a="1"/>
  <c r="V22" i="8" s="1"/>
  <c r="V20" i="8" s="1" a="1"/>
  <c r="V20" i="8" s="1"/>
  <c r="AE25" i="8" a="1"/>
  <c r="AE25" i="8" s="1"/>
  <c r="AA22" i="8" a="1"/>
  <c r="AA22" i="8" s="1"/>
  <c r="AA20" i="8" s="1" a="1"/>
  <c r="AA20" i="8" s="1"/>
  <c r="X22" i="8" a="1"/>
  <c r="X22" i="8" s="1"/>
  <c r="X20" i="8" s="1" a="1"/>
  <c r="X20" i="8" s="1"/>
  <c r="AF19" i="8" l="1" a="1"/>
  <c r="AF19" i="8" s="1"/>
  <c r="AF17" i="8" s="1" a="1"/>
  <c r="AF17" i="8" s="1"/>
  <c r="U19" i="8" a="1"/>
  <c r="U19" i="8" s="1"/>
  <c r="U16" i="8" s="1" a="1"/>
  <c r="U16" i="8" s="1"/>
  <c r="AA19" i="8" a="1"/>
  <c r="AA19" i="8" s="1"/>
  <c r="AA17" i="8" s="1" a="1"/>
  <c r="AA17" i="8" s="1"/>
  <c r="Z19" i="8" a="1"/>
  <c r="Z19" i="8" s="1"/>
  <c r="Z17" i="8" s="1" a="1"/>
  <c r="Z17" i="8" s="1"/>
  <c r="V19" i="8" a="1"/>
  <c r="V19" i="8" s="1"/>
  <c r="V17" i="8" s="1" a="1"/>
  <c r="V17" i="8" s="1"/>
  <c r="X19" i="8" a="1"/>
  <c r="X19" i="8" s="1"/>
  <c r="X17" i="8" s="1" a="1"/>
  <c r="X17" i="8" s="1"/>
  <c r="E19" i="8" a="1"/>
  <c r="E19" i="8" s="1"/>
  <c r="E17" i="8" s="1" a="1"/>
  <c r="E17" i="8" s="1"/>
  <c r="AB23" i="8" a="1"/>
  <c r="AB23" i="8" s="1"/>
  <c r="AB22" i="8" a="1"/>
  <c r="AB22" i="8" s="1"/>
  <c r="AB19" i="8" s="1" a="1"/>
  <c r="AB19" i="8" s="1"/>
  <c r="AB17" i="8" s="1" a="1"/>
  <c r="AB17" i="8" s="1"/>
  <c r="AD23" i="8" a="1"/>
  <c r="AD23" i="8" s="1"/>
  <c r="AD22" i="8" a="1"/>
  <c r="AD22" i="8" s="1"/>
  <c r="Y23" i="8" a="1"/>
  <c r="Y23" i="8" s="1"/>
  <c r="Y22" i="8" a="1"/>
  <c r="Y22" i="8" s="1"/>
  <c r="W23" i="8" a="1"/>
  <c r="W23" i="8" s="1"/>
  <c r="W22" i="8" a="1"/>
  <c r="W22" i="8" s="1"/>
  <c r="W19" i="8" s="1" a="1"/>
  <c r="W19" i="8" s="1"/>
  <c r="W17" i="8" s="1" a="1"/>
  <c r="W17" i="8" s="1"/>
  <c r="AE23" i="8" a="1"/>
  <c r="AE23" i="8" s="1"/>
  <c r="AE22" i="8" a="1"/>
  <c r="AE22" i="8" s="1"/>
  <c r="AC23" i="8" a="1"/>
  <c r="AC23" i="8" s="1"/>
  <c r="AC22" i="8" a="1"/>
  <c r="AC22" i="8" s="1"/>
  <c r="Z16" i="8" l="1" a="1"/>
  <c r="Z16" i="8" s="1"/>
  <c r="Z14" i="8" s="1" a="1"/>
  <c r="Z14" i="8" s="1"/>
  <c r="AA16" i="8" a="1"/>
  <c r="AA16" i="8" s="1"/>
  <c r="AA14" i="8" s="1" a="1"/>
  <c r="AA14" i="8" s="1"/>
  <c r="AF16" i="8" a="1"/>
  <c r="AF16" i="8" s="1"/>
  <c r="AF14" i="8" s="1" a="1"/>
  <c r="AF14" i="8" s="1"/>
  <c r="E16" i="8" a="1"/>
  <c r="E16" i="8" s="1"/>
  <c r="E50" i="8" s="1" a="1"/>
  <c r="E50" i="8" s="1"/>
  <c r="E45" i="8" s="1"/>
  <c r="U17" i="8" a="1"/>
  <c r="U17" i="8" s="1"/>
  <c r="U50" i="8" s="1" a="1"/>
  <c r="U50" i="8" s="1"/>
  <c r="U45" i="8" s="1"/>
  <c r="X16" i="8" a="1"/>
  <c r="X16" i="8" s="1"/>
  <c r="X14" i="8" s="1" a="1"/>
  <c r="X14" i="8" s="1"/>
  <c r="V16" i="8" a="1"/>
  <c r="V16" i="8" s="1"/>
  <c r="V14" i="8" s="1" a="1"/>
  <c r="V14" i="8" s="1"/>
  <c r="U51" i="8"/>
  <c r="U47" i="8" s="1"/>
  <c r="AE20" i="8" a="1"/>
  <c r="AE20" i="8" s="1"/>
  <c r="AE19" i="8" a="1"/>
  <c r="AE19" i="8" s="1"/>
  <c r="AE17" i="8" s="1" a="1"/>
  <c r="AE17" i="8" s="1"/>
  <c r="Y20" i="8" a="1"/>
  <c r="Y20" i="8" s="1"/>
  <c r="Y19" i="8" a="1"/>
  <c r="Y19" i="8" s="1"/>
  <c r="Y17" i="8" s="1" a="1"/>
  <c r="Y17" i="8" s="1"/>
  <c r="AC20" i="8" a="1"/>
  <c r="AC20" i="8" s="1"/>
  <c r="AC19" i="8" a="1"/>
  <c r="AC19" i="8" s="1"/>
  <c r="AC17" i="8" s="1" a="1"/>
  <c r="AC17" i="8" s="1"/>
  <c r="AD20" i="8" a="1"/>
  <c r="AD20" i="8" s="1"/>
  <c r="AD19" i="8" a="1"/>
  <c r="AD19" i="8" s="1"/>
  <c r="AD17" i="8" s="1" a="1"/>
  <c r="AD17" i="8" s="1"/>
  <c r="W20" i="8" a="1"/>
  <c r="W20" i="8" s="1"/>
  <c r="W16" i="8" a="1"/>
  <c r="W16" i="8" s="1"/>
  <c r="AB20" i="8" a="1"/>
  <c r="AB20" i="8" s="1"/>
  <c r="AB16" i="8" a="1"/>
  <c r="AB16" i="8" s="1"/>
  <c r="AB14" i="8" s="1" a="1"/>
  <c r="AB14" i="8" s="1"/>
  <c r="U14" i="8" a="1"/>
  <c r="U14" i="8" s="1"/>
  <c r="E51" i="8" l="1"/>
  <c r="E46" i="8" s="1"/>
  <c r="E42" i="8" s="1"/>
  <c r="U49" i="8" a="1"/>
  <c r="U49" i="8" s="1"/>
  <c r="U44" i="8" s="1"/>
  <c r="E14" i="8" a="1"/>
  <c r="E14" i="8" s="1"/>
  <c r="E49" i="8" a="1"/>
  <c r="E49" i="8" s="1"/>
  <c r="E44" i="8" s="1"/>
  <c r="H30" i="9"/>
  <c r="AD16" i="8" a="1"/>
  <c r="AD16" i="8" s="1"/>
  <c r="AD14" i="8" s="1" a="1"/>
  <c r="AD14" i="8" s="1"/>
  <c r="U46" i="8"/>
  <c r="H28" i="9" s="1"/>
  <c r="AE16" i="8" a="1"/>
  <c r="AE16" i="8" s="1"/>
  <c r="AE14" i="8" s="1" a="1"/>
  <c r="AE14" i="8" s="1"/>
  <c r="Y16" i="8" a="1"/>
  <c r="Y16" i="8" s="1"/>
  <c r="Y14" i="8" s="1" a="1"/>
  <c r="Y14" i="8" s="1"/>
  <c r="AC16" i="8" a="1"/>
  <c r="AC16" i="8" s="1"/>
  <c r="AC14" i="8" s="1" a="1"/>
  <c r="AC14" i="8" s="1"/>
  <c r="V51" i="8"/>
  <c r="V46" i="8" s="1"/>
  <c r="J28" i="9" s="1"/>
  <c r="H29" i="9"/>
  <c r="W14" i="8" a="1"/>
  <c r="W14" i="8" s="1"/>
  <c r="V50" i="8" a="1"/>
  <c r="V50" i="8" s="1"/>
  <c r="V45" i="8" s="1"/>
  <c r="U42" i="8" l="1"/>
  <c r="H27" i="9" s="1"/>
  <c r="E47" i="8"/>
  <c r="V49" i="8" a="1"/>
  <c r="V49" i="8" s="1"/>
  <c r="W49" i="8" s="1" a="1"/>
  <c r="W49" i="8" s="1"/>
  <c r="W44" i="8" s="1"/>
  <c r="U48" i="8"/>
  <c r="U43" i="8" s="1"/>
  <c r="E48" i="8"/>
  <c r="E43" i="8" s="1"/>
  <c r="W51" i="8"/>
  <c r="W46" i="8" s="1"/>
  <c r="V47" i="8"/>
  <c r="J29" i="9" s="1"/>
  <c r="V42" i="8"/>
  <c r="J27" i="9" s="1"/>
  <c r="J30" i="9"/>
  <c r="W50" i="8" a="1"/>
  <c r="W50" i="8" s="1"/>
  <c r="W45" i="8" s="1"/>
  <c r="V48" i="8" l="1"/>
  <c r="V43" i="8" s="1"/>
  <c r="X49" i="8" a="1"/>
  <c r="X49" i="8" s="1"/>
  <c r="X44" i="8" s="1"/>
  <c r="V44" i="8"/>
  <c r="L30" i="9"/>
  <c r="X51" i="8"/>
  <c r="X46" i="8" s="1"/>
  <c r="W47" i="8"/>
  <c r="L29" i="9" s="1"/>
  <c r="W42" i="8"/>
  <c r="L27" i="9" s="1"/>
  <c r="L28" i="9"/>
  <c r="W48" i="8"/>
  <c r="X50" i="8" a="1"/>
  <c r="X50" i="8" s="1"/>
  <c r="W43" i="8" l="1"/>
  <c r="Y49" i="8" a="1"/>
  <c r="Y49" i="8" s="1"/>
  <c r="Y44" i="8" s="1"/>
  <c r="Y51" i="8"/>
  <c r="Y46" i="8" s="1"/>
  <c r="X48" i="8"/>
  <c r="X43" i="8" s="1"/>
  <c r="X47" i="8"/>
  <c r="N29" i="9" s="1"/>
  <c r="N30" i="9"/>
  <c r="Y50" i="8" a="1"/>
  <c r="Y50" i="8" s="1"/>
  <c r="Y45" i="8" s="1"/>
  <c r="N28" i="9"/>
  <c r="X42" i="8"/>
  <c r="N27" i="9" s="1"/>
  <c r="X45" i="8"/>
  <c r="Z51" i="8" l="1"/>
  <c r="AA51" i="8" s="1"/>
  <c r="P30" i="9"/>
  <c r="Y47" i="8"/>
  <c r="P29" i="9" s="1"/>
  <c r="Z49" i="8" a="1"/>
  <c r="Z49" i="8" s="1"/>
  <c r="Z44" i="8" s="1"/>
  <c r="P28" i="9"/>
  <c r="Y42" i="8"/>
  <c r="P27" i="9" s="1"/>
  <c r="Z50" i="8" a="1"/>
  <c r="Z50" i="8" s="1"/>
  <c r="Y48" i="8"/>
  <c r="Y43" i="8" s="1"/>
  <c r="Z46" i="8" l="1"/>
  <c r="Z42" i="8" s="1"/>
  <c r="R27" i="9" s="1"/>
  <c r="Z47" i="8"/>
  <c r="R29" i="9" s="1"/>
  <c r="R30" i="9"/>
  <c r="Z48" i="8"/>
  <c r="Z43" i="8" s="1"/>
  <c r="AA49" i="8" a="1"/>
  <c r="AA49" i="8" s="1"/>
  <c r="AB49" i="8" s="1" a="1"/>
  <c r="AB49" i="8" s="1"/>
  <c r="AB44" i="8" s="1"/>
  <c r="AA50" i="8" a="1"/>
  <c r="AA50" i="8" s="1"/>
  <c r="AB50" i="8" s="1" a="1"/>
  <c r="AB50" i="8" s="1"/>
  <c r="AC50" i="8" s="1" a="1"/>
  <c r="AC50" i="8" s="1"/>
  <c r="Z45" i="8"/>
  <c r="T30" i="9"/>
  <c r="AA47" i="8"/>
  <c r="AA46" i="8"/>
  <c r="AB51" i="8"/>
  <c r="R28" i="9" l="1"/>
  <c r="AA44" i="8"/>
  <c r="AC49" i="8" a="1"/>
  <c r="AC49" i="8" s="1"/>
  <c r="AC44" i="8" s="1"/>
  <c r="AB48" i="8"/>
  <c r="T29" i="9"/>
  <c r="AA42" i="8"/>
  <c r="T27" i="9" s="1"/>
  <c r="T28" i="9"/>
  <c r="AB45" i="8"/>
  <c r="AA45" i="8"/>
  <c r="AA48" i="8"/>
  <c r="AA43" i="8" s="1"/>
  <c r="AC51" i="8"/>
  <c r="V30" i="9"/>
  <c r="AB47" i="8"/>
  <c r="AB46" i="8"/>
  <c r="AD50" i="8" a="1"/>
  <c r="AD50" i="8" s="1"/>
  <c r="AC45" i="8"/>
  <c r="AD49" i="8" l="1" a="1"/>
  <c r="AD49" i="8" s="1"/>
  <c r="AD44" i="8" s="1"/>
  <c r="AD51" i="8"/>
  <c r="AC46" i="8"/>
  <c r="X30" i="9"/>
  <c r="AC47" i="8"/>
  <c r="AC48" i="8"/>
  <c r="AC43" i="8" s="1"/>
  <c r="AB42" i="8"/>
  <c r="V27" i="9" s="1"/>
  <c r="V28" i="9"/>
  <c r="AB43" i="8"/>
  <c r="V29" i="9"/>
  <c r="AE50" i="8" a="1"/>
  <c r="AE50" i="8" s="1"/>
  <c r="AD45" i="8"/>
  <c r="AE49" i="8" l="1" a="1"/>
  <c r="AE49" i="8" s="1"/>
  <c r="AE44" i="8" s="1"/>
  <c r="AD48" i="8"/>
  <c r="AD43" i="8" s="1"/>
  <c r="X29" i="9"/>
  <c r="AC42" i="8"/>
  <c r="X27" i="9" s="1"/>
  <c r="X28" i="9"/>
  <c r="AD46" i="8"/>
  <c r="AD47" i="8"/>
  <c r="AE51" i="8"/>
  <c r="Z30" i="9"/>
  <c r="AE45" i="8"/>
  <c r="AF50" i="8" a="1"/>
  <c r="AF50" i="8" s="1"/>
  <c r="AF45" i="8" s="1"/>
  <c r="AF49" i="8" l="1" a="1"/>
  <c r="AF49" i="8" s="1"/>
  <c r="AF44" i="8" s="1"/>
  <c r="AB30" i="9"/>
  <c r="AF51" i="8"/>
  <c r="AE46" i="8"/>
  <c r="AE47" i="8"/>
  <c r="Z28" i="9"/>
  <c r="AD42" i="8"/>
  <c r="Z27" i="9" s="1"/>
  <c r="Z29" i="9"/>
  <c r="AE48" i="8"/>
  <c r="AE43" i="8" s="1"/>
  <c r="AF48" i="8" l="1"/>
  <c r="AF43" i="8" s="1"/>
  <c r="AB29" i="9"/>
  <c r="AB28" i="9"/>
  <c r="AE42" i="8"/>
  <c r="AB27" i="9" s="1"/>
  <c r="AD30" i="9"/>
  <c r="K10" i="8" a="1"/>
  <c r="K10" i="8" s="1"/>
  <c r="AF47" i="8"/>
  <c r="B6" i="9" a="1"/>
  <c r="B6" i="9" s="1"/>
  <c r="M13" i="9" s="1"/>
  <c r="AF46" i="8"/>
  <c r="AD29" i="9" l="1"/>
  <c r="F11" i="8" a="1"/>
  <c r="F11" i="8" s="1"/>
  <c r="AD28" i="9"/>
  <c r="AF42" i="8"/>
  <c r="AD27" i="9" s="1"/>
  <c r="AF20" i="5" l="1" a="1"/>
  <c r="AF20" i="5" l="1"/>
  <c r="F29" i="6" l="1"/>
  <c r="AG20" i="5" a="1"/>
  <c r="S20" i="5" a="1"/>
  <c r="F54" i="12" l="1" a="1"/>
  <c r="F54" i="12" s="1"/>
  <c r="G54" i="6"/>
  <c r="F47" i="12" a="1"/>
  <c r="F47" i="12" s="1"/>
  <c r="G47" i="6"/>
  <c r="F29" i="12" a="1"/>
  <c r="F29" i="12" s="1"/>
  <c r="G29" i="6"/>
  <c r="F26" i="12" a="1"/>
  <c r="F26" i="12" s="1"/>
  <c r="G26" i="6"/>
  <c r="E19" i="12"/>
  <c r="F19" i="6"/>
  <c r="F19" i="12" a="1"/>
  <c r="F19" i="12" s="1"/>
  <c r="G19" i="6"/>
  <c r="F25" i="12" a="1"/>
  <c r="F25" i="12" s="1"/>
  <c r="G25" i="6"/>
  <c r="F25" i="6"/>
  <c r="E25" i="12"/>
  <c r="F46" i="12" a="1"/>
  <c r="F46" i="12" s="1"/>
  <c r="G46" i="6"/>
  <c r="F52" i="12" a="1"/>
  <c r="F52" i="12" s="1"/>
  <c r="G52" i="6"/>
  <c r="E52" i="12"/>
  <c r="F52" i="6"/>
  <c r="E49" i="12"/>
  <c r="F49" i="6"/>
  <c r="F49" i="12" a="1"/>
  <c r="F49" i="12" s="1"/>
  <c r="G49" i="6"/>
  <c r="F50" i="12" a="1"/>
  <c r="F50" i="12" s="1"/>
  <c r="G50" i="6"/>
  <c r="E50" i="12"/>
  <c r="F50" i="6"/>
  <c r="F51" i="12" a="1"/>
  <c r="F51" i="12" s="1"/>
  <c r="G51" i="6"/>
  <c r="E51" i="12"/>
  <c r="F51" i="6"/>
  <c r="F28" i="12" a="1"/>
  <c r="F28" i="12" s="1"/>
  <c r="G28" i="6"/>
  <c r="E44" i="12"/>
  <c r="F44" i="6"/>
  <c r="F44" i="12" a="1"/>
  <c r="F44" i="12" s="1"/>
  <c r="G44" i="6"/>
  <c r="F45" i="12" a="1"/>
  <c r="F45" i="12" s="1"/>
  <c r="G45" i="6"/>
  <c r="F42" i="12" a="1"/>
  <c r="F42" i="12" s="1"/>
  <c r="G42" i="6"/>
  <c r="E42" i="12"/>
  <c r="F42" i="6"/>
  <c r="F41" i="6"/>
  <c r="E41" i="12"/>
  <c r="F41" i="12" a="1"/>
  <c r="F41" i="12" s="1"/>
  <c r="G41" i="6"/>
  <c r="F40" i="6"/>
  <c r="E40" i="12"/>
  <c r="F40" i="12" a="1"/>
  <c r="F40" i="12" s="1"/>
  <c r="G40" i="6"/>
  <c r="F39" i="12" a="1"/>
  <c r="F39" i="12" s="1"/>
  <c r="G39" i="6"/>
  <c r="F39" i="6"/>
  <c r="E39" i="12"/>
  <c r="F36" i="12" a="1"/>
  <c r="F36" i="12" s="1"/>
  <c r="G36" i="6"/>
  <c r="F36" i="6"/>
  <c r="E36" i="12"/>
  <c r="E35" i="12"/>
  <c r="F35" i="6"/>
  <c r="F35" i="12" a="1"/>
  <c r="F35" i="12" s="1"/>
  <c r="G35" i="6"/>
  <c r="F34" i="12" a="1"/>
  <c r="F34" i="12" s="1"/>
  <c r="G34" i="6"/>
  <c r="E34" i="12"/>
  <c r="F34" i="6"/>
  <c r="E32" i="12"/>
  <c r="F32" i="6"/>
  <c r="F32" i="12" a="1"/>
  <c r="F32" i="12" s="1"/>
  <c r="G32" i="6"/>
  <c r="F31" i="12" a="1"/>
  <c r="F31" i="12" s="1"/>
  <c r="G31" i="6"/>
  <c r="E31" i="12"/>
  <c r="F31" i="6"/>
  <c r="F24" i="12" a="1"/>
  <c r="F24" i="12" s="1"/>
  <c r="G24" i="6"/>
  <c r="E24" i="12"/>
  <c r="F24" i="6"/>
  <c r="F23" i="12" a="1"/>
  <c r="F23" i="12" s="1"/>
  <c r="G23" i="6"/>
  <c r="E23" i="12"/>
  <c r="F23" i="6"/>
  <c r="F22" i="12" a="1"/>
  <c r="F22" i="12" s="1"/>
  <c r="E22" i="12"/>
  <c r="F22" i="6"/>
  <c r="G21" i="6"/>
  <c r="E21" i="12"/>
  <c r="F21" i="6"/>
  <c r="S20" i="5"/>
  <c r="F20" i="12" s="1" a="1"/>
  <c r="F20" i="12" s="1"/>
  <c r="AG20" i="5"/>
  <c r="G15" i="11"/>
  <c r="F18" i="6"/>
  <c r="G18" i="6"/>
  <c r="J38" i="8" l="1"/>
  <c r="F43" i="6"/>
  <c r="E43" i="12"/>
  <c r="J32" i="8"/>
  <c r="J35" i="8"/>
  <c r="F37" i="12" a="1"/>
  <c r="F37" i="12" s="1"/>
  <c r="G37" i="6"/>
  <c r="F37" i="6"/>
  <c r="E37" i="12"/>
  <c r="J26" i="8"/>
  <c r="J29" i="8"/>
  <c r="G22" i="6"/>
  <c r="F21" i="12" a="1"/>
  <c r="F21" i="12" s="1"/>
  <c r="F15" i="13"/>
  <c r="J23" i="8"/>
  <c r="E20" i="12"/>
  <c r="J20" i="8"/>
  <c r="F20" i="6"/>
  <c r="G20" i="6"/>
  <c r="AC20" i="5" a="1"/>
  <c r="AC20" i="5" s="1"/>
  <c r="J20" i="6" s="1" a="1"/>
  <c r="J20" i="6" s="1"/>
  <c r="E18" i="12"/>
  <c r="F18" i="12" a="1"/>
  <c r="F18" i="12" s="1"/>
  <c r="N26" i="6" l="1"/>
  <c r="N25" i="6"/>
  <c r="N21" i="6"/>
  <c r="N22" i="6"/>
  <c r="N23" i="6"/>
  <c r="N24" i="6"/>
  <c r="N27" i="6"/>
  <c r="N28" i="6"/>
  <c r="N29" i="6"/>
  <c r="N30" i="6"/>
  <c r="J30" i="6" s="1" a="1"/>
  <c r="J30" i="6" s="1"/>
  <c r="N31" i="6"/>
  <c r="N32" i="6"/>
  <c r="N33" i="6"/>
  <c r="J33" i="6" s="1" a="1"/>
  <c r="J33" i="6" s="1"/>
  <c r="N34" i="6"/>
  <c r="N35" i="6"/>
  <c r="N36" i="6"/>
  <c r="N37" i="6"/>
  <c r="N38" i="6"/>
  <c r="J38" i="6" s="1" a="1"/>
  <c r="J38" i="6" s="1"/>
  <c r="N39" i="6"/>
  <c r="N40" i="6"/>
  <c r="N41" i="6"/>
  <c r="N42" i="6"/>
  <c r="N43" i="6"/>
  <c r="N44" i="6"/>
  <c r="N45" i="6"/>
  <c r="N48" i="6"/>
  <c r="J48" i="6" s="1" a="1"/>
  <c r="J48" i="6" s="1"/>
  <c r="N49" i="6"/>
  <c r="N50" i="6"/>
  <c r="N51" i="6"/>
  <c r="N52" i="6"/>
  <c r="N53" i="6"/>
  <c r="J53" i="6" s="1" a="1"/>
  <c r="J53" i="6" s="1"/>
  <c r="N54" i="6"/>
  <c r="C23" i="10" l="1"/>
  <c r="A23" i="10" s="1"/>
  <c r="C23" i="9"/>
  <c r="F23" i="9" s="1"/>
  <c r="C22" i="9"/>
  <c r="F22" i="9" s="1"/>
  <c r="C22" i="10"/>
  <c r="A22" i="10" s="1"/>
  <c r="C21" i="9"/>
  <c r="F21" i="9" s="1"/>
  <c r="C21" i="10"/>
  <c r="A21" i="10" s="1"/>
  <c r="C20" i="9"/>
  <c r="F20" i="9" s="1"/>
  <c r="C20" i="10"/>
  <c r="A20" i="10" s="1"/>
  <c r="C19" i="10"/>
  <c r="A19" i="10" s="1"/>
  <c r="C19" i="9"/>
  <c r="F19" i="9" s="1"/>
  <c r="J27" i="6" a="1"/>
  <c r="J27" i="6" s="1"/>
  <c r="C18" i="10"/>
  <c r="A18" i="10" s="1"/>
  <c r="C18" i="9"/>
  <c r="F18" i="9" s="1"/>
  <c r="C17" i="10"/>
  <c r="A17" i="10" s="1"/>
  <c r="C17" i="9"/>
  <c r="F17" i="9" s="1"/>
  <c r="D8" i="9" l="1"/>
  <c r="F52" i="8" s="1"/>
  <c r="A11" i="12" s="1"/>
  <c r="P11" i="12" s="1"/>
  <c r="O11" i="12" s="1"/>
  <c r="AB52" i="8" l="1"/>
  <c r="AB53" i="8" s="1"/>
  <c r="U52" i="8"/>
  <c r="H31" i="9" s="1"/>
  <c r="H32" i="9" s="1"/>
  <c r="AD52" i="8"/>
  <c r="AD53" i="8" s="1"/>
  <c r="AE52" i="8"/>
  <c r="AB31" i="9" s="1"/>
  <c r="AB32" i="9" s="1"/>
  <c r="E52" i="8"/>
  <c r="AF52" i="8"/>
  <c r="AD31" i="9" s="1"/>
  <c r="AD32" i="9" s="1"/>
  <c r="X52" i="8"/>
  <c r="X53" i="8" s="1"/>
  <c r="AA52" i="8"/>
  <c r="T31" i="9" s="1"/>
  <c r="T32" i="9" s="1"/>
  <c r="Z52" i="8"/>
  <c r="R31" i="9" s="1"/>
  <c r="R32" i="9" s="1"/>
  <c r="W52" i="8"/>
  <c r="W53" i="8" s="1"/>
  <c r="V52" i="8"/>
  <c r="V53" i="8" s="1"/>
  <c r="AC52" i="8"/>
  <c r="X31" i="9" s="1"/>
  <c r="X32" i="9" s="1"/>
  <c r="Y52" i="8"/>
  <c r="Y53" i="8" s="1"/>
  <c r="U53" i="8" l="1"/>
  <c r="V31" i="9"/>
  <c r="V32" i="9" s="1"/>
  <c r="Z53" i="8"/>
  <c r="P31" i="9"/>
  <c r="P32" i="9" s="1"/>
  <c r="AE53" i="8"/>
  <c r="Z31" i="9"/>
  <c r="Z32" i="9" s="1"/>
  <c r="J31" i="9"/>
  <c r="J32" i="9" s="1"/>
  <c r="L31" i="9"/>
  <c r="L32" i="9" s="1"/>
  <c r="N31" i="9"/>
  <c r="N32" i="9" s="1"/>
  <c r="AC53" i="8"/>
  <c r="AF53" i="8"/>
  <c r="AA53" i="8"/>
  <c r="T53" i="8" l="1"/>
  <c r="G32" i="9"/>
  <c r="AF23" i="5" a="1"/>
  <c r="AF28" i="5" a="1"/>
  <c r="AF41" i="5" a="1"/>
  <c r="AF22" i="5" a="1"/>
  <c r="AF25" i="5" a="1"/>
  <c r="AF47" i="5" a="1"/>
  <c r="AF29" i="5" a="1"/>
  <c r="AF31" i="5" a="1"/>
  <c r="AF49" i="5" a="1"/>
  <c r="AF54" i="5" a="1"/>
  <c r="AF26" i="5" a="1"/>
  <c r="AF45" i="5" a="1"/>
  <c r="AF43" i="5" a="1"/>
  <c r="AF24" i="5" a="1"/>
  <c r="AF52" i="5" a="1"/>
  <c r="AF32" i="5" a="1"/>
  <c r="AF19" i="5" a="1"/>
  <c r="AF50" i="5" a="1"/>
  <c r="AF44" i="5" a="1"/>
  <c r="AF21" i="5" a="1"/>
  <c r="AF46" i="5" a="1"/>
  <c r="AF34" i="5" a="1"/>
  <c r="AF37" i="5" a="1"/>
  <c r="AF39" i="5" a="1"/>
  <c r="AF18" i="5" a="1"/>
  <c r="AF42" i="5" a="1"/>
  <c r="AF36" i="5" a="1"/>
  <c r="AF40" i="5" a="1"/>
  <c r="AF35" i="5" a="1"/>
  <c r="AF51" i="5" a="1"/>
  <c r="AF42" i="5" l="1"/>
  <c r="AG42" i="5" s="1" a="1"/>
  <c r="AG42" i="5" s="1"/>
  <c r="AC42" i="5" s="1" a="1"/>
  <c r="AC42" i="5" s="1"/>
  <c r="J42" i="6" s="1" a="1"/>
  <c r="J42" i="6" s="1"/>
  <c r="AF21" i="5"/>
  <c r="AG21" i="5" s="1" a="1"/>
  <c r="AG21" i="5" s="1"/>
  <c r="AC21" i="5" s="1" a="1"/>
  <c r="AC21" i="5" s="1"/>
  <c r="J21" i="6" s="1" a="1"/>
  <c r="J21" i="6" s="1"/>
  <c r="AF41" i="5"/>
  <c r="AG41" i="5" s="1" a="1"/>
  <c r="AG41" i="5" s="1"/>
  <c r="AC41" i="5" s="1" a="1"/>
  <c r="AC41" i="5" s="1"/>
  <c r="J41" i="6" s="1" a="1"/>
  <c r="J41" i="6" s="1"/>
  <c r="AF19" i="5"/>
  <c r="AG19" i="5" s="1" a="1"/>
  <c r="AG19" i="5" s="1"/>
  <c r="AC19" i="5" s="1" a="1"/>
  <c r="AC19" i="5" s="1"/>
  <c r="J19" i="6" s="1" a="1"/>
  <c r="J19" i="6" s="1"/>
  <c r="AF31" i="5"/>
  <c r="AG31" i="5" s="1" a="1"/>
  <c r="AG31" i="5" s="1"/>
  <c r="AC31" i="5" s="1" a="1"/>
  <c r="AC31" i="5" s="1"/>
  <c r="J31" i="6" s="1" a="1"/>
  <c r="J31" i="6" s="1"/>
  <c r="AF44" i="5"/>
  <c r="AG44" i="5" s="1" a="1"/>
  <c r="AG44" i="5" s="1"/>
  <c r="AC44" i="5" s="1" a="1"/>
  <c r="AC44" i="5" s="1"/>
  <c r="J44" i="6" s="1" a="1"/>
  <c r="J44" i="6" s="1"/>
  <c r="AF22" i="5"/>
  <c r="AG22" i="5" s="1" a="1"/>
  <c r="AG22" i="5" s="1"/>
  <c r="AC22" i="5" s="1" a="1"/>
  <c r="AC22" i="5" s="1"/>
  <c r="J22" i="6" s="1" a="1"/>
  <c r="J22" i="6" s="1"/>
  <c r="AF36" i="5"/>
  <c r="AG36" i="5" s="1" a="1"/>
  <c r="AG36" i="5" s="1"/>
  <c r="AC36" i="5" s="1" a="1"/>
  <c r="AC36" i="5" s="1"/>
  <c r="J36" i="6" s="1" a="1"/>
  <c r="J36" i="6" s="1"/>
  <c r="AF49" i="5"/>
  <c r="AG49" i="5" s="1" a="1"/>
  <c r="AG49" i="5" s="1"/>
  <c r="AC49" i="5" s="1" a="1"/>
  <c r="AC49" i="5" s="1"/>
  <c r="J49" i="6" s="1" a="1"/>
  <c r="J49" i="6" s="1"/>
  <c r="AF18" i="5"/>
  <c r="AG18" i="5" s="1" a="1"/>
  <c r="AG18" i="5" s="1"/>
  <c r="AC18" i="5" s="1" a="1"/>
  <c r="AC18" i="5" s="1"/>
  <c r="AF40" i="5"/>
  <c r="AG40" i="5" s="1" a="1"/>
  <c r="AG40" i="5" s="1"/>
  <c r="AC40" i="5" s="1" a="1"/>
  <c r="AC40" i="5" s="1"/>
  <c r="J40" i="6" s="1" a="1"/>
  <c r="J40" i="6" s="1"/>
  <c r="AF25" i="5"/>
  <c r="AG25" i="5" s="1" a="1"/>
  <c r="AG25" i="5" s="1"/>
  <c r="AC25" i="5" s="1" a="1"/>
  <c r="AC25" i="5" s="1"/>
  <c r="J25" i="6" s="1" a="1"/>
  <c r="J25" i="6" s="1"/>
  <c r="AF24" i="5"/>
  <c r="AG24" i="5" s="1" a="1"/>
  <c r="AG24" i="5" s="1"/>
  <c r="AC24" i="5" s="1" a="1"/>
  <c r="AC24" i="5" s="1"/>
  <c r="J24" i="6" s="1" a="1"/>
  <c r="J24" i="6" s="1"/>
  <c r="AF45" i="5"/>
  <c r="AG45" i="5" s="1" a="1"/>
  <c r="AG45" i="5" s="1"/>
  <c r="AC45" i="5" s="1" a="1"/>
  <c r="AC45" i="5" s="1"/>
  <c r="J45" i="6" s="1" a="1"/>
  <c r="J45" i="6" s="1"/>
  <c r="AF46" i="5"/>
  <c r="AG46" i="5" s="1" a="1"/>
  <c r="AG46" i="5" s="1"/>
  <c r="AC46" i="5" s="1" a="1"/>
  <c r="AC46" i="5" s="1"/>
  <c r="J46" i="6" s="1" a="1"/>
  <c r="J46" i="6" s="1"/>
  <c r="AF35" i="5"/>
  <c r="AG35" i="5" s="1" a="1"/>
  <c r="AG35" i="5" s="1"/>
  <c r="AC35" i="5" s="1" a="1"/>
  <c r="AC35" i="5" s="1"/>
  <c r="J35" i="6" s="1" a="1"/>
  <c r="J35" i="6" s="1"/>
  <c r="AF50" i="5"/>
  <c r="AG50" i="5" s="1" a="1"/>
  <c r="AG50" i="5" s="1"/>
  <c r="AC50" i="5" s="1" a="1"/>
  <c r="AC50" i="5" s="1"/>
  <c r="J50" i="6" s="1" a="1"/>
  <c r="J50" i="6" s="1"/>
  <c r="AF34" i="5"/>
  <c r="AG34" i="5" s="1" a="1"/>
  <c r="AG34" i="5" s="1"/>
  <c r="AC34" i="5" s="1" a="1"/>
  <c r="AC34" i="5" s="1"/>
  <c r="J34" i="6" s="1" a="1"/>
  <c r="J34" i="6" s="1"/>
  <c r="AF51" i="5"/>
  <c r="AG51" i="5" s="1" a="1"/>
  <c r="AG51" i="5" s="1"/>
  <c r="AC51" i="5" s="1" a="1"/>
  <c r="AC51" i="5" s="1"/>
  <c r="J51" i="6" s="1" a="1"/>
  <c r="J51" i="6" s="1"/>
  <c r="AF54" i="5"/>
  <c r="AG54" i="5" s="1" a="1"/>
  <c r="AG54" i="5" s="1"/>
  <c r="AC54" i="5" s="1" a="1"/>
  <c r="AC54" i="5" s="1"/>
  <c r="J54" i="6" s="1" a="1"/>
  <c r="J54" i="6" s="1"/>
  <c r="AF39" i="5"/>
  <c r="AG39" i="5" s="1" a="1"/>
  <c r="AG39" i="5" s="1"/>
  <c r="AC39" i="5" s="1" a="1"/>
  <c r="AC39" i="5" s="1"/>
  <c r="J39" i="6" s="1" a="1"/>
  <c r="J39" i="6" s="1"/>
  <c r="AF52" i="5"/>
  <c r="AG52" i="5" s="1" a="1"/>
  <c r="AG52" i="5" s="1"/>
  <c r="AC52" i="5" s="1" a="1"/>
  <c r="AC52" i="5" s="1"/>
  <c r="J52" i="6" s="1" a="1"/>
  <c r="J52" i="6" s="1"/>
  <c r="AF23" i="5"/>
  <c r="AG23" i="5" s="1" a="1"/>
  <c r="AG23" i="5" s="1"/>
  <c r="AC23" i="5" s="1" a="1"/>
  <c r="AC23" i="5" s="1"/>
  <c r="J23" i="6" s="1" a="1"/>
  <c r="J23" i="6" s="1"/>
  <c r="AF29" i="5"/>
  <c r="AG29" i="5" s="1" a="1"/>
  <c r="AG29" i="5" s="1"/>
  <c r="AC29" i="5" s="1" a="1"/>
  <c r="AC29" i="5" s="1"/>
  <c r="J29" i="6" s="1" a="1"/>
  <c r="J29" i="6" s="1"/>
  <c r="AF32" i="5"/>
  <c r="AG32" i="5" s="1" a="1"/>
  <c r="AG32" i="5" s="1"/>
  <c r="AC32" i="5" s="1" a="1"/>
  <c r="AC32" i="5" s="1"/>
  <c r="J32" i="6" s="1" a="1"/>
  <c r="J32" i="6" s="1"/>
  <c r="AF26" i="5"/>
  <c r="AG26" i="5" s="1" a="1"/>
  <c r="AG26" i="5" s="1"/>
  <c r="AC26" i="5" s="1" a="1"/>
  <c r="AC26" i="5" s="1"/>
  <c r="J26" i="6" s="1" a="1"/>
  <c r="J26" i="6" s="1"/>
  <c r="AF43" i="5"/>
  <c r="AF28" i="5"/>
  <c r="AG28" i="5" s="1" a="1"/>
  <c r="AG28" i="5" s="1"/>
  <c r="AC28" i="5" s="1" a="1"/>
  <c r="AC28" i="5" s="1"/>
  <c r="J28" i="6" s="1" a="1"/>
  <c r="J28" i="6" s="1"/>
  <c r="AF47" i="5"/>
  <c r="AG47" i="5" s="1" a="1"/>
  <c r="AG47" i="5" s="1"/>
  <c r="AC47" i="5" s="1" a="1"/>
  <c r="AC47" i="5" s="1"/>
  <c r="J47" i="6" s="1" a="1"/>
  <c r="J47" i="6" s="1"/>
  <c r="AF37" i="5"/>
  <c r="AG37" i="5" s="1" a="1"/>
  <c r="AG37" i="5" l="1"/>
  <c r="AC37" i="5" s="1" a="1"/>
  <c r="AC37" i="5" s="1"/>
  <c r="J37" i="6" s="1" a="1"/>
  <c r="J37" i="6" s="1"/>
  <c r="J18" i="6" a="1"/>
  <c r="J18" i="6" s="1"/>
  <c r="AG43" i="5" a="1"/>
  <c r="S43" i="5" a="1"/>
  <c r="S43" i="5" l="1"/>
  <c r="AG43" i="5"/>
  <c r="AC43" i="5" l="1" a="1"/>
  <c r="AC43" i="5" s="1"/>
  <c r="F43" i="12" a="1"/>
  <c r="F43" i="12" s="1"/>
  <c r="G43" i="6"/>
  <c r="J43" i="6" l="1" a="1"/>
  <c r="J43" i="6" s="1"/>
  <c r="AC7" i="5"/>
  <c r="AC11" i="5"/>
  <c r="O12" i="5" a="1"/>
  <c r="O12" i="5" s="1"/>
  <c r="I12" i="6" l="1"/>
  <c r="N11" i="6"/>
  <c r="F11" i="6"/>
</calcChain>
</file>

<file path=xl/comments1.xml><?xml version="1.0" encoding="utf-8"?>
<comments xmlns="http://schemas.openxmlformats.org/spreadsheetml/2006/main">
  <authors>
    <author/>
  </authors>
  <commentList>
    <comment ref="C41" authorId="0" shapeId="0">
      <text>
        <r>
          <rPr>
            <sz val="9"/>
            <color indexed="8"/>
            <rFont val="Segoe UI"/>
            <family val="2"/>
          </rPr>
          <t>Informar a data-base do CTEF no formato mm-aaaa.</t>
        </r>
      </text>
    </comment>
  </commentList>
</comments>
</file>

<file path=xl/comments2.xml><?xml version="1.0" encoding="utf-8"?>
<comments xmlns="http://schemas.openxmlformats.org/spreadsheetml/2006/main">
  <authors>
    <author/>
  </authors>
  <commentList>
    <comment ref="I6"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List>
</comments>
</file>

<file path=xl/comments3.xml><?xml version="1.0" encoding="utf-8"?>
<comments xmlns="http://schemas.openxmlformats.org/spreadsheetml/2006/main">
  <authors>
    <author/>
  </authors>
  <commentList>
    <comment ref="AJ7" authorId="0" shapeId="0">
      <text>
        <r>
          <rPr>
            <b/>
            <sz val="9"/>
            <color indexed="8"/>
            <rFont val="Tahoma"/>
            <family val="2"/>
          </rPr>
          <t xml:space="preserve">QUANTIDADES:
</t>
        </r>
        <r>
          <rPr>
            <sz val="9"/>
            <color indexed="8"/>
            <rFont val="Tahoma"/>
            <family val="2"/>
          </rPr>
          <t>PREENCHA AS QUANTIDADES AQUI PARA ACOMPANHAMENTOS POR BM.</t>
        </r>
      </text>
    </comment>
    <comment ref="AL7" authorId="0" shapeId="0">
      <text>
        <r>
          <rPr>
            <b/>
            <sz val="9"/>
            <color indexed="8"/>
            <rFont val="Tahoma"/>
            <family val="2"/>
          </rPr>
          <t xml:space="preserve">PREÇO UNITÁRIO LICITADO:
</t>
        </r>
        <r>
          <rPr>
            <sz val="9"/>
            <color indexed="8"/>
            <rFont val="Tahoma"/>
            <family val="2"/>
          </rPr>
          <t>PREENCHA AQUI O PREÇO UNITÁRIO DA LICITAÇÃO.</t>
        </r>
      </text>
    </comment>
    <comment ref="L8"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 ref="Y8" authorId="0" shapeId="0">
      <text>
        <r>
          <rPr>
            <b/>
            <sz val="9"/>
            <color indexed="8"/>
            <rFont val="Tahoma"/>
            <family val="2"/>
          </rPr>
          <t xml:space="preserve">RECURSO:
</t>
        </r>
        <r>
          <rPr>
            <sz val="9"/>
            <color indexed="8"/>
            <rFont val="Tahoma"/>
            <family val="2"/>
          </rPr>
          <t>Selecione a composição do item do Orçamento no Investimento.
RA: Rateio proporcional entre Repasse e Contrapartida.
RP: 100% valor de Repasse.
CP: 100%  valor de Contrapartida.
OU: 100% valor "Outros".</t>
        </r>
      </text>
    </comment>
  </commentList>
</comments>
</file>

<file path=xl/comments4.xml><?xml version="1.0" encoding="utf-8"?>
<comments xmlns="http://schemas.openxmlformats.org/spreadsheetml/2006/main">
  <authors>
    <author/>
  </authors>
  <commentList>
    <comment ref="D15" authorId="0" shapeId="0">
      <text>
        <r>
          <rPr>
            <sz val="9"/>
            <color indexed="8"/>
            <rFont val="Segoe UI"/>
            <family val="2"/>
          </rPr>
          <t>O evento de administração local é fixo, de uso opcional.
Os serviços agrupados neste evento serão medidos proporcionalmente à execução dos demais eventos.</t>
        </r>
      </text>
    </comment>
  </commentList>
</comments>
</file>

<file path=xl/comments5.xml><?xml version="1.0" encoding="utf-8"?>
<comments xmlns="http://schemas.openxmlformats.org/spreadsheetml/2006/main">
  <authors>
    <author/>
  </authors>
  <commentList>
    <comment ref="C7"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List>
</comments>
</file>

<file path=xl/comments6.xml><?xml version="1.0" encoding="utf-8"?>
<comments xmlns="http://schemas.openxmlformats.org/spreadsheetml/2006/main">
  <authors>
    <author/>
  </authors>
  <commentList>
    <comment ref="C8"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 ref="AB12" authorId="0" shapeId="0">
      <text>
        <r>
          <rPr>
            <sz val="9"/>
            <color indexed="8"/>
            <rFont val="Segoe UI"/>
            <family val="2"/>
          </rPr>
          <t>Digite nestes campos as datas das medições</t>
        </r>
      </text>
    </comment>
    <comment ref="AB13" authorId="0" shapeId="0">
      <text>
        <r>
          <rPr>
            <sz val="9"/>
            <color indexed="8"/>
            <rFont val="Tahoma"/>
            <family val="2"/>
          </rPr>
          <t xml:space="preserve">Para medições além da 12ª, preencha esta coluna com as </t>
        </r>
        <r>
          <rPr>
            <b/>
            <sz val="9"/>
            <color indexed="8"/>
            <rFont val="Tahoma"/>
            <family val="2"/>
          </rPr>
          <t>quantidades acumuladas.</t>
        </r>
      </text>
    </comment>
  </commentList>
</comments>
</file>

<file path=xl/comments7.xml><?xml version="1.0" encoding="utf-8"?>
<comments xmlns="http://schemas.openxmlformats.org/spreadsheetml/2006/main">
  <authors>
    <author/>
  </authors>
  <commentList>
    <comment ref="D7" authorId="0" shapeId="0">
      <text>
        <r>
          <rPr>
            <b/>
            <sz val="9"/>
            <color indexed="8"/>
            <rFont val="Tahoma"/>
            <family val="2"/>
          </rPr>
          <t xml:space="preserve">FILTRO:
</t>
        </r>
        <r>
          <rPr>
            <sz val="9"/>
            <color indexed="8"/>
            <rFont val="Tahoma"/>
            <family val="2"/>
          </rPr>
          <t>Após a conclusão do Orçamento, utilize o filtro nessa coluna com o valor "F" para ocultar linhas não utilizadas.</t>
        </r>
      </text>
    </comment>
    <comment ref="Z25" authorId="0" shapeId="0">
      <text>
        <r>
          <rPr>
            <b/>
            <sz val="9"/>
            <color indexed="8"/>
            <rFont val="Segoe UI"/>
            <family val="2"/>
          </rPr>
          <t xml:space="preserve">Valores de Contrapartida e Outros:
</t>
        </r>
        <r>
          <rPr>
            <sz val="9"/>
            <color indexed="8"/>
            <rFont val="Segoe UI"/>
            <family val="2"/>
          </rPr>
          <t>Digite somente para desbloquear valores diferentes do previsto no RRE.</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<sst xmlns="http://schemas.openxmlformats.org/spreadsheetml/2006/main" count="2010" uniqueCount="1085">
  <si>
    <t>Novidades da Versão</t>
  </si>
  <si>
    <t>V3.00</t>
  </si>
  <si>
    <t>GERAL</t>
  </si>
  <si>
    <t>Lançamento: Adequação à Portaria 424/2016. Acompanhamento por Eventos.</t>
  </si>
  <si>
    <t>V3.01</t>
  </si>
  <si>
    <t>Ajustes de formatações.</t>
  </si>
  <si>
    <t>PO</t>
  </si>
  <si>
    <t>Correção da aplicação do BDI não desonerado.</t>
  </si>
  <si>
    <t>Inclusão de coluna exclusiva "Preço Unitário Edital", para o Modo 'Orçamento Licitado'.</t>
  </si>
  <si>
    <t>V3.02</t>
  </si>
  <si>
    <t>Correção do Problema de Guias ocultas no BROFFICE.</t>
  </si>
  <si>
    <t>ORÇAMENTO</t>
  </si>
  <si>
    <t>Ampliada obtenção de dados da Planilha Referência de 20.000 para 65.536 linhas.</t>
  </si>
  <si>
    <t>CRONOGRAMA</t>
  </si>
  <si>
    <t>Correção na formulação do total acumulado por Repasse, CP e Outros</t>
  </si>
  <si>
    <t>QCI</t>
  </si>
  <si>
    <t>Correção na formulação do arredondamento no rateio dos valores do QCI.</t>
  </si>
  <si>
    <t>RRE</t>
  </si>
  <si>
    <t>Correção na formulação do total por Repasse, CP e Outros.</t>
  </si>
  <si>
    <t>V3.03</t>
  </si>
  <si>
    <t>CÁLCULO</t>
  </si>
  <si>
    <t>Corrigida lentidão e travamento ao incluir e excluir frentes.</t>
  </si>
  <si>
    <t>V3.04</t>
  </si>
  <si>
    <t>BDI</t>
  </si>
  <si>
    <t>Correção da CPRB que exibia 4,5% mesmo quando não desonerado.</t>
  </si>
  <si>
    <t>Correção da distribuição de Repasse, CP e Outros para as metas manuais.</t>
  </si>
  <si>
    <t>Adicionado botão para adotar a CP do QCI como CP do contrato (zera saldo a reprogramar de CP).</t>
  </si>
  <si>
    <t>V3.05</t>
  </si>
  <si>
    <t>Corrigido modo de Cálculo da Planilha para Automático.</t>
  </si>
  <si>
    <t>V3.06</t>
  </si>
  <si>
    <t>Adicionado modo de arredondamento para compatibilidade com o TransfereGOV, altera na aba DADOS</t>
  </si>
  <si>
    <t>A planilha passará a ser disponibilizada com o formato .xlsm. Deve ser usado arquivo referência 1.9 ou superior, também no formato .xlsm</t>
  </si>
  <si>
    <t>V3.07</t>
  </si>
  <si>
    <t>Alterada a posição da aba NOVO para antes da aba MENU.</t>
  </si>
  <si>
    <t>Alterada a posição da aba CÁLCULO para depois da aba EVENTOS. Pois, no caso de acompanhamento por PLE, a lista supensa na coluna "Nº  Agrupador de Eventos" na aba CÁLCULO depende do preenchimento prévio da aba EVENTOS.</t>
  </si>
  <si>
    <t>Alterada a posição da aba CRONO para depois da aba CRONOPLE. Pois, no caso de acompanhamento por PLE, a aba CRONO tem o preenchimento automático a partir da aba CRONOPLE.</t>
  </si>
  <si>
    <t>Alterada a posição da aba PLE para depois da aba QCI. Com a finalidade de deixar agrupadas todas as abas de acompanhamento (PLE, BM, RRE, OFÍCIO).</t>
  </si>
  <si>
    <t>Acrescentados botões de navegação (cor azul claro) em várias abas. Em relação a esses botões, também foram ajustados os links, nomes e formatação.</t>
  </si>
  <si>
    <t>Criada macro para exibir apenas as abas pertinentes (exemplo: caso o acompanhamento seja por PLE, a aba BM fica oculta).</t>
  </si>
  <si>
    <t>Ajuste na macro para correção automática do Nº AGRUPADOR DE EVENTOS na aba CÁLCULO, quando se ADCIONAR ou EXCLUIR LINHAS na aba EVENTOS.</t>
  </si>
  <si>
    <t>MENU</t>
  </si>
  <si>
    <t>Acrescentado o botão "IMPORTAR DE OUTROS MODELOS CAIXA": PO (MO27476); PLE (MO27477); e QCI (MO41211).</t>
  </si>
  <si>
    <t xml:space="preserve">Acrescentado o botão de seleção "Importar Fórmulas para o Custo Unitário (aba ORÇAMENTO)". </t>
  </si>
  <si>
    <t>Caso selecionada, será importada a fórmula (se houver) do custo unitário; Caso desmarcada, será importado somente o valor.</t>
  </si>
  <si>
    <t xml:space="preserve">Acrescentado o botão de seleção "Importar Fórmulas para as Quantidades da PLQ (aba CÁLCULO)". </t>
  </si>
  <si>
    <t>Caso selecionada, será importada a fórmula (se houver) do quantitativo; Caso desmarcada, será importado somente o valor.</t>
  </si>
  <si>
    <t>Atualizada a macro de Importação para incluir a importar da coluna "Nº Agrupador de Eventos" da aba CÁLCULO.</t>
  </si>
  <si>
    <t>Atualizada a macro de Imprimir Documentos (para englobar as abas EVENTOS e CRONOPLE).</t>
  </si>
  <si>
    <t>Ajuste automático do valor da CPRB em função da data base do orçamento (para atendimento do Art. 9-A da Lei 12.546 de 14/12/2011).</t>
  </si>
  <si>
    <t>EVENTOS</t>
  </si>
  <si>
    <t>Acrescentados os dados de identificação do Contrato de Repasse.</t>
  </si>
  <si>
    <t>Acrescentadas as colunas dos totais dos Eventos por Frentes de Obra.</t>
  </si>
  <si>
    <t>Acrescentados os dados de Local, Data e Responsável Técnico.</t>
  </si>
  <si>
    <t>Acrescentado FILTRO para exibir apenas as linhas preenchidas.</t>
  </si>
  <si>
    <t>CRONOPLE</t>
  </si>
  <si>
    <t>Acrescentado o quadro "Cronograma" com percentual e valor da parcela e percentual e valor acumulado.</t>
  </si>
  <si>
    <t>Correção na fórmula da data, para replicar a “Data de fechamento do RRE” na aba DADOS.</t>
  </si>
  <si>
    <t>OFÍCIO</t>
  </si>
  <si>
    <t>Exclusão do quadro "Resumo de Valores por CTEF".</t>
  </si>
  <si>
    <t>V3.08</t>
  </si>
  <si>
    <t>Incluídos alertas de erro de preenchimento em todas as abas.</t>
  </si>
  <si>
    <t>Incluído botão de macro para gerar arquivo (em xlsx) para upload da PO e CFF no TransfereGOV.</t>
  </si>
  <si>
    <t>Ajustada a macro "Importar de outra Planilha Múltipla" para importar o Cronograma da aba CRONO. Também foram incluídas as importações dos campos: Data do preenchimento (DADOS), Data de fechamento do RRE (DADOS); nº da 1ª Parcela do Cronograma (CRONO), mês da 1ª Parcela do Cronograma (CRONO), nº da Medição (BM) e nº da Medição (PLE).</t>
  </si>
  <si>
    <t>Incluída a informação do progresso na macro "Importar de outra Planilha Múltipla", por meio de uma barra de progresso (janela que será exibida na tela) e da indicação das etapas de importação na barra de status do Excel (canto inferior esquerdo da janela do Excel).</t>
  </si>
  <si>
    <t>Incluídos botões de navegação para os formulários de BDI (BDI 1, BDI 2, BDI 3).</t>
  </si>
  <si>
    <t>Incluído botão de macro para padronizar as siglas de unidades, conforme lista de siglas válidas no TransfereGOV.</t>
  </si>
  <si>
    <t>O Título de Evento "Administração Local" com preenchimento automático proporcional agora é exibido apenas no modo Arredondamento de Frentes "Tradicional" e para a opção Agrupadores de Eventos "Definir Manualmente".</t>
  </si>
  <si>
    <t>Não é mais possível deixar Eventos em branco (sem nome ou sem valor).</t>
  </si>
  <si>
    <t>Não é mais possível deixar Frentes de Obra em branco (sem nome ou sem quantidades).</t>
  </si>
  <si>
    <t>Incluído campo para selecionar o Título do Evento referente à Administração Local (acompanhamento por PLE).</t>
  </si>
  <si>
    <t>Incluída linha com o percentual acumulado da Administração Local em cada período.</t>
  </si>
  <si>
    <t>CRONO</t>
  </si>
  <si>
    <t>Ajustada a fórmula do % acumulado a partir da parcela 13 (para manter o padrão da fórmula das parcelas 1 a 12).</t>
  </si>
  <si>
    <t>Incluído campo para selecionar o Macrosserviço referente à Administração Local (acompanhamento por BM).</t>
  </si>
  <si>
    <t>Incluída linha com o percentual acumulado da Administração Local em cada parcela.</t>
  </si>
  <si>
    <t>Corrigida a fórmula do % no quadro "Percentual previsto em:". Que estava limitada a buscar o % previsto até a parcela 12.</t>
  </si>
  <si>
    <t>PLE</t>
  </si>
  <si>
    <t>Incluída linha com o percentual acumulado da Administração Local em cada medição.</t>
  </si>
  <si>
    <t>BM</t>
  </si>
  <si>
    <t>Incluído campo com o percentual medido acumulado da Administração Local.</t>
  </si>
  <si>
    <t>V3.09</t>
  </si>
  <si>
    <t>Atualizada a macro "Gerar arquivo para upload no TransfereGOV" para ajustar os códigos de composições SINAPI (acrescentar zeros a esquerda até completar dez dígitos) para Data base igual ou superior a JAN/2025.</t>
  </si>
  <si>
    <t>Acrescentada formatação condicional na coluna "Descrição" para exibir os textos de alerta de erro, textos que começam com "(", na cor vermelha.</t>
  </si>
  <si>
    <t>Corrigida a macro dos botões de navegação para os formulários do BDI.</t>
  </si>
  <si>
    <t>PM</t>
  </si>
  <si>
    <t>Proposto</t>
  </si>
  <si>
    <t>DADOS DO CONTRATO</t>
  </si>
  <si>
    <t>NOVIDADES DA VERSÃO</t>
  </si>
  <si>
    <t>Licitado</t>
  </si>
  <si>
    <t>LEGENDA:</t>
  </si>
  <si>
    <r>
      <t xml:space="preserve">Cores das </t>
    </r>
    <r>
      <rPr>
        <b/>
        <sz val="10"/>
        <rFont val="Arial"/>
        <family val="2"/>
      </rPr>
      <t>células</t>
    </r>
    <r>
      <rPr>
        <sz val="10"/>
        <rFont val="Arial"/>
        <family val="2"/>
      </rPr>
      <t>:</t>
    </r>
  </si>
  <si>
    <t>Fundo amarelo: células para preencher</t>
  </si>
  <si>
    <t>Fundo azul: células para seleção de opções</t>
  </si>
  <si>
    <r>
      <t xml:space="preserve">Cores dos </t>
    </r>
    <r>
      <rPr>
        <b/>
        <sz val="10"/>
        <rFont val="Arial"/>
        <family val="2"/>
      </rPr>
      <t>botões</t>
    </r>
    <r>
      <rPr>
        <sz val="10"/>
        <rFont val="Arial"/>
        <family val="2"/>
      </rPr>
      <t>:</t>
    </r>
  </si>
  <si>
    <t>Fundo azul claro: navegação entre abas</t>
  </si>
  <si>
    <t>Fundo laranja: execução de macro</t>
  </si>
  <si>
    <t>A. DOCUMENTAÇÃO DA PROPOSTA</t>
  </si>
  <si>
    <t>Sub-Itens de Investimento</t>
  </si>
  <si>
    <t>Unidades válidas no Tgov</t>
  </si>
  <si>
    <t>Itens de Investimento</t>
  </si>
  <si>
    <t>Unidades habitacionais</t>
  </si>
  <si>
    <t>Equipamentos comunitários</t>
  </si>
  <si>
    <t>Pavimentação</t>
  </si>
  <si>
    <t xml:space="preserve">Drenagem </t>
  </si>
  <si>
    <t>Abastecimento de água</t>
  </si>
  <si>
    <t>Esgotamento sanitário</t>
  </si>
  <si>
    <t>Energia elétrica e iluminação pública</t>
  </si>
  <si>
    <t>Coleta e tratamento de resíduos sólidos</t>
  </si>
  <si>
    <t xml:space="preserve">Contenção e estabilização de encostas </t>
  </si>
  <si>
    <t>Regularização fundiária</t>
  </si>
  <si>
    <t>Aquisição de terreno</t>
  </si>
  <si>
    <t>Aquisição de equipamentos e insumos</t>
  </si>
  <si>
    <t>Elaboração de estudos e projetos</t>
  </si>
  <si>
    <t>Instrumentos e ações em planejamento e gestão pública</t>
  </si>
  <si>
    <t>Ações complementares às obras</t>
  </si>
  <si>
    <t>Gerenciamento</t>
  </si>
  <si>
    <t>Trabalho social</t>
  </si>
  <si>
    <t>Sigla</t>
  </si>
  <si>
    <t>Descrição</t>
  </si>
  <si>
    <t>Dados do Contrato (Inicial)</t>
  </si>
  <si>
    <t>Aquisição</t>
  </si>
  <si>
    <t>un</t>
  </si>
  <si>
    <t>Convivência comunitária, assistência social e/ou comunitária</t>
  </si>
  <si>
    <t>m²</t>
  </si>
  <si>
    <t>Capeamento de vias</t>
  </si>
  <si>
    <t xml:space="preserve">Obras de microdrenagem </t>
  </si>
  <si>
    <t>m</t>
  </si>
  <si>
    <t>Captação subterrânea</t>
  </si>
  <si>
    <t>m³/s</t>
  </si>
  <si>
    <t>Ligações domiciliares e/ou intradomiciliares</t>
  </si>
  <si>
    <t>Iluminação pública - luminárias</t>
  </si>
  <si>
    <t xml:space="preserve">Acondicionamento </t>
  </si>
  <si>
    <t>Estabilização de taludes</t>
  </si>
  <si>
    <t>Desapropriacões/Indenizações</t>
  </si>
  <si>
    <t>Avaliação pós intervenção</t>
  </si>
  <si>
    <t>%CT</t>
  </si>
  <si>
    <t>Projeto de Trabalho Social Preliminar</t>
  </si>
  <si>
    <t>nº fam</t>
  </si>
  <si>
    <t>Fonte de recursos:</t>
  </si>
  <si>
    <t>(SELECIONAR)</t>
  </si>
  <si>
    <t>Construção</t>
  </si>
  <si>
    <t>Educação e cultura</t>
  </si>
  <si>
    <t>Recapeamento de vias</t>
  </si>
  <si>
    <t>Desassoreamento de cursos de água</t>
  </si>
  <si>
    <t>Captação superficial</t>
  </si>
  <si>
    <t>Rede coletora e/ou condominial</t>
  </si>
  <si>
    <t>Ligações domiciliares</t>
  </si>
  <si>
    <t>Aterro sanitário e/ou disposição final</t>
  </si>
  <si>
    <t>m³</t>
  </si>
  <si>
    <t>Obras complementares a ações de redução de risco e/ou contenções</t>
  </si>
  <si>
    <t>Projeto de Regularização Fundiária</t>
  </si>
  <si>
    <t>Benfeitorias</t>
  </si>
  <si>
    <t>Demolições</t>
  </si>
  <si>
    <t>Projeto de Trabalho Social</t>
  </si>
  <si>
    <t>°C</t>
  </si>
  <si>
    <t>GRAU CELSIUS</t>
  </si>
  <si>
    <t>Proponente/Tomador:</t>
  </si>
  <si>
    <t>Reforma e/ou melhoria</t>
  </si>
  <si>
    <t>Esportes</t>
  </si>
  <si>
    <t>Obras de artes especiais</t>
  </si>
  <si>
    <t>Canalização de cursos de água</t>
  </si>
  <si>
    <t>Estação de bombeamento de água bruta</t>
  </si>
  <si>
    <t>Coletor tronco e/ou interceptores</t>
  </si>
  <si>
    <t xml:space="preserve">Linhas de distribuição - baixa tensão </t>
  </si>
  <si>
    <t>Erradicação de lixões</t>
  </si>
  <si>
    <t>Plano de Reassentamento e medidas compensatórias</t>
  </si>
  <si>
    <t>Plano de Desenvolvimento Socioterritorial</t>
  </si>
  <si>
    <t>°F</t>
  </si>
  <si>
    <t>GRAU FAHRENHEIT</t>
  </si>
  <si>
    <t>Município/UF:</t>
  </si>
  <si>
    <t>Lazer e turismo</t>
  </si>
  <si>
    <t>Pavimentação de calçadas</t>
  </si>
  <si>
    <t>Recomposição de vegetação ciliar, renaturalização de cursos de água ou restauração de margens</t>
  </si>
  <si>
    <t>Adução</t>
  </si>
  <si>
    <t>Emissário</t>
  </si>
  <si>
    <t xml:space="preserve">Linhas de transmissão - alta tensão </t>
  </si>
  <si>
    <t>Sistema de coleta seletiva tradicional, transporte e/ou equipamentos</t>
  </si>
  <si>
    <t>Plano de Gestão Condominial</t>
  </si>
  <si>
    <t>100M</t>
  </si>
  <si>
    <t>100 METROS</t>
  </si>
  <si>
    <t>Nº da Operação (0000000-00):</t>
  </si>
  <si>
    <t>Saúde</t>
  </si>
  <si>
    <t>Pavimentação de vias</t>
  </si>
  <si>
    <t>Reservatório de amortecimento de cheias</t>
  </si>
  <si>
    <t>Estação de Tratamento de Água (ETA)</t>
  </si>
  <si>
    <t>Estação Elevatória</t>
  </si>
  <si>
    <t xml:space="preserve">Tratamento local </t>
  </si>
  <si>
    <t>18L</t>
  </si>
  <si>
    <t>18 LITROS</t>
  </si>
  <si>
    <t>Nº do TransfereGOV (000000):</t>
  </si>
  <si>
    <t>Segurança pública</t>
  </si>
  <si>
    <t>Sinalização</t>
  </si>
  <si>
    <t>Estação de Bombeamento</t>
  </si>
  <si>
    <t>Estação de bombeamento de água tratada</t>
  </si>
  <si>
    <t>Estação de Tratamento de Esgoto (ETE)</t>
  </si>
  <si>
    <t xml:space="preserve">Usinas de reciclagem </t>
  </si>
  <si>
    <t>200KG</t>
  </si>
  <si>
    <t>200 QUILOS</t>
  </si>
  <si>
    <t>Linha de recalque</t>
  </si>
  <si>
    <t>Sistema simplificado de tratamento</t>
  </si>
  <si>
    <t>250G</t>
  </si>
  <si>
    <t>250 GRAMAS</t>
  </si>
  <si>
    <t>Valor de Contrapartida Contratada (R$):</t>
  </si>
  <si>
    <t>Reservação</t>
  </si>
  <si>
    <t>Unidades sanitárias</t>
  </si>
  <si>
    <t>310ML</t>
  </si>
  <si>
    <t>310 MILILITROS</t>
  </si>
  <si>
    <t>% mínimo de Contrapartida:</t>
  </si>
  <si>
    <t>Rede de distribuição</t>
  </si>
  <si>
    <t>50KG</t>
  </si>
  <si>
    <t>50 QUILOS</t>
  </si>
  <si>
    <t>R$ mínimo de Contrapartida (se houver):</t>
  </si>
  <si>
    <t>A</t>
  </si>
  <si>
    <t>AMPÈRE</t>
  </si>
  <si>
    <t>% máximo de Contrapartida:</t>
  </si>
  <si>
    <t>Sistema simplificado de abastecimento</t>
  </si>
  <si>
    <t>ACA/ACC</t>
  </si>
  <si>
    <t>A.CORR.ALTERN/CONT.</t>
  </si>
  <si>
    <t>AH</t>
  </si>
  <si>
    <t>AMPÈRE HORA</t>
  </si>
  <si>
    <t>Dados do Empreendimento e Orçamento</t>
  </si>
  <si>
    <t>AH/H/V</t>
  </si>
  <si>
    <t>AMPÉRE-H/H/VOLT</t>
  </si>
  <si>
    <t>Nome/apelido:</t>
  </si>
  <si>
    <t>AM</t>
  </si>
  <si>
    <t>AMPOLA</t>
  </si>
  <si>
    <t>Descrição do Objeto do Lote / CTEF:</t>
  </si>
  <si>
    <t>AM0/4ML</t>
  </si>
  <si>
    <t>AMPOLA COM 0,4 Ml</t>
  </si>
  <si>
    <t>Regime previdenciário previsto para a obra:</t>
  </si>
  <si>
    <t>AM0/5ML</t>
  </si>
  <si>
    <t>AMPOLA COM 0,5 mL</t>
  </si>
  <si>
    <t>Data base do Orçamento:</t>
  </si>
  <si>
    <t>AM1/5ML</t>
  </si>
  <si>
    <t>AMPOLA COM 1,5 mL</t>
  </si>
  <si>
    <t>AM10ML</t>
  </si>
  <si>
    <t>AMPOLA COM 10 mL</t>
  </si>
  <si>
    <t>Responsável pelo Orçamento</t>
  </si>
  <si>
    <t>AM1ML</t>
  </si>
  <si>
    <t>AMPOLA COM 1 mL</t>
  </si>
  <si>
    <t>Nome:</t>
  </si>
  <si>
    <t>AM2/5ML</t>
  </si>
  <si>
    <t>AMPOLA COM 2,5 mL</t>
  </si>
  <si>
    <t>CREA/CAU:</t>
  </si>
  <si>
    <t>AM2ML</t>
  </si>
  <si>
    <t>AMPOLA COM 2 mL</t>
  </si>
  <si>
    <t>ART/RRT:</t>
  </si>
  <si>
    <t>AM3ML</t>
  </si>
  <si>
    <t>AMPOLA COM 3 mL</t>
  </si>
  <si>
    <t>Data do preenchimento:</t>
  </si>
  <si>
    <t/>
  </si>
  <si>
    <t>AM4ML</t>
  </si>
  <si>
    <t>AMPOLA COM 4 mL</t>
  </si>
  <si>
    <t>AM5ML</t>
  </si>
  <si>
    <t>AMPOLA COM 5 mL</t>
  </si>
  <si>
    <t>Responsável pelo Tomador (Prefeito, no caso de Municípios)</t>
  </si>
  <si>
    <t>AM6ML</t>
  </si>
  <si>
    <t>AMPOLA COM 6 mL</t>
  </si>
  <si>
    <t>AM7ML</t>
  </si>
  <si>
    <t>AMPOLA COM 7 mL</t>
  </si>
  <si>
    <t>Cargo:</t>
  </si>
  <si>
    <t>ANO</t>
  </si>
  <si>
    <t>ANO/ANOS</t>
  </si>
  <si>
    <t>ANOS</t>
  </si>
  <si>
    <t>Arredondamento das frentes:</t>
  </si>
  <si>
    <t>ARR</t>
  </si>
  <si>
    <t>ARROBA</t>
  </si>
  <si>
    <t>AWG</t>
  </si>
  <si>
    <t>AMERICAN WIRE GAUGE</t>
  </si>
  <si>
    <t>B. RESULTADO DO PROCESSO LICITATÓRIO</t>
  </si>
  <si>
    <t>BAR</t>
  </si>
  <si>
    <t>BARRIL</t>
  </si>
  <si>
    <t>BAR.</t>
  </si>
  <si>
    <t>Licitação</t>
  </si>
  <si>
    <t>BD</t>
  </si>
  <si>
    <t>BALDE</t>
  </si>
  <si>
    <t>Data de emissão dos documentos de licitação:</t>
  </si>
  <si>
    <t>BIS</t>
  </si>
  <si>
    <t>BISNAGA</t>
  </si>
  <si>
    <t>Nº do CTEF (contrato com empresa):</t>
  </si>
  <si>
    <t>BIS/GL</t>
  </si>
  <si>
    <t>BISNAGA POR GALÃO</t>
  </si>
  <si>
    <t>Nome da empresa:</t>
  </si>
  <si>
    <t>BIS1/65G</t>
  </si>
  <si>
    <t>BISNAGA COM 1,65 g</t>
  </si>
  <si>
    <t>CNPJ da empresa:</t>
  </si>
  <si>
    <t>BIS1/8G</t>
  </si>
  <si>
    <t>BISNAGA COM 1,8 g</t>
  </si>
  <si>
    <t>Regime de execução do CTEF:</t>
  </si>
  <si>
    <t>BIS100G</t>
  </si>
  <si>
    <t>BISNAGA COM 100 g</t>
  </si>
  <si>
    <t>Data base do CTEF:</t>
  </si>
  <si>
    <t>BIS10G</t>
  </si>
  <si>
    <t>BISNAGA COM 10 g</t>
  </si>
  <si>
    <t>BIS135G</t>
  </si>
  <si>
    <t>BISNAGA COM 135 g</t>
  </si>
  <si>
    <t>BIS13G</t>
  </si>
  <si>
    <t>BISNAGA COM 13 g</t>
  </si>
  <si>
    <t>C. ACOMPANHAMENTO DO EMPREENDIMENTO</t>
  </si>
  <si>
    <t>BIS14G</t>
  </si>
  <si>
    <t>BISNAGA COM 14 g</t>
  </si>
  <si>
    <t>BIS15G</t>
  </si>
  <si>
    <t>BISNAGA COM 15 g</t>
  </si>
  <si>
    <t>Dados da obra</t>
  </si>
  <si>
    <t>BIS1G</t>
  </si>
  <si>
    <t>BISNAGA COM 1 g</t>
  </si>
  <si>
    <t>Data do Início da Obra:</t>
  </si>
  <si>
    <t>BIS20G</t>
  </si>
  <si>
    <t>BISNAGA COM 20 g</t>
  </si>
  <si>
    <t>Data de fechamento do RRE:</t>
  </si>
  <si>
    <t>BIS25G</t>
  </si>
  <si>
    <t>BISNAGA COM 25 g</t>
  </si>
  <si>
    <t>BIS28/8G</t>
  </si>
  <si>
    <t>BISNAGA COM 28,8 g</t>
  </si>
  <si>
    <t>Responsável pela Fiscalização</t>
  </si>
  <si>
    <t>BIS28G</t>
  </si>
  <si>
    <t>BISNAGA COM 28 g</t>
  </si>
  <si>
    <t>BIS2G</t>
  </si>
  <si>
    <t>BISNAGA COM 2 g</t>
  </si>
  <si>
    <t>Profissão:</t>
  </si>
  <si>
    <t>BIS3/5G</t>
  </si>
  <si>
    <t>BISNAGA COM 3,5 g</t>
  </si>
  <si>
    <t>CREA/CAU (para obras/projetos):</t>
  </si>
  <si>
    <t>BIS30G</t>
  </si>
  <si>
    <t>BISNAGA COM 30 g</t>
  </si>
  <si>
    <t>ART/RRT (para obras/projetos):</t>
  </si>
  <si>
    <t>BIS30ML</t>
  </si>
  <si>
    <t>BISNAGA COM 30 mL</t>
  </si>
  <si>
    <t>BIS40G</t>
  </si>
  <si>
    <t>BISNAGA COM 40 g</t>
  </si>
  <si>
    <t>BIS43G</t>
  </si>
  <si>
    <t>BISNAGA COM 43 g</t>
  </si>
  <si>
    <t>D. ACOMPANHAMENTO CAIXA</t>
  </si>
  <si>
    <t>BIS45G</t>
  </si>
  <si>
    <t>BISNAGA COM 45 g</t>
  </si>
  <si>
    <t>BIS47G</t>
  </si>
  <si>
    <t>BISNAGA COM 47 g</t>
  </si>
  <si>
    <t>Responsável Gerencial</t>
  </si>
  <si>
    <t>BIS4G</t>
  </si>
  <si>
    <t>BISNAGA COM 4 g</t>
  </si>
  <si>
    <t>BIS50G</t>
  </si>
  <si>
    <t>BISNAGA COM 50 g</t>
  </si>
  <si>
    <t>Função:</t>
  </si>
  <si>
    <t>BIS55G</t>
  </si>
  <si>
    <t>BISNAGA COM 55 g</t>
  </si>
  <si>
    <t>BIS56G</t>
  </si>
  <si>
    <t>BISNAGA COM 56 g</t>
  </si>
  <si>
    <t>BIS5G</t>
  </si>
  <si>
    <t>BISNAGA COM 5 g</t>
  </si>
  <si>
    <t>BIS60G</t>
  </si>
  <si>
    <t>BISNAGA COM 60 g</t>
  </si>
  <si>
    <t>BIS6G</t>
  </si>
  <si>
    <t>BISNAGA COM 6 g</t>
  </si>
  <si>
    <t>BIS7/5G</t>
  </si>
  <si>
    <t>BISNAGA COM 7,5 g</t>
  </si>
  <si>
    <t>BIS70G</t>
  </si>
  <si>
    <t>BISNAGA COM 70 g</t>
  </si>
  <si>
    <t>BIS80G</t>
  </si>
  <si>
    <t>BISNAGA COM 80 g</t>
  </si>
  <si>
    <t>BIS90G</t>
  </si>
  <si>
    <t>BISNAGA COM 90 g</t>
  </si>
  <si>
    <t>BIT</t>
  </si>
  <si>
    <t>BITS</t>
  </si>
  <si>
    <t>BL</t>
  </si>
  <si>
    <t>BLOCO</t>
  </si>
  <si>
    <t>BLIS</t>
  </si>
  <si>
    <t>BLISTER</t>
  </si>
  <si>
    <t>BLIS21CP</t>
  </si>
  <si>
    <t>BLISTER COM 21 COMPRIMIDOS</t>
  </si>
  <si>
    <t>BLIS35CP</t>
  </si>
  <si>
    <t>BLISTER COM 35 COMPRIMIDOS</t>
  </si>
  <si>
    <t>BOB</t>
  </si>
  <si>
    <t>BOBINA</t>
  </si>
  <si>
    <t>BOL</t>
  </si>
  <si>
    <t>BOLSA</t>
  </si>
  <si>
    <t>BOM</t>
  </si>
  <si>
    <t>BOMBONA</t>
  </si>
  <si>
    <t>BPM</t>
  </si>
  <si>
    <t>BATIDA POR MINUTO</t>
  </si>
  <si>
    <t>BPS</t>
  </si>
  <si>
    <t>BYTE POR SEGUNDO</t>
  </si>
  <si>
    <t>BR</t>
  </si>
  <si>
    <t>BARRA</t>
  </si>
  <si>
    <t>BRI</t>
  </si>
  <si>
    <t>BARRICA</t>
  </si>
  <si>
    <t>BTJ</t>
  </si>
  <si>
    <t>BOTIJÃO</t>
  </si>
  <si>
    <t>BTU</t>
  </si>
  <si>
    <t>BRITISH THERMAL UNIT</t>
  </si>
  <si>
    <t>BTU/H</t>
  </si>
  <si>
    <t>BTU POR HORA</t>
  </si>
  <si>
    <t>BWG</t>
  </si>
  <si>
    <t>FIEIRA DE BIRMINGHAN</t>
  </si>
  <si>
    <t>C</t>
  </si>
  <si>
    <t>CENTENA</t>
  </si>
  <si>
    <t>CA</t>
  </si>
  <si>
    <t>CARTUCHO</t>
  </si>
  <si>
    <t>CAD</t>
  </si>
  <si>
    <t>CADERNO</t>
  </si>
  <si>
    <t>CAL/G</t>
  </si>
  <si>
    <t>CALORIA/GRAMA</t>
  </si>
  <si>
    <t>CAPS</t>
  </si>
  <si>
    <t>CÁPSULA</t>
  </si>
  <si>
    <t>CAR</t>
  </si>
  <si>
    <t>CARACTER</t>
  </si>
  <si>
    <t>CC</t>
  </si>
  <si>
    <t>CILINDRADA</t>
  </si>
  <si>
    <t>CD</t>
  </si>
  <si>
    <t>CANDELA</t>
  </si>
  <si>
    <t>CD/M2</t>
  </si>
  <si>
    <t>CANDELA/METRO 2</t>
  </si>
  <si>
    <t>CENTO</t>
  </si>
  <si>
    <t>CG</t>
  </si>
  <si>
    <t>CENTIGRAMA</t>
  </si>
  <si>
    <t>CH</t>
  </si>
  <si>
    <t>CHAPA</t>
  </si>
  <si>
    <t>CHI</t>
  </si>
  <si>
    <t>CHP</t>
  </si>
  <si>
    <t>CI</t>
  </si>
  <si>
    <t>CURIE</t>
  </si>
  <si>
    <t>CIL</t>
  </si>
  <si>
    <t>CILINDRO</t>
  </si>
  <si>
    <t>CIN</t>
  </si>
  <si>
    <t>CINQUENTA</t>
  </si>
  <si>
    <t>CJ</t>
  </si>
  <si>
    <t>CONJUNTO</t>
  </si>
  <si>
    <t>CL</t>
  </si>
  <si>
    <t>CENTILITRO</t>
  </si>
  <si>
    <t>CM</t>
  </si>
  <si>
    <t>CENTÍMETRO</t>
  </si>
  <si>
    <t>CM/POL</t>
  </si>
  <si>
    <t>CENTÍMETRO/POLEGADA</t>
  </si>
  <si>
    <t>CM2</t>
  </si>
  <si>
    <t>CENTIMETRO QUADRADO</t>
  </si>
  <si>
    <t>CM2/H</t>
  </si>
  <si>
    <t>CENT.QUAD/HORA</t>
  </si>
  <si>
    <t>CM2/M</t>
  </si>
  <si>
    <t>CENT.QUADRADO/METRO</t>
  </si>
  <si>
    <t>CM3</t>
  </si>
  <si>
    <t>CENTÍMETRO CÚBICO</t>
  </si>
  <si>
    <t>CM³/H</t>
  </si>
  <si>
    <t>CENT.CÚBICO POR HORA</t>
  </si>
  <si>
    <t>CM³/MIN</t>
  </si>
  <si>
    <t>CM³/MINUTO</t>
  </si>
  <si>
    <t>CNT</t>
  </si>
  <si>
    <t>RECIPIENTE</t>
  </si>
  <si>
    <t>CO</t>
  </si>
  <si>
    <t>CONTEINER</t>
  </si>
  <si>
    <t>COL</t>
  </si>
  <si>
    <t>COLEÇÃO</t>
  </si>
  <si>
    <t>COMP</t>
  </si>
  <si>
    <t>COMPRIMENTO</t>
  </si>
  <si>
    <t>COMPR</t>
  </si>
  <si>
    <t>COMPRIMIDO</t>
  </si>
  <si>
    <t>CÓPIA</t>
  </si>
  <si>
    <t>COPO</t>
  </si>
  <si>
    <t>CP</t>
  </si>
  <si>
    <t>CENTIPOISE</t>
  </si>
  <si>
    <t>CPL</t>
  </si>
  <si>
    <t>CARACTERES POR LINHA</t>
  </si>
  <si>
    <t>CPM</t>
  </si>
  <si>
    <t>CÓPIA POR MINUTO</t>
  </si>
  <si>
    <t>CPS</t>
  </si>
  <si>
    <t>CARACTER POR SEGUNDO</t>
  </si>
  <si>
    <t>CRT</t>
  </si>
  <si>
    <t>CARRETEL</t>
  </si>
  <si>
    <t>CS</t>
  </si>
  <si>
    <t>GRADEADO DE JAULA</t>
  </si>
  <si>
    <t>CST</t>
  </si>
  <si>
    <t>CENTISTOCKS</t>
  </si>
  <si>
    <t>CT</t>
  </si>
  <si>
    <t>CARTAO</t>
  </si>
  <si>
    <t>CTE</t>
  </si>
  <si>
    <t>CARTELA</t>
  </si>
  <si>
    <t>CV</t>
  </si>
  <si>
    <t>CAVALO VAPOR</t>
  </si>
  <si>
    <t>CX</t>
  </si>
  <si>
    <t>CAIXA</t>
  </si>
  <si>
    <t>CX100UN</t>
  </si>
  <si>
    <t>CAIXA COM 100 UNIDADES</t>
  </si>
  <si>
    <t>CX40UN</t>
  </si>
  <si>
    <t>CAIXA COM 40 UNIDADES</t>
  </si>
  <si>
    <t>D</t>
  </si>
  <si>
    <t>DIA</t>
  </si>
  <si>
    <t>DAG</t>
  </si>
  <si>
    <t>DECAGRAMA</t>
  </si>
  <si>
    <t>DAL</t>
  </si>
  <si>
    <t>DECALITRO</t>
  </si>
  <si>
    <t>DAM</t>
  </si>
  <si>
    <t>DECAMETRO</t>
  </si>
  <si>
    <t>DAN</t>
  </si>
  <si>
    <t>DECANEWTON</t>
  </si>
  <si>
    <t>DB</t>
  </si>
  <si>
    <t>DECIBEL</t>
  </si>
  <si>
    <t>DBM</t>
  </si>
  <si>
    <t>DECIBEL MILIWATT</t>
  </si>
  <si>
    <t>DG</t>
  </si>
  <si>
    <t>DECIGRAMA</t>
  </si>
  <si>
    <t>DGT</t>
  </si>
  <si>
    <t>DÍGITO</t>
  </si>
  <si>
    <t>DIAS</t>
  </si>
  <si>
    <t>DISCO</t>
  </si>
  <si>
    <t>DL</t>
  </si>
  <si>
    <t>DM</t>
  </si>
  <si>
    <t>DECIMETRO</t>
  </si>
  <si>
    <t>DM2</t>
  </si>
  <si>
    <t>DECIMETRO QUADRADO</t>
  </si>
  <si>
    <t>DM3</t>
  </si>
  <si>
    <t>DECIMETRO CUBICO</t>
  </si>
  <si>
    <t>DOSES</t>
  </si>
  <si>
    <t>DPI</t>
  </si>
  <si>
    <t>PONTOS DE DEFINIÇÃO</t>
  </si>
  <si>
    <t>DPT</t>
  </si>
  <si>
    <t>DIOPTRIA</t>
  </si>
  <si>
    <t>DRAG</t>
  </si>
  <si>
    <t>DRÁGEA</t>
  </si>
  <si>
    <t>DZ</t>
  </si>
  <si>
    <t>DUZIA</t>
  </si>
  <si>
    <t>EMB</t>
  </si>
  <si>
    <t>EMBALAGEM</t>
  </si>
  <si>
    <t>EMB/H</t>
  </si>
  <si>
    <t>EMBALAGEM POR HORA</t>
  </si>
  <si>
    <t>EMP</t>
  </si>
  <si>
    <t>EMPLASTRO</t>
  </si>
  <si>
    <t>ENV</t>
  </si>
  <si>
    <t>ENVELOPE</t>
  </si>
  <si>
    <t>ENV27/9G</t>
  </si>
  <si>
    <t>ENVELOPE COM 27,9 g</t>
  </si>
  <si>
    <t>ENV30G</t>
  </si>
  <si>
    <t>ENVELOPE COM 30 g</t>
  </si>
  <si>
    <t>EQP</t>
  </si>
  <si>
    <t>EQUIPAMENTO</t>
  </si>
  <si>
    <t>EST</t>
  </si>
  <si>
    <t>ESTUDANTE</t>
  </si>
  <si>
    <t>EV</t>
  </si>
  <si>
    <t>ELÉTRON-VOLT</t>
  </si>
  <si>
    <t>F</t>
  </si>
  <si>
    <t>FARAD</t>
  </si>
  <si>
    <t>FCK</t>
  </si>
  <si>
    <t>FD</t>
  </si>
  <si>
    <t>FARDO</t>
  </si>
  <si>
    <t>FL</t>
  </si>
  <si>
    <t>FOLHA</t>
  </si>
  <si>
    <t>FLAC</t>
  </si>
  <si>
    <t>FLACONETE</t>
  </si>
  <si>
    <t>FLS/H</t>
  </si>
  <si>
    <t>FOLHAS POR HORA</t>
  </si>
  <si>
    <t>FPM</t>
  </si>
  <si>
    <t>FLASH POR MINUTO</t>
  </si>
  <si>
    <t>FPS</t>
  </si>
  <si>
    <t>FOTOS P/SEGUNDO</t>
  </si>
  <si>
    <t>FR</t>
  </si>
  <si>
    <t>FRASCO</t>
  </si>
  <si>
    <t>FR1000ML</t>
  </si>
  <si>
    <t>FRASCO COM 1000 mL</t>
  </si>
  <si>
    <t>FR100DS</t>
  </si>
  <si>
    <t>FRASCO COM 100 DOSES</t>
  </si>
  <si>
    <t>FR100ML</t>
  </si>
  <si>
    <t>FRASCO COM 100 mL</t>
  </si>
  <si>
    <t>FR105ML</t>
  </si>
  <si>
    <t>FRASCO COM 105 mL</t>
  </si>
  <si>
    <t>FR10ML</t>
  </si>
  <si>
    <t>FRASCO COM 10 mL</t>
  </si>
  <si>
    <t>FR110ML</t>
  </si>
  <si>
    <t>FRASCO COM 110 mL</t>
  </si>
  <si>
    <t>FR1200MG</t>
  </si>
  <si>
    <t>FRASCO COM 1200 MG</t>
  </si>
  <si>
    <t>FR120DS</t>
  </si>
  <si>
    <t>FRASCO COM 120 DOSES</t>
  </si>
  <si>
    <t>FR120ML</t>
  </si>
  <si>
    <t>FRASCO COM 120 mL</t>
  </si>
  <si>
    <t>FR125ML</t>
  </si>
  <si>
    <t>FRASCO COM 125 mL</t>
  </si>
  <si>
    <t>FR130DS</t>
  </si>
  <si>
    <t>FRASCO COM 130 DOSES</t>
  </si>
  <si>
    <t>FR1500MG</t>
  </si>
  <si>
    <t>FRASCO COM 1500 MG</t>
  </si>
  <si>
    <t>FR150DS</t>
  </si>
  <si>
    <t>FRASCO COM 150 DOSES</t>
  </si>
  <si>
    <t>FR150ML</t>
  </si>
  <si>
    <t>FRASCO COM 150 mL</t>
  </si>
  <si>
    <t>FR15ML</t>
  </si>
  <si>
    <t>FRASCO COM 15 mL</t>
  </si>
  <si>
    <t>FR160ML</t>
  </si>
  <si>
    <t>FRASCO COM 160 mL</t>
  </si>
  <si>
    <t>FR200DS</t>
  </si>
  <si>
    <t>FRASCO COM 200 DOSES</t>
  </si>
  <si>
    <t>FR200ML</t>
  </si>
  <si>
    <t>FRASCO COM 200 mL</t>
  </si>
  <si>
    <t>FR20ML</t>
  </si>
  <si>
    <t>FRASCO COM 20 mL</t>
  </si>
  <si>
    <t>FR240ML</t>
  </si>
  <si>
    <t>FRASCO COM 240 mL</t>
  </si>
  <si>
    <t>FR250ML</t>
  </si>
  <si>
    <t>FRASCO COM 250 mL</t>
  </si>
  <si>
    <t>FR300DS</t>
  </si>
  <si>
    <t>FRASCO COM 300 DOSES</t>
  </si>
  <si>
    <t>FR300ML</t>
  </si>
  <si>
    <t>FRASCO COM 300 mL</t>
  </si>
  <si>
    <t>FR30DS</t>
  </si>
  <si>
    <t>FRASCO COM 30 DOSES</t>
  </si>
  <si>
    <t>FR30G</t>
  </si>
  <si>
    <t>FRASCO COM 30 g</t>
  </si>
  <si>
    <t>FR30ML</t>
  </si>
  <si>
    <t>FRASCO COM 30 mL</t>
  </si>
  <si>
    <t>FR340ML</t>
  </si>
  <si>
    <t>FRASCO COM 340 mL</t>
  </si>
  <si>
    <t>FR350ML</t>
  </si>
  <si>
    <t>FRASCO COM 350 mL</t>
  </si>
  <si>
    <t>FR40ML</t>
  </si>
  <si>
    <t>FRASCO COM 40 mL</t>
  </si>
  <si>
    <t>FR45ML</t>
  </si>
  <si>
    <t>FRASCO COM 45 mL</t>
  </si>
  <si>
    <t>FR500ML</t>
  </si>
  <si>
    <t>FRASCO COM 500 mL</t>
  </si>
  <si>
    <t>H</t>
  </si>
  <si>
    <t>HORA</t>
  </si>
  <si>
    <t>KG</t>
  </si>
  <si>
    <t>QUILOGRAMA</t>
  </si>
  <si>
    <t>KM</t>
  </si>
  <si>
    <t>QUILOMETRO</t>
  </si>
  <si>
    <t>M</t>
  </si>
  <si>
    <t>METRO</t>
  </si>
  <si>
    <t>M2</t>
  </si>
  <si>
    <t>METRO QUADRADO</t>
  </si>
  <si>
    <t>M3</t>
  </si>
  <si>
    <t>METRO CÚBICO</t>
  </si>
  <si>
    <t>M3XKM</t>
  </si>
  <si>
    <t>MES</t>
  </si>
  <si>
    <t>MÊS</t>
  </si>
  <si>
    <t>MÊS/MESES</t>
  </si>
  <si>
    <t>MESES</t>
  </si>
  <si>
    <t>OUTRAS</t>
  </si>
  <si>
    <t>PAR</t>
  </si>
  <si>
    <t>PC</t>
  </si>
  <si>
    <t>PEÇA</t>
  </si>
  <si>
    <t>T</t>
  </si>
  <si>
    <t>TONELADA</t>
  </si>
  <si>
    <t>TXKM</t>
  </si>
  <si>
    <t>UN</t>
  </si>
  <si>
    <t>UNIDADE</t>
  </si>
  <si>
    <t>MIN</t>
  </si>
  <si>
    <t>MED</t>
  </si>
  <si>
    <t>MAX</t>
  </si>
  <si>
    <t>Grau de Sigilo</t>
  </si>
  <si>
    <t>Construção e Reforma de Edifícios</t>
  </si>
  <si>
    <t>AC</t>
  </si>
  <si>
    <t>#PUBLICO</t>
  </si>
  <si>
    <t>SG</t>
  </si>
  <si>
    <t>R</t>
  </si>
  <si>
    <t>Nº OPERAÇÃO</t>
  </si>
  <si>
    <t>Nº TRANSFEREGOV</t>
  </si>
  <si>
    <t>PROPONENTE / TOMADOR</t>
  </si>
  <si>
    <t>DF</t>
  </si>
  <si>
    <t>L</t>
  </si>
  <si>
    <t>FILTRO</t>
  </si>
  <si>
    <t>BDI PAD</t>
  </si>
  <si>
    <t>APELIDO DO EMPREENDIMENTO / DESCRIÇÃO DO LOTE</t>
  </si>
  <si>
    <t>Construção de Praças Urbanas, Rodovias, Ferrovias e recapeamento e pavimentação de vias urbanas</t>
  </si>
  <si>
    <t>Conforme legislação tributária municipal, definir estimativa de percentual da base de cálculo para o ISS:</t>
  </si>
  <si>
    <t>↓</t>
  </si>
  <si>
    <t>Sobre a base de cálculo, definir a respectiva alíquota do ISS (entre 2% e 5%):</t>
  </si>
  <si>
    <t>Construção de Redes de Abastecimento de Água, Coleta de Esgoto</t>
  </si>
  <si>
    <t>BDI 1</t>
  </si>
  <si>
    <t>TIPO DE OBRA</t>
  </si>
  <si>
    <t>Fornecimento de Materiais e Equipamentos (aquisição indireta - em conjunto com licitação de obras)</t>
  </si>
  <si>
    <t>Itens</t>
  </si>
  <si>
    <t>Siglas</t>
  </si>
  <si>
    <t>% Adotado</t>
  </si>
  <si>
    <t>Situação</t>
  </si>
  <si>
    <t>1º Quartil</t>
  </si>
  <si>
    <t>Médio</t>
  </si>
  <si>
    <t>3º Quartil</t>
  </si>
  <si>
    <t>Construção e Manutenção de Estações e Redes de Distribuição de Energia Elétrica</t>
  </si>
  <si>
    <t>Obras Portuárias, Marítimas e Fluviais</t>
  </si>
  <si>
    <t>Tributos (impostos COFINS 3%, e  PIS 0,65%)</t>
  </si>
  <si>
    <t>Tributos (ISS, variável de acordo com o município)</t>
  </si>
  <si>
    <t>ISS</t>
  </si>
  <si>
    <t>Tributos (Contribuição Previdenciária sobre a Receita Bruta - Lei 12.546 de 14/12/2011 - Desoneração)</t>
  </si>
  <si>
    <t>CPRB</t>
  </si>
  <si>
    <t>BDI SEM desoneração (Fórmula Acórdão TCU)</t>
  </si>
  <si>
    <t>BDI COM desoneração</t>
  </si>
  <si>
    <t>BDI DES</t>
  </si>
  <si>
    <t>Os valores de BDI foram calculados com o emprego da fórmula:</t>
  </si>
  <si>
    <t>BDI =</t>
  </si>
  <si>
    <t xml:space="preserve"> - 1</t>
  </si>
  <si>
    <t>(1-CP-ISS-CRPB)</t>
  </si>
  <si>
    <t>Fornecimento de Materiais e Equipamentos (aquisição direta)</t>
  </si>
  <si>
    <t>-</t>
  </si>
  <si>
    <t>Observações:</t>
  </si>
  <si>
    <t>Estudos e Projetos, Planos e Gerenciamento e outros correlatos</t>
  </si>
  <si>
    <t>K1</t>
  </si>
  <si>
    <t>K2</t>
  </si>
  <si>
    <t>Local</t>
  </si>
  <si>
    <t>Data</t>
  </si>
  <si>
    <t>K3</t>
  </si>
  <si>
    <t>Responsável Técnico</t>
  </si>
  <si>
    <t>BDI 2</t>
  </si>
  <si>
    <t>BDI 3</t>
  </si>
  <si>
    <t>PO - PLANILHA ORÇAMENTÁRIA</t>
  </si>
  <si>
    <t>LOTE</t>
  </si>
  <si>
    <t>Meta</t>
  </si>
  <si>
    <t>Nível 2</t>
  </si>
  <si>
    <t>Nível 3</t>
  </si>
  <si>
    <t>Nível 4</t>
  </si>
  <si>
    <t>Serviço</t>
  </si>
  <si>
    <t>Nmax</t>
  </si>
  <si>
    <t>Nº TransfereGOV</t>
  </si>
  <si>
    <t>APELIDO DO EMPREENDIMENTO</t>
  </si>
  <si>
    <t>Arredondamento</t>
  </si>
  <si>
    <t>LOCALIDADE SINAPI</t>
  </si>
  <si>
    <t>DATA BASE</t>
  </si>
  <si>
    <t>Quantidade</t>
  </si>
  <si>
    <t>QUANTIDADES: ACOMP. POR BM</t>
  </si>
  <si>
    <t>PREÇO UNITÁRIO LICITADO</t>
  </si>
  <si>
    <t>RECURSO</t>
  </si>
  <si>
    <t>SGL RECURSO</t>
  </si>
  <si>
    <t>Custo Unitáro</t>
  </si>
  <si>
    <t>ERRO GERAL</t>
  </si>
  <si>
    <t>Preço Unitário</t>
  </si>
  <si>
    <t>Preço Total</t>
  </si>
  <si>
    <t>Valores não Arredondados</t>
  </si>
  <si>
    <t>Nível E</t>
  </si>
  <si>
    <t>Save Nivel</t>
  </si>
  <si>
    <t>Nível C</t>
  </si>
  <si>
    <t>Altura</t>
  </si>
  <si>
    <t>n1</t>
  </si>
  <si>
    <t>n2</t>
  </si>
  <si>
    <t>n3</t>
  </si>
  <si>
    <t>n4</t>
  </si>
  <si>
    <t>n5</t>
  </si>
  <si>
    <t>Czero</t>
  </si>
  <si>
    <t>Cnível</t>
  </si>
  <si>
    <t>Nível</t>
  </si>
  <si>
    <t>Nível Corrigido</t>
  </si>
  <si>
    <t>Item</t>
  </si>
  <si>
    <t>Fonte</t>
  </si>
  <si>
    <t>Código</t>
  </si>
  <si>
    <t>Unidade</t>
  </si>
  <si>
    <t>Preço Unitário (com BDI) (R$)</t>
  </si>
  <si>
    <t>Preço Total
(R$)</t>
  </si>
  <si>
    <t>Contrapartida (R$)</t>
  </si>
  <si>
    <t>Outros (R$)</t>
  </si>
  <si>
    <t>Erro de Dados</t>
  </si>
  <si>
    <t>Lista Crono</t>
  </si>
  <si>
    <t>Concatenação Fonte-Código</t>
  </si>
  <si>
    <t>BancoDesloc</t>
  </si>
  <si>
    <t>Custo Unitário Referência (R$)</t>
  </si>
  <si>
    <t>Preço Total
Licit. (R$)</t>
  </si>
  <si>
    <t>Preço Unitário Edital (R$)</t>
  </si>
  <si>
    <t>SINAPI</t>
  </si>
  <si>
    <t>RA</t>
  </si>
  <si>
    <t xml:space="preserve"> </t>
  </si>
  <si>
    <t>Encargos sociais:</t>
  </si>
  <si>
    <t>Para elaboração deste orçamento, foram utilizados os encargos sociais do SINAPI para a Unidade da Federação indicada.</t>
  </si>
  <si>
    <t>Siglas da Composição do Investimento: RA - Rateio proporcional entre Repasse e Contrapartida; RP - 100% Repasse; CP - 100% Contrapartida; OU - 100% Outros.</t>
  </si>
  <si>
    <t>AGRUPADORES DE EVENTOS</t>
  </si>
  <si>
    <r>
      <t xml:space="preserve">Grau de Sigilo
</t>
    </r>
    <r>
      <rPr>
        <b/>
        <sz val="10"/>
        <rFont val="Arial"/>
        <family val="2"/>
      </rPr>
      <t>#PUBLICO</t>
    </r>
  </si>
  <si>
    <t>APELIDO EMPREENDIMENTO</t>
  </si>
  <si>
    <t>1. Selecione abaixo a forma de definição dos agrupadores de eventos:</t>
  </si>
  <si>
    <t>Nº do Evento</t>
  </si>
  <si>
    <t>Título do Evento</t>
  </si>
  <si>
    <t>Valor Total dos Eventos (R$)</t>
  </si>
  <si>
    <t>Total:</t>
  </si>
  <si>
    <t>.</t>
  </si>
  <si>
    <t>Preços dos serviços por frente</t>
  </si>
  <si>
    <t>Mês do cronograma</t>
  </si>
  <si>
    <t>Número da Medição</t>
  </si>
  <si>
    <t>AdmLocal</t>
  </si>
  <si>
    <t>Empty</t>
  </si>
  <si>
    <t>Nº AGRUPADOR DE EVENTOS</t>
  </si>
  <si>
    <t>AUTOEVENTO</t>
  </si>
  <si>
    <t>Memória de Cálculo</t>
  </si>
  <si>
    <t>Nº</t>
  </si>
  <si>
    <t># Evento</t>
  </si>
  <si>
    <t>Agrupador de Eventos</t>
  </si>
  <si>
    <t>TOTAL FINANC. POR FRENTE (R$):</t>
  </si>
  <si>
    <t>CRONOGRAMA PREVISTO PLE</t>
  </si>
  <si>
    <t>Título dos Eventos</t>
  </si>
  <si>
    <t>Cronograma</t>
  </si>
  <si>
    <t>Parcela</t>
  </si>
  <si>
    <t>%</t>
  </si>
  <si>
    <t>R$</t>
  </si>
  <si>
    <t>Acumulado</t>
  </si>
  <si>
    <t>Administração Local</t>
  </si>
  <si>
    <t>% Período:</t>
  </si>
  <si>
    <t>Níveis a Exibir no Cronograma:</t>
  </si>
  <si>
    <t>Nº TGOV</t>
  </si>
  <si>
    <t>PROPONENTE TOMADOR</t>
  </si>
  <si>
    <t>Lista Macrosserviços</t>
  </si>
  <si>
    <t>Falta distribuir:</t>
  </si>
  <si>
    <t>Valor (R$)</t>
  </si>
  <si>
    <t>Parcelas:</t>
  </si>
  <si>
    <t>Item CRONO</t>
  </si>
  <si>
    <t>OU</t>
  </si>
  <si>
    <t>Linha PO
Linha QCI
Total Adm Local</t>
  </si>
  <si>
    <t>Linhas a somar</t>
  </si>
  <si>
    <t>#</t>
  </si>
  <si>
    <t>%:</t>
  </si>
  <si>
    <t>Período:</t>
  </si>
  <si>
    <t>Contrapartida:</t>
  </si>
  <si>
    <t>Outros:</t>
  </si>
  <si>
    <t>Investimento:</t>
  </si>
  <si>
    <t>Acumulado:</t>
  </si>
  <si>
    <t>Administração Local:</t>
  </si>
  <si>
    <t>QCI - Quadro de Composição do Investimento</t>
  </si>
  <si>
    <t>% Maior:</t>
  </si>
  <si>
    <t>% Rateio CP Fin:</t>
  </si>
  <si>
    <t>MUNICÍPIO / UF</t>
  </si>
  <si>
    <t>VALORES CONTRATADOS (R$):</t>
  </si>
  <si>
    <t>CONTRAPARTIDA</t>
  </si>
  <si>
    <t>INVESTIMENTO</t>
  </si>
  <si>
    <t>% CP Min Prog:</t>
  </si>
  <si>
    <t>% CP Absoluta:</t>
  </si>
  <si>
    <t>% CP Max Rep:</t>
  </si>
  <si>
    <t>Saldo a Reprogramar</t>
  </si>
  <si>
    <t>Ordem Meta</t>
  </si>
  <si>
    <t>Arred</t>
  </si>
  <si>
    <t>Repasse (R$)</t>
  </si>
  <si>
    <t>Proporcional</t>
  </si>
  <si>
    <t>Busca</t>
  </si>
  <si>
    <t>Item de Investimento</t>
  </si>
  <si>
    <t>Subitem de Investimento</t>
  </si>
  <si>
    <t>Descrição da Meta</t>
  </si>
  <si>
    <t>Unid.</t>
  </si>
  <si>
    <t>Lote de Licitação / nº do CTEF</t>
  </si>
  <si>
    <t>Contrapartida Financeira (R$)</t>
  </si>
  <si>
    <t>Investimento (R$)</t>
  </si>
  <si>
    <t>Divisão do Investimento</t>
  </si>
  <si>
    <t>TR$</t>
  </si>
  <si>
    <t>TOTAL</t>
  </si>
  <si>
    <t>T%</t>
  </si>
  <si>
    <t>Representante Tomador</t>
  </si>
  <si>
    <t>PLE - PLANILHA DE LEVANTAMENTO DE EVENTOS</t>
  </si>
  <si>
    <t>Medição:</t>
  </si>
  <si>
    <t>% Realizado Período.:</t>
  </si>
  <si>
    <t>% Realizado Acum.:</t>
  </si>
  <si>
    <t>Filtro</t>
  </si>
  <si>
    <t>Informe abaixo o NÚMERO DA MEDIÇÃO em que os eventos foram concluídos</t>
  </si>
  <si>
    <t>Data das Medições</t>
  </si>
  <si>
    <t>Medições</t>
  </si>
  <si>
    <t>Responsável Técnico pela Fiscalização</t>
  </si>
  <si>
    <t>Modo CAIXA</t>
  </si>
  <si>
    <t>INÍCIO DE OBRA</t>
  </si>
  <si>
    <t xml:space="preserve">Regime </t>
  </si>
  <si>
    <t>Fórmula CopMed</t>
  </si>
  <si>
    <t>Nº CTEF</t>
  </si>
  <si>
    <t>EMPRESA EXECUTORA</t>
  </si>
  <si>
    <t>CNPJ</t>
  </si>
  <si>
    <t>PERÍODO DA MEDIÇÃO</t>
  </si>
  <si>
    <t>Nº MEDIÇÃO</t>
  </si>
  <si>
    <t>ARREDMED</t>
  </si>
  <si>
    <t>Linha Adm. L.</t>
  </si>
  <si>
    <t>Anexo</t>
  </si>
  <si>
    <t>Datas das Medições</t>
  </si>
  <si>
    <t>Orçamento Contratado</t>
  </si>
  <si>
    <t>Evolução Financeira (R$)</t>
  </si>
  <si>
    <t>Quadro de Glosas</t>
  </si>
  <si>
    <t>Acum. Anterior</t>
  </si>
  <si>
    <t>Período</t>
  </si>
  <si>
    <t>Acum. Incluindo o Período</t>
  </si>
  <si>
    <t>Valor Total Glosado (R$)</t>
  </si>
  <si>
    <t>Motivo da Glosa</t>
  </si>
  <si>
    <t>Valor Total Medido (R$)</t>
  </si>
  <si>
    <t>TOTAL:</t>
  </si>
  <si>
    <t>Observações</t>
  </si>
  <si>
    <t>Profissional CAIXA:</t>
  </si>
  <si>
    <t>Matrícula</t>
  </si>
  <si>
    <r>
      <rPr>
        <sz val="10.5"/>
        <rFont val="Arial Narrow"/>
        <family val="2"/>
      </rPr>
      <t>Grau de Sigilo</t>
    </r>
    <r>
      <rPr>
        <sz val="10"/>
        <rFont val="Arial"/>
        <family val="2"/>
      </rPr>
      <t xml:space="preserve">
</t>
    </r>
    <r>
      <rPr>
        <b/>
        <sz val="10"/>
        <rFont val="Arial"/>
        <family val="2"/>
      </rPr>
      <t>#PUBLICO</t>
    </r>
  </si>
  <si>
    <t>Acum. Previsto</t>
  </si>
  <si>
    <t>Acum. Chegada</t>
  </si>
  <si>
    <t>Outros</t>
  </si>
  <si>
    <t>Nº RRE</t>
  </si>
  <si>
    <t>Investimento</t>
  </si>
  <si>
    <t>Situação do TC/CR:</t>
  </si>
  <si>
    <t>Percentual previsto em:</t>
  </si>
  <si>
    <t>Lista CTEF</t>
  </si>
  <si>
    <t>Lista CTEFs</t>
  </si>
  <si>
    <t>Acumulado Período Anterior</t>
  </si>
  <si>
    <t>Acumulado incluindo o Período</t>
  </si>
  <si>
    <t>Linha
PO</t>
  </si>
  <si>
    <t>BM / PLE nº</t>
  </si>
  <si>
    <t>Valor Total (R$)</t>
  </si>
  <si>
    <t>No Período</t>
  </si>
  <si>
    <t>Execução Física Acum.</t>
  </si>
  <si>
    <t>Acum. Período Anterior - CP</t>
  </si>
  <si>
    <t>Acum. Período Anterior - Outros</t>
  </si>
  <si>
    <t>Acum. Incluindo Período - CP</t>
  </si>
  <si>
    <t>Acum. Incluindo Período - Outros</t>
  </si>
  <si>
    <t>(%)</t>
  </si>
  <si>
    <t>Anterior (R$)</t>
  </si>
  <si>
    <t>Acumulado (R$)</t>
  </si>
  <si>
    <t>Max CP/OU Ant.</t>
  </si>
  <si>
    <t>Max CP/OU Acum.</t>
  </si>
  <si>
    <t>Contrapartida</t>
  </si>
  <si>
    <t># PÚBLICO</t>
  </si>
  <si>
    <t>Ofício n°:</t>
  </si>
  <si>
    <t>À</t>
  </si>
  <si>
    <t>CAIXA ECONÔMICA FEDERAL</t>
  </si>
  <si>
    <t>GIGOV</t>
  </si>
  <si>
    <t>Assunto:</t>
  </si>
  <si>
    <t>REF:</t>
  </si>
  <si>
    <t>Objeto:</t>
  </si>
  <si>
    <t>Proponente / Tomador:</t>
  </si>
  <si>
    <t>Valores Vigentes do TC/CR</t>
  </si>
  <si>
    <t>Valores Medidos Acumulados</t>
  </si>
  <si>
    <t>Contrapartida Financeira:</t>
  </si>
  <si>
    <t>Execução Física:</t>
  </si>
  <si>
    <t>Atenciosamente,</t>
  </si>
  <si>
    <t>Nivel</t>
  </si>
  <si>
    <t>N° Macrosserviço / Serviço</t>
  </si>
  <si>
    <t>Descrição Macrosserviço / Serviço</t>
  </si>
  <si>
    <t>Qtd. (valor calculado)</t>
  </si>
  <si>
    <t>Und.</t>
  </si>
  <si>
    <t>Custo Unitário Referência</t>
  </si>
  <si>
    <t>Custo Unitário</t>
  </si>
  <si>
    <t>Preço Unitário (valor calculado)</t>
  </si>
  <si>
    <t>Preço Total (valor calculado)</t>
  </si>
  <si>
    <t>Observação</t>
  </si>
  <si>
    <t>N° Evento</t>
  </si>
  <si>
    <t>Evento</t>
  </si>
  <si>
    <t>N° Frente de Obra</t>
  </si>
  <si>
    <t>Frente de Obra</t>
  </si>
  <si>
    <t>Qtd.</t>
  </si>
  <si>
    <t>Valor</t>
  </si>
  <si>
    <t>N° do Evento</t>
  </si>
  <si>
    <t>N° da Frente de Obra</t>
  </si>
  <si>
    <t>N° do Período de Conclusão do Evento</t>
  </si>
  <si>
    <t>Número</t>
  </si>
  <si>
    <t>Macrosserviço</t>
  </si>
  <si>
    <t>Percentual Parcela</t>
  </si>
  <si>
    <t>V3.10</t>
  </si>
  <si>
    <t>Corrigidas as fórmulas da v3.08 / v3.09 que eram incompatíveis com as versões do Excel anteriores ao Office 365.</t>
  </si>
  <si>
    <t>V3.11</t>
  </si>
  <si>
    <t>Correção nas fórmulas dos valores acumulados no caso de Administração Local de preenchimento manual.</t>
  </si>
  <si>
    <t>Ajuste na macro "Importar de outra Planilha Múltipla" para tratar o erro "tipos incompatíveis".</t>
  </si>
  <si>
    <t>Correção nas fórmulas dos valores no período da 13ª parcela do cronograma.</t>
  </si>
  <si>
    <t>Automática, conforme os agrupadores Nível 2 do Orçamento</t>
  </si>
  <si>
    <t>Ajuste na macro "Gerar arquivo para upload no TransfereGOV" para informar no status o número da linha que está sendo mesclada.</t>
  </si>
  <si>
    <t>Definir Manualmente</t>
  </si>
  <si>
    <t>Automática, conforme os agrupadores Nível 3 do Orçamento</t>
  </si>
  <si>
    <t>Automática, conforme os agrupadores Nível 4 do Orçamento</t>
  </si>
  <si>
    <t>Risco</t>
  </si>
  <si>
    <t>Despesas Financeiras</t>
  </si>
  <si>
    <t>V3.12</t>
  </si>
  <si>
    <t>Revisão nos alertas de erro de preenchimento.</t>
  </si>
  <si>
    <t>Revisão na lista suspensa de opções da forma de definição dos agrupadores de eventos.</t>
  </si>
  <si>
    <t>Correção na macro "Atualizar Linhas".</t>
  </si>
  <si>
    <t>Correção na fórmula dos porcentuais de Administração Local, no caso de agrupadores de eventos automáticos.</t>
  </si>
  <si>
    <t>Atualização na macro "Gerar arquivo para upload no TransfereGOV" em virtude de alteração no upload no TransfereGOV (código sem zeros a esquerda).</t>
  </si>
  <si>
    <t>TransfereGOV</t>
  </si>
  <si>
    <t>V3.13</t>
  </si>
  <si>
    <t>Ajuste no alerta de erro "Acima Ref.", dispensado caso a Fonte de Recursos seja diferente de "OGU".</t>
  </si>
  <si>
    <t>Atualização na macro "Gerar arquivo para upload no TransfereGOV". No caso de alertas de erro de preenchimento nas abas BDI e ORÇAMENTO a caixa de mensagem informa o erro encontrado e pergunta ao usuário se quer "Corrigir o erro agora?", caso o usuário responda "Não" a macro continua os procedimentos e gera o arquivo com o erro de preenchimento.</t>
  </si>
  <si>
    <t>SINAPI-I</t>
  </si>
  <si>
    <t>SICRO</t>
  </si>
  <si>
    <t>Composição</t>
  </si>
  <si>
    <t>Cotação</t>
  </si>
  <si>
    <t>RP</t>
  </si>
  <si>
    <t>Regime previdenciário</t>
  </si>
  <si>
    <t>Regime de Execução</t>
  </si>
  <si>
    <t>Tradicional</t>
  </si>
  <si>
    <t>OGU</t>
  </si>
  <si>
    <t>FGTS</t>
  </si>
  <si>
    <t>NÃO SE APLICA</t>
  </si>
  <si>
    <t>DESONERADO</t>
  </si>
  <si>
    <t>NÃO DESONERADO</t>
  </si>
  <si>
    <t>INDEFINIDO / NÃO SE APLICA</t>
  </si>
  <si>
    <t>EMPREITADA POR PREÇO GLOBAL</t>
  </si>
  <si>
    <t>EMPREITADA POR PREÇO UNITÁRIO</t>
  </si>
  <si>
    <t>EMPREITADA INTEGRAL</t>
  </si>
  <si>
    <t>TAREFA</t>
  </si>
  <si>
    <t>CONTRATAÇÃO INTEGRADA</t>
  </si>
  <si>
    <t>ADM. DIRETA</t>
  </si>
  <si>
    <t>Lista Níveis a Exibir</t>
  </si>
  <si>
    <t>Sem Projeto</t>
  </si>
  <si>
    <t>Em Análise</t>
  </si>
  <si>
    <t>Análise Concluída / A Licitar</t>
  </si>
  <si>
    <t>Licitado / Em Execução</t>
  </si>
  <si>
    <t>Concluído</t>
  </si>
  <si>
    <t>Lista Situação</t>
  </si>
  <si>
    <t>Calculado</t>
  </si>
  <si>
    <t>Divisão Investimento</t>
  </si>
  <si>
    <t>Atualização no preenchimento da coluna BDI. Possibilidade de preencher diretamente um percentual na célula.</t>
  </si>
  <si>
    <t>Correção na fórmula na coluna Filtro.</t>
  </si>
  <si>
    <t>Correção nas fórmulas dos valores acumulados (o valor da administração local era duplicado em alguns casos).</t>
  </si>
  <si>
    <t>Ajuste em todas as listas suspensas (substituindo valores ou textos por um intervalo com os dados).</t>
  </si>
  <si>
    <t>Correção do valor total na macro "Gerar arquivo para upload no TransfereGOV". No arquivo para upload o valor total era preenchido apenas com o valor da meta 1.</t>
  </si>
  <si>
    <t>Incluído alerta de erro caso os arredondamentos de todos os valores não estejam selecionados (para contratos no transferegov).</t>
  </si>
  <si>
    <t>Incluído alerta de erro "Justificar BDI", caso não seja adotado um BDI da lista suspensa.</t>
  </si>
  <si>
    <t>Incluído alerta de erro "Verificar as quantidades preenchidas na linha...", caso a soma das quantidades preenchidas seja diferente da soma das quantidades arredondadas com duas casas decimais.</t>
  </si>
  <si>
    <t>Incluído alerta de erro "Preencha as quantidades com no máximo duas casas decimais", caso o alerta de erro acima aparece em alguma linha.</t>
  </si>
  <si>
    <t>Incluída formatação condicional para indicar as quantidades na PLQ com mais de duas casas decimais (o texto ficará na cor vermelha).</t>
  </si>
  <si>
    <t>Correção nos arredondamentos na macro "Gerar arquivo para upload no TransfereGOV". No caso de preenchimento das quantidades com mais de duas casas decimais na PLQ, os valores calculados no Tgov ficavam diferentes dos valores calculados na Múltipla.</t>
  </si>
  <si>
    <t>Localidade:</t>
  </si>
  <si>
    <t>Data base:</t>
  </si>
  <si>
    <t>Intervalo de procura:</t>
  </si>
  <si>
    <t>Incluído alerta de erro caso a data base do arquivo referência seja diferente da indicada no nome do mesmo arquivo.</t>
  </si>
  <si>
    <t>v3.14</t>
  </si>
  <si>
    <t>V3.14</t>
  </si>
  <si>
    <t>Ajustes em algumas fórmulas que eram incompatíveis com as versões do Excel anteriores ao Office 365.</t>
  </si>
  <si>
    <t>Ajuste na macro "Gerar arquivo para upload no TransfereGOV". Excluído o procedimento de mesclagem de células, visando a eficiência da macro.</t>
  </si>
  <si>
    <t>Inclusão do botão [RESET]. Para resetar a Planilha Múltipla (apagar todos os dados preenchidos e restaurar o padrão inicial).</t>
  </si>
  <si>
    <t>90778</t>
  </si>
  <si>
    <t>Liberdade - MG</t>
  </si>
  <si>
    <t>Lucas de Souza Garcia</t>
  </si>
  <si>
    <t>Prefeito</t>
  </si>
  <si>
    <t>Engenheiro Civil</t>
  </si>
  <si>
    <t>214010-D</t>
  </si>
  <si>
    <t>Antônio Carlos Sampaio Alves</t>
  </si>
  <si>
    <t>Infraestrutura</t>
  </si>
  <si>
    <t>CO-27428</t>
  </si>
  <si>
    <t>PROJETO EXECUTIVO DE ESTRUTURA METÁLICA</t>
  </si>
  <si>
    <t>CO-4094</t>
  </si>
  <si>
    <t>PROJETO EXECUTIVO DE GEOTECNIA</t>
  </si>
  <si>
    <t>PR A1</t>
  </si>
  <si>
    <t>ADMINISTRAÇÃO LOCAL</t>
  </si>
  <si>
    <t>SERVIÇOS PLELIMINARES</t>
  </si>
  <si>
    <t>TERRAPLENAGEM</t>
  </si>
  <si>
    <t>INFRAESTRUTURA</t>
  </si>
  <si>
    <t>100652</t>
  </si>
  <si>
    <t>ESTACA HÉLICE CONTÍNUA, DIÂMETRO DE 50 CM, INCLUSO CONCRETO FCK=30MPA E ARMADURA MÍNIMA (EXCLUSIVE BOMBEAMENTO, MOBILIZAÇÃO E DESMOBILIZAÇÃO). AF_12/2019</t>
  </si>
  <si>
    <t>ED-8503</t>
  </si>
  <si>
    <t>LANÇAMENTO DE CONCRETO EM FUNDAÇÃO OU LASTRO,
 INCLUSIVE TRANSPORTE ATÉ O LOCAL DE APLICAÇÃO,
 EXCLUSIVE APLICAÇÃO</t>
  </si>
  <si>
    <t>MESOESTRUTURA</t>
  </si>
  <si>
    <t>96531</t>
  </si>
  <si>
    <t>FABRICAÇÃO, MONTAGEM E DESMONTAGEM DE FÔRMA PARA BLOCO DE COROAMENTO, EM MADEIRA SERRADA,
 E=25 MM, 2 UTILIZAÇÕES. AF_01/2024</t>
  </si>
  <si>
    <t>ED-49805</t>
  </si>
  <si>
    <t>FORNECIMENTO DE CONCRETO ESTRUTURAL, USINADO
 BOMBEADO, COM FCK 25MPA, INCLUSIVE LANÇAMENTO,
 ADENSAMENTO E ACABAMENTO (FUNDAÇÃO)</t>
  </si>
  <si>
    <t>ED-48295</t>
  </si>
  <si>
    <t>CORTE, DOBRA E MONTAGEM DE AÇO CA-50, DIÂMETRO (6,3MM A
 12,5MM), INCLUSIVE ESPAÇADOR</t>
  </si>
  <si>
    <t>kg</t>
  </si>
  <si>
    <t>1513941</t>
  </si>
  <si>
    <t>SUPERESTRUTURA</t>
  </si>
  <si>
    <t>ED-49664</t>
  </si>
  <si>
    <t>FORNECIMENTO DE ESTRUTURA METÁLICA EM PERFIL LAMINADO
 , INCLUSIVE FABRICAÇÃO, TRANSPORTE, MONTAGEM E
 APLICAÇÃO DE FUNDO PREPARADOR ANTICORROSIVO EM
 SUPERFÍCIE METÁLICA, UMA (1) DEMÃO</t>
  </si>
  <si>
    <t>ED-50487</t>
  </si>
  <si>
    <t>PINTURA EPÓXI EM SUPERFÍCIES DE AÇO CARBONO, DUAS (2)
 DEMÃOS, COM APLICAÇÃO MANUAL</t>
  </si>
  <si>
    <t>0307731</t>
  </si>
  <si>
    <t>Aparelho de apoio de neoprene fretado para estruturas moldadas no local -fornecimento e instalação</t>
  </si>
  <si>
    <t>M0969</t>
  </si>
  <si>
    <t>Steel deck em aço galvanizado ASTM A653 grau 40</t>
  </si>
  <si>
    <t>3806431</t>
  </si>
  <si>
    <t>Placa de aço de apoio para protensão externa em reforço de vigade OAE-confecção e instalação</t>
  </si>
  <si>
    <t>ED-9056</t>
  </si>
  <si>
    <t xml:space="preserve"> FORNECIMENTO DE CONCRETO ESTRUTURAL, USINADO
 BOMBEADO, AUTO-ADENSÁVEL, COM FCK 40MPA, INCLUSIVE
 LANÇAMENTO E ACABAMENTO</t>
  </si>
  <si>
    <t>93588</t>
  </si>
  <si>
    <t>92404</t>
  </si>
  <si>
    <t>94268</t>
  </si>
  <si>
    <t>100576</t>
  </si>
  <si>
    <t>EXECUÇÃO DE PAVIMENTO EM PISO INTERTRAVADO, COM BLOCO 16 FACES DE 22 X 11 CM, ESPESSURA 8 CM. AF_10/2022</t>
  </si>
  <si>
    <t>GUIA (MEIO-FIO) E SARJETA CONJUGADOS DE CONCRETO, MOLDADA IN LOCO EM TRECHO CURVO COM EXTRUSORA, 45 CM BASE (15 CM BASE DA GUIA + 30 CM BASE DA SARJETA) X 22 CM ALTURA. AF_01/2024</t>
  </si>
  <si>
    <t>REGULARIZAÇÃO E COMPACTAÇÃO DE SUBLEITO DE SOLO PREDOMINANTEMENTE ARGILOSO, PARA OBRAS DE CONSTRUÇÃO DE PAVIMENTOS. AF_09/2024</t>
  </si>
  <si>
    <t>TRANSPORTE COM CAMINHÃO BASCULANTE DE 10 M³, EM VIA URBANA EM LEITO NATURAL (UNIDADE: M3XKM). AF_07/2020</t>
  </si>
  <si>
    <t>93589</t>
  </si>
  <si>
    <t>TRANSPORTE COM CAMINHÃO BASCULANTE DE 10 M³, EM VIA URBANA EM REVESTIMENTO PRIMÁRIO (UNIDADE:
 M3XKM). AF_07/2020</t>
  </si>
  <si>
    <t xml:space="preserve"> 3816118</t>
  </si>
  <si>
    <t>Guarda-corpo de concreto fabricação areia e brita comerciais</t>
  </si>
  <si>
    <t>94295</t>
  </si>
  <si>
    <t>MESTRE DE OBRAS COM ENCARGOS COMPLEMENTARES</t>
  </si>
  <si>
    <t>LOCAÇÃO TOPOGRÁFICA DE VINTE UM (21) ATÉ CINQUENTA (50)
 PONTOS REFERENCIAIS, INCLUSIVE ESTACA (PIQUETE) DE
 MARCAÇÃO</t>
  </si>
  <si>
    <t xml:space="preserve"> ED-50275</t>
  </si>
  <si>
    <t>UNIDADES</t>
  </si>
  <si>
    <t>Escavação, carga e transporte de material de 2ª categoria-DMT de 1.200 a 1.400m - caminho de serviço em leito natural com escavadeira e caminhão basculante de 14m³</t>
  </si>
  <si>
    <t xml:space="preserve"> 5502591</t>
  </si>
  <si>
    <t xml:space="preserve"> 103689</t>
  </si>
  <si>
    <t>LANÇAMENTO DE VIGA PARA PONTE, EXCLUSIVE FORNECIMENTO
 , DESCARGA E TRANSPORTE - PROJETO PADRÃO SEINFRA-MG</t>
  </si>
  <si>
    <t xml:space="preserve"> ED-50428</t>
  </si>
  <si>
    <t>SERVIÇOS COMPLEMENTARES</t>
  </si>
  <si>
    <t>LIMPEZA FINAL PARA ENTREGA DA OBRA</t>
  </si>
  <si>
    <t xml:space="preserve"> ED-50266</t>
  </si>
  <si>
    <t>ENGENHEIRO CIVIL DE OBRA PLENO COM ENCARGOS COMPLEMENTARES</t>
  </si>
  <si>
    <t>18.029.165/0001-51</t>
  </si>
  <si>
    <t>948148</t>
  </si>
  <si>
    <t>1. ADMINISTRAÇÃO LOCAL</t>
  </si>
  <si>
    <t>MG 20254192207</t>
  </si>
  <si>
    <t>FORNECIMENTO E INSTALAÇÃO DE PLACA DE OBRA COM CHAPA GALVANIZADA E ESTRUTURA DE MADEIRA.
 AF_03/2022_PS)</t>
  </si>
  <si>
    <t>CALÇAMENTO</t>
  </si>
  <si>
    <t>Construção de ponte e pavimentação de estrada vicinal</t>
  </si>
  <si>
    <t>CONSTRUÇÃO DE PONTE E PAVIMENTAÇÃO DE ESTRADA VICINAL</t>
  </si>
  <si>
    <t>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t>
  </si>
  <si>
    <t xml:space="preserve"> ED-16349</t>
  </si>
  <si>
    <t>GRUPO DE SOLDAGEM COM GERADOR A DIESEL 60 CV PARA SOLDA ELÉTRICA, SOBRE 04 RODAS, COM MOTOR 4
 CILINDROS 600 A - CHI DIURNO. AF_02/2016</t>
  </si>
  <si>
    <t xml:space="preserve"> 83766</t>
  </si>
  <si>
    <t>Contenção em areia-cimento ensacada com mistura de areia com 8% de cimento, confecção e assentamento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</si>
</sst>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quot;R$ &quot;* #,##0.00_);_(&quot;R$ &quot;* \(#,##0.00\);_(&quot;R$ &quot;* \-??_);_(@_)"/>
    <numFmt numFmtId="165" formatCode="_-* #,##0.00_-;\-* #,##0.00_-;_-* \-??_-;_-@_-"/>
    <numFmt numFmtId="166" formatCode="mm\-yyyy"/>
    <numFmt numFmtId="167" formatCode="General;General"/>
    <numFmt numFmtId="168" formatCode="dddd&quot;, &quot;mmmm\ dd&quot;, &quot;yyyy"/>
    <numFmt numFmtId="169" formatCode="dd&quot; de &quot;mmmm&quot; de &quot;yyyy"/>
    <numFmt numFmtId="170" formatCode="mmm\-yy;@"/>
    <numFmt numFmtId="171" formatCode="_(* #,##0.00_);_(* \(#,##0.00\);_(* \-??_);_(@_)"/>
    <numFmt numFmtId="172" formatCode="0\."/>
    <numFmt numFmtId="173" formatCode="_(\ #,##0.00_);_(&quot; (&quot;#,##0.00\);_(&quot; -&quot;??_);_(@_)"/>
    <numFmt numFmtId="174" formatCode="mm/yy"/>
    <numFmt numFmtId="175" formatCode="General;;"/>
    <numFmt numFmtId="176" formatCode="&quot;Medição &quot;0"/>
    <numFmt numFmtId="177" formatCode="_(#,##0.00_);_(* \(#,##0.00\);_(* \-??_);_(@_)"/>
    <numFmt numFmtId="178" formatCode="_-#,##0.00_-;\-#,##0.00_-;_-&quot; -&quot;??_-;_-@_-"/>
    <numFmt numFmtId="179" formatCode="##\."/>
    <numFmt numFmtId="180" formatCode="_-&quot;R$ &quot;* #,##0.00_-;&quot;-R$ &quot;* #,##0.00_-;_-&quot;R$ &quot;* \-??_-;_-@_-"/>
    <numFmt numFmtId="181" formatCode="&quot;( &quot;0.00%&quot; )&quot;"/>
    <numFmt numFmtId="182" formatCode="dd/mm/yy;@"/>
    <numFmt numFmtId="183" formatCode="&quot;Medição &quot;##"/>
    <numFmt numFmtId="184" formatCode="#,##0.00_ ;\-#,##0.00\ "/>
    <numFmt numFmtId="185" formatCode="_(* #,##0.00_);_(* \(#,##0.00\);;_(@_)"/>
    <numFmt numFmtId="186" formatCode="[$-F800]dddd\,\ mmmm\ dd\,\ yyyy"/>
    <numFmt numFmtId="187" formatCode="&quot;Mês &quot;00"/>
    <numFmt numFmtId="188" formatCode="_-#,##0.00_-;\-#,##0.00_-;_-&quot;-&quot;??_-;_-@_-"/>
    <numFmt numFmtId="189" formatCode="\R\$\ #,##0.00"/>
  </numFmts>
  <fonts count="81" x14ac:knownFonts="1">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9"/>
      <name val="Arial"/>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5"/>
      <color indexed="54"/>
      <name val="Calibri"/>
      <family val="2"/>
    </font>
    <font>
      <b/>
      <sz val="13"/>
      <color indexed="54"/>
      <name val="Calibri"/>
      <family val="2"/>
    </font>
    <font>
      <b/>
      <sz val="11"/>
      <color indexed="54"/>
      <name val="Calibri"/>
      <family val="2"/>
    </font>
    <font>
      <sz val="18"/>
      <color indexed="54"/>
      <name val="Calibri Light"/>
      <family val="2"/>
    </font>
    <font>
      <b/>
      <sz val="11"/>
      <name val="Arial"/>
      <family val="2"/>
    </font>
    <font>
      <b/>
      <sz val="13"/>
      <name val="Arial"/>
      <family val="2"/>
    </font>
    <font>
      <b/>
      <sz val="18"/>
      <name val="Arial"/>
      <family val="2"/>
    </font>
    <font>
      <b/>
      <sz val="11"/>
      <color indexed="10"/>
      <name val="Arial"/>
      <family val="2"/>
    </font>
    <font>
      <i/>
      <sz val="10"/>
      <name val="Arial"/>
      <family val="2"/>
    </font>
    <font>
      <b/>
      <sz val="10"/>
      <color indexed="10"/>
      <name val="Arial"/>
      <family val="2"/>
    </font>
    <font>
      <b/>
      <sz val="12"/>
      <name val="Arial"/>
      <family val="2"/>
    </font>
    <font>
      <b/>
      <sz val="10"/>
      <name val="Arial"/>
      <family val="2"/>
    </font>
    <font>
      <sz val="9"/>
      <color indexed="8"/>
      <name val="Segoe UI"/>
      <family val="2"/>
    </font>
    <font>
      <b/>
      <sz val="18"/>
      <color indexed="8"/>
      <name val="Calibri"/>
      <family val="2"/>
    </font>
    <font>
      <b/>
      <sz val="14"/>
      <color indexed="8"/>
      <name val="Calibri"/>
      <family val="2"/>
    </font>
    <font>
      <u/>
      <sz val="11"/>
      <color indexed="8"/>
      <name val="Calibri"/>
      <family val="2"/>
    </font>
    <font>
      <b/>
      <sz val="10"/>
      <color indexed="12"/>
      <name val="Arial"/>
      <family val="2"/>
    </font>
    <font>
      <sz val="11"/>
      <name val="Arial"/>
      <family val="2"/>
    </font>
    <font>
      <b/>
      <sz val="12"/>
      <color indexed="10"/>
      <name val="Arial"/>
      <family val="2"/>
    </font>
    <font>
      <sz val="10"/>
      <color indexed="10"/>
      <name val="Arial"/>
      <family val="2"/>
    </font>
    <font>
      <i/>
      <sz val="12"/>
      <name val="Calibri"/>
      <family val="2"/>
    </font>
    <font>
      <i/>
      <u/>
      <sz val="12"/>
      <name val="Calibri"/>
      <family val="2"/>
    </font>
    <font>
      <u/>
      <sz val="10"/>
      <name val="Arial"/>
      <family val="2"/>
    </font>
    <font>
      <sz val="14"/>
      <color indexed="9"/>
      <name val="Arial"/>
      <family val="2"/>
    </font>
    <font>
      <sz val="12"/>
      <name val="Arial"/>
      <family val="2"/>
    </font>
    <font>
      <sz val="8"/>
      <name val="Arial"/>
      <family val="2"/>
    </font>
    <font>
      <sz val="10"/>
      <name val="Calibri"/>
      <family val="2"/>
    </font>
    <font>
      <b/>
      <sz val="9"/>
      <color indexed="8"/>
      <name val="Tahoma"/>
      <family val="2"/>
    </font>
    <font>
      <sz val="9"/>
      <color indexed="8"/>
      <name val="Tahoma"/>
      <family val="2"/>
    </font>
    <font>
      <b/>
      <sz val="9"/>
      <name val="Arial"/>
      <family val="2"/>
    </font>
    <font>
      <b/>
      <sz val="8"/>
      <name val="Arial"/>
      <family val="2"/>
    </font>
    <font>
      <sz val="8"/>
      <name val="Calibri"/>
      <family val="2"/>
    </font>
    <font>
      <b/>
      <sz val="7"/>
      <name val="Arial"/>
      <family val="2"/>
    </font>
    <font>
      <sz val="10"/>
      <color indexed="8"/>
      <name val="Arial"/>
      <family val="2"/>
    </font>
    <font>
      <sz val="10"/>
      <color indexed="9"/>
      <name val="Arial"/>
      <family val="2"/>
    </font>
    <font>
      <sz val="10"/>
      <color indexed="22"/>
      <name val="Arial"/>
      <family val="2"/>
    </font>
    <font>
      <b/>
      <sz val="10"/>
      <color indexed="8"/>
      <name val="Arial"/>
      <family val="2"/>
    </font>
    <font>
      <b/>
      <sz val="12"/>
      <color indexed="8"/>
      <name val="Arial"/>
      <family val="2"/>
    </font>
    <font>
      <sz val="10"/>
      <name val="Arial Narrow"/>
      <family val="2"/>
    </font>
    <font>
      <sz val="11"/>
      <color indexed="10"/>
      <name val="Arial"/>
      <family val="2"/>
    </font>
    <font>
      <b/>
      <i/>
      <sz val="10"/>
      <name val="Arial"/>
      <family val="2"/>
    </font>
    <font>
      <b/>
      <sz val="9"/>
      <color indexed="8"/>
      <name val="Segoe UI"/>
      <family val="2"/>
    </font>
    <font>
      <i/>
      <sz val="8"/>
      <name val="Arial"/>
      <family val="2"/>
    </font>
    <font>
      <sz val="10"/>
      <name val="Arial"/>
      <family val="2"/>
    </font>
    <font>
      <b/>
      <sz val="14"/>
      <name val="Arial"/>
      <family val="2"/>
    </font>
    <font>
      <sz val="14"/>
      <name val="Arial"/>
      <family val="2"/>
    </font>
    <font>
      <b/>
      <sz val="8"/>
      <color indexed="10"/>
      <name val="Calibri"/>
      <family val="2"/>
    </font>
    <font>
      <b/>
      <sz val="11"/>
      <color indexed="10"/>
      <name val="Calibri"/>
      <family val="2"/>
    </font>
    <font>
      <u/>
      <sz val="10"/>
      <color theme="10"/>
      <name val="Arial"/>
      <family val="2"/>
    </font>
    <font>
      <sz val="10"/>
      <color theme="0"/>
      <name val="Arial"/>
      <family val="2"/>
    </font>
    <font>
      <sz val="11"/>
      <name val="Arial Narrow"/>
      <family val="2"/>
    </font>
    <font>
      <sz val="10.5"/>
      <name val="Arial Narrow"/>
      <family val="2"/>
    </font>
    <font>
      <b/>
      <sz val="10.5"/>
      <name val="Arial Narrow"/>
      <family val="2"/>
    </font>
    <font>
      <b/>
      <sz val="10"/>
      <color indexed="9"/>
      <name val="Arial"/>
      <family val="2"/>
    </font>
    <font>
      <sz val="11"/>
      <color indexed="8"/>
      <name val="Calibri"/>
      <family val="2"/>
      <scheme val="minor"/>
    </font>
    <font>
      <b/>
      <sz val="12"/>
      <color rgb="FFFF0000"/>
      <name val="Arial"/>
      <family val="2"/>
    </font>
    <font>
      <sz val="9"/>
      <color rgb="FFFF0000"/>
      <name val="Arial Narrow"/>
      <family val="2"/>
    </font>
    <font>
      <sz val="10"/>
      <color theme="0" tint="-4.9989318521683403E-2"/>
      <name val="Arial"/>
      <family val="2"/>
    </font>
    <font>
      <sz val="1"/>
      <color theme="0" tint="-0.249977111117893"/>
      <name val="Arial"/>
      <family val="2"/>
    </font>
    <font>
      <sz val="10"/>
      <color theme="0" tint="-0.249977111117893"/>
      <name val="Arial"/>
      <family val="2"/>
    </font>
    <font>
      <b/>
      <sz val="11"/>
      <color rgb="FFFF0000"/>
      <name val="Arial"/>
      <family val="2"/>
    </font>
    <font>
      <b/>
      <sz val="10"/>
      <color rgb="FFFF0000"/>
      <name val="Arial"/>
      <family val="2"/>
    </font>
    <font>
      <sz val="10"/>
      <color rgb="FFFF0000"/>
      <name val="Arial"/>
      <family val="2"/>
    </font>
    <font>
      <b/>
      <sz val="10"/>
      <color theme="0" tint="-0.499984740745262"/>
      <name val="Arial"/>
      <family val="2"/>
    </font>
    <font>
      <sz val="7"/>
      <color rgb="FFFF0000"/>
      <name val="Arial"/>
      <family val="2"/>
    </font>
    <font>
      <sz val="8"/>
      <color rgb="FF000000"/>
      <name val="Segoe UI"/>
      <family val="2"/>
    </font>
    <font>
      <sz val="5"/>
      <color rgb="FFFF0000"/>
      <name val="Arial"/>
      <family val="2"/>
    </font>
    <font>
      <sz val="11"/>
      <color rgb="FFFF0000"/>
      <name val="Arial"/>
      <family val="2"/>
    </font>
  </fonts>
  <fills count="33">
    <fill>
      <patternFill patternType="none"/>
    </fill>
    <fill>
      <patternFill patternType="gray125"/>
    </fill>
    <fill>
      <patternFill patternType="solid">
        <fgColor indexed="27"/>
        <bgColor indexed="41"/>
      </patternFill>
    </fill>
    <fill>
      <patternFill patternType="solid">
        <fgColor indexed="47"/>
        <bgColor indexed="42"/>
      </patternFill>
    </fill>
    <fill>
      <patternFill patternType="solid">
        <fgColor indexed="42"/>
        <bgColor indexed="31"/>
      </patternFill>
    </fill>
    <fill>
      <patternFill patternType="solid">
        <fgColor indexed="26"/>
        <bgColor indexed="9"/>
      </patternFill>
    </fill>
    <fill>
      <patternFill patternType="solid">
        <fgColor indexed="43"/>
        <bgColor indexed="26"/>
      </patternFill>
    </fill>
    <fill>
      <patternFill patternType="solid">
        <fgColor indexed="24"/>
        <bgColor indexed="46"/>
      </patternFill>
    </fill>
    <fill>
      <patternFill patternType="solid">
        <fgColor indexed="22"/>
        <bgColor indexed="44"/>
      </patternFill>
    </fill>
    <fill>
      <patternFill patternType="solid">
        <fgColor indexed="49"/>
        <bgColor indexed="40"/>
      </patternFill>
    </fill>
    <fill>
      <patternFill patternType="solid">
        <fgColor indexed="57"/>
        <bgColor indexed="21"/>
      </patternFill>
    </fill>
    <fill>
      <patternFill patternType="solid">
        <fgColor indexed="9"/>
        <bgColor indexed="41"/>
      </patternFill>
    </fill>
    <fill>
      <patternFill patternType="solid">
        <fgColor indexed="55"/>
        <bgColor indexed="46"/>
      </patternFill>
    </fill>
    <fill>
      <patternFill patternType="solid">
        <fgColor indexed="53"/>
        <bgColor indexed="52"/>
      </patternFill>
    </fill>
    <fill>
      <patternFill patternType="solid">
        <fgColor indexed="51"/>
        <bgColor indexed="13"/>
      </patternFill>
    </fill>
    <fill>
      <patternFill patternType="solid">
        <fgColor indexed="62"/>
        <bgColor indexed="56"/>
      </patternFill>
    </fill>
    <fill>
      <patternFill patternType="solid">
        <fgColor indexed="31"/>
        <bgColor indexed="42"/>
      </patternFill>
    </fill>
    <fill>
      <patternFill patternType="solid">
        <fgColor indexed="23"/>
        <bgColor indexed="55"/>
      </patternFill>
    </fill>
    <fill>
      <patternFill patternType="solid">
        <fgColor indexed="44"/>
        <bgColor indexed="22"/>
      </patternFill>
    </fill>
    <fill>
      <patternFill patternType="solid">
        <fgColor indexed="41"/>
        <bgColor indexed="9"/>
      </patternFill>
    </fill>
    <fill>
      <patternFill patternType="solid">
        <fgColor indexed="22"/>
        <bgColor indexed="64"/>
      </patternFill>
    </fill>
    <fill>
      <patternFill patternType="lightUp"/>
    </fill>
    <fill>
      <patternFill patternType="lightUp">
        <fgColor indexed="22"/>
      </patternFill>
    </fill>
    <fill>
      <patternFill patternType="lightUp">
        <bgColor indexed="42"/>
      </patternFill>
    </fill>
    <fill>
      <patternFill patternType="lightUp">
        <fgColor indexed="31"/>
      </patternFill>
    </fill>
    <fill>
      <patternFill patternType="solid">
        <fgColor rgb="FF99CCFF"/>
        <bgColor indexed="64"/>
      </patternFill>
    </fill>
    <fill>
      <patternFill patternType="solid">
        <fgColor rgb="FF99CCFF"/>
        <bgColor indexed="26"/>
      </patternFill>
    </fill>
    <fill>
      <patternFill patternType="solid">
        <bgColor indexed="49"/>
      </patternFill>
    </fill>
    <fill>
      <patternFill patternType="solid">
        <fgColor theme="0" tint="-4.9989318521683403E-2"/>
        <bgColor indexed="64"/>
      </patternFill>
    </fill>
    <fill>
      <patternFill patternType="solid">
        <fgColor rgb="FFC0C0C0"/>
        <bgColor indexed="64"/>
      </patternFill>
    </fill>
    <fill>
      <patternFill patternType="solid">
        <fgColor theme="0" tint="-0.249977111117893"/>
        <bgColor indexed="64"/>
      </patternFill>
    </fill>
    <fill>
      <patternFill patternType="solid">
        <fgColor theme="0" tint="-0.14999847407452621"/>
        <bgColor indexed="22"/>
      </patternFill>
    </fill>
    <fill>
      <patternFill patternType="solid">
        <fgColor theme="0" tint="-0.14999847407452621"/>
        <bgColor indexed="64"/>
      </patternFill>
    </fill>
  </fills>
  <borders count="1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44"/>
      </left>
      <right style="thin">
        <color indexed="44"/>
      </right>
      <top style="thin">
        <color indexed="44"/>
      </top>
      <bottom style="thin">
        <color indexed="44"/>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4"/>
      </bottom>
      <diagonal/>
    </border>
    <border>
      <left/>
      <right/>
      <top/>
      <bottom style="medium">
        <color indexed="24"/>
      </bottom>
      <diagonal/>
    </border>
    <border>
      <left/>
      <right/>
      <top style="thin">
        <color indexed="49"/>
      </top>
      <bottom style="double">
        <color indexed="49"/>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bottom style="thin">
        <color indexed="8"/>
      </bottom>
      <diagonal/>
    </border>
    <border>
      <left style="medium">
        <color indexed="8"/>
      </left>
      <right style="hair">
        <color indexed="8"/>
      </right>
      <top style="medium">
        <color indexed="8"/>
      </top>
      <bottom style="hair">
        <color indexed="8"/>
      </bottom>
      <diagonal/>
    </border>
    <border>
      <left/>
      <right style="medium">
        <color indexed="8"/>
      </right>
      <top style="medium">
        <color indexed="8"/>
      </top>
      <bottom style="hair">
        <color indexed="8"/>
      </bottom>
      <diagonal/>
    </border>
    <border>
      <left style="medium">
        <color indexed="8"/>
      </left>
      <right style="hair">
        <color indexed="8"/>
      </right>
      <top/>
      <bottom style="hair">
        <color indexed="8"/>
      </bottom>
      <diagonal/>
    </border>
    <border>
      <left/>
      <right style="medium">
        <color indexed="8"/>
      </right>
      <top/>
      <bottom style="hair">
        <color indexed="8"/>
      </bottom>
      <diagonal/>
    </border>
    <border>
      <left style="medium">
        <color indexed="8"/>
      </left>
      <right style="hair">
        <color indexed="8"/>
      </right>
      <top style="hair">
        <color indexed="8"/>
      </top>
      <bottom style="hair">
        <color indexed="8"/>
      </bottom>
      <diagonal/>
    </border>
    <border>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right style="medium">
        <color indexed="8"/>
      </right>
      <top/>
      <bottom style="medium">
        <color indexed="8"/>
      </bottom>
      <diagonal/>
    </border>
    <border>
      <left style="medium">
        <color indexed="8"/>
      </left>
      <right style="hair">
        <color indexed="8"/>
      </right>
      <top style="medium">
        <color indexed="8"/>
      </top>
      <bottom/>
      <diagonal/>
    </border>
    <border>
      <left style="hair">
        <color indexed="8"/>
      </left>
      <right style="medium">
        <color indexed="8"/>
      </right>
      <top style="medium">
        <color indexed="8"/>
      </top>
      <bottom/>
      <diagonal/>
    </border>
    <border>
      <left style="hair">
        <color indexed="8"/>
      </left>
      <right style="medium">
        <color indexed="8"/>
      </right>
      <top style="hair">
        <color indexed="8"/>
      </top>
      <bottom style="hair">
        <color indexed="8"/>
      </bottom>
      <diagonal/>
    </border>
    <border>
      <left style="medium">
        <color indexed="8"/>
      </left>
      <right style="hair">
        <color indexed="8"/>
      </right>
      <top style="hair">
        <color indexed="8"/>
      </top>
      <bottom style="medium">
        <color indexed="8"/>
      </bottom>
      <diagonal/>
    </border>
    <border>
      <left style="hair">
        <color indexed="8"/>
      </left>
      <right style="medium">
        <color indexed="8"/>
      </right>
      <top style="hair">
        <color indexed="8"/>
      </top>
      <bottom style="medium">
        <color indexed="8"/>
      </bottom>
      <diagonal/>
    </border>
    <border>
      <left/>
      <right style="medium">
        <color indexed="8"/>
      </right>
      <top style="hair">
        <color indexed="8"/>
      </top>
      <bottom style="medium">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style="thin">
        <color indexed="8"/>
      </left>
      <right/>
      <top/>
      <bottom style="hair">
        <color indexed="8"/>
      </bottom>
      <diagonal/>
    </border>
    <border>
      <left style="thin">
        <color indexed="8"/>
      </left>
      <right style="thin">
        <color indexed="8"/>
      </right>
      <top/>
      <bottom style="hair">
        <color indexed="8"/>
      </bottom>
      <diagonal/>
    </border>
    <border>
      <left style="thin">
        <color indexed="8"/>
      </left>
      <right style="hair">
        <color indexed="8"/>
      </right>
      <top style="thin">
        <color indexed="8"/>
      </top>
      <bottom style="thin">
        <color indexed="8"/>
      </bottom>
      <diagonal/>
    </border>
    <border>
      <left style="thin">
        <color indexed="8"/>
      </left>
      <right/>
      <top style="hair">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thin">
        <color indexed="8"/>
      </right>
      <top style="hair">
        <color indexed="8"/>
      </top>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hair">
        <color indexed="8"/>
      </left>
      <right style="hair">
        <color indexed="8"/>
      </right>
      <top style="thin">
        <color indexed="8"/>
      </top>
      <bottom/>
      <diagonal/>
    </border>
    <border>
      <left style="thin">
        <color indexed="8"/>
      </left>
      <right style="hair">
        <color indexed="8"/>
      </right>
      <top style="thin">
        <color indexed="8"/>
      </top>
      <bottom/>
      <diagonal/>
    </border>
    <border>
      <left style="hair">
        <color indexed="8"/>
      </left>
      <right style="thin">
        <color indexed="8"/>
      </right>
      <top style="thin">
        <color indexed="8"/>
      </top>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hair">
        <color indexed="8"/>
      </right>
      <top/>
      <bottom style="thin">
        <color indexed="8"/>
      </bottom>
      <diagonal/>
    </border>
    <border>
      <left style="thin">
        <color indexed="8"/>
      </left>
      <right style="hair">
        <color indexed="8"/>
      </right>
      <top/>
      <bottom style="thin">
        <color indexed="8"/>
      </bottom>
      <diagonal/>
    </border>
    <border>
      <left style="hair">
        <color indexed="8"/>
      </left>
      <right style="thin">
        <color indexed="8"/>
      </right>
      <top/>
      <bottom style="thin">
        <color indexed="8"/>
      </bottom>
      <diagonal/>
    </border>
    <border>
      <left style="hair">
        <color indexed="8"/>
      </left>
      <right style="hair">
        <color indexed="8"/>
      </right>
      <top style="thin">
        <color indexed="8"/>
      </top>
      <bottom style="hair">
        <color indexed="55"/>
      </bottom>
      <diagonal/>
    </border>
    <border>
      <left style="thin">
        <color indexed="8"/>
      </left>
      <right/>
      <top style="hair">
        <color indexed="8"/>
      </top>
      <bottom/>
      <diagonal/>
    </border>
    <border>
      <left/>
      <right/>
      <top style="hair">
        <color indexed="8"/>
      </top>
      <bottom/>
      <diagonal/>
    </border>
    <border>
      <left/>
      <right style="thin">
        <color indexed="8"/>
      </right>
      <top style="hair">
        <color indexed="8"/>
      </top>
      <bottom/>
      <diagonal/>
    </border>
    <border>
      <left/>
      <right/>
      <top/>
      <bottom style="hair">
        <color indexed="8"/>
      </bottom>
      <diagonal/>
    </border>
    <border>
      <left/>
      <right style="hair">
        <color indexed="8"/>
      </right>
      <top/>
      <bottom style="thin">
        <color indexed="8"/>
      </bottom>
      <diagonal/>
    </border>
    <border>
      <left style="thin">
        <color indexed="8"/>
      </left>
      <right/>
      <top style="thin">
        <color indexed="8"/>
      </top>
      <bottom style="hair">
        <color indexed="8"/>
      </bottom>
      <diagonal/>
    </border>
    <border>
      <left/>
      <right style="thin">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right style="thin">
        <color indexed="8"/>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style="thin">
        <color indexed="8"/>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top style="thin">
        <color indexed="8"/>
      </top>
      <bottom/>
      <diagonal/>
    </border>
    <border>
      <left/>
      <right style="thin">
        <color indexed="8"/>
      </right>
      <top/>
      <bottom style="hair">
        <color indexed="8"/>
      </bottom>
      <diagonal/>
    </border>
    <border>
      <left style="thin">
        <color indexed="8"/>
      </left>
      <right style="thin">
        <color indexed="8"/>
      </right>
      <top style="thin">
        <color indexed="8"/>
      </top>
      <bottom style="hair">
        <color indexed="8"/>
      </bottom>
      <diagonal/>
    </border>
    <border>
      <left/>
      <right/>
      <top style="thin">
        <color indexed="8"/>
      </top>
      <bottom style="hair">
        <color indexed="8"/>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8"/>
      </right>
      <top style="hair">
        <color indexed="8"/>
      </top>
      <bottom/>
      <diagonal/>
    </border>
    <border>
      <left style="medium">
        <color indexed="64"/>
      </left>
      <right style="hair">
        <color indexed="8"/>
      </right>
      <top style="medium">
        <color indexed="64"/>
      </top>
      <bottom style="medium">
        <color indexed="64"/>
      </bottom>
      <diagonal/>
    </border>
    <border>
      <left style="hair">
        <color indexed="8"/>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right/>
      <top/>
      <bottom style="thin">
        <color indexed="23"/>
      </bottom>
      <diagonal/>
    </border>
    <border>
      <left style="thin">
        <color indexed="8"/>
      </left>
      <right/>
      <top/>
      <bottom style="thin">
        <color indexed="64"/>
      </bottom>
      <diagonal/>
    </border>
    <border>
      <left style="thin">
        <color indexed="23"/>
      </left>
      <right style="hair">
        <color indexed="64"/>
      </right>
      <top style="thin">
        <color indexed="23"/>
      </top>
      <bottom style="thin">
        <color indexed="23"/>
      </bottom>
      <diagonal/>
    </border>
    <border>
      <left style="thin">
        <color indexed="23"/>
      </left>
      <right/>
      <top style="thin">
        <color indexed="23"/>
      </top>
      <bottom/>
      <diagonal/>
    </border>
    <border>
      <left style="thin">
        <color indexed="64"/>
      </left>
      <right/>
      <top style="thin">
        <color indexed="64"/>
      </top>
      <bottom style="thin">
        <color indexed="64"/>
      </bottom>
      <diagonal/>
    </border>
    <border>
      <left style="thin">
        <color indexed="23"/>
      </left>
      <right/>
      <top/>
      <bottom style="thin">
        <color indexed="23"/>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bottom style="thin">
        <color indexed="64"/>
      </bottom>
      <diagonal/>
    </border>
    <border>
      <left/>
      <right/>
      <top style="medium">
        <color indexed="64"/>
      </top>
      <bottom style="medium">
        <color indexed="64"/>
      </bottom>
      <diagonal/>
    </border>
    <border>
      <left style="thin">
        <color indexed="8"/>
      </left>
      <right/>
      <top style="hair">
        <color indexed="8"/>
      </top>
      <bottom style="thin">
        <color indexed="64"/>
      </bottom>
      <diagonal/>
    </border>
    <border>
      <left/>
      <right/>
      <top style="hair">
        <color indexed="8"/>
      </top>
      <bottom style="thin">
        <color indexed="64"/>
      </bottom>
      <diagonal/>
    </border>
    <border>
      <left/>
      <right style="hair">
        <color indexed="8"/>
      </right>
      <top style="hair">
        <color indexed="8"/>
      </top>
      <bottom style="thin">
        <color indexed="8"/>
      </bottom>
      <diagonal/>
    </border>
    <border>
      <left/>
      <right style="hair">
        <color indexed="64"/>
      </right>
      <top/>
      <bottom/>
      <diagonal/>
    </border>
    <border>
      <left style="hair">
        <color indexed="8"/>
      </left>
      <right style="hair">
        <color indexed="8"/>
      </right>
      <top style="hair">
        <color indexed="55"/>
      </top>
      <bottom style="hair">
        <color indexed="64"/>
      </bottom>
      <diagonal/>
    </border>
    <border>
      <left style="hair">
        <color indexed="8"/>
      </left>
      <right/>
      <top style="thin">
        <color indexed="8"/>
      </top>
      <bottom/>
      <diagonal/>
    </border>
    <border>
      <left style="hair">
        <color indexed="8"/>
      </left>
      <right/>
      <top/>
      <bottom style="thin">
        <color indexed="8"/>
      </bottom>
      <diagonal/>
    </border>
    <border>
      <left style="hair">
        <color indexed="8"/>
      </left>
      <right/>
      <top style="thin">
        <color indexed="8"/>
      </top>
      <bottom style="hair">
        <color indexed="8"/>
      </bottom>
      <diagonal/>
    </border>
    <border>
      <left style="thin">
        <color indexed="23"/>
      </left>
      <right/>
      <top/>
      <bottom/>
      <diagonal/>
    </border>
    <border>
      <left/>
      <right/>
      <top style="thin">
        <color theme="0" tint="-0.499984740745262"/>
      </top>
      <bottom/>
      <diagonal/>
    </border>
    <border>
      <left style="thin">
        <color theme="0" tint="-0.499984740745262"/>
      </left>
      <right/>
      <top/>
      <bottom/>
      <diagonal/>
    </border>
    <border>
      <left style="thin">
        <color theme="0" tint="-0.499984740745262"/>
      </left>
      <right/>
      <top style="thin">
        <color theme="0" tint="-0.499984740745262"/>
      </top>
      <bottom/>
      <diagonal/>
    </border>
    <border>
      <left style="thin">
        <color indexed="64"/>
      </left>
      <right style="thin">
        <color indexed="64"/>
      </right>
      <top style="thin">
        <color indexed="64"/>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auto="1"/>
      </top>
      <bottom/>
      <diagonal/>
    </border>
    <border>
      <left/>
      <right style="thin">
        <color indexed="8"/>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bottom/>
      <diagonal/>
    </border>
    <border>
      <left style="thin">
        <color indexed="8"/>
      </left>
      <right style="thin">
        <color indexed="64"/>
      </right>
      <top/>
      <bottom/>
      <diagonal/>
    </border>
    <border>
      <left style="thin">
        <color indexed="64"/>
      </left>
      <right style="thin">
        <color indexed="64"/>
      </right>
      <top style="thin">
        <color auto="1"/>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n">
        <color auto="1"/>
      </bottom>
      <diagonal/>
    </border>
  </borders>
  <cellStyleXfs count="51">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2" fillId="7"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3" fillId="2" borderId="0" applyNumberFormat="0" applyBorder="0" applyAlignment="0" applyProtection="0"/>
    <xf numFmtId="0" fontId="4" fillId="11" borderId="1" applyNumberFormat="0" applyAlignment="0" applyProtection="0"/>
    <xf numFmtId="0" fontId="5" fillId="12" borderId="2" applyNumberFormat="0" applyAlignment="0" applyProtection="0"/>
    <xf numFmtId="0" fontId="6" fillId="0" borderId="3" applyNumberFormat="0" applyFill="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7" fillId="3" borderId="1" applyNumberFormat="0" applyAlignment="0" applyProtection="0"/>
    <xf numFmtId="0" fontId="61" fillId="0" borderId="0" applyNumberFormat="0" applyFill="0" applyBorder="0" applyAlignment="0" applyProtection="0"/>
    <xf numFmtId="180" fontId="56" fillId="0" borderId="0" applyFill="0" applyBorder="0" applyAlignment="0" applyProtection="0"/>
    <xf numFmtId="164" fontId="56" fillId="0" borderId="0" applyFill="0" applyBorder="0" applyAlignment="0" applyProtection="0"/>
    <xf numFmtId="0" fontId="56" fillId="0" borderId="0"/>
    <xf numFmtId="0" fontId="1" fillId="0" borderId="0"/>
    <xf numFmtId="0" fontId="8" fillId="0" borderId="0"/>
    <xf numFmtId="0" fontId="56" fillId="5" borderId="4" applyNumberFormat="0" applyAlignment="0" applyProtection="0"/>
    <xf numFmtId="9" fontId="56" fillId="0" borderId="0" applyFill="0" applyBorder="0" applyAlignment="0" applyProtection="0"/>
    <xf numFmtId="9" fontId="56" fillId="0" borderId="0" applyFill="0" applyBorder="0" applyAlignment="0" applyProtection="0"/>
    <xf numFmtId="0" fontId="9" fillId="11" borderId="5"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6" applyNumberFormat="0" applyFill="0" applyAlignment="0" applyProtection="0"/>
    <xf numFmtId="0" fontId="14" fillId="0" borderId="7" applyNumberFormat="0" applyFill="0" applyAlignment="0" applyProtection="0"/>
    <xf numFmtId="0" fontId="15"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2" fillId="0" borderId="9" applyNumberFormat="0" applyFill="0" applyAlignment="0" applyProtection="0"/>
    <xf numFmtId="171" fontId="56" fillId="0" borderId="0" applyFill="0" applyBorder="0" applyAlignment="0" applyProtection="0"/>
    <xf numFmtId="165" fontId="56" fillId="0" borderId="0" applyFill="0" applyBorder="0" applyAlignment="0" applyProtection="0"/>
    <xf numFmtId="0" fontId="67" fillId="0" borderId="0"/>
  </cellStyleXfs>
  <cellXfs count="862">
    <xf numFmtId="0" fontId="0" fillId="0" borderId="0" xfId="0"/>
    <xf numFmtId="0" fontId="0" fillId="0" borderId="10" xfId="0" applyBorder="1"/>
    <xf numFmtId="0" fontId="0" fillId="0" borderId="11" xfId="0" applyBorder="1"/>
    <xf numFmtId="0" fontId="0" fillId="0" borderId="0" xfId="0" applyAlignment="1">
      <alignment vertical="center"/>
    </xf>
    <xf numFmtId="0" fontId="0" fillId="0" borderId="12" xfId="0" applyBorder="1"/>
    <xf numFmtId="0" fontId="0" fillId="6" borderId="0" xfId="0" applyFill="1"/>
    <xf numFmtId="0" fontId="0" fillId="16" borderId="0" xfId="0" applyFill="1" applyAlignment="1">
      <alignment vertical="center"/>
    </xf>
    <xf numFmtId="0" fontId="0" fillId="0" borderId="0" xfId="0" applyAlignment="1">
      <alignment horizontal="center"/>
    </xf>
    <xf numFmtId="0" fontId="23" fillId="0" borderId="0" xfId="0" applyFont="1" applyAlignment="1">
      <alignment vertical="center"/>
    </xf>
    <xf numFmtId="0" fontId="24" fillId="0" borderId="0" xfId="0" applyFont="1"/>
    <xf numFmtId="0" fontId="24" fillId="0" borderId="13" xfId="0" applyFont="1" applyBorder="1" applyAlignment="1">
      <alignment horizontal="left"/>
    </xf>
    <xf numFmtId="0" fontId="24" fillId="0" borderId="13" xfId="0" applyFont="1" applyBorder="1" applyAlignment="1">
      <alignment horizontal="center"/>
    </xf>
    <xf numFmtId="0" fontId="0" fillId="0" borderId="0" xfId="0" applyAlignment="1">
      <alignment horizontal="left"/>
    </xf>
    <xf numFmtId="0" fontId="0" fillId="0" borderId="14" xfId="0" applyBorder="1" applyAlignment="1">
      <alignment vertical="center"/>
    </xf>
    <xf numFmtId="0" fontId="0" fillId="16" borderId="15" xfId="0" applyFill="1" applyBorder="1" applyAlignment="1" applyProtection="1">
      <alignment vertical="center"/>
      <protection locked="0"/>
    </xf>
    <xf numFmtId="0" fontId="0" fillId="0" borderId="16" xfId="0" applyBorder="1" applyAlignment="1">
      <alignment vertical="center"/>
    </xf>
    <xf numFmtId="49" fontId="0" fillId="6" borderId="17" xfId="0" applyNumberFormat="1" applyFill="1" applyBorder="1" applyAlignment="1" applyProtection="1">
      <alignment vertical="center"/>
      <protection locked="0"/>
    </xf>
    <xf numFmtId="0" fontId="0" fillId="0" borderId="18" xfId="0" applyBorder="1" applyAlignment="1">
      <alignment vertical="center"/>
    </xf>
    <xf numFmtId="49" fontId="0" fillId="6" borderId="19" xfId="0" applyNumberFormat="1" applyFill="1" applyBorder="1" applyAlignment="1" applyProtection="1">
      <alignment vertical="center"/>
      <protection locked="0"/>
    </xf>
    <xf numFmtId="4" fontId="0" fillId="6" borderId="19" xfId="0" applyNumberFormat="1" applyFill="1" applyBorder="1" applyAlignment="1" applyProtection="1">
      <alignment horizontal="left" vertical="center"/>
      <protection locked="0"/>
    </xf>
    <xf numFmtId="10" fontId="0" fillId="6" borderId="19" xfId="0" applyNumberFormat="1" applyFill="1" applyBorder="1" applyAlignment="1" applyProtection="1">
      <alignment horizontal="left" vertical="center"/>
      <protection locked="0"/>
    </xf>
    <xf numFmtId="0" fontId="0" fillId="0" borderId="20" xfId="0" applyBorder="1" applyAlignment="1">
      <alignment vertical="center"/>
    </xf>
    <xf numFmtId="10" fontId="0" fillId="6" borderId="21" xfId="0" applyNumberFormat="1" applyFill="1" applyBorder="1" applyAlignment="1" applyProtection="1">
      <alignment horizontal="left" vertical="center"/>
      <protection locked="0"/>
    </xf>
    <xf numFmtId="10" fontId="0" fillId="0" borderId="0" xfId="0" applyNumberFormat="1" applyAlignment="1">
      <alignment horizontal="left" vertical="center"/>
    </xf>
    <xf numFmtId="0" fontId="0" fillId="0" borderId="22" xfId="0" applyBorder="1" applyAlignment="1">
      <alignment vertical="center"/>
    </xf>
    <xf numFmtId="49" fontId="0" fillId="6" borderId="23" xfId="0" applyNumberFormat="1" applyFill="1" applyBorder="1" applyAlignment="1" applyProtection="1">
      <alignment vertical="center" wrapText="1"/>
      <protection locked="0"/>
    </xf>
    <xf numFmtId="49" fontId="0" fillId="6" borderId="24" xfId="0" applyNumberFormat="1" applyFill="1" applyBorder="1" applyAlignment="1" applyProtection="1">
      <alignment vertical="center" wrapText="1"/>
      <protection locked="0"/>
    </xf>
    <xf numFmtId="0" fontId="0" fillId="16" borderId="24" xfId="0" applyFill="1" applyBorder="1" applyAlignment="1" applyProtection="1">
      <alignment vertical="center"/>
      <protection locked="0"/>
    </xf>
    <xf numFmtId="0" fontId="0" fillId="0" borderId="25" xfId="0" applyBorder="1" applyAlignment="1">
      <alignment vertical="center"/>
    </xf>
    <xf numFmtId="166" fontId="0" fillId="6" borderId="21" xfId="0" applyNumberFormat="1" applyFill="1" applyBorder="1" applyAlignment="1" applyProtection="1">
      <alignment horizontal="left" vertical="center"/>
      <protection locked="0"/>
    </xf>
    <xf numFmtId="4" fontId="0" fillId="0" borderId="0" xfId="0" applyNumberFormat="1" applyAlignment="1">
      <alignment vertical="center"/>
    </xf>
    <xf numFmtId="14" fontId="0" fillId="6" borderId="21" xfId="0" applyNumberFormat="1" applyFill="1" applyBorder="1" applyAlignment="1" applyProtection="1">
      <alignment horizontal="left" vertical="center"/>
      <protection locked="0"/>
    </xf>
    <xf numFmtId="0" fontId="0" fillId="6" borderId="15" xfId="0" applyFill="1" applyBorder="1" applyAlignment="1" applyProtection="1">
      <alignment vertical="center"/>
      <protection locked="0"/>
    </xf>
    <xf numFmtId="0" fontId="0" fillId="6" borderId="21" xfId="0" applyFill="1" applyBorder="1" applyAlignment="1" applyProtection="1">
      <alignment vertical="center"/>
      <protection locked="0"/>
    </xf>
    <xf numFmtId="14" fontId="0" fillId="6" borderId="15" xfId="0" applyNumberFormat="1" applyFill="1" applyBorder="1" applyAlignment="1" applyProtection="1">
      <alignment horizontal="left" vertical="center"/>
      <protection locked="0"/>
    </xf>
    <xf numFmtId="166" fontId="0" fillId="6" borderId="26" xfId="0" applyNumberFormat="1" applyFill="1" applyBorder="1" applyAlignment="1" applyProtection="1">
      <alignment horizontal="left" vertical="center"/>
      <protection locked="0"/>
    </xf>
    <xf numFmtId="14" fontId="0" fillId="6" borderId="27" xfId="0" applyNumberFormat="1" applyFill="1" applyBorder="1" applyAlignment="1" applyProtection="1">
      <alignment horizontal="left" vertical="center"/>
      <protection locked="0"/>
    </xf>
    <xf numFmtId="49" fontId="0" fillId="6" borderId="15" xfId="0" applyNumberFormat="1" applyFill="1" applyBorder="1" applyAlignment="1" applyProtection="1">
      <alignment vertical="center"/>
      <protection locked="0"/>
    </xf>
    <xf numFmtId="49" fontId="0" fillId="6" borderId="27" xfId="0" applyNumberFormat="1" applyFill="1" applyBorder="1" applyAlignment="1" applyProtection="1">
      <alignment vertical="center"/>
      <protection locked="0"/>
    </xf>
    <xf numFmtId="49" fontId="0" fillId="6" borderId="21" xfId="0" applyNumberFormat="1" applyFill="1" applyBorder="1" applyAlignment="1" applyProtection="1">
      <alignment vertical="center"/>
      <protection locked="0"/>
    </xf>
    <xf numFmtId="0" fontId="26" fillId="0" borderId="12" xfId="0" applyFont="1" applyBorder="1" applyAlignment="1">
      <alignment horizontal="left"/>
    </xf>
    <xf numFmtId="0" fontId="0" fillId="0" borderId="28" xfId="0" applyBorder="1"/>
    <xf numFmtId="0" fontId="27" fillId="0" borderId="29" xfId="0" applyFont="1" applyBorder="1" applyAlignment="1">
      <alignment horizontal="left" indent="1"/>
    </xf>
    <xf numFmtId="0" fontId="0" fillId="0" borderId="29" xfId="0" applyBorder="1" applyAlignment="1">
      <alignment vertical="center"/>
    </xf>
    <xf numFmtId="0" fontId="28" fillId="0" borderId="12" xfId="0" applyFont="1" applyBorder="1"/>
    <xf numFmtId="0" fontId="27" fillId="0" borderId="0" xfId="0" applyFont="1" applyAlignment="1">
      <alignment horizontal="left" indent="1"/>
    </xf>
    <xf numFmtId="0" fontId="12" fillId="0" borderId="0" xfId="0" applyFont="1" applyAlignment="1">
      <alignment horizontal="left" indent="1"/>
    </xf>
    <xf numFmtId="0" fontId="12" fillId="0" borderId="0" xfId="0" applyFont="1" applyAlignment="1">
      <alignment horizontal="left" vertical="top" indent="1"/>
    </xf>
    <xf numFmtId="0" fontId="0" fillId="0" borderId="0" xfId="33" applyFont="1"/>
    <xf numFmtId="0" fontId="24" fillId="0" borderId="0" xfId="33" applyFont="1" applyAlignment="1">
      <alignment horizontal="center"/>
    </xf>
    <xf numFmtId="0" fontId="23" fillId="0" borderId="0" xfId="33" applyFont="1" applyAlignment="1">
      <alignment horizontal="center"/>
    </xf>
    <xf numFmtId="0" fontId="0" fillId="0" borderId="30" xfId="0" applyBorder="1" applyAlignment="1">
      <alignment horizontal="center"/>
    </xf>
    <xf numFmtId="0" fontId="24" fillId="0" borderId="31" xfId="33" applyFont="1" applyBorder="1" applyAlignment="1">
      <alignment horizontal="center"/>
    </xf>
    <xf numFmtId="10" fontId="29" fillId="0" borderId="31" xfId="33" applyNumberFormat="1" applyFont="1" applyBorder="1" applyAlignment="1">
      <alignment horizontal="center"/>
    </xf>
    <xf numFmtId="0" fontId="24" fillId="0" borderId="30" xfId="35" applyFont="1" applyBorder="1" applyAlignment="1">
      <alignment horizontal="left" vertical="top"/>
    </xf>
    <xf numFmtId="0" fontId="0" fillId="0" borderId="13" xfId="33" applyFont="1" applyBorder="1" applyAlignment="1">
      <alignment horizontal="left" vertical="top" wrapText="1"/>
    </xf>
    <xf numFmtId="0" fontId="24" fillId="0" borderId="0" xfId="33" applyFont="1"/>
    <xf numFmtId="0" fontId="24" fillId="0" borderId="31" xfId="33" applyFont="1" applyBorder="1" applyAlignment="1">
      <alignment horizontal="center" vertical="center" wrapText="1"/>
    </xf>
    <xf numFmtId="0" fontId="8" fillId="0" borderId="0" xfId="33" applyFont="1" applyAlignment="1">
      <alignment horizontal="left"/>
    </xf>
    <xf numFmtId="0" fontId="30" fillId="0" borderId="31" xfId="33" applyFont="1" applyBorder="1" applyAlignment="1">
      <alignment horizontal="center" vertical="center"/>
    </xf>
    <xf numFmtId="10" fontId="30" fillId="6" borderId="31" xfId="33" applyNumberFormat="1" applyFont="1" applyFill="1" applyBorder="1" applyAlignment="1" applyProtection="1">
      <alignment horizontal="center" vertical="center"/>
      <protection locked="0"/>
    </xf>
    <xf numFmtId="10" fontId="30" fillId="0" borderId="31" xfId="33" applyNumberFormat="1" applyFont="1" applyBorder="1" applyAlignment="1">
      <alignment horizontal="center" vertical="center"/>
    </xf>
    <xf numFmtId="10" fontId="30" fillId="0" borderId="31" xfId="33" applyNumberFormat="1" applyFont="1" applyBorder="1" applyAlignment="1">
      <alignment horizontal="center" vertical="center" wrapText="1"/>
    </xf>
    <xf numFmtId="0" fontId="30" fillId="0" borderId="31" xfId="33" applyFont="1" applyBorder="1" applyAlignment="1">
      <alignment horizontal="center" vertical="center" wrapText="1"/>
    </xf>
    <xf numFmtId="0" fontId="30" fillId="8" borderId="31" xfId="33" applyFont="1" applyFill="1" applyBorder="1" applyAlignment="1">
      <alignment horizontal="center" vertical="center" wrapText="1"/>
    </xf>
    <xf numFmtId="10" fontId="17" fillId="8" borderId="31" xfId="33" applyNumberFormat="1" applyFont="1" applyFill="1" applyBorder="1" applyAlignment="1">
      <alignment horizontal="center" vertical="center"/>
    </xf>
    <xf numFmtId="0" fontId="31" fillId="0" borderId="0" xfId="33" applyFont="1" applyAlignment="1">
      <alignment horizontal="right" vertical="center"/>
    </xf>
    <xf numFmtId="0" fontId="0" fillId="0" borderId="0" xfId="33" applyFont="1" applyAlignment="1">
      <alignment horizontal="center" vertical="top"/>
    </xf>
    <xf numFmtId="0" fontId="33" fillId="0" borderId="0" xfId="0" applyFont="1" applyAlignment="1">
      <alignment horizontal="right" vertical="center"/>
    </xf>
    <xf numFmtId="0" fontId="33" fillId="0" borderId="0" xfId="0" applyFont="1" applyAlignment="1">
      <alignment horizontal="left" vertical="center"/>
    </xf>
    <xf numFmtId="0" fontId="33" fillId="0" borderId="0" xfId="0" applyFont="1" applyAlignment="1">
      <alignment horizontal="center" vertical="top"/>
    </xf>
    <xf numFmtId="0" fontId="35" fillId="0" borderId="0" xfId="33" applyFont="1" applyAlignment="1">
      <alignment horizontal="center" vertical="top"/>
    </xf>
    <xf numFmtId="169" fontId="0" fillId="0" borderId="0" xfId="33" applyNumberFormat="1" applyFont="1"/>
    <xf numFmtId="0" fontId="24" fillId="0" borderId="10" xfId="33" applyFont="1" applyBorder="1" applyAlignment="1">
      <alignment horizontal="left"/>
    </xf>
    <xf numFmtId="0" fontId="0" fillId="0" borderId="10" xfId="33" applyFont="1" applyBorder="1"/>
    <xf numFmtId="0" fontId="30" fillId="0" borderId="0" xfId="33" applyFont="1"/>
    <xf numFmtId="0" fontId="24" fillId="0" borderId="0" xfId="35" applyFont="1" applyAlignment="1">
      <alignment horizontal="left" vertical="top"/>
    </xf>
    <xf numFmtId="0" fontId="0" fillId="0" borderId="0" xfId="33" applyFont="1" applyAlignment="1">
      <alignment vertical="top"/>
    </xf>
    <xf numFmtId="167" fontId="0" fillId="0" borderId="0" xfId="33" applyNumberFormat="1" applyFont="1"/>
    <xf numFmtId="167" fontId="0" fillId="0" borderId="0" xfId="33" applyNumberFormat="1" applyFont="1" applyAlignment="1">
      <alignment vertical="top"/>
    </xf>
    <xf numFmtId="0" fontId="36" fillId="0" borderId="0" xfId="0" applyFont="1" applyAlignment="1">
      <alignment vertical="center"/>
    </xf>
    <xf numFmtId="0" fontId="23" fillId="0" borderId="0" xfId="0" applyFont="1" applyAlignment="1">
      <alignment horizontal="left" vertical="center"/>
    </xf>
    <xf numFmtId="0" fontId="37" fillId="0" borderId="0" xfId="0" applyFont="1" applyAlignment="1">
      <alignment horizontal="left" vertical="center"/>
    </xf>
    <xf numFmtId="0" fontId="24" fillId="0" borderId="0" xfId="0" applyFont="1" applyAlignment="1">
      <alignment horizontal="center"/>
    </xf>
    <xf numFmtId="0" fontId="38" fillId="0" borderId="0" xfId="0" applyFont="1"/>
    <xf numFmtId="0" fontId="0" fillId="0" borderId="0" xfId="0" applyAlignment="1">
      <alignment wrapText="1"/>
    </xf>
    <xf numFmtId="0" fontId="24" fillId="0" borderId="30" xfId="35" applyFont="1" applyBorder="1" applyAlignment="1">
      <alignment vertical="top"/>
    </xf>
    <xf numFmtId="0" fontId="0" fillId="0" borderId="31" xfId="0" applyBorder="1"/>
    <xf numFmtId="0" fontId="0" fillId="0" borderId="31" xfId="0" applyBorder="1" applyProtection="1">
      <protection locked="0"/>
    </xf>
    <xf numFmtId="0" fontId="0" fillId="0" borderId="13" xfId="33" applyFont="1" applyBorder="1" applyAlignment="1">
      <alignment vertical="top" wrapText="1"/>
    </xf>
    <xf numFmtId="0" fontId="0" fillId="0" borderId="28" xfId="33" applyFont="1" applyBorder="1" applyAlignment="1">
      <alignment vertical="top" wrapText="1"/>
    </xf>
    <xf numFmtId="0" fontId="0" fillId="0" borderId="0" xfId="33" applyFont="1" applyAlignment="1">
      <alignment horizontal="left" vertical="top" wrapText="1"/>
    </xf>
    <xf numFmtId="0" fontId="0" fillId="0" borderId="10" xfId="33" applyFont="1" applyBorder="1" applyAlignment="1">
      <alignment horizontal="left" vertical="top" wrapText="1"/>
    </xf>
    <xf numFmtId="0" fontId="0" fillId="0" borderId="10" xfId="33" applyFont="1" applyBorder="1" applyAlignment="1">
      <alignment vertical="top" wrapText="1"/>
    </xf>
    <xf numFmtId="0" fontId="22" fillId="0" borderId="0" xfId="0" applyFont="1" applyAlignment="1">
      <alignment horizontal="center"/>
    </xf>
    <xf numFmtId="0" fontId="24" fillId="0" borderId="32" xfId="35" applyFont="1" applyBorder="1" applyAlignment="1">
      <alignment horizontal="left" vertical="top"/>
    </xf>
    <xf numFmtId="0" fontId="24" fillId="0" borderId="0" xfId="35" applyFont="1" applyAlignment="1">
      <alignment horizontal="center" vertical="top"/>
    </xf>
    <xf numFmtId="0" fontId="24" fillId="0" borderId="30" xfId="35" applyFont="1" applyBorder="1" applyAlignment="1">
      <alignment horizontal="center" vertical="top"/>
    </xf>
    <xf numFmtId="170" fontId="0" fillId="0" borderId="13" xfId="33" applyNumberFormat="1" applyFont="1" applyBorder="1" applyAlignment="1">
      <alignment vertical="top" shrinkToFit="1"/>
    </xf>
    <xf numFmtId="0" fontId="0" fillId="0" borderId="29" xfId="33" applyFont="1" applyBorder="1" applyAlignment="1">
      <alignment horizontal="center" vertical="top" wrapText="1"/>
    </xf>
    <xf numFmtId="0" fontId="0" fillId="0" borderId="13" xfId="33" applyFont="1" applyBorder="1" applyAlignment="1">
      <alignment horizontal="center" vertical="top" wrapText="1"/>
    </xf>
    <xf numFmtId="10" fontId="0" fillId="0" borderId="0" xfId="0" applyNumberFormat="1" applyAlignment="1">
      <alignment vertical="center" wrapText="1"/>
    </xf>
    <xf numFmtId="0" fontId="42" fillId="0" borderId="33" xfId="0" applyFont="1" applyBorder="1" applyAlignment="1">
      <alignment horizontal="center" vertical="center" wrapText="1"/>
    </xf>
    <xf numFmtId="0" fontId="43" fillId="0" borderId="0" xfId="0" applyFont="1"/>
    <xf numFmtId="0" fontId="22" fillId="0" borderId="13" xfId="0" applyFont="1" applyBorder="1" applyAlignment="1">
      <alignment horizontal="center"/>
    </xf>
    <xf numFmtId="1" fontId="44" fillId="0" borderId="0" xfId="0" applyNumberFormat="1" applyFont="1" applyAlignment="1">
      <alignment horizontal="center" vertical="center"/>
    </xf>
    <xf numFmtId="0" fontId="24" fillId="0" borderId="31" xfId="0" applyFont="1" applyBorder="1" applyAlignment="1">
      <alignment horizontal="center" vertical="center" wrapText="1"/>
    </xf>
    <xf numFmtId="0" fontId="45" fillId="0" borderId="31" xfId="0" applyFont="1" applyBorder="1" applyAlignment="1">
      <alignment horizontal="center" vertical="center" wrapText="1"/>
    </xf>
    <xf numFmtId="0" fontId="24" fillId="0" borderId="31" xfId="0" applyFont="1" applyBorder="1" applyAlignment="1">
      <alignment horizontal="center" vertical="center"/>
    </xf>
    <xf numFmtId="0" fontId="24" fillId="0" borderId="34"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0" xfId="0" applyFont="1" applyAlignment="1">
      <alignment horizontal="center" vertical="center" wrapText="1"/>
    </xf>
    <xf numFmtId="0" fontId="24" fillId="0" borderId="36" xfId="0" applyFont="1" applyBorder="1" applyAlignment="1">
      <alignment horizontal="center" vertical="center" wrapText="1"/>
    </xf>
    <xf numFmtId="0" fontId="39" fillId="0" borderId="0" xfId="0" applyFont="1" applyAlignment="1">
      <alignment horizontal="center"/>
    </xf>
    <xf numFmtId="0" fontId="8" fillId="16" borderId="37" xfId="0" applyFont="1" applyFill="1" applyBorder="1" applyAlignment="1" applyProtection="1">
      <alignment horizontal="center" vertical="center" wrapText="1"/>
      <protection locked="0"/>
    </xf>
    <xf numFmtId="0" fontId="8" fillId="0" borderId="37" xfId="0" applyFont="1" applyBorder="1" applyAlignment="1">
      <alignment horizontal="center" vertical="center" wrapText="1"/>
    </xf>
    <xf numFmtId="0" fontId="0" fillId="0" borderId="38" xfId="0" applyBorder="1" applyAlignment="1">
      <alignment vertical="center" wrapText="1" shrinkToFit="1"/>
    </xf>
    <xf numFmtId="49" fontId="0" fillId="16" borderId="39" xfId="0" applyNumberFormat="1" applyFill="1" applyBorder="1" applyAlignment="1" applyProtection="1">
      <alignment horizontal="center" vertical="center" wrapText="1"/>
      <protection locked="0"/>
    </xf>
    <xf numFmtId="49" fontId="0" fillId="6" borderId="39" xfId="0" applyNumberFormat="1" applyFill="1" applyBorder="1" applyAlignment="1" applyProtection="1">
      <alignment horizontal="center" vertical="center" wrapText="1"/>
      <protection locked="0"/>
    </xf>
    <xf numFmtId="0" fontId="0" fillId="6" borderId="39" xfId="0" applyFill="1" applyBorder="1" applyAlignment="1" applyProtection="1">
      <alignment horizontal="left" vertical="center" wrapText="1"/>
      <protection locked="0"/>
    </xf>
    <xf numFmtId="0" fontId="0" fillId="6" borderId="39" xfId="0" applyFill="1" applyBorder="1" applyAlignment="1" applyProtection="1">
      <alignment horizontal="center" vertical="center" wrapText="1"/>
      <protection locked="0"/>
    </xf>
    <xf numFmtId="171" fontId="0" fillId="0" borderId="39" xfId="48" applyFont="1" applyFill="1" applyBorder="1" applyAlignment="1" applyProtection="1">
      <alignment vertical="center" shrinkToFit="1"/>
    </xf>
    <xf numFmtId="171" fontId="0" fillId="6" borderId="39" xfId="48" applyFont="1" applyFill="1" applyBorder="1" applyAlignment="1" applyProtection="1">
      <alignment vertical="center" wrapText="1"/>
      <protection locked="0"/>
    </xf>
    <xf numFmtId="10" fontId="0" fillId="16" borderId="39" xfId="37" applyNumberFormat="1" applyFont="1" applyFill="1" applyBorder="1" applyAlignment="1" applyProtection="1">
      <alignment horizontal="center" vertical="center" wrapText="1"/>
      <protection locked="0"/>
    </xf>
    <xf numFmtId="171" fontId="0" fillId="0" borderId="40" xfId="48" applyFont="1" applyFill="1" applyBorder="1" applyAlignment="1" applyProtection="1">
      <alignment horizontal="center" vertical="center" shrinkToFit="1"/>
    </xf>
    <xf numFmtId="10" fontId="39" fillId="16" borderId="41" xfId="37" applyNumberFormat="1" applyFont="1" applyFill="1" applyBorder="1" applyAlignment="1" applyProtection="1">
      <alignment horizontal="center" vertical="center"/>
      <protection locked="0"/>
    </xf>
    <xf numFmtId="0" fontId="0" fillId="0" borderId="42" xfId="0" applyBorder="1"/>
    <xf numFmtId="0" fontId="0" fillId="0" borderId="43" xfId="0" applyBorder="1"/>
    <xf numFmtId="0" fontId="22" fillId="0" borderId="0" xfId="0" applyFont="1"/>
    <xf numFmtId="0" fontId="24" fillId="17" borderId="31" xfId="0" applyFont="1" applyFill="1" applyBorder="1" applyAlignment="1">
      <alignment horizontal="center" vertical="center"/>
    </xf>
    <xf numFmtId="171" fontId="24" fillId="17" borderId="44" xfId="48" applyFont="1" applyFill="1" applyBorder="1" applyAlignment="1" applyProtection="1">
      <alignment horizontal="center" vertical="center" shrinkToFit="1"/>
    </xf>
    <xf numFmtId="171" fontId="21" fillId="17" borderId="44" xfId="48" applyFont="1" applyFill="1" applyBorder="1" applyAlignment="1" applyProtection="1">
      <alignment horizontal="center" vertical="center" shrinkToFit="1"/>
    </xf>
    <xf numFmtId="0" fontId="0" fillId="4" borderId="44" xfId="0" applyFill="1" applyBorder="1"/>
    <xf numFmtId="0" fontId="30" fillId="0" borderId="0" xfId="0" applyFont="1"/>
    <xf numFmtId="0" fontId="30" fillId="0" borderId="32" xfId="0" applyFont="1" applyBorder="1" applyAlignment="1">
      <alignment horizontal="left" vertical="center"/>
    </xf>
    <xf numFmtId="0" fontId="30" fillId="0" borderId="0" xfId="0" applyFont="1" applyAlignment="1" applyProtection="1">
      <alignment horizontal="left" wrapText="1"/>
      <protection locked="0"/>
    </xf>
    <xf numFmtId="0" fontId="17" fillId="0" borderId="0" xfId="0" applyFont="1" applyAlignment="1">
      <alignment horizontal="left" wrapText="1"/>
    </xf>
    <xf numFmtId="167" fontId="0" fillId="0" borderId="29" xfId="0" applyNumberFormat="1" applyBorder="1" applyAlignment="1">
      <alignment horizontal="left"/>
    </xf>
    <xf numFmtId="0" fontId="17" fillId="0" borderId="29" xfId="33" applyFont="1" applyBorder="1" applyAlignment="1">
      <alignment vertical="center"/>
    </xf>
    <xf numFmtId="0" fontId="24" fillId="0" borderId="10" xfId="0" applyFont="1" applyBorder="1"/>
    <xf numFmtId="0" fontId="23" fillId="0" borderId="0" xfId="0" applyFont="1" applyAlignment="1">
      <alignment horizontal="left" vertical="center" indent="10"/>
    </xf>
    <xf numFmtId="0" fontId="23" fillId="0" borderId="0" xfId="0" applyFont="1" applyAlignment="1">
      <alignment horizontal="center" vertical="center"/>
    </xf>
    <xf numFmtId="0" fontId="37" fillId="0" borderId="0" xfId="0" applyFont="1" applyAlignment="1">
      <alignment horizontal="left" vertical="center" indent="10"/>
    </xf>
    <xf numFmtId="0" fontId="37" fillId="0" borderId="0" xfId="0" applyFont="1" applyAlignment="1">
      <alignment horizontal="center" vertical="center"/>
    </xf>
    <xf numFmtId="0" fontId="24" fillId="0" borderId="32" xfId="35" applyFont="1" applyBorder="1" applyAlignment="1">
      <alignment vertical="top"/>
    </xf>
    <xf numFmtId="0" fontId="24" fillId="0" borderId="0" xfId="35" applyFont="1" applyAlignment="1">
      <alignment vertical="top"/>
    </xf>
    <xf numFmtId="0" fontId="24" fillId="0" borderId="12" xfId="35" applyFont="1" applyBorder="1" applyAlignment="1">
      <alignment vertical="top"/>
    </xf>
    <xf numFmtId="0" fontId="0" fillId="0" borderId="45" xfId="33" applyFont="1" applyBorder="1" applyAlignment="1">
      <alignment vertical="top"/>
    </xf>
    <xf numFmtId="0" fontId="0" fillId="0" borderId="29" xfId="33" applyFont="1" applyBorder="1" applyAlignment="1">
      <alignment vertical="top" wrapText="1"/>
    </xf>
    <xf numFmtId="0" fontId="22" fillId="0" borderId="29" xfId="0" applyFont="1" applyBorder="1" applyAlignment="1">
      <alignment vertical="center" wrapText="1"/>
    </xf>
    <xf numFmtId="0" fontId="47" fillId="0" borderId="0" xfId="0" applyFont="1"/>
    <xf numFmtId="1" fontId="44" fillId="0" borderId="0" xfId="0" applyNumberFormat="1" applyFont="1" applyAlignment="1">
      <alignment horizontal="left" textRotation="90" wrapText="1"/>
    </xf>
    <xf numFmtId="0" fontId="0" fillId="6" borderId="46" xfId="0" applyFill="1" applyBorder="1" applyAlignment="1" applyProtection="1">
      <alignment horizontal="center" textRotation="90" wrapText="1"/>
      <protection locked="0"/>
    </xf>
    <xf numFmtId="0" fontId="0" fillId="6" borderId="47" xfId="0" applyFill="1" applyBorder="1" applyAlignment="1" applyProtection="1">
      <alignment horizontal="center" textRotation="90" wrapText="1"/>
      <protection locked="0"/>
    </xf>
    <xf numFmtId="0" fontId="0" fillId="0" borderId="36" xfId="0" applyBorder="1" applyAlignment="1">
      <alignment horizontal="center" textRotation="90" wrapText="1"/>
    </xf>
    <xf numFmtId="0" fontId="0" fillId="0" borderId="46" xfId="0" applyBorder="1" applyAlignment="1">
      <alignment horizontal="center" textRotation="90" wrapText="1"/>
    </xf>
    <xf numFmtId="0" fontId="0" fillId="0" borderId="47" xfId="0" applyBorder="1" applyAlignment="1">
      <alignment horizontal="center" textRotation="90" wrapText="1"/>
    </xf>
    <xf numFmtId="0" fontId="24" fillId="0" borderId="48"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46" xfId="0" applyFont="1" applyBorder="1" applyAlignment="1">
      <alignment horizontal="center" vertical="center" wrapText="1"/>
    </xf>
    <xf numFmtId="0" fontId="24" fillId="0" borderId="47" xfId="0" applyFont="1" applyBorder="1" applyAlignment="1">
      <alignment horizontal="center" vertical="center" wrapText="1"/>
    </xf>
    <xf numFmtId="0" fontId="0" fillId="0" borderId="39" xfId="0" applyBorder="1" applyAlignment="1">
      <alignment horizontal="left" vertical="center" wrapText="1"/>
    </xf>
    <xf numFmtId="0" fontId="0" fillId="0" borderId="39" xfId="0" applyBorder="1" applyAlignment="1">
      <alignment horizontal="center" vertical="center" wrapText="1"/>
    </xf>
    <xf numFmtId="0" fontId="47" fillId="0" borderId="0" xfId="0" applyFont="1" applyAlignment="1">
      <alignment horizontal="center"/>
    </xf>
    <xf numFmtId="0" fontId="21" fillId="0" borderId="35" xfId="48" applyNumberFormat="1" applyFont="1" applyFill="1" applyBorder="1" applyAlignment="1" applyProtection="1">
      <alignment horizontal="center" vertical="center" wrapText="1" shrinkToFit="1"/>
    </xf>
    <xf numFmtId="0" fontId="21" fillId="0" borderId="41" xfId="48" applyNumberFormat="1" applyFont="1" applyFill="1" applyBorder="1" applyAlignment="1" applyProtection="1">
      <alignment vertical="center" wrapText="1" shrinkToFit="1"/>
    </xf>
    <xf numFmtId="171" fontId="0" fillId="6" borderId="38" xfId="48" applyFont="1" applyFill="1" applyBorder="1" applyAlignment="1" applyProtection="1">
      <alignment vertical="center" shrinkToFit="1"/>
      <protection locked="0"/>
    </xf>
    <xf numFmtId="171" fontId="0" fillId="6" borderId="39" xfId="48" applyFont="1" applyFill="1" applyBorder="1" applyAlignment="1" applyProtection="1">
      <alignment vertical="center" shrinkToFit="1"/>
      <protection locked="0"/>
    </xf>
    <xf numFmtId="171" fontId="0" fillId="6" borderId="40" xfId="48" applyFont="1" applyFill="1" applyBorder="1" applyAlignment="1" applyProtection="1">
      <alignment vertical="center" shrinkToFit="1"/>
      <protection locked="0"/>
    </xf>
    <xf numFmtId="1" fontId="0" fillId="0" borderId="51" xfId="48" applyNumberFormat="1" applyFont="1" applyFill="1" applyBorder="1" applyAlignment="1" applyProtection="1">
      <alignment horizontal="center" vertical="center" shrinkToFit="1"/>
    </xf>
    <xf numFmtId="1" fontId="0" fillId="0" borderId="52" xfId="48" applyNumberFormat="1" applyFont="1" applyFill="1" applyBorder="1" applyAlignment="1" applyProtection="1">
      <alignment horizontal="center" vertical="center" shrinkToFit="1"/>
    </xf>
    <xf numFmtId="0" fontId="24" fillId="17" borderId="31" xfId="0" applyFont="1" applyFill="1" applyBorder="1" applyAlignment="1">
      <alignment horizontal="right" vertical="center"/>
    </xf>
    <xf numFmtId="4" fontId="24" fillId="17" borderId="53" xfId="0" applyNumberFormat="1" applyFont="1" applyFill="1" applyBorder="1" applyAlignment="1">
      <alignment horizontal="right" vertical="center" shrinkToFit="1"/>
    </xf>
    <xf numFmtId="4" fontId="24" fillId="17" borderId="54" xfId="0" applyNumberFormat="1" applyFont="1" applyFill="1" applyBorder="1" applyAlignment="1">
      <alignment horizontal="right" vertical="center" shrinkToFit="1"/>
    </xf>
    <xf numFmtId="4" fontId="24" fillId="17" borderId="55" xfId="0" applyNumberFormat="1" applyFont="1" applyFill="1" applyBorder="1" applyAlignment="1">
      <alignment horizontal="right" vertical="center" shrinkToFit="1"/>
    </xf>
    <xf numFmtId="4" fontId="24" fillId="17" borderId="36" xfId="0" applyNumberFormat="1" applyFont="1" applyFill="1" applyBorder="1" applyAlignment="1">
      <alignment horizontal="right" vertical="center" shrinkToFit="1"/>
    </xf>
    <xf numFmtId="0" fontId="24" fillId="17" borderId="36" xfId="0" applyFont="1" applyFill="1" applyBorder="1" applyAlignment="1">
      <alignment horizontal="right" vertical="center" shrinkToFit="1"/>
    </xf>
    <xf numFmtId="167" fontId="0" fillId="0" borderId="29" xfId="0" applyNumberFormat="1" applyBorder="1"/>
    <xf numFmtId="0" fontId="0" fillId="0" borderId="29" xfId="0" applyBorder="1"/>
    <xf numFmtId="0" fontId="0" fillId="0" borderId="0" xfId="33" applyFont="1" applyAlignment="1">
      <alignment vertical="center"/>
    </xf>
    <xf numFmtId="0" fontId="46" fillId="0" borderId="31" xfId="0" applyFont="1" applyBorder="1" applyAlignment="1">
      <alignment horizontal="center" vertical="center"/>
    </xf>
    <xf numFmtId="171" fontId="56" fillId="0" borderId="31" xfId="48" applyFill="1" applyBorder="1" applyAlignment="1" applyProtection="1"/>
    <xf numFmtId="0" fontId="0" fillId="18" borderId="44" xfId="0" applyFill="1" applyBorder="1"/>
    <xf numFmtId="0" fontId="46" fillId="0" borderId="0" xfId="34" applyFont="1" applyAlignment="1">
      <alignment horizontal="center"/>
    </xf>
    <xf numFmtId="0" fontId="46" fillId="0" borderId="0" xfId="34" applyFont="1"/>
    <xf numFmtId="165" fontId="0" fillId="0" borderId="0" xfId="49" applyFont="1" applyFill="1" applyBorder="1" applyAlignment="1" applyProtection="1">
      <alignment horizontal="center"/>
    </xf>
    <xf numFmtId="10" fontId="47" fillId="0" borderId="56" xfId="38" applyNumberFormat="1" applyFont="1" applyFill="1" applyBorder="1" applyAlignment="1" applyProtection="1">
      <alignment horizontal="center"/>
    </xf>
    <xf numFmtId="10" fontId="46" fillId="0" borderId="33" xfId="34" applyNumberFormat="1" applyFont="1" applyBorder="1" applyAlignment="1">
      <alignment horizontal="center"/>
    </xf>
    <xf numFmtId="172" fontId="46" fillId="0" borderId="57" xfId="34" applyNumberFormat="1" applyFont="1" applyBorder="1" applyAlignment="1">
      <alignment horizontal="left"/>
    </xf>
    <xf numFmtId="10" fontId="46" fillId="0" borderId="58" xfId="34" applyNumberFormat="1" applyFont="1" applyBorder="1" applyAlignment="1">
      <alignment horizontal="left"/>
    </xf>
    <xf numFmtId="1" fontId="46" fillId="0" borderId="58" xfId="34" applyNumberFormat="1" applyFont="1" applyBorder="1" applyAlignment="1">
      <alignment horizontal="center"/>
    </xf>
    <xf numFmtId="0" fontId="46" fillId="0" borderId="58" xfId="34" applyFont="1" applyBorder="1" applyAlignment="1">
      <alignment horizontal="center"/>
    </xf>
    <xf numFmtId="173" fontId="56" fillId="0" borderId="59" xfId="48" applyNumberFormat="1" applyFill="1" applyBorder="1" applyAlignment="1" applyProtection="1">
      <alignment horizontal="right" shrinkToFit="1"/>
    </xf>
    <xf numFmtId="173" fontId="0" fillId="0" borderId="33" xfId="48" applyNumberFormat="1" applyFont="1" applyFill="1" applyBorder="1" applyAlignment="1" applyProtection="1">
      <alignment horizontal="center" vertical="center"/>
    </xf>
    <xf numFmtId="0" fontId="46" fillId="0" borderId="30" xfId="34" applyFont="1" applyBorder="1" applyAlignment="1">
      <alignment horizontal="center"/>
    </xf>
    <xf numFmtId="0" fontId="46" fillId="0" borderId="60" xfId="34" applyFont="1" applyBorder="1"/>
    <xf numFmtId="0" fontId="32" fillId="0" borderId="60" xfId="34" applyFont="1" applyBorder="1"/>
    <xf numFmtId="0" fontId="46" fillId="0" borderId="60" xfId="34" applyFont="1" applyBorder="1" applyAlignment="1">
      <alignment horizontal="center"/>
    </xf>
    <xf numFmtId="165" fontId="0" fillId="0" borderId="60" xfId="49" applyFont="1" applyFill="1" applyBorder="1" applyAlignment="1" applyProtection="1">
      <alignment horizontal="right" shrinkToFit="1"/>
    </xf>
    <xf numFmtId="173" fontId="0" fillId="0" borderId="30" xfId="48" applyNumberFormat="1" applyFont="1" applyFill="1" applyBorder="1" applyAlignment="1" applyProtection="1">
      <alignment horizontal="center" vertical="center"/>
    </xf>
    <xf numFmtId="165" fontId="48" fillId="0" borderId="61" xfId="49" applyFont="1" applyFill="1" applyBorder="1" applyAlignment="1" applyProtection="1">
      <alignment horizontal="center"/>
    </xf>
    <xf numFmtId="0" fontId="46" fillId="0" borderId="13" xfId="34" applyFont="1" applyBorder="1" applyAlignment="1">
      <alignment horizontal="center"/>
    </xf>
    <xf numFmtId="165" fontId="48" fillId="0" borderId="0" xfId="49" applyFont="1" applyFill="1" applyBorder="1" applyAlignment="1" applyProtection="1">
      <alignment horizontal="center"/>
    </xf>
    <xf numFmtId="165" fontId="0" fillId="0" borderId="13" xfId="49" applyFont="1" applyFill="1" applyBorder="1" applyAlignment="1" applyProtection="1">
      <alignment horizontal="center"/>
    </xf>
    <xf numFmtId="165" fontId="23" fillId="0" borderId="0" xfId="49" applyFont="1" applyFill="1" applyBorder="1" applyAlignment="1" applyProtection="1">
      <alignment horizontal="left"/>
    </xf>
    <xf numFmtId="0" fontId="39" fillId="0" borderId="0" xfId="0" applyFont="1" applyAlignment="1">
      <alignment horizontal="center" textRotation="90"/>
    </xf>
    <xf numFmtId="0" fontId="49" fillId="0" borderId="32" xfId="34" applyFont="1" applyBorder="1"/>
    <xf numFmtId="0" fontId="46" fillId="0" borderId="12" xfId="34" applyFont="1" applyBorder="1"/>
    <xf numFmtId="0" fontId="24" fillId="0" borderId="32" xfId="49" applyNumberFormat="1" applyFont="1" applyFill="1" applyBorder="1" applyAlignment="1" applyProtection="1">
      <alignment horizontal="left"/>
    </xf>
    <xf numFmtId="165" fontId="24" fillId="0" borderId="32" xfId="49" applyFont="1" applyFill="1" applyBorder="1" applyAlignment="1" applyProtection="1">
      <alignment horizontal="left"/>
    </xf>
    <xf numFmtId="165" fontId="0" fillId="0" borderId="12" xfId="49" applyFont="1" applyFill="1" applyBorder="1" applyAlignment="1" applyProtection="1">
      <alignment horizontal="center"/>
    </xf>
    <xf numFmtId="0" fontId="49" fillId="0" borderId="30" xfId="34" applyFont="1" applyBorder="1" applyAlignment="1">
      <alignment horizontal="center"/>
    </xf>
    <xf numFmtId="0" fontId="46" fillId="0" borderId="45" xfId="34" applyFont="1" applyBorder="1"/>
    <xf numFmtId="0" fontId="46" fillId="16" borderId="31" xfId="34" applyFont="1" applyFill="1" applyBorder="1" applyAlignment="1" applyProtection="1">
      <alignment horizontal="center"/>
      <protection locked="0"/>
    </xf>
    <xf numFmtId="0" fontId="46" fillId="0" borderId="29" xfId="34" applyFont="1" applyBorder="1"/>
    <xf numFmtId="0" fontId="49" fillId="0" borderId="48" xfId="34" applyFont="1" applyBorder="1" applyAlignment="1">
      <alignment horizontal="center"/>
    </xf>
    <xf numFmtId="0" fontId="49" fillId="0" borderId="10" xfId="34" applyFont="1" applyBorder="1" applyAlignment="1">
      <alignment horizontal="left" vertical="center" wrapText="1"/>
    </xf>
    <xf numFmtId="0" fontId="46" fillId="0" borderId="10" xfId="34" applyFont="1" applyBorder="1" applyAlignment="1">
      <alignment horizontal="center" vertical="center"/>
    </xf>
    <xf numFmtId="0" fontId="49" fillId="0" borderId="49" xfId="34" applyFont="1" applyBorder="1" applyAlignment="1" applyProtection="1">
      <alignment horizontal="center"/>
      <protection locked="0"/>
    </xf>
    <xf numFmtId="0" fontId="46" fillId="0" borderId="0" xfId="34" applyFont="1" applyAlignment="1">
      <alignment horizontal="center" wrapText="1"/>
    </xf>
    <xf numFmtId="174" fontId="49" fillId="0" borderId="53" xfId="34" applyNumberFormat="1" applyFont="1" applyBorder="1" applyAlignment="1">
      <alignment horizontal="center"/>
    </xf>
    <xf numFmtId="0" fontId="49" fillId="0" borderId="29" xfId="34" applyFont="1" applyBorder="1" applyAlignment="1">
      <alignment horizontal="left" vertical="center" wrapText="1"/>
    </xf>
    <xf numFmtId="0" fontId="46" fillId="0" borderId="29" xfId="34" applyFont="1" applyBorder="1" applyAlignment="1">
      <alignment horizontal="center" vertical="center"/>
    </xf>
    <xf numFmtId="0" fontId="46" fillId="0" borderId="29" xfId="34" applyFont="1" applyBorder="1" applyAlignment="1">
      <alignment horizontal="center" vertical="center" wrapText="1"/>
    </xf>
    <xf numFmtId="174" fontId="49" fillId="0" borderId="54" xfId="34" applyNumberFormat="1" applyFont="1" applyBorder="1" applyAlignment="1" applyProtection="1">
      <alignment horizontal="center"/>
      <protection locked="0"/>
    </xf>
    <xf numFmtId="0" fontId="46" fillId="8" borderId="33" xfId="34" applyFont="1" applyFill="1" applyBorder="1"/>
    <xf numFmtId="165" fontId="24" fillId="0" borderId="0" xfId="49" applyFont="1" applyFill="1" applyBorder="1" applyAlignment="1" applyProtection="1">
      <alignment horizontal="center" shrinkToFit="1"/>
    </xf>
    <xf numFmtId="165" fontId="0" fillId="8" borderId="62" xfId="49" applyFont="1" applyFill="1" applyBorder="1" applyAlignment="1" applyProtection="1">
      <alignment horizontal="center"/>
    </xf>
    <xf numFmtId="165" fontId="0" fillId="8" borderId="63" xfId="49" applyFont="1" applyFill="1" applyBorder="1" applyAlignment="1" applyProtection="1">
      <alignment horizontal="right"/>
    </xf>
    <xf numFmtId="171" fontId="56" fillId="0" borderId="39" xfId="48" applyFill="1" applyBorder="1" applyAlignment="1" applyProtection="1">
      <alignment shrinkToFit="1"/>
    </xf>
    <xf numFmtId="0" fontId="46" fillId="8" borderId="30" xfId="34" applyFont="1" applyFill="1" applyBorder="1"/>
    <xf numFmtId="165" fontId="0" fillId="0" borderId="37" xfId="49" applyFont="1" applyFill="1" applyBorder="1" applyAlignment="1" applyProtection="1">
      <alignment horizontal="center"/>
    </xf>
    <xf numFmtId="165" fontId="0" fillId="0" borderId="65" xfId="49" applyFont="1" applyFill="1" applyBorder="1" applyAlignment="1" applyProtection="1">
      <alignment horizontal="right"/>
    </xf>
    <xf numFmtId="0" fontId="49" fillId="0" borderId="0" xfId="34" applyFont="1" applyAlignment="1">
      <alignment horizontal="left"/>
    </xf>
    <xf numFmtId="0" fontId="46" fillId="8" borderId="30" xfId="34" applyFont="1" applyFill="1" applyBorder="1" applyAlignment="1">
      <alignment horizontal="center"/>
    </xf>
    <xf numFmtId="165" fontId="0" fillId="8" borderId="37" xfId="49" applyFont="1" applyFill="1" applyBorder="1" applyAlignment="1" applyProtection="1">
      <alignment horizontal="center"/>
    </xf>
    <xf numFmtId="165" fontId="0" fillId="8" borderId="65" xfId="49" applyFont="1" applyFill="1" applyBorder="1" applyAlignment="1" applyProtection="1">
      <alignment horizontal="right"/>
    </xf>
    <xf numFmtId="171" fontId="56" fillId="0" borderId="42" xfId="48" applyFill="1" applyBorder="1" applyAlignment="1" applyProtection="1">
      <alignment shrinkToFit="1"/>
    </xf>
    <xf numFmtId="165" fontId="0" fillId="0" borderId="57" xfId="49" applyFont="1" applyFill="1" applyBorder="1" applyAlignment="1" applyProtection="1">
      <alignment horizontal="center"/>
    </xf>
    <xf numFmtId="165" fontId="0" fillId="0" borderId="59" xfId="49" applyFont="1" applyFill="1" applyBorder="1" applyAlignment="1" applyProtection="1">
      <alignment horizontal="right"/>
    </xf>
    <xf numFmtId="0" fontId="46" fillId="8" borderId="13" xfId="34" applyFont="1" applyFill="1" applyBorder="1"/>
    <xf numFmtId="165" fontId="24" fillId="8" borderId="68" xfId="49" applyFont="1" applyFill="1" applyBorder="1" applyAlignment="1" applyProtection="1">
      <alignment horizontal="center"/>
    </xf>
    <xf numFmtId="165" fontId="24" fillId="8" borderId="69" xfId="49" applyFont="1" applyFill="1" applyBorder="1" applyAlignment="1" applyProtection="1">
      <alignment horizontal="right"/>
    </xf>
    <xf numFmtId="0" fontId="46" fillId="0" borderId="29" xfId="34" applyFont="1" applyBorder="1" applyAlignment="1">
      <alignment horizontal="center"/>
    </xf>
    <xf numFmtId="165" fontId="0" fillId="0" borderId="29" xfId="49" applyFont="1" applyFill="1" applyBorder="1" applyAlignment="1" applyProtection="1">
      <alignment horizontal="center"/>
    </xf>
    <xf numFmtId="0" fontId="0" fillId="0" borderId="39" xfId="0" applyBorder="1" applyAlignment="1">
      <alignment horizontal="center"/>
    </xf>
    <xf numFmtId="1" fontId="0" fillId="6" borderId="39" xfId="0" applyNumberFormat="1" applyFill="1" applyBorder="1" applyAlignment="1" applyProtection="1">
      <alignment horizontal="center"/>
      <protection locked="0"/>
    </xf>
    <xf numFmtId="0" fontId="20" fillId="0" borderId="0" xfId="0" applyFont="1"/>
    <xf numFmtId="0" fontId="0" fillId="0" borderId="0" xfId="0" applyAlignment="1">
      <alignment textRotation="90"/>
    </xf>
    <xf numFmtId="4" fontId="0" fillId="0" borderId="0" xfId="0" applyNumberFormat="1"/>
    <xf numFmtId="175" fontId="51" fillId="8" borderId="1" xfId="0" applyNumberFormat="1" applyFont="1" applyFill="1" applyBorder="1" applyAlignment="1">
      <alignment horizontal="center" textRotation="90" wrapText="1"/>
    </xf>
    <xf numFmtId="0" fontId="24" fillId="8" borderId="1" xfId="0" applyFont="1" applyFill="1" applyBorder="1" applyAlignment="1">
      <alignment horizontal="center"/>
    </xf>
    <xf numFmtId="0" fontId="24" fillId="8" borderId="72" xfId="0" applyFont="1" applyFill="1" applyBorder="1"/>
    <xf numFmtId="0" fontId="24" fillId="8" borderId="73" xfId="0" applyFont="1" applyFill="1" applyBorder="1"/>
    <xf numFmtId="0" fontId="24" fillId="8" borderId="74" xfId="0" applyFont="1" applyFill="1" applyBorder="1"/>
    <xf numFmtId="0" fontId="0" fillId="18" borderId="39" xfId="0" applyFill="1" applyBorder="1" applyAlignment="1">
      <alignment horizontal="center"/>
    </xf>
    <xf numFmtId="0" fontId="0" fillId="18" borderId="39" xfId="0" applyFill="1" applyBorder="1"/>
    <xf numFmtId="0" fontId="0" fillId="8" borderId="75" xfId="0" applyFill="1" applyBorder="1"/>
    <xf numFmtId="0" fontId="0" fillId="8" borderId="76" xfId="0" applyFill="1" applyBorder="1"/>
    <xf numFmtId="0" fontId="0" fillId="8" borderId="77" xfId="0" applyFill="1" applyBorder="1"/>
    <xf numFmtId="0" fontId="46" fillId="19" borderId="31" xfId="34" applyFont="1" applyFill="1" applyBorder="1" applyAlignment="1">
      <alignment horizontal="center"/>
    </xf>
    <xf numFmtId="0" fontId="49" fillId="0" borderId="12" xfId="34" applyFont="1" applyBorder="1"/>
    <xf numFmtId="0" fontId="46" fillId="0" borderId="12" xfId="34" applyFont="1" applyBorder="1" applyAlignment="1">
      <alignment horizontal="center"/>
    </xf>
    <xf numFmtId="0" fontId="0" fillId="0" borderId="32" xfId="0" applyBorder="1"/>
    <xf numFmtId="0" fontId="52" fillId="0" borderId="0" xfId="0" applyFont="1"/>
    <xf numFmtId="0" fontId="24" fillId="0" borderId="0" xfId="0" applyFont="1" applyAlignment="1">
      <alignment horizontal="right"/>
    </xf>
    <xf numFmtId="0" fontId="23" fillId="0" borderId="32" xfId="0" applyFont="1" applyBorder="1"/>
    <xf numFmtId="0" fontId="24" fillId="8" borderId="31" xfId="0" applyFont="1" applyFill="1" applyBorder="1" applyAlignment="1">
      <alignment horizontal="center"/>
    </xf>
    <xf numFmtId="0" fontId="24" fillId="0" borderId="33" xfId="0" applyFont="1" applyBorder="1" applyAlignment="1">
      <alignment horizontal="center"/>
    </xf>
    <xf numFmtId="0" fontId="0" fillId="0" borderId="0" xfId="33" applyFont="1" applyAlignment="1">
      <alignment horizontal="left" vertical="top"/>
    </xf>
    <xf numFmtId="0" fontId="23" fillId="0" borderId="0" xfId="0" applyFont="1" applyAlignment="1">
      <alignment horizontal="left" vertical="center" indent="2"/>
    </xf>
    <xf numFmtId="10" fontId="0" fillId="0" borderId="31" xfId="0" applyNumberFormat="1" applyBorder="1" applyAlignment="1">
      <alignment horizontal="center" vertical="center" wrapText="1"/>
    </xf>
    <xf numFmtId="0" fontId="24" fillId="0" borderId="30" xfId="0" applyFont="1" applyBorder="1"/>
    <xf numFmtId="0" fontId="0" fillId="0" borderId="13" xfId="0" applyBorder="1"/>
    <xf numFmtId="4" fontId="0" fillId="0" borderId="13" xfId="33" applyNumberFormat="1" applyFont="1" applyBorder="1" applyAlignment="1">
      <alignment vertical="top" wrapText="1"/>
    </xf>
    <xf numFmtId="0" fontId="0" fillId="0" borderId="0" xfId="33" applyFont="1" applyAlignment="1">
      <alignment vertical="top" wrapText="1"/>
    </xf>
    <xf numFmtId="0" fontId="21" fillId="0" borderId="33" xfId="0" applyFont="1" applyBorder="1" applyAlignment="1">
      <alignment horizontal="center"/>
    </xf>
    <xf numFmtId="178" fontId="0" fillId="0" borderId="45" xfId="0" applyNumberFormat="1" applyBorder="1" applyAlignment="1">
      <alignment horizontal="center" vertical="center"/>
    </xf>
    <xf numFmtId="178" fontId="0" fillId="0" borderId="13" xfId="0" applyNumberFormat="1" applyBorder="1" applyAlignment="1">
      <alignment horizontal="center" vertical="center"/>
    </xf>
    <xf numFmtId="179" fontId="24" fillId="0" borderId="38" xfId="0" applyNumberFormat="1" applyFont="1" applyBorder="1" applyAlignment="1">
      <alignment horizontal="center" vertical="center"/>
    </xf>
    <xf numFmtId="0" fontId="0" fillId="0" borderId="39" xfId="0" applyBorder="1" applyAlignment="1">
      <alignment horizontal="center" vertical="center"/>
    </xf>
    <xf numFmtId="178" fontId="0" fillId="0" borderId="37" xfId="0" applyNumberFormat="1" applyBorder="1" applyAlignment="1">
      <alignment horizontal="center" vertical="center"/>
    </xf>
    <xf numFmtId="178" fontId="0" fillId="0" borderId="75" xfId="0" applyNumberFormat="1" applyBorder="1" applyAlignment="1">
      <alignment horizontal="center" vertical="center"/>
    </xf>
    <xf numFmtId="178" fontId="0" fillId="0" borderId="65" xfId="0" applyNumberFormat="1" applyBorder="1" applyAlignment="1">
      <alignment horizontal="center" vertical="center"/>
    </xf>
    <xf numFmtId="178" fontId="0" fillId="0" borderId="41" xfId="0" applyNumberFormat="1" applyBorder="1" applyAlignment="1">
      <alignment horizontal="center" vertical="center"/>
    </xf>
    <xf numFmtId="178" fontId="0" fillId="6" borderId="66" xfId="0" applyNumberFormat="1" applyFill="1" applyBorder="1" applyAlignment="1" applyProtection="1">
      <alignment horizontal="center" vertical="center"/>
      <protection locked="0"/>
    </xf>
    <xf numFmtId="178" fontId="0" fillId="6" borderId="43" xfId="0" applyNumberFormat="1" applyFill="1" applyBorder="1" applyAlignment="1" applyProtection="1">
      <alignment horizontal="center" vertical="center"/>
      <protection locked="0"/>
    </xf>
    <xf numFmtId="4" fontId="0" fillId="0" borderId="0" xfId="31" applyNumberFormat="1" applyFont="1" applyFill="1" applyBorder="1" applyAlignment="1" applyProtection="1">
      <alignment vertical="center" wrapText="1"/>
    </xf>
    <xf numFmtId="0" fontId="24" fillId="0" borderId="0" xfId="0" applyFont="1" applyAlignment="1">
      <alignment wrapText="1"/>
    </xf>
    <xf numFmtId="0" fontId="24" fillId="0" borderId="44"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11" xfId="0" applyFont="1" applyBorder="1" applyAlignment="1">
      <alignment horizontal="center" vertical="center" wrapText="1"/>
    </xf>
    <xf numFmtId="0" fontId="0" fillId="8" borderId="78" xfId="0" applyFill="1" applyBorder="1"/>
    <xf numFmtId="0" fontId="0" fillId="8" borderId="10" xfId="0" applyFill="1" applyBorder="1"/>
    <xf numFmtId="178" fontId="17" fillId="8" borderId="78" xfId="0" applyNumberFormat="1" applyFont="1" applyFill="1" applyBorder="1" applyAlignment="1">
      <alignment horizontal="center" vertical="center"/>
    </xf>
    <xf numFmtId="178" fontId="17" fillId="8" borderId="10" xfId="0" applyNumberFormat="1" applyFont="1" applyFill="1" applyBorder="1" applyAlignment="1">
      <alignment horizontal="center" vertical="center"/>
    </xf>
    <xf numFmtId="178" fontId="17" fillId="8" borderId="11" xfId="0" applyNumberFormat="1" applyFont="1" applyFill="1" applyBorder="1" applyAlignment="1">
      <alignment horizontal="center" vertical="center"/>
    </xf>
    <xf numFmtId="178" fontId="17" fillId="8" borderId="33" xfId="0" applyNumberFormat="1" applyFont="1" applyFill="1" applyBorder="1" applyAlignment="1">
      <alignment horizontal="center" vertical="center"/>
    </xf>
    <xf numFmtId="0" fontId="0" fillId="18" borderId="33" xfId="0" applyFill="1" applyBorder="1"/>
    <xf numFmtId="0" fontId="0" fillId="18" borderId="33" xfId="0" applyFill="1" applyBorder="1" applyAlignment="1">
      <alignment horizontal="center"/>
    </xf>
    <xf numFmtId="0" fontId="0" fillId="18" borderId="78" xfId="0" applyFill="1" applyBorder="1"/>
    <xf numFmtId="0" fontId="0" fillId="18" borderId="10" xfId="0" applyFill="1" applyBorder="1" applyAlignment="1">
      <alignment horizontal="center"/>
    </xf>
    <xf numFmtId="0" fontId="0" fillId="18" borderId="10" xfId="0" applyFill="1" applyBorder="1"/>
    <xf numFmtId="0" fontId="0" fillId="18" borderId="11" xfId="0" applyFill="1" applyBorder="1"/>
    <xf numFmtId="0" fontId="0" fillId="8" borderId="45" xfId="0" applyFill="1" applyBorder="1"/>
    <xf numFmtId="0" fontId="0" fillId="8" borderId="29" xfId="0" applyFill="1" applyBorder="1"/>
    <xf numFmtId="181" fontId="8" fillId="8" borderId="45" xfId="0" applyNumberFormat="1" applyFont="1" applyFill="1" applyBorder="1" applyAlignment="1">
      <alignment horizontal="center"/>
    </xf>
    <xf numFmtId="181" fontId="8" fillId="8" borderId="29" xfId="0" applyNumberFormat="1" applyFont="1" applyFill="1" applyBorder="1" applyAlignment="1">
      <alignment horizontal="center"/>
    </xf>
    <xf numFmtId="181" fontId="8" fillId="8" borderId="28" xfId="0" applyNumberFormat="1" applyFont="1" applyFill="1" applyBorder="1" applyAlignment="1">
      <alignment horizontal="center"/>
    </xf>
    <xf numFmtId="181" fontId="8" fillId="8" borderId="13" xfId="0" applyNumberFormat="1" applyFont="1" applyFill="1" applyBorder="1" applyAlignment="1">
      <alignment horizontal="center"/>
    </xf>
    <xf numFmtId="0" fontId="0" fillId="18" borderId="13" xfId="0" applyFill="1" applyBorder="1"/>
    <xf numFmtId="0" fontId="0" fillId="18" borderId="13" xfId="0" applyFill="1" applyBorder="1" applyAlignment="1">
      <alignment horizontal="center"/>
    </xf>
    <xf numFmtId="0" fontId="0" fillId="18" borderId="45" xfId="0" applyFill="1" applyBorder="1"/>
    <xf numFmtId="0" fontId="0" fillId="18" borderId="29" xfId="0" applyFill="1" applyBorder="1" applyAlignment="1">
      <alignment horizontal="center"/>
    </xf>
    <xf numFmtId="0" fontId="0" fillId="18" borderId="29" xfId="0" applyFill="1" applyBorder="1"/>
    <xf numFmtId="0" fontId="0" fillId="18" borderId="28" xfId="0" applyFill="1" applyBorder="1"/>
    <xf numFmtId="0" fontId="23" fillId="0" borderId="0" xfId="0" applyFont="1" applyAlignment="1">
      <alignment horizontal="left" vertical="center" indent="12"/>
    </xf>
    <xf numFmtId="0" fontId="0" fillId="0" borderId="0" xfId="0" applyAlignment="1">
      <alignment horizontal="center" vertical="top"/>
    </xf>
    <xf numFmtId="0" fontId="0" fillId="0" borderId="78" xfId="0" applyBorder="1"/>
    <xf numFmtId="0" fontId="37" fillId="0" borderId="0" xfId="0" applyFont="1" applyAlignment="1">
      <alignment horizontal="left" vertical="center" indent="12"/>
    </xf>
    <xf numFmtId="0" fontId="0" fillId="0" borderId="45" xfId="33" applyFont="1" applyBorder="1" applyAlignment="1">
      <alignment vertical="top" wrapText="1"/>
    </xf>
    <xf numFmtId="182" fontId="0" fillId="0" borderId="28" xfId="33" applyNumberFormat="1" applyFont="1" applyBorder="1" applyAlignment="1">
      <alignment horizontal="left" vertical="top" wrapText="1"/>
    </xf>
    <xf numFmtId="0" fontId="0" fillId="0" borderId="33" xfId="0" applyBorder="1"/>
    <xf numFmtId="0" fontId="0" fillId="0" borderId="30" xfId="0" applyBorder="1"/>
    <xf numFmtId="49" fontId="0" fillId="0" borderId="13" xfId="33" applyNumberFormat="1" applyFont="1" applyBorder="1" applyAlignment="1">
      <alignment vertical="top" wrapText="1"/>
    </xf>
    <xf numFmtId="0" fontId="23" fillId="0" borderId="45" xfId="0" applyFont="1" applyBorder="1"/>
    <xf numFmtId="14" fontId="24" fillId="6" borderId="36" xfId="0" applyNumberFormat="1" applyFont="1" applyFill="1" applyBorder="1" applyAlignment="1" applyProtection="1">
      <alignment horizontal="center" vertical="center" wrapText="1"/>
      <protection locked="0"/>
    </xf>
    <xf numFmtId="14" fontId="24" fillId="6" borderId="46" xfId="0" applyNumberFormat="1" applyFont="1" applyFill="1" applyBorder="1" applyAlignment="1" applyProtection="1">
      <alignment horizontal="center" vertical="center" wrapText="1"/>
      <protection locked="0"/>
    </xf>
    <xf numFmtId="14" fontId="24" fillId="6" borderId="47" xfId="0" applyNumberFormat="1" applyFont="1" applyFill="1" applyBorder="1" applyAlignment="1" applyProtection="1">
      <alignment horizontal="center" vertical="center" wrapText="1"/>
      <protection locked="0"/>
    </xf>
    <xf numFmtId="0" fontId="24" fillId="0" borderId="33" xfId="0" applyFont="1" applyBorder="1" applyAlignment="1">
      <alignment horizontal="center" vertical="center"/>
    </xf>
    <xf numFmtId="183" fontId="24" fillId="8" borderId="33" xfId="0" applyNumberFormat="1" applyFont="1" applyFill="1" applyBorder="1" applyAlignment="1">
      <alignment horizontal="center" vertical="center" wrapText="1"/>
    </xf>
    <xf numFmtId="171" fontId="0" fillId="0" borderId="37" xfId="48" applyFont="1" applyFill="1" applyBorder="1" applyAlignment="1" applyProtection="1">
      <alignment vertical="center" shrinkToFit="1"/>
    </xf>
    <xf numFmtId="171" fontId="0" fillId="0" borderId="65" xfId="48" applyFont="1" applyFill="1" applyBorder="1" applyAlignment="1" applyProtection="1">
      <alignment vertical="center" shrinkToFit="1"/>
    </xf>
    <xf numFmtId="171" fontId="0" fillId="0" borderId="38" xfId="48" applyFont="1" applyFill="1" applyBorder="1" applyAlignment="1" applyProtection="1">
      <alignment horizontal="center" vertical="center" shrinkToFit="1"/>
    </xf>
    <xf numFmtId="171" fontId="0" fillId="0" borderId="39" xfId="48" applyFont="1" applyFill="1" applyBorder="1" applyAlignment="1" applyProtection="1">
      <alignment horizontal="center" vertical="center" shrinkToFit="1"/>
    </xf>
    <xf numFmtId="171" fontId="0" fillId="6" borderId="38" xfId="48" applyFont="1" applyFill="1" applyBorder="1" applyAlignment="1" applyProtection="1">
      <protection locked="0"/>
    </xf>
    <xf numFmtId="171" fontId="0" fillId="6" borderId="40" xfId="48" applyFont="1" applyFill="1" applyBorder="1" applyAlignment="1" applyProtection="1">
      <protection locked="0"/>
    </xf>
    <xf numFmtId="165" fontId="0" fillId="0" borderId="39" xfId="0" applyNumberFormat="1" applyBorder="1"/>
    <xf numFmtId="171" fontId="24" fillId="17" borderId="13" xfId="48" applyFont="1" applyFill="1" applyBorder="1" applyAlignment="1" applyProtection="1">
      <alignment horizontal="center" vertical="center"/>
    </xf>
    <xf numFmtId="171" fontId="24" fillId="17" borderId="13" xfId="48" applyFont="1" applyFill="1" applyBorder="1" applyAlignment="1" applyProtection="1">
      <alignment horizontal="center" vertical="center" shrinkToFit="1"/>
    </xf>
    <xf numFmtId="0" fontId="0" fillId="17" borderId="41" xfId="0" applyFill="1" applyBorder="1"/>
    <xf numFmtId="0" fontId="0" fillId="17" borderId="34" xfId="0" applyFill="1" applyBorder="1"/>
    <xf numFmtId="0" fontId="0" fillId="17" borderId="60" xfId="0" applyFill="1" applyBorder="1"/>
    <xf numFmtId="0" fontId="0" fillId="17" borderId="79" xfId="0" applyFill="1" applyBorder="1"/>
    <xf numFmtId="0" fontId="23" fillId="0" borderId="0" xfId="0" applyFont="1" applyAlignment="1">
      <alignment horizontal="left" vertical="center" indent="15"/>
    </xf>
    <xf numFmtId="0" fontId="0" fillId="0" borderId="44" xfId="0" applyBorder="1" applyAlignment="1">
      <alignment horizontal="center" wrapText="1"/>
    </xf>
    <xf numFmtId="0" fontId="24" fillId="0" borderId="31" xfId="0" applyFont="1" applyBorder="1" applyAlignment="1">
      <alignment horizontal="right" vertical="center" wrapText="1"/>
    </xf>
    <xf numFmtId="184" fontId="24" fillId="0" borderId="31" xfId="31" applyNumberFormat="1" applyFont="1" applyFill="1" applyBorder="1" applyAlignment="1" applyProtection="1">
      <alignment horizontal="right" vertical="center" shrinkToFit="1"/>
    </xf>
    <xf numFmtId="0" fontId="24" fillId="0" borderId="12" xfId="35" applyFont="1" applyBorder="1"/>
    <xf numFmtId="0" fontId="0" fillId="0" borderId="28" xfId="0" applyBorder="1" applyAlignment="1">
      <alignment shrinkToFit="1"/>
    </xf>
    <xf numFmtId="0" fontId="0" fillId="0" borderId="30" xfId="33" applyFont="1" applyBorder="1" applyAlignment="1">
      <alignment vertical="top" wrapText="1"/>
    </xf>
    <xf numFmtId="4" fontId="0" fillId="0" borderId="13" xfId="33" applyNumberFormat="1" applyFont="1" applyBorder="1" applyAlignment="1">
      <alignment horizontal="left" vertical="top" wrapText="1"/>
    </xf>
    <xf numFmtId="4" fontId="0" fillId="0" borderId="45" xfId="33" applyNumberFormat="1" applyFont="1" applyBorder="1" applyAlignment="1">
      <alignment horizontal="left" vertical="top" wrapText="1"/>
    </xf>
    <xf numFmtId="0" fontId="22" fillId="0" borderId="0" xfId="0" applyFont="1" applyAlignment="1">
      <alignment wrapText="1"/>
    </xf>
    <xf numFmtId="0" fontId="21" fillId="0" borderId="11" xfId="0" applyFont="1" applyBorder="1" applyAlignment="1">
      <alignment horizontal="center"/>
    </xf>
    <xf numFmtId="0" fontId="53" fillId="0" borderId="0" xfId="0" applyFont="1" applyAlignment="1">
      <alignment horizontal="center" vertical="center" wrapText="1"/>
    </xf>
    <xf numFmtId="170" fontId="24" fillId="0" borderId="45" xfId="0" applyNumberFormat="1" applyFont="1" applyBorder="1" applyAlignment="1">
      <alignment horizontal="center"/>
    </xf>
    <xf numFmtId="10" fontId="24" fillId="0" borderId="28" xfId="0" applyNumberFormat="1" applyFont="1" applyBorder="1" applyAlignment="1">
      <alignment horizontal="center" shrinkToFit="1"/>
    </xf>
    <xf numFmtId="178" fontId="0" fillId="0" borderId="29" xfId="0" applyNumberFormat="1" applyBorder="1" applyAlignment="1">
      <alignment horizontal="center" vertical="center"/>
    </xf>
    <xf numFmtId="0" fontId="0" fillId="0" borderId="10" xfId="0" applyBorder="1" applyAlignment="1">
      <alignment wrapText="1"/>
    </xf>
    <xf numFmtId="0" fontId="0" fillId="0" borderId="39" xfId="0" applyBorder="1" applyAlignment="1">
      <alignment horizontal="left" vertical="top"/>
    </xf>
    <xf numFmtId="49" fontId="0" fillId="0" borderId="39" xfId="0" applyNumberFormat="1" applyBorder="1" applyAlignment="1">
      <alignment horizontal="center" vertical="center" wrapText="1"/>
    </xf>
    <xf numFmtId="0" fontId="0" fillId="0" borderId="40" xfId="0" applyBorder="1" applyAlignment="1">
      <alignment horizontal="center" vertical="center"/>
    </xf>
    <xf numFmtId="0" fontId="0" fillId="0" borderId="75" xfId="0" applyBorder="1" applyAlignment="1">
      <alignment horizontal="center" vertical="center"/>
    </xf>
    <xf numFmtId="178" fontId="0" fillId="0" borderId="0" xfId="0" applyNumberFormat="1" applyAlignment="1">
      <alignment horizontal="center" vertical="center"/>
    </xf>
    <xf numFmtId="10" fontId="0" fillId="0" borderId="65" xfId="0" applyNumberFormat="1" applyBorder="1" applyAlignment="1">
      <alignment horizontal="center" vertical="center"/>
    </xf>
    <xf numFmtId="0" fontId="0" fillId="0" borderId="32" xfId="0" applyBorder="1" applyAlignment="1">
      <alignment horizontal="center" vertical="center" wrapText="1"/>
    </xf>
    <xf numFmtId="181" fontId="8" fillId="8" borderId="80" xfId="0" applyNumberFormat="1" applyFont="1" applyFill="1" applyBorder="1" applyAlignment="1">
      <alignment horizontal="center"/>
    </xf>
    <xf numFmtId="181" fontId="8" fillId="8" borderId="81" xfId="0" applyNumberFormat="1" applyFont="1" applyFill="1" applyBorder="1" applyAlignment="1">
      <alignment horizontal="center"/>
    </xf>
    <xf numFmtId="181" fontId="8" fillId="8" borderId="62" xfId="0" applyNumberFormat="1" applyFont="1" applyFill="1" applyBorder="1" applyAlignment="1">
      <alignment horizontal="center"/>
    </xf>
    <xf numFmtId="181" fontId="8" fillId="8" borderId="63" xfId="0" applyNumberFormat="1" applyFont="1" applyFill="1" applyBorder="1" applyAlignment="1">
      <alignment horizontal="center"/>
    </xf>
    <xf numFmtId="0" fontId="0" fillId="18" borderId="32" xfId="0" applyFill="1" applyBorder="1"/>
    <xf numFmtId="0" fontId="0" fillId="18" borderId="0" xfId="0" applyFill="1" applyAlignment="1">
      <alignment horizontal="center"/>
    </xf>
    <xf numFmtId="0" fontId="0" fillId="18" borderId="12" xfId="0" applyFill="1" applyBorder="1" applyAlignment="1">
      <alignment horizontal="center"/>
    </xf>
    <xf numFmtId="0" fontId="21" fillId="0" borderId="0" xfId="0" applyFont="1"/>
    <xf numFmtId="178" fontId="0" fillId="8" borderId="41" xfId="0" applyNumberFormat="1" applyFill="1" applyBorder="1" applyAlignment="1">
      <alignment horizontal="center" vertical="center"/>
    </xf>
    <xf numFmtId="178" fontId="0" fillId="8" borderId="37" xfId="0" applyNumberFormat="1" applyFill="1" applyBorder="1" applyAlignment="1">
      <alignment horizontal="center" vertical="center"/>
    </xf>
    <xf numFmtId="178" fontId="0" fillId="8" borderId="75" xfId="0" applyNumberFormat="1" applyFill="1" applyBorder="1" applyAlignment="1">
      <alignment horizontal="center" vertical="center"/>
    </xf>
    <xf numFmtId="178" fontId="0" fillId="8" borderId="65" xfId="0" applyNumberFormat="1" applyFill="1" applyBorder="1" applyAlignment="1">
      <alignment horizontal="center" vertical="center"/>
    </xf>
    <xf numFmtId="0" fontId="0" fillId="18" borderId="80" xfId="0" applyFill="1" applyBorder="1" applyAlignment="1">
      <alignment horizontal="right"/>
    </xf>
    <xf numFmtId="178" fontId="55" fillId="0" borderId="39" xfId="0" applyNumberFormat="1" applyFont="1" applyBorder="1"/>
    <xf numFmtId="178" fontId="0" fillId="0" borderId="82" xfId="0" applyNumberFormat="1" applyBorder="1" applyAlignment="1">
      <alignment horizontal="center" vertical="center"/>
    </xf>
    <xf numFmtId="178" fontId="0" fillId="0" borderId="57" xfId="0" applyNumberFormat="1" applyBorder="1" applyAlignment="1">
      <alignment horizontal="center" vertical="center"/>
    </xf>
    <xf numFmtId="178" fontId="0" fillId="0" borderId="58" xfId="0" applyNumberFormat="1" applyBorder="1" applyAlignment="1">
      <alignment horizontal="center" vertical="center"/>
    </xf>
    <xf numFmtId="178" fontId="0" fillId="0" borderId="59" xfId="0" applyNumberFormat="1" applyBorder="1" applyAlignment="1">
      <alignment horizontal="center" vertical="center"/>
    </xf>
    <xf numFmtId="0" fontId="0" fillId="18" borderId="83" xfId="0" applyFill="1" applyBorder="1" applyAlignment="1">
      <alignment horizontal="right"/>
    </xf>
    <xf numFmtId="178" fontId="17" fillId="8" borderId="31" xfId="0" applyNumberFormat="1" applyFont="1" applyFill="1" applyBorder="1" applyAlignment="1">
      <alignment horizontal="center" vertical="center"/>
    </xf>
    <xf numFmtId="178" fontId="17" fillId="8" borderId="44" xfId="0" applyNumberFormat="1" applyFont="1" applyFill="1" applyBorder="1" applyAlignment="1">
      <alignment horizontal="center" vertical="center"/>
    </xf>
    <xf numFmtId="178" fontId="0" fillId="0" borderId="0" xfId="0" applyNumberFormat="1"/>
    <xf numFmtId="0" fontId="17" fillId="0" borderId="0" xfId="33" applyFont="1" applyAlignment="1">
      <alignment vertical="center"/>
    </xf>
    <xf numFmtId="0" fontId="0" fillId="0" borderId="0" xfId="33" applyFont="1" applyAlignment="1">
      <alignment horizontal="left" vertical="center"/>
    </xf>
    <xf numFmtId="0" fontId="0" fillId="0" borderId="10" xfId="0" applyBorder="1" applyAlignment="1">
      <alignment horizontal="right"/>
    </xf>
    <xf numFmtId="168" fontId="0" fillId="0" borderId="0" xfId="33" applyNumberFormat="1" applyFont="1" applyAlignment="1">
      <alignment horizontal="left"/>
    </xf>
    <xf numFmtId="171" fontId="56" fillId="0" borderId="0" xfId="48" applyFill="1" applyBorder="1" applyAlignment="1" applyProtection="1"/>
    <xf numFmtId="0" fontId="0" fillId="0" borderId="0" xfId="33" applyFont="1" applyAlignment="1">
      <alignment horizontal="left"/>
    </xf>
    <xf numFmtId="0" fontId="0" fillId="6" borderId="0" xfId="33" applyFont="1" applyFill="1" applyAlignment="1" applyProtection="1">
      <alignment vertical="top"/>
      <protection locked="0"/>
    </xf>
    <xf numFmtId="0" fontId="24" fillId="0" borderId="0" xfId="33" applyFont="1" applyAlignment="1">
      <alignment vertical="top"/>
    </xf>
    <xf numFmtId="180" fontId="24" fillId="0" borderId="39" xfId="48" applyNumberFormat="1" applyFont="1" applyFill="1" applyBorder="1" applyAlignment="1" applyProtection="1">
      <alignment vertical="top" shrinkToFit="1"/>
    </xf>
    <xf numFmtId="180" fontId="24" fillId="0" borderId="67" xfId="48" applyNumberFormat="1" applyFont="1" applyFill="1" applyBorder="1" applyAlignment="1" applyProtection="1">
      <alignment horizontal="right" vertical="top" shrinkToFit="1"/>
    </xf>
    <xf numFmtId="10" fontId="24" fillId="0" borderId="67" xfId="37" applyNumberFormat="1" applyFont="1" applyFill="1" applyBorder="1" applyAlignment="1" applyProtection="1">
      <alignment horizontal="right" vertical="top" shrinkToFit="1"/>
    </xf>
    <xf numFmtId="0" fontId="0" fillId="6" borderId="0" xfId="33" applyFont="1" applyFill="1" applyAlignment="1" applyProtection="1">
      <alignment vertical="top" wrapText="1"/>
      <protection locked="0"/>
    </xf>
    <xf numFmtId="0" fontId="0" fillId="0" borderId="29" xfId="33" applyFont="1" applyBorder="1"/>
    <xf numFmtId="0" fontId="0" fillId="20" borderId="0" xfId="0" applyFill="1"/>
    <xf numFmtId="0" fontId="0" fillId="20" borderId="0" xfId="0" applyFill="1" applyAlignment="1">
      <alignment horizontal="center" vertical="center"/>
    </xf>
    <xf numFmtId="0" fontId="18" fillId="20" borderId="0" xfId="0" applyFont="1" applyFill="1" applyAlignment="1">
      <alignment vertical="center"/>
    </xf>
    <xf numFmtId="0" fontId="19" fillId="20" borderId="0" xfId="0" applyFont="1" applyFill="1" applyAlignment="1">
      <alignment horizontal="center" vertical="top"/>
    </xf>
    <xf numFmtId="0" fontId="19" fillId="20" borderId="0" xfId="0" applyFont="1" applyFill="1" applyAlignment="1">
      <alignment vertical="top"/>
    </xf>
    <xf numFmtId="0" fontId="0" fillId="3" borderId="0" xfId="0" applyFill="1" applyAlignment="1">
      <alignment vertical="center"/>
    </xf>
    <xf numFmtId="0" fontId="0" fillId="0" borderId="85" xfId="0" applyBorder="1"/>
    <xf numFmtId="0" fontId="0" fillId="0" borderId="86" xfId="0" applyBorder="1"/>
    <xf numFmtId="0" fontId="0" fillId="0" borderId="87" xfId="0" applyBorder="1"/>
    <xf numFmtId="0" fontId="24" fillId="0" borderId="0" xfId="0" applyFont="1" applyAlignment="1">
      <alignment vertical="center"/>
    </xf>
    <xf numFmtId="0" fontId="0" fillId="0" borderId="88" xfId="0" applyBorder="1"/>
    <xf numFmtId="0" fontId="0" fillId="0" borderId="88" xfId="0" applyBorder="1" applyAlignment="1">
      <alignment vertical="center"/>
    </xf>
    <xf numFmtId="0" fontId="0" fillId="0" borderId="89" xfId="0" applyBorder="1"/>
    <xf numFmtId="0" fontId="0" fillId="0" borderId="90" xfId="0" applyBorder="1"/>
    <xf numFmtId="0" fontId="0" fillId="0" borderId="91" xfId="0" applyBorder="1"/>
    <xf numFmtId="0" fontId="0" fillId="21" borderId="44" xfId="0" applyFill="1" applyBorder="1"/>
    <xf numFmtId="0" fontId="0" fillId="21" borderId="31" xfId="0" applyFill="1" applyBorder="1"/>
    <xf numFmtId="0" fontId="0" fillId="21" borderId="31" xfId="0" applyFill="1" applyBorder="1" applyAlignment="1">
      <alignment horizontal="center"/>
    </xf>
    <xf numFmtId="0" fontId="24" fillId="6" borderId="13" xfId="0" applyFont="1" applyFill="1" applyBorder="1" applyAlignment="1" applyProtection="1">
      <alignment horizontal="center" vertical="center" wrapText="1"/>
      <protection locked="0"/>
    </xf>
    <xf numFmtId="0" fontId="24" fillId="6" borderId="28" xfId="0" applyFont="1" applyFill="1" applyBorder="1" applyAlignment="1" applyProtection="1">
      <alignment horizontal="center" vertical="center" wrapText="1"/>
      <protection locked="0"/>
    </xf>
    <xf numFmtId="0" fontId="0" fillId="22" borderId="44" xfId="0" applyFill="1" applyBorder="1"/>
    <xf numFmtId="0" fontId="0" fillId="23" borderId="31" xfId="0" applyFill="1" applyBorder="1"/>
    <xf numFmtId="171" fontId="21" fillId="17" borderId="31" xfId="48" applyFont="1" applyFill="1" applyBorder="1" applyAlignment="1" applyProtection="1">
      <alignment horizontal="center" vertical="center" shrinkToFit="1"/>
    </xf>
    <xf numFmtId="0" fontId="42" fillId="0" borderId="50" xfId="0" applyFont="1" applyBorder="1" applyAlignment="1">
      <alignment horizontal="center" vertical="center" wrapText="1"/>
    </xf>
    <xf numFmtId="171" fontId="0" fillId="0" borderId="38" xfId="48" applyFont="1" applyFill="1" applyBorder="1" applyAlignment="1" applyProtection="1">
      <alignment vertical="center" shrinkToFit="1"/>
    </xf>
    <xf numFmtId="10" fontId="0" fillId="0" borderId="40" xfId="48" applyNumberFormat="1" applyFont="1" applyFill="1" applyBorder="1" applyAlignment="1" applyProtection="1">
      <alignment vertical="center" shrinkToFit="1"/>
    </xf>
    <xf numFmtId="10" fontId="24" fillId="17" borderId="13" xfId="48" applyNumberFormat="1" applyFont="1" applyFill="1" applyBorder="1" applyAlignment="1" applyProtection="1">
      <alignment horizontal="center" vertical="center"/>
    </xf>
    <xf numFmtId="171" fontId="0" fillId="6" borderId="41" xfId="48" applyFont="1" applyFill="1" applyBorder="1" applyAlignment="1" applyProtection="1">
      <alignment vertical="center" wrapText="1"/>
      <protection locked="0"/>
    </xf>
    <xf numFmtId="0" fontId="46" fillId="22" borderId="31" xfId="34" applyFont="1" applyFill="1" applyBorder="1" applyAlignment="1">
      <alignment horizontal="center"/>
    </xf>
    <xf numFmtId="0" fontId="46" fillId="21" borderId="44" xfId="34" applyFont="1" applyFill="1" applyBorder="1" applyAlignment="1">
      <alignment horizontal="center"/>
    </xf>
    <xf numFmtId="0" fontId="0" fillId="21" borderId="36" xfId="0" applyFill="1" applyBorder="1"/>
    <xf numFmtId="0" fontId="0" fillId="21" borderId="46" xfId="0" applyFill="1" applyBorder="1"/>
    <xf numFmtId="0" fontId="0" fillId="21" borderId="47" xfId="0" applyFill="1" applyBorder="1"/>
    <xf numFmtId="171" fontId="0" fillId="6" borderId="39" xfId="48" applyFont="1" applyFill="1" applyBorder="1" applyAlignment="1" applyProtection="1">
      <protection locked="0"/>
    </xf>
    <xf numFmtId="1" fontId="0" fillId="6" borderId="0" xfId="0" applyNumberFormat="1" applyFill="1" applyAlignment="1" applyProtection="1">
      <alignment horizontal="center"/>
      <protection locked="0"/>
    </xf>
    <xf numFmtId="171" fontId="0" fillId="6" borderId="38" xfId="48" applyFont="1" applyFill="1" applyBorder="1" applyAlignment="1" applyProtection="1">
      <alignment vertical="center" wrapText="1"/>
      <protection locked="0"/>
    </xf>
    <xf numFmtId="10" fontId="24" fillId="17" borderId="70" xfId="48" applyNumberFormat="1" applyFont="1" applyFill="1" applyBorder="1" applyAlignment="1" applyProtection="1">
      <alignment horizontal="center" vertical="center"/>
    </xf>
    <xf numFmtId="171" fontId="24" fillId="17" borderId="70" xfId="48" applyFont="1" applyFill="1" applyBorder="1" applyAlignment="1" applyProtection="1">
      <alignment horizontal="center" vertical="center"/>
    </xf>
    <xf numFmtId="10" fontId="24" fillId="17" borderId="71" xfId="48" applyNumberFormat="1" applyFont="1" applyFill="1" applyBorder="1" applyAlignment="1" applyProtection="1">
      <alignment horizontal="center" vertical="center"/>
    </xf>
    <xf numFmtId="0" fontId="30" fillId="0" borderId="0" xfId="0" applyFont="1" applyAlignment="1">
      <alignment horizontal="left" wrapText="1"/>
    </xf>
    <xf numFmtId="4" fontId="0" fillId="6" borderId="51" xfId="0" applyNumberFormat="1" applyFill="1" applyBorder="1" applyProtection="1">
      <protection locked="0"/>
    </xf>
    <xf numFmtId="4" fontId="0" fillId="6" borderId="64" xfId="0" applyNumberFormat="1" applyFill="1" applyBorder="1" applyProtection="1">
      <protection locked="0"/>
    </xf>
    <xf numFmtId="4" fontId="0" fillId="6" borderId="70" xfId="0" applyNumberFormat="1" applyFill="1" applyBorder="1" applyProtection="1">
      <protection locked="0"/>
    </xf>
    <xf numFmtId="4" fontId="0" fillId="6" borderId="71" xfId="0" applyNumberFormat="1" applyFill="1" applyBorder="1" applyProtection="1">
      <protection locked="0"/>
    </xf>
    <xf numFmtId="0" fontId="0" fillId="0" borderId="92" xfId="0" applyBorder="1" applyAlignment="1">
      <alignment horizontal="center"/>
    </xf>
    <xf numFmtId="0" fontId="0" fillId="0" borderId="93" xfId="0" applyBorder="1" applyAlignment="1">
      <alignment horizontal="center"/>
    </xf>
    <xf numFmtId="0" fontId="0" fillId="0" borderId="94" xfId="0" applyBorder="1" applyAlignment="1">
      <alignment horizontal="center"/>
    </xf>
    <xf numFmtId="0" fontId="24" fillId="0" borderId="60" xfId="0" applyFont="1" applyBorder="1"/>
    <xf numFmtId="0" fontId="0" fillId="6" borderId="36" xfId="0" applyFill="1" applyBorder="1" applyAlignment="1" applyProtection="1">
      <alignment horizontal="center" textRotation="90" wrapText="1"/>
      <protection locked="0"/>
    </xf>
    <xf numFmtId="171" fontId="0" fillId="0" borderId="36" xfId="48" applyFont="1" applyFill="1" applyBorder="1" applyAlignment="1" applyProtection="1">
      <alignment vertical="center" shrinkToFit="1"/>
    </xf>
    <xf numFmtId="185" fontId="0" fillId="0" borderId="39" xfId="48" applyNumberFormat="1" applyFont="1" applyFill="1" applyBorder="1" applyAlignment="1" applyProtection="1">
      <alignment vertical="center" shrinkToFit="1"/>
    </xf>
    <xf numFmtId="49" fontId="24" fillId="17" borderId="29" xfId="0" applyNumberFormat="1" applyFont="1" applyFill="1" applyBorder="1" applyAlignment="1">
      <alignment horizontal="center" vertical="center"/>
    </xf>
    <xf numFmtId="171" fontId="24" fillId="17" borderId="29" xfId="48" applyFont="1" applyFill="1" applyBorder="1" applyAlignment="1" applyProtection="1">
      <alignment horizontal="center" vertical="center"/>
    </xf>
    <xf numFmtId="171" fontId="24" fillId="17" borderId="28" xfId="48" applyFont="1" applyFill="1" applyBorder="1" applyAlignment="1" applyProtection="1">
      <alignment horizontal="center" vertical="center" shrinkToFit="1"/>
    </xf>
    <xf numFmtId="1" fontId="59" fillId="0" borderId="0" xfId="0" applyNumberFormat="1" applyFont="1" applyAlignment="1">
      <alignment horizontal="center" vertical="center"/>
    </xf>
    <xf numFmtId="186" fontId="0" fillId="0" borderId="29" xfId="0" applyNumberFormat="1" applyBorder="1" applyAlignment="1">
      <alignment horizontal="left"/>
    </xf>
    <xf numFmtId="0" fontId="17" fillId="0" borderId="90" xfId="33" applyFont="1" applyBorder="1" applyAlignment="1">
      <alignment vertical="center"/>
    </xf>
    <xf numFmtId="0" fontId="0" fillId="0" borderId="90" xfId="0" applyBorder="1" applyAlignment="1">
      <alignment horizontal="center"/>
    </xf>
    <xf numFmtId="0" fontId="46" fillId="0" borderId="90" xfId="34" applyFont="1" applyBorder="1" applyAlignment="1">
      <alignment horizontal="center"/>
    </xf>
    <xf numFmtId="0" fontId="0" fillId="0" borderId="40" xfId="0" applyBorder="1" applyAlignment="1">
      <alignment horizontal="center" vertical="center" wrapText="1"/>
    </xf>
    <xf numFmtId="165" fontId="0" fillId="6" borderId="39" xfId="0" applyNumberFormat="1" applyFill="1" applyBorder="1" applyAlignment="1" applyProtection="1">
      <alignment horizontal="center" vertical="center"/>
      <protection locked="0"/>
    </xf>
    <xf numFmtId="0" fontId="0" fillId="6" borderId="82" xfId="0" applyFill="1" applyBorder="1" applyAlignment="1" applyProtection="1">
      <alignment horizontal="left" vertical="center" wrapText="1"/>
      <protection locked="0"/>
    </xf>
    <xf numFmtId="49" fontId="0" fillId="6" borderId="66" xfId="0" applyNumberFormat="1" applyFill="1" applyBorder="1" applyAlignment="1" applyProtection="1">
      <alignment horizontal="center" vertical="center" wrapText="1"/>
      <protection locked="0"/>
    </xf>
    <xf numFmtId="49" fontId="0" fillId="16" borderId="95" xfId="0" applyNumberFormat="1" applyFill="1" applyBorder="1" applyAlignment="1" applyProtection="1">
      <alignment horizontal="center" vertical="center"/>
      <protection locked="0"/>
    </xf>
    <xf numFmtId="49" fontId="0" fillId="6" borderId="40" xfId="48" applyNumberFormat="1" applyFont="1" applyFill="1" applyBorder="1" applyAlignment="1" applyProtection="1">
      <alignment horizontal="left" vertical="center" wrapText="1" shrinkToFit="1"/>
      <protection locked="0"/>
    </xf>
    <xf numFmtId="49" fontId="24" fillId="17" borderId="31" xfId="0" applyNumberFormat="1" applyFont="1" applyFill="1" applyBorder="1" applyAlignment="1">
      <alignment horizontal="left" vertical="center"/>
    </xf>
    <xf numFmtId="171" fontId="0" fillId="0" borderId="40" xfId="48" applyFont="1" applyFill="1" applyBorder="1" applyAlignment="1" applyProtection="1">
      <alignment vertical="center" shrinkToFit="1"/>
    </xf>
    <xf numFmtId="171" fontId="24" fillId="17" borderId="67" xfId="48" applyFont="1" applyFill="1" applyBorder="1" applyAlignment="1" applyProtection="1">
      <alignment horizontal="center" vertical="center" shrinkToFit="1"/>
    </xf>
    <xf numFmtId="171" fontId="24" fillId="17" borderId="71" xfId="48" applyFont="1" applyFill="1" applyBorder="1" applyAlignment="1" applyProtection="1">
      <alignment horizontal="center" vertical="center"/>
    </xf>
    <xf numFmtId="0" fontId="0" fillId="16" borderId="40" xfId="0" applyFill="1" applyBorder="1" applyAlignment="1" applyProtection="1">
      <alignment shrinkToFit="1"/>
      <protection locked="0"/>
    </xf>
    <xf numFmtId="0" fontId="0" fillId="0" borderId="96" xfId="0" applyBorder="1" applyAlignment="1">
      <alignment vertical="center"/>
    </xf>
    <xf numFmtId="0" fontId="0" fillId="16" borderId="97" xfId="0" applyFill="1" applyBorder="1" applyAlignment="1" applyProtection="1">
      <alignment vertical="center"/>
      <protection locked="0"/>
    </xf>
    <xf numFmtId="43" fontId="0" fillId="0" borderId="0" xfId="0" applyNumberFormat="1"/>
    <xf numFmtId="0" fontId="12" fillId="0" borderId="90" xfId="0" applyFont="1" applyBorder="1" applyAlignment="1">
      <alignment horizontal="left" indent="1"/>
    </xf>
    <xf numFmtId="0" fontId="57" fillId="25" borderId="84" xfId="30" applyFont="1" applyFill="1" applyBorder="1" applyAlignment="1">
      <alignment horizontal="center" vertical="center"/>
    </xf>
    <xf numFmtId="0" fontId="17" fillId="25" borderId="84" xfId="30" applyFont="1" applyFill="1" applyBorder="1" applyAlignment="1">
      <alignment horizontal="center" vertical="center"/>
    </xf>
    <xf numFmtId="0" fontId="23" fillId="25" borderId="84" xfId="30" applyFont="1" applyFill="1" applyBorder="1" applyAlignment="1">
      <alignment horizontal="center" vertical="center"/>
    </xf>
    <xf numFmtId="0" fontId="0" fillId="26" borderId="0" xfId="0" applyFill="1"/>
    <xf numFmtId="0" fontId="24" fillId="25" borderId="84" xfId="30" applyFont="1" applyFill="1" applyBorder="1" applyAlignment="1">
      <alignment horizontal="center" vertical="center"/>
    </xf>
    <xf numFmtId="0" fontId="51" fillId="0" borderId="0" xfId="0" applyFont="1" applyAlignment="1">
      <alignment horizontal="center" wrapText="1"/>
    </xf>
    <xf numFmtId="0" fontId="49" fillId="0" borderId="0" xfId="34" applyFont="1"/>
    <xf numFmtId="0" fontId="51" fillId="0" borderId="88" xfId="0" applyFont="1" applyBorder="1" applyAlignment="1">
      <alignment horizontal="center" wrapText="1"/>
    </xf>
    <xf numFmtId="0" fontId="12" fillId="20" borderId="101" xfId="0" applyFont="1" applyFill="1" applyBorder="1" applyAlignment="1">
      <alignment horizontal="center" vertical="center"/>
    </xf>
    <xf numFmtId="0" fontId="49" fillId="0" borderId="103" xfId="0" applyFont="1" applyBorder="1" applyAlignment="1">
      <alignment horizontal="center"/>
    </xf>
    <xf numFmtId="167" fontId="0" fillId="0" borderId="0" xfId="0" applyNumberFormat="1" applyAlignment="1">
      <alignment horizontal="left"/>
    </xf>
    <xf numFmtId="1" fontId="44" fillId="0" borderId="0" xfId="0" applyNumberFormat="1" applyFont="1" applyAlignment="1">
      <alignment horizontal="center" textRotation="90"/>
    </xf>
    <xf numFmtId="0" fontId="0" fillId="0" borderId="0" xfId="0" applyAlignment="1">
      <alignment horizontal="center" vertical="center"/>
    </xf>
    <xf numFmtId="0" fontId="62" fillId="0" borderId="0" xfId="0" applyFont="1"/>
    <xf numFmtId="0" fontId="0" fillId="0" borderId="94" xfId="0" applyBorder="1" applyAlignment="1">
      <alignment horizontal="center" wrapText="1"/>
    </xf>
    <xf numFmtId="167" fontId="0" fillId="0" borderId="90" xfId="0" applyNumberFormat="1" applyBorder="1"/>
    <xf numFmtId="186" fontId="0" fillId="0" borderId="90" xfId="0" applyNumberFormat="1" applyBorder="1" applyAlignment="1">
      <alignment horizontal="left"/>
    </xf>
    <xf numFmtId="0" fontId="12" fillId="0" borderId="94" xfId="0" applyFont="1" applyBorder="1" applyAlignment="1">
      <alignment horizontal="center"/>
    </xf>
    <xf numFmtId="0" fontId="46" fillId="6" borderId="31" xfId="0" applyFont="1" applyFill="1" applyBorder="1" applyAlignment="1" applyProtection="1">
      <alignment horizontal="left" vertical="center"/>
      <protection locked="0"/>
    </xf>
    <xf numFmtId="0" fontId="31" fillId="0" borderId="0" xfId="0" applyFont="1" applyAlignment="1">
      <alignment horizontal="left" vertical="top" wrapText="1"/>
    </xf>
    <xf numFmtId="0" fontId="12" fillId="0" borderId="31" xfId="0" applyFont="1" applyBorder="1"/>
    <xf numFmtId="0" fontId="0" fillId="0" borderId="0" xfId="0" applyAlignment="1">
      <alignment vertical="center" wrapText="1"/>
    </xf>
    <xf numFmtId="0" fontId="12" fillId="0" borderId="0" xfId="0" applyFont="1" applyAlignment="1">
      <alignment horizontal="left" wrapText="1"/>
    </xf>
    <xf numFmtId="0" fontId="0" fillId="0" borderId="0" xfId="0" applyAlignment="1">
      <alignment horizontal="left" vertical="center" wrapText="1"/>
    </xf>
    <xf numFmtId="0" fontId="12" fillId="0" borderId="90" xfId="0" applyFont="1" applyBorder="1" applyAlignment="1">
      <alignment horizontal="left" wrapText="1"/>
    </xf>
    <xf numFmtId="0" fontId="0" fillId="0" borderId="29" xfId="33" applyFont="1" applyBorder="1" applyAlignment="1">
      <alignment horizontal="left" vertical="top" wrapText="1"/>
    </xf>
    <xf numFmtId="0" fontId="65" fillId="0" borderId="30" xfId="35" applyFont="1" applyBorder="1" applyAlignment="1">
      <alignment horizontal="left" vertical="top"/>
    </xf>
    <xf numFmtId="0" fontId="0" fillId="0" borderId="45" xfId="33" applyFont="1" applyBorder="1" applyAlignment="1">
      <alignment horizontal="left" vertical="top"/>
    </xf>
    <xf numFmtId="0" fontId="0" fillId="0" borderId="0" xfId="0" applyAlignment="1">
      <alignment horizontal="right"/>
    </xf>
    <xf numFmtId="1" fontId="44" fillId="0" borderId="0" xfId="0" applyNumberFormat="1" applyFont="1" applyAlignment="1">
      <alignment horizontal="right" textRotation="90"/>
    </xf>
    <xf numFmtId="0" fontId="0" fillId="0" borderId="0" xfId="0" applyAlignment="1">
      <alignment horizontal="right" vertical="center"/>
    </xf>
    <xf numFmtId="0" fontId="58" fillId="25" borderId="84" xfId="30" applyFont="1" applyFill="1" applyBorder="1" applyAlignment="1">
      <alignment horizontal="center" vertical="center"/>
    </xf>
    <xf numFmtId="0" fontId="62" fillId="0" borderId="0" xfId="0" applyFont="1" applyProtection="1">
      <protection locked="0"/>
    </xf>
    <xf numFmtId="0" fontId="22" fillId="0" borderId="12" xfId="0" applyFont="1" applyBorder="1" applyAlignment="1">
      <alignment horizontal="center" wrapText="1"/>
    </xf>
    <xf numFmtId="0" fontId="22" fillId="0" borderId="0" xfId="0" applyFont="1" applyAlignment="1">
      <alignment horizontal="center" wrapText="1"/>
    </xf>
    <xf numFmtId="49" fontId="0" fillId="6" borderId="66" xfId="0" applyNumberFormat="1" applyFill="1" applyBorder="1" applyAlignment="1" applyProtection="1">
      <alignment horizontal="center" vertical="center"/>
      <protection locked="0"/>
    </xf>
    <xf numFmtId="0" fontId="0" fillId="0" borderId="39" xfId="0" applyBorder="1" applyAlignment="1">
      <alignment horizontal="left"/>
    </xf>
    <xf numFmtId="0" fontId="66" fillId="27" borderId="0" xfId="50" applyFont="1" applyFill="1" applyAlignment="1">
      <alignment horizontal="center"/>
    </xf>
    <xf numFmtId="0" fontId="67" fillId="0" borderId="0" xfId="50"/>
    <xf numFmtId="49" fontId="66" fillId="27" borderId="0" xfId="50" applyNumberFormat="1" applyFont="1" applyFill="1" applyAlignment="1">
      <alignment horizontal="center"/>
    </xf>
    <xf numFmtId="49" fontId="67" fillId="0" borderId="0" xfId="50" applyNumberFormat="1"/>
    <xf numFmtId="0" fontId="24" fillId="0" borderId="0" xfId="0" applyFont="1" applyAlignment="1">
      <alignment horizontal="left"/>
    </xf>
    <xf numFmtId="4" fontId="0" fillId="6" borderId="46" xfId="0" applyNumberFormat="1" applyFill="1" applyBorder="1" applyAlignment="1" applyProtection="1">
      <alignment horizontal="center" textRotation="90" wrapText="1"/>
      <protection locked="0"/>
    </xf>
    <xf numFmtId="0" fontId="68" fillId="0" borderId="0" xfId="0" applyFont="1"/>
    <xf numFmtId="0" fontId="0" fillId="0" borderId="0" xfId="0" applyAlignment="1">
      <alignment vertical="top"/>
    </xf>
    <xf numFmtId="0" fontId="24" fillId="0" borderId="0" xfId="0" applyFont="1" applyAlignment="1">
      <alignment horizontal="right" vertical="center"/>
    </xf>
    <xf numFmtId="177" fontId="56" fillId="0" borderId="0" xfId="48" applyNumberFormat="1" applyFill="1" applyBorder="1" applyAlignment="1" applyProtection="1">
      <alignment horizontal="center" shrinkToFit="1"/>
    </xf>
    <xf numFmtId="165" fontId="0" fillId="0" borderId="110" xfId="49" applyFont="1" applyFill="1" applyBorder="1" applyAlignment="1" applyProtection="1">
      <alignment horizontal="center"/>
    </xf>
    <xf numFmtId="165" fontId="24" fillId="8" borderId="75" xfId="49" applyFont="1" applyFill="1" applyBorder="1" applyAlignment="1" applyProtection="1">
      <alignment horizontal="right"/>
    </xf>
    <xf numFmtId="165" fontId="56" fillId="0" borderId="111" xfId="49" applyFill="1" applyBorder="1" applyAlignment="1" applyProtection="1">
      <alignment horizontal="right"/>
    </xf>
    <xf numFmtId="10" fontId="0" fillId="29" borderId="52" xfId="38" applyNumberFormat="1" applyFont="1" applyFill="1" applyBorder="1" applyAlignment="1" applyProtection="1"/>
    <xf numFmtId="171" fontId="56" fillId="29" borderId="39" xfId="48" applyFill="1" applyBorder="1" applyAlignment="1" applyProtection="1">
      <alignment shrinkToFit="1"/>
    </xf>
    <xf numFmtId="165" fontId="24" fillId="29" borderId="67" xfId="49" applyFont="1" applyFill="1" applyBorder="1" applyAlignment="1" applyProtection="1">
      <alignment shrinkToFit="1"/>
    </xf>
    <xf numFmtId="171" fontId="24" fillId="29" borderId="95" xfId="48" applyFont="1" applyFill="1" applyBorder="1" applyAlignment="1" applyProtection="1">
      <alignment shrinkToFit="1"/>
    </xf>
    <xf numFmtId="10" fontId="56" fillId="0" borderId="112" xfId="37" applyNumberFormat="1" applyFill="1" applyBorder="1" applyAlignment="1" applyProtection="1">
      <alignment shrinkToFit="1"/>
    </xf>
    <xf numFmtId="0" fontId="46" fillId="0" borderId="113" xfId="34" applyFont="1" applyBorder="1" applyAlignment="1">
      <alignment horizontal="center"/>
    </xf>
    <xf numFmtId="0" fontId="46" fillId="0" borderId="87" xfId="34" applyFont="1" applyBorder="1"/>
    <xf numFmtId="0" fontId="69" fillId="0" borderId="0" xfId="34" applyFont="1"/>
    <xf numFmtId="11" fontId="46" fillId="0" borderId="0" xfId="34" applyNumberFormat="1" applyFont="1" applyAlignment="1">
      <alignment horizontal="center"/>
    </xf>
    <xf numFmtId="0" fontId="49" fillId="0" borderId="115" xfId="34" applyFont="1" applyBorder="1" applyAlignment="1">
      <alignment horizontal="center"/>
    </xf>
    <xf numFmtId="174" fontId="49" fillId="0" borderId="116" xfId="34" applyNumberFormat="1" applyFont="1" applyBorder="1" applyAlignment="1">
      <alignment horizontal="center"/>
    </xf>
    <xf numFmtId="10" fontId="0" fillId="29" borderId="117" xfId="38" applyNumberFormat="1" applyFont="1" applyFill="1" applyBorder="1" applyAlignment="1" applyProtection="1"/>
    <xf numFmtId="171" fontId="24" fillId="29" borderId="58" xfId="48" applyFont="1" applyFill="1" applyBorder="1" applyAlignment="1" applyProtection="1">
      <alignment shrinkToFit="1"/>
    </xf>
    <xf numFmtId="0" fontId="0" fillId="30" borderId="0" xfId="0" applyFill="1"/>
    <xf numFmtId="0" fontId="24" fillId="30" borderId="0" xfId="0" applyFont="1" applyFill="1" applyAlignment="1">
      <alignment horizontal="right"/>
    </xf>
    <xf numFmtId="171" fontId="24" fillId="30" borderId="105" xfId="0" applyNumberFormat="1" applyFont="1" applyFill="1" applyBorder="1"/>
    <xf numFmtId="10" fontId="56" fillId="0" borderId="0" xfId="37" applyNumberFormat="1"/>
    <xf numFmtId="0" fontId="12" fillId="0" borderId="11" xfId="0" applyFont="1" applyBorder="1" applyAlignment="1">
      <alignment horizontal="center"/>
    </xf>
    <xf numFmtId="0" fontId="46" fillId="31" borderId="31" xfId="0" applyFont="1" applyFill="1" applyBorder="1" applyAlignment="1">
      <alignment horizontal="center" vertical="center"/>
    </xf>
    <xf numFmtId="171" fontId="56" fillId="31" borderId="28" xfId="48" applyFill="1" applyBorder="1" applyAlignment="1" applyProtection="1"/>
    <xf numFmtId="0" fontId="70" fillId="0" borderId="0" xfId="0" applyFont="1" applyAlignment="1">
      <alignment horizontal="left"/>
    </xf>
    <xf numFmtId="0" fontId="0" fillId="0" borderId="119" xfId="0" applyBorder="1"/>
    <xf numFmtId="0" fontId="0" fillId="0" borderId="120" xfId="0" applyBorder="1"/>
    <xf numFmtId="0" fontId="49" fillId="32" borderId="103" xfId="0" applyFont="1" applyFill="1" applyBorder="1" applyAlignment="1">
      <alignment horizontal="center"/>
    </xf>
    <xf numFmtId="0" fontId="12" fillId="32" borderId="121" xfId="0" applyFont="1" applyFill="1" applyBorder="1" applyAlignment="1">
      <alignment horizontal="right" vertical="center"/>
    </xf>
    <xf numFmtId="1" fontId="0" fillId="6" borderId="39" xfId="0" applyNumberFormat="1" applyFill="1" applyBorder="1" applyAlignment="1" applyProtection="1">
      <alignment horizontal="center" vertical="center"/>
      <protection locked="0"/>
    </xf>
    <xf numFmtId="0" fontId="71" fillId="0" borderId="0" xfId="0" applyFont="1"/>
    <xf numFmtId="0" fontId="72" fillId="0" borderId="0" xfId="0" applyFont="1"/>
    <xf numFmtId="0" fontId="31" fillId="0" borderId="0" xfId="0" applyFont="1" applyAlignment="1">
      <alignment vertical="center" wrapText="1"/>
    </xf>
    <xf numFmtId="165" fontId="23" fillId="0" borderId="0" xfId="0" applyNumberFormat="1" applyFont="1" applyAlignment="1">
      <alignment vertical="top"/>
    </xf>
    <xf numFmtId="165" fontId="23" fillId="0" borderId="0" xfId="0" applyNumberFormat="1" applyFont="1" applyAlignment="1">
      <alignment horizontal="right" vertical="center"/>
    </xf>
    <xf numFmtId="0" fontId="0" fillId="0" borderId="32" xfId="0" applyBorder="1" applyProtection="1">
      <protection locked="0"/>
    </xf>
    <xf numFmtId="1" fontId="0" fillId="0" borderId="89" xfId="0" applyNumberFormat="1" applyBorder="1" applyAlignment="1">
      <alignment vertical="top"/>
    </xf>
    <xf numFmtId="10" fontId="62" fillId="0" borderId="0" xfId="37" applyNumberFormat="1" applyFont="1" applyAlignment="1">
      <alignment horizontal="left"/>
    </xf>
    <xf numFmtId="0" fontId="73" fillId="0" borderId="0" xfId="0" applyFont="1"/>
    <xf numFmtId="0" fontId="75" fillId="0" borderId="0" xfId="0" applyFont="1"/>
    <xf numFmtId="0" fontId="73" fillId="0" borderId="0" xfId="0" applyFont="1" applyAlignment="1">
      <alignment vertical="center"/>
    </xf>
    <xf numFmtId="0" fontId="22" fillId="0" borderId="0" xfId="0" applyFont="1" applyAlignment="1">
      <alignment vertical="center"/>
    </xf>
    <xf numFmtId="0" fontId="75" fillId="0" borderId="0" xfId="0" applyFont="1" applyAlignment="1">
      <alignment horizontal="center"/>
    </xf>
    <xf numFmtId="0" fontId="68" fillId="0" borderId="0" xfId="0" applyFont="1" applyAlignment="1">
      <alignment horizontal="center" vertical="center"/>
    </xf>
    <xf numFmtId="0" fontId="76" fillId="17" borderId="31" xfId="0" applyFont="1" applyFill="1" applyBorder="1" applyAlignment="1">
      <alignment horizontal="center" vertical="center"/>
    </xf>
    <xf numFmtId="0" fontId="0" fillId="21" borderId="13" xfId="0" applyFill="1" applyBorder="1" applyAlignment="1">
      <alignment horizontal="left"/>
    </xf>
    <xf numFmtId="0" fontId="24" fillId="0" borderId="29" xfId="0" applyFont="1" applyBorder="1" applyAlignment="1">
      <alignment horizontal="center" vertical="center" wrapText="1"/>
    </xf>
    <xf numFmtId="0" fontId="74" fillId="0" borderId="0" xfId="0" applyFont="1"/>
    <xf numFmtId="0" fontId="75" fillId="0" borderId="0" xfId="0" applyFont="1" applyAlignment="1">
      <alignment vertical="center"/>
    </xf>
    <xf numFmtId="0" fontId="73" fillId="0" borderId="0" xfId="0" applyFont="1" applyAlignment="1">
      <alignment horizontal="right" vertical="center"/>
    </xf>
    <xf numFmtId="0" fontId="24" fillId="0" borderId="29" xfId="0" applyFont="1" applyBorder="1" applyAlignment="1">
      <alignment horizontal="right" vertical="center" wrapText="1"/>
    </xf>
    <xf numFmtId="0" fontId="20" fillId="0" borderId="29" xfId="0" applyFont="1" applyBorder="1" applyAlignment="1">
      <alignment horizontal="center" vertical="center" wrapText="1"/>
    </xf>
    <xf numFmtId="0" fontId="74" fillId="8" borderId="72" xfId="0" applyFont="1" applyFill="1" applyBorder="1"/>
    <xf numFmtId="184" fontId="74" fillId="0" borderId="0" xfId="0" applyNumberFormat="1" applyFont="1"/>
    <xf numFmtId="0" fontId="77" fillId="0" borderId="0" xfId="0" applyFont="1"/>
    <xf numFmtId="178" fontId="0" fillId="6" borderId="66" xfId="0" applyNumberFormat="1" applyFill="1" applyBorder="1" applyAlignment="1" applyProtection="1">
      <alignment horizontal="right" vertical="center"/>
      <protection locked="0"/>
    </xf>
    <xf numFmtId="178" fontId="0" fillId="6" borderId="42" xfId="0" applyNumberFormat="1" applyFill="1" applyBorder="1" applyAlignment="1" applyProtection="1">
      <alignment horizontal="right" vertical="center"/>
      <protection locked="0"/>
    </xf>
    <xf numFmtId="178" fontId="0" fillId="6" borderId="43" xfId="0" applyNumberFormat="1" applyFill="1" applyBorder="1" applyAlignment="1" applyProtection="1">
      <alignment horizontal="right" vertical="center"/>
      <protection locked="0"/>
    </xf>
    <xf numFmtId="0" fontId="74" fillId="0" borderId="0" xfId="0" applyFont="1" applyAlignment="1">
      <alignment horizontal="left"/>
    </xf>
    <xf numFmtId="165" fontId="74" fillId="0" borderId="0" xfId="49" applyFont="1" applyFill="1" applyBorder="1" applyAlignment="1" applyProtection="1">
      <alignment horizontal="right"/>
    </xf>
    <xf numFmtId="0" fontId="74" fillId="0" borderId="0" xfId="0" applyFont="1" applyAlignment="1">
      <alignment horizontal="right"/>
    </xf>
    <xf numFmtId="0" fontId="73" fillId="0" borderId="29" xfId="33" applyFont="1" applyBorder="1"/>
    <xf numFmtId="0" fontId="0" fillId="0" borderId="0" xfId="0" quotePrefix="1" applyAlignment="1">
      <alignment horizontal="left" vertical="top"/>
    </xf>
    <xf numFmtId="10" fontId="62" fillId="0" borderId="114" xfId="38" applyNumberFormat="1" applyFont="1" applyFill="1" applyBorder="1" applyAlignment="1" applyProtection="1">
      <alignment horizontal="center"/>
      <protection locked="0"/>
    </xf>
    <xf numFmtId="49" fontId="56" fillId="0" borderId="122" xfId="50" applyNumberFormat="1" applyFont="1" applyBorder="1" applyAlignment="1">
      <alignment horizontal="center" vertical="center" wrapText="1"/>
    </xf>
    <xf numFmtId="49" fontId="56" fillId="0" borderId="122" xfId="50" quotePrefix="1" applyNumberFormat="1" applyFont="1" applyBorder="1" applyAlignment="1">
      <alignment horizontal="center" vertical="center" wrapText="1"/>
    </xf>
    <xf numFmtId="4" fontId="56" fillId="28" borderId="122" xfId="50" applyNumberFormat="1" applyFont="1" applyFill="1" applyBorder="1" applyAlignment="1">
      <alignment horizontal="center" vertical="center"/>
    </xf>
    <xf numFmtId="189" fontId="56" fillId="0" borderId="122" xfId="50" applyNumberFormat="1" applyFont="1" applyBorder="1" applyAlignment="1">
      <alignment horizontal="center" vertical="center"/>
    </xf>
    <xf numFmtId="10" fontId="56" fillId="0" borderId="122" xfId="37" applyNumberFormat="1" applyBorder="1" applyAlignment="1">
      <alignment horizontal="center" vertical="center"/>
    </xf>
    <xf numFmtId="189" fontId="56" fillId="28" borderId="122" xfId="50" applyNumberFormat="1" applyFont="1" applyFill="1" applyBorder="1" applyAlignment="1">
      <alignment horizontal="center" vertical="center"/>
    </xf>
    <xf numFmtId="1" fontId="56" fillId="0" borderId="122" xfId="50" applyNumberFormat="1" applyFont="1" applyBorder="1" applyAlignment="1">
      <alignment horizontal="center" vertical="center" wrapText="1"/>
    </xf>
    <xf numFmtId="4" fontId="56" fillId="0" borderId="122" xfId="50" applyNumberFormat="1" applyFont="1" applyBorder="1" applyAlignment="1">
      <alignment horizontal="center" vertical="center"/>
    </xf>
    <xf numFmtId="2" fontId="56" fillId="0" borderId="122" xfId="50" applyNumberFormat="1" applyFont="1" applyBorder="1" applyAlignment="1">
      <alignment horizontal="center" vertical="center"/>
    </xf>
    <xf numFmtId="0" fontId="73" fillId="0" borderId="0" xfId="0" applyFont="1" applyAlignment="1">
      <alignment horizontal="left" vertical="center"/>
    </xf>
    <xf numFmtId="0" fontId="56" fillId="0" borderId="125" xfId="50" applyFont="1" applyBorder="1" applyAlignment="1">
      <alignment horizontal="center" vertical="center" wrapText="1"/>
    </xf>
    <xf numFmtId="0" fontId="32" fillId="0" borderId="92" xfId="0" applyFont="1" applyBorder="1" applyAlignment="1">
      <alignment horizontal="center"/>
    </xf>
    <xf numFmtId="0" fontId="24" fillId="0" borderId="94" xfId="0" applyFont="1" applyBorder="1" applyAlignment="1">
      <alignment horizontal="center"/>
    </xf>
    <xf numFmtId="0" fontId="24" fillId="0" borderId="92" xfId="0" applyFont="1" applyBorder="1" applyAlignment="1">
      <alignment horizontal="center"/>
    </xf>
    <xf numFmtId="0" fontId="28" fillId="0" borderId="126" xfId="0" applyFont="1" applyBorder="1"/>
    <xf numFmtId="0" fontId="27" fillId="0" borderId="127" xfId="0" applyFont="1" applyBorder="1" applyAlignment="1">
      <alignment horizontal="left" indent="1"/>
    </xf>
    <xf numFmtId="0" fontId="0" fillId="0" borderId="127" xfId="0" applyBorder="1" applyAlignment="1">
      <alignment vertical="center" wrapText="1"/>
    </xf>
    <xf numFmtId="0" fontId="28" fillId="0" borderId="128" xfId="0" applyFont="1" applyBorder="1"/>
    <xf numFmtId="0" fontId="47" fillId="0" borderId="0" xfId="0" applyFont="1" applyAlignment="1" applyProtection="1">
      <alignment horizontal="center" vertical="center"/>
      <protection locked="0"/>
    </xf>
    <xf numFmtId="0" fontId="0" fillId="0" borderId="129" xfId="0" applyBorder="1"/>
    <xf numFmtId="0" fontId="0" fillId="0" borderId="127" xfId="0" applyBorder="1"/>
    <xf numFmtId="0" fontId="0" fillId="0" borderId="128" xfId="0" applyBorder="1"/>
    <xf numFmtId="0" fontId="0" fillId="0" borderId="131" xfId="0" applyBorder="1"/>
    <xf numFmtId="0" fontId="24" fillId="0" borderId="133" xfId="0" applyFont="1" applyBorder="1"/>
    <xf numFmtId="0" fontId="24" fillId="0" borderId="134" xfId="0" applyFont="1" applyBorder="1"/>
    <xf numFmtId="49" fontId="24" fillId="17" borderId="124" xfId="0" applyNumberFormat="1" applyFont="1" applyFill="1" applyBorder="1" applyAlignment="1">
      <alignment horizontal="center" vertical="center"/>
    </xf>
    <xf numFmtId="171" fontId="24" fillId="17" borderId="124" xfId="48" applyFont="1" applyFill="1" applyBorder="1" applyAlignment="1" applyProtection="1">
      <alignment horizontal="center" vertical="center"/>
    </xf>
    <xf numFmtId="10" fontId="24" fillId="17" borderId="124" xfId="37" applyNumberFormat="1" applyFont="1" applyFill="1" applyBorder="1" applyAlignment="1" applyProtection="1">
      <alignment horizontal="center" vertical="center"/>
    </xf>
    <xf numFmtId="0" fontId="0" fillId="22" borderId="123" xfId="0" applyFill="1" applyBorder="1"/>
    <xf numFmtId="0" fontId="0" fillId="22" borderId="124" xfId="0" applyFill="1" applyBorder="1"/>
    <xf numFmtId="0" fontId="0" fillId="21" borderId="123" xfId="0" applyFill="1" applyBorder="1"/>
    <xf numFmtId="0" fontId="0" fillId="21" borderId="124" xfId="0" applyFill="1" applyBorder="1"/>
    <xf numFmtId="171" fontId="56" fillId="0" borderId="122" xfId="48" applyBorder="1" applyAlignment="1" applyProtection="1">
      <alignment shrinkToFit="1"/>
    </xf>
    <xf numFmtId="171" fontId="74" fillId="0" borderId="122" xfId="48" applyFont="1" applyBorder="1" applyAlignment="1" applyProtection="1">
      <alignment shrinkToFit="1"/>
    </xf>
    <xf numFmtId="0" fontId="0" fillId="0" borderId="122" xfId="0" applyBorder="1" applyAlignment="1">
      <alignment horizontal="center" wrapText="1"/>
    </xf>
    <xf numFmtId="0" fontId="12" fillId="0" borderId="123" xfId="0" applyFont="1" applyBorder="1"/>
    <xf numFmtId="0" fontId="12" fillId="0" borderId="122" xfId="0" applyFont="1" applyBorder="1" applyAlignment="1">
      <alignment horizontal="center"/>
    </xf>
    <xf numFmtId="171" fontId="24" fillId="30" borderId="122" xfId="0" applyNumberFormat="1" applyFont="1" applyFill="1" applyBorder="1"/>
    <xf numFmtId="0" fontId="46" fillId="31" borderId="123" xfId="0" applyFont="1" applyFill="1" applyBorder="1" applyAlignment="1">
      <alignment horizontal="left" vertical="center"/>
    </xf>
    <xf numFmtId="171" fontId="56" fillId="31" borderId="122" xfId="48" applyFill="1" applyBorder="1" applyAlignment="1" applyProtection="1">
      <alignment horizontal="left" vertical="center" shrinkToFit="1"/>
    </xf>
    <xf numFmtId="171" fontId="56" fillId="18" borderId="122" xfId="48" applyFill="1" applyBorder="1" applyAlignment="1" applyProtection="1">
      <alignment horizontal="left" vertical="center" shrinkToFit="1"/>
    </xf>
    <xf numFmtId="0" fontId="0" fillId="18" borderId="123" xfId="0" applyFill="1" applyBorder="1"/>
    <xf numFmtId="0" fontId="0" fillId="18" borderId="124" xfId="0" applyFill="1" applyBorder="1"/>
    <xf numFmtId="0" fontId="0" fillId="18" borderId="122" xfId="0" applyFill="1" applyBorder="1" applyAlignment="1">
      <alignment horizontal="center"/>
    </xf>
    <xf numFmtId="0" fontId="0" fillId="0" borderId="122" xfId="0" applyBorder="1" applyAlignment="1">
      <alignment horizontal="center"/>
    </xf>
    <xf numFmtId="0" fontId="24" fillId="17" borderId="122" xfId="0" applyFont="1" applyFill="1" applyBorder="1" applyAlignment="1">
      <alignment horizontal="left" vertical="center"/>
    </xf>
    <xf numFmtId="0" fontId="47" fillId="21" borderId="123" xfId="0" applyFont="1" applyFill="1" applyBorder="1"/>
    <xf numFmtId="0" fontId="0" fillId="0" borderId="124" xfId="0" applyBorder="1"/>
    <xf numFmtId="0" fontId="0" fillId="4" borderId="123" xfId="0" applyFill="1" applyBorder="1"/>
    <xf numFmtId="0" fontId="0" fillId="4" borderId="124" xfId="0" applyFill="1" applyBorder="1"/>
    <xf numFmtId="0" fontId="46" fillId="21" borderId="123" xfId="34" applyFont="1" applyFill="1" applyBorder="1" applyAlignment="1">
      <alignment horizontal="center"/>
    </xf>
    <xf numFmtId="0" fontId="46" fillId="21" borderId="124" xfId="34" applyFont="1" applyFill="1" applyBorder="1" applyAlignment="1">
      <alignment horizontal="center"/>
    </xf>
    <xf numFmtId="0" fontId="46" fillId="23" borderId="124" xfId="34" applyFont="1" applyFill="1" applyBorder="1"/>
    <xf numFmtId="0" fontId="46" fillId="22" borderId="123" xfId="34" applyFont="1" applyFill="1" applyBorder="1"/>
    <xf numFmtId="0" fontId="46" fillId="22" borderId="124" xfId="34" applyFont="1" applyFill="1" applyBorder="1"/>
    <xf numFmtId="0" fontId="46" fillId="24" borderId="124" xfId="34" applyFont="1" applyFill="1" applyBorder="1" applyAlignment="1">
      <alignment horizontal="center"/>
    </xf>
    <xf numFmtId="165" fontId="0" fillId="22" borderId="124" xfId="49" applyFont="1" applyFill="1" applyBorder="1" applyAlignment="1" applyProtection="1">
      <alignment horizontal="center"/>
    </xf>
    <xf numFmtId="0" fontId="24" fillId="0" borderId="123" xfId="0" applyFont="1" applyBorder="1" applyAlignment="1">
      <alignment horizontal="center" vertical="center" wrapText="1"/>
    </xf>
    <xf numFmtId="0" fontId="24" fillId="0" borderId="124" xfId="0" applyFont="1" applyBorder="1" applyAlignment="1">
      <alignment horizontal="center" vertical="center" wrapText="1"/>
    </xf>
    <xf numFmtId="0" fontId="0" fillId="0" borderId="123" xfId="0" applyBorder="1" applyAlignment="1">
      <alignment horizontal="center" wrapText="1"/>
    </xf>
    <xf numFmtId="178" fontId="17" fillId="8" borderId="123" xfId="0" applyNumberFormat="1" applyFont="1" applyFill="1" applyBorder="1" applyAlignment="1">
      <alignment horizontal="center" vertical="center"/>
    </xf>
    <xf numFmtId="178" fontId="17" fillId="8" borderId="124" xfId="0" applyNumberFormat="1" applyFont="1" applyFill="1" applyBorder="1" applyAlignment="1">
      <alignment horizontal="center" vertical="center"/>
    </xf>
    <xf numFmtId="0" fontId="56" fillId="0" borderId="122" xfId="50" applyFont="1" applyBorder="1" applyAlignment="1">
      <alignment horizontal="center" vertical="center" wrapText="1"/>
    </xf>
    <xf numFmtId="0" fontId="79" fillId="0" borderId="0" xfId="0" applyFont="1" applyAlignment="1">
      <alignment vertical="center"/>
    </xf>
    <xf numFmtId="0" fontId="0" fillId="16" borderId="135" xfId="48" applyNumberFormat="1" applyFont="1" applyFill="1" applyBorder="1" applyAlignment="1" applyProtection="1">
      <alignment horizontal="left" vertical="center"/>
      <protection locked="0"/>
    </xf>
    <xf numFmtId="0" fontId="0" fillId="0" borderId="135" xfId="0" applyBorder="1" applyAlignment="1">
      <alignment horizontal="center"/>
    </xf>
    <xf numFmtId="0" fontId="24" fillId="0" borderId="0" xfId="0" applyFont="1" applyAlignment="1">
      <alignment horizontal="center" wrapText="1"/>
    </xf>
    <xf numFmtId="0" fontId="46" fillId="0" borderId="140" xfId="34" applyFont="1" applyBorder="1" applyAlignment="1">
      <alignment horizontal="center"/>
    </xf>
    <xf numFmtId="0" fontId="46" fillId="0" borderId="93" xfId="34" applyFont="1" applyBorder="1" applyAlignment="1">
      <alignment horizontal="center"/>
    </xf>
    <xf numFmtId="0" fontId="46" fillId="0" borderId="94" xfId="34" applyFont="1" applyBorder="1" applyAlignment="1">
      <alignment horizontal="center"/>
    </xf>
    <xf numFmtId="0" fontId="24" fillId="0" borderId="0" xfId="0" applyFont="1" applyAlignment="1">
      <alignment horizontal="left" indent="1"/>
    </xf>
    <xf numFmtId="0" fontId="80" fillId="0" borderId="0" xfId="0" applyFont="1" applyAlignment="1">
      <alignment horizontal="center" vertical="center"/>
    </xf>
    <xf numFmtId="0" fontId="0" fillId="0" borderId="142" xfId="0" applyBorder="1"/>
    <xf numFmtId="0" fontId="0" fillId="0" borderId="141" xfId="0" applyBorder="1"/>
    <xf numFmtId="0" fontId="0" fillId="0" borderId="141" xfId="0" applyBorder="1" applyAlignment="1">
      <alignment horizontal="center"/>
    </xf>
    <xf numFmtId="10" fontId="0" fillId="0" borderId="141" xfId="0" applyNumberFormat="1" applyBorder="1" applyAlignment="1">
      <alignment horizontal="center"/>
    </xf>
    <xf numFmtId="0" fontId="38" fillId="0" borderId="0" xfId="0" applyFont="1" applyAlignment="1">
      <alignment horizontal="center"/>
    </xf>
    <xf numFmtId="0" fontId="38" fillId="0" borderId="141" xfId="0" applyFont="1" applyBorder="1"/>
    <xf numFmtId="0" fontId="56" fillId="0" borderId="143" xfId="50" applyFont="1" applyBorder="1" applyAlignment="1">
      <alignment horizontal="center" vertical="center" wrapText="1"/>
    </xf>
    <xf numFmtId="49" fontId="56" fillId="0" borderId="143" xfId="50" applyNumberFormat="1" applyFont="1" applyBorder="1" applyAlignment="1">
      <alignment horizontal="center" vertical="center" wrapText="1"/>
    </xf>
    <xf numFmtId="49" fontId="56" fillId="0" borderId="143" xfId="50" quotePrefix="1" applyNumberFormat="1" applyFont="1" applyBorder="1" applyAlignment="1">
      <alignment horizontal="center" vertical="center" wrapText="1"/>
    </xf>
    <xf numFmtId="4" fontId="56" fillId="28" borderId="143" xfId="50" applyNumberFormat="1" applyFont="1" applyFill="1" applyBorder="1" applyAlignment="1">
      <alignment horizontal="center" vertical="center"/>
    </xf>
    <xf numFmtId="189" fontId="56" fillId="0" borderId="143" xfId="50" applyNumberFormat="1" applyFont="1" applyBorder="1" applyAlignment="1">
      <alignment horizontal="center" vertical="center"/>
    </xf>
    <xf numFmtId="2" fontId="56" fillId="0" borderId="143" xfId="50" applyNumberFormat="1" applyFont="1" applyBorder="1" applyAlignment="1">
      <alignment horizontal="center" vertical="center"/>
    </xf>
    <xf numFmtId="189" fontId="56" fillId="28" borderId="143" xfId="50" applyNumberFormat="1" applyFont="1" applyFill="1" applyBorder="1" applyAlignment="1">
      <alignment horizontal="center" vertical="center"/>
    </xf>
    <xf numFmtId="189" fontId="56" fillId="28" borderId="143" xfId="50" applyNumberFormat="1" applyFont="1" applyFill="1" applyBorder="1" applyAlignment="1">
      <alignment horizontal="center" vertical="center" wrapText="1"/>
    </xf>
    <xf numFmtId="1" fontId="56" fillId="0" borderId="143" xfId="50" applyNumberFormat="1" applyFont="1" applyBorder="1" applyAlignment="1">
      <alignment horizontal="center" vertical="center" wrapText="1"/>
    </xf>
    <xf numFmtId="4" fontId="56" fillId="0" borderId="143" xfId="50" applyNumberFormat="1" applyFont="1" applyBorder="1" applyAlignment="1">
      <alignment horizontal="center" vertical="center"/>
    </xf>
    <xf numFmtId="0" fontId="18" fillId="0" borderId="130" xfId="0" applyFont="1" applyBorder="1" applyAlignment="1">
      <alignment horizontal="center" vertical="center"/>
    </xf>
    <xf numFmtId="0" fontId="19" fillId="20" borderId="0" xfId="0" applyFont="1" applyFill="1" applyAlignment="1">
      <alignment horizontal="center" vertical="center"/>
    </xf>
    <xf numFmtId="0" fontId="12" fillId="0" borderId="98" xfId="0" applyFont="1" applyBorder="1" applyAlignment="1">
      <alignment horizontal="center" vertical="center"/>
    </xf>
    <xf numFmtId="0" fontId="24" fillId="0" borderId="132" xfId="0" applyFont="1" applyBorder="1" applyAlignment="1">
      <alignment horizontal="center"/>
    </xf>
    <xf numFmtId="0" fontId="0" fillId="0" borderId="10" xfId="33" applyFont="1" applyBorder="1" applyAlignment="1">
      <alignment horizontal="left" vertical="center"/>
    </xf>
    <xf numFmtId="0" fontId="8" fillId="0" borderId="31" xfId="33" applyFont="1" applyBorder="1" applyAlignment="1">
      <alignment horizontal="left" vertical="center" wrapText="1"/>
    </xf>
    <xf numFmtId="49" fontId="0" fillId="6" borderId="31" xfId="33" applyNumberFormat="1" applyFont="1" applyFill="1" applyBorder="1" applyAlignment="1" applyProtection="1">
      <alignment horizontal="left" vertical="top" wrapText="1"/>
      <protection locked="0"/>
    </xf>
    <xf numFmtId="167" fontId="0" fillId="0" borderId="29" xfId="33" applyNumberFormat="1" applyFont="1" applyBorder="1" applyAlignment="1">
      <alignment horizontal="left"/>
    </xf>
    <xf numFmtId="186" fontId="0" fillId="0" borderId="29" xfId="33" applyNumberFormat="1" applyFont="1" applyBorder="1" applyAlignment="1">
      <alignment horizontal="left"/>
    </xf>
    <xf numFmtId="0" fontId="24" fillId="0" borderId="0" xfId="33" applyFont="1" applyAlignment="1">
      <alignment horizontal="left" vertical="center"/>
    </xf>
    <xf numFmtId="0" fontId="17" fillId="0" borderId="0" xfId="33" applyFont="1" applyAlignment="1">
      <alignment horizontal="left" vertical="center"/>
    </xf>
    <xf numFmtId="0" fontId="33" fillId="0" borderId="0" xfId="0" applyFont="1" applyAlignment="1">
      <alignment horizontal="center" vertical="top"/>
    </xf>
    <xf numFmtId="0" fontId="0" fillId="0" borderId="31" xfId="33" applyFont="1" applyBorder="1" applyAlignment="1">
      <alignment horizontal="center" vertical="center" wrapText="1"/>
    </xf>
    <xf numFmtId="4" fontId="30" fillId="0" borderId="31" xfId="33" applyNumberFormat="1" applyFont="1" applyBorder="1" applyAlignment="1">
      <alignment horizontal="center" vertical="center"/>
    </xf>
    <xf numFmtId="4" fontId="17" fillId="0" borderId="31" xfId="33" applyNumberFormat="1" applyFont="1" applyBorder="1" applyAlignment="1">
      <alignment horizontal="center" vertical="center" wrapText="1"/>
    </xf>
    <xf numFmtId="0" fontId="30" fillId="8" borderId="31" xfId="33" applyFont="1" applyFill="1" applyBorder="1" applyAlignment="1">
      <alignment horizontal="center" vertical="center" wrapText="1"/>
    </xf>
    <xf numFmtId="0" fontId="32" fillId="0" borderId="0" xfId="33" applyFont="1" applyAlignment="1">
      <alignment horizontal="left" vertical="center" indent="1"/>
    </xf>
    <xf numFmtId="0" fontId="39" fillId="0" borderId="0" xfId="0" applyFont="1" applyAlignment="1">
      <alignment horizontal="center" textRotation="90"/>
    </xf>
    <xf numFmtId="0" fontId="0" fillId="0" borderId="0" xfId="33" applyFont="1" applyAlignment="1">
      <alignment horizontal="center" vertical="center"/>
    </xf>
    <xf numFmtId="0" fontId="33" fillId="0" borderId="0" xfId="0" applyFont="1" applyAlignment="1">
      <alignment horizontal="right" vertical="center"/>
    </xf>
    <xf numFmtId="0" fontId="34" fillId="0" borderId="0" xfId="0" applyFont="1" applyAlignment="1">
      <alignment horizontal="center"/>
    </xf>
    <xf numFmtId="0" fontId="33" fillId="0" borderId="0" xfId="0" applyFont="1" applyAlignment="1">
      <alignment horizontal="left" vertical="center"/>
    </xf>
    <xf numFmtId="0" fontId="24" fillId="0" borderId="31" xfId="33" applyFont="1" applyBorder="1" applyAlignment="1">
      <alignment horizontal="center" vertical="center"/>
    </xf>
    <xf numFmtId="0" fontId="17" fillId="0" borderId="31" xfId="33" applyFont="1" applyBorder="1" applyAlignment="1">
      <alignment horizontal="center" vertical="center"/>
    </xf>
    <xf numFmtId="0" fontId="24" fillId="0" borderId="30" xfId="35" applyFont="1" applyBorder="1" applyAlignment="1">
      <alignment horizontal="left" vertical="top"/>
    </xf>
    <xf numFmtId="164" fontId="8" fillId="16" borderId="13" xfId="32" applyFont="1" applyFill="1" applyBorder="1" applyAlignment="1" applyProtection="1">
      <alignment horizontal="left"/>
      <protection locked="0"/>
    </xf>
    <xf numFmtId="0" fontId="23" fillId="0" borderId="31" xfId="33" applyFont="1" applyBorder="1" applyAlignment="1">
      <alignment horizontal="center"/>
    </xf>
    <xf numFmtId="0" fontId="0" fillId="0" borderId="13" xfId="33" applyFont="1" applyBorder="1" applyAlignment="1">
      <alignment horizontal="left" vertical="top" wrapText="1"/>
    </xf>
    <xf numFmtId="0" fontId="0" fillId="0" borderId="30" xfId="0" applyBorder="1" applyAlignment="1">
      <alignment horizontal="center"/>
    </xf>
    <xf numFmtId="0" fontId="24" fillId="0" borderId="13" xfId="0" applyFont="1" applyBorder="1" applyAlignment="1">
      <alignment horizontal="center"/>
    </xf>
    <xf numFmtId="0" fontId="8" fillId="0" borderId="31" xfId="33" applyFont="1" applyBorder="1" applyAlignment="1">
      <alignment horizontal="left"/>
    </xf>
    <xf numFmtId="10" fontId="8" fillId="6" borderId="31" xfId="33" applyNumberFormat="1" applyFont="1" applyFill="1" applyBorder="1" applyAlignment="1" applyProtection="1">
      <alignment horizontal="center"/>
      <protection locked="0"/>
    </xf>
    <xf numFmtId="0" fontId="8" fillId="0" borderId="13" xfId="32" applyNumberFormat="1" applyFont="1" applyFill="1" applyBorder="1" applyAlignment="1" applyProtection="1">
      <alignment horizontal="left" wrapText="1"/>
    </xf>
    <xf numFmtId="0" fontId="8" fillId="0" borderId="31" xfId="33" applyFont="1" applyBorder="1" applyAlignment="1">
      <alignment horizontal="left" wrapText="1"/>
    </xf>
    <xf numFmtId="0" fontId="0" fillId="0" borderId="31" xfId="0" applyBorder="1" applyAlignment="1">
      <alignment horizontal="center"/>
    </xf>
    <xf numFmtId="0" fontId="24" fillId="0" borderId="32" xfId="35" applyFont="1" applyBorder="1" applyAlignment="1">
      <alignment horizontal="left" vertical="top"/>
    </xf>
    <xf numFmtId="0" fontId="60" fillId="0" borderId="0" xfId="0" applyFont="1" applyAlignment="1">
      <alignment horizontal="center" textRotation="90" wrapText="1"/>
    </xf>
    <xf numFmtId="0" fontId="24" fillId="0" borderId="12" xfId="0" applyFont="1" applyBorder="1" applyAlignment="1">
      <alignment horizontal="center"/>
    </xf>
    <xf numFmtId="0" fontId="39" fillId="0" borderId="0" xfId="0" applyFont="1" applyAlignment="1">
      <alignment horizontal="center" textRotation="90" wrapText="1"/>
    </xf>
    <xf numFmtId="0" fontId="0" fillId="14" borderId="0" xfId="0" applyFill="1" applyAlignment="1">
      <alignment horizontal="left"/>
    </xf>
    <xf numFmtId="0" fontId="0" fillId="0" borderId="45" xfId="33" applyFont="1" applyBorder="1" applyAlignment="1">
      <alignment horizontal="left" vertical="top" wrapText="1"/>
    </xf>
    <xf numFmtId="186" fontId="0" fillId="0" borderId="0" xfId="0" applyNumberFormat="1" applyAlignment="1">
      <alignment horizontal="left"/>
    </xf>
    <xf numFmtId="0" fontId="24" fillId="17" borderId="123" xfId="0" applyFont="1" applyFill="1" applyBorder="1" applyAlignment="1">
      <alignment horizontal="left" vertical="center" wrapText="1"/>
    </xf>
    <xf numFmtId="0" fontId="24" fillId="17" borderId="124" xfId="0" applyFont="1" applyFill="1" applyBorder="1" applyAlignment="1">
      <alignment horizontal="left" vertical="center" wrapText="1"/>
    </xf>
    <xf numFmtId="0" fontId="30" fillId="0" borderId="31" xfId="0" applyFont="1" applyBorder="1" applyAlignment="1" applyProtection="1">
      <alignment horizontal="left" vertical="center"/>
      <protection locked="0"/>
    </xf>
    <xf numFmtId="0" fontId="30" fillId="6" borderId="13" xfId="0" applyFont="1" applyFill="1" applyBorder="1" applyAlignment="1" applyProtection="1">
      <alignment horizontal="left" vertical="top" wrapText="1"/>
      <protection locked="0"/>
    </xf>
    <xf numFmtId="0" fontId="17" fillId="0" borderId="31" xfId="0" applyFont="1" applyBorder="1" applyAlignment="1">
      <alignment horizontal="left" wrapText="1"/>
    </xf>
    <xf numFmtId="167" fontId="0" fillId="0" borderId="29" xfId="0" applyNumberFormat="1" applyBorder="1" applyAlignment="1">
      <alignment horizontal="left"/>
    </xf>
    <xf numFmtId="0" fontId="0" fillId="0" borderId="31" xfId="0" applyBorder="1" applyAlignment="1">
      <alignment horizontal="left" wrapText="1"/>
    </xf>
    <xf numFmtId="0" fontId="46" fillId="0" borderId="100" xfId="34" applyFont="1" applyBorder="1" applyAlignment="1">
      <alignment horizontal="left"/>
    </xf>
    <xf numFmtId="0" fontId="46" fillId="0" borderId="90" xfId="34" applyFont="1" applyBorder="1" applyAlignment="1">
      <alignment horizontal="left"/>
    </xf>
    <xf numFmtId="0" fontId="46" fillId="0" borderId="108" xfId="34" applyFont="1" applyBorder="1" applyAlignment="1">
      <alignment horizontal="left"/>
    </xf>
    <xf numFmtId="0" fontId="1" fillId="0" borderId="122" xfId="0" applyFont="1" applyBorder="1" applyAlignment="1">
      <alignment horizontal="center" vertical="center" wrapText="1"/>
    </xf>
    <xf numFmtId="0" fontId="1" fillId="0" borderId="85" xfId="0" applyFont="1" applyBorder="1" applyAlignment="1">
      <alignment horizontal="center" vertical="center" wrapText="1"/>
    </xf>
    <xf numFmtId="0" fontId="1" fillId="0" borderId="87" xfId="0" applyFont="1" applyBorder="1" applyAlignment="1">
      <alignment horizontal="center" vertical="center" wrapText="1"/>
    </xf>
    <xf numFmtId="0" fontId="1" fillId="0" borderId="89" xfId="0" applyFont="1" applyBorder="1" applyAlignment="1">
      <alignment horizontal="center" vertical="center" wrapText="1"/>
    </xf>
    <xf numFmtId="0" fontId="0" fillId="16" borderId="106" xfId="0" applyFill="1" applyBorder="1" applyAlignment="1" applyProtection="1">
      <alignment horizontal="left" vertical="center"/>
      <protection locked="0"/>
    </xf>
    <xf numFmtId="0" fontId="0" fillId="16" borderId="107" xfId="0" applyFill="1" applyBorder="1" applyAlignment="1" applyProtection="1">
      <alignment horizontal="left" vertical="center"/>
      <protection locked="0"/>
    </xf>
    <xf numFmtId="0" fontId="31" fillId="0" borderId="0" xfId="0" applyFont="1" applyAlignment="1">
      <alignment horizontal="center" vertical="top" wrapText="1"/>
    </xf>
    <xf numFmtId="0" fontId="24" fillId="17" borderId="31" xfId="0" applyFont="1" applyFill="1" applyBorder="1" applyAlignment="1">
      <alignment horizontal="left" vertical="center" wrapText="1"/>
    </xf>
    <xf numFmtId="0" fontId="23" fillId="0" borderId="0" xfId="0" applyFont="1" applyAlignment="1">
      <alignment horizontal="left" vertical="center" indent="10"/>
    </xf>
    <xf numFmtId="0" fontId="0" fillId="0" borderId="138" xfId="0" applyBorder="1" applyAlignment="1">
      <alignment horizontal="center"/>
    </xf>
    <xf numFmtId="0" fontId="0" fillId="0" borderId="139" xfId="0" applyBorder="1" applyAlignment="1">
      <alignment horizontal="center"/>
    </xf>
    <xf numFmtId="0" fontId="37" fillId="0" borderId="0" xfId="0" applyFont="1" applyAlignment="1">
      <alignment horizontal="left" vertical="center" indent="10"/>
    </xf>
    <xf numFmtId="0" fontId="24" fillId="0" borderId="136" xfId="0" applyFont="1" applyBorder="1" applyAlignment="1">
      <alignment horizontal="center"/>
    </xf>
    <xf numFmtId="0" fontId="24" fillId="0" borderId="137" xfId="0" applyFont="1" applyBorder="1" applyAlignment="1">
      <alignment horizontal="center"/>
    </xf>
    <xf numFmtId="0" fontId="12" fillId="0" borderId="102" xfId="0" applyFont="1" applyBorder="1" applyAlignment="1">
      <alignment horizontal="right" vertical="center"/>
    </xf>
    <xf numFmtId="0" fontId="12" fillId="0" borderId="118" xfId="0" applyFont="1" applyBorder="1" applyAlignment="1">
      <alignment horizontal="right" vertical="center"/>
    </xf>
    <xf numFmtId="10" fontId="46" fillId="32" borderId="122" xfId="37" applyNumberFormat="1" applyFont="1" applyFill="1" applyBorder="1" applyAlignment="1" applyProtection="1">
      <alignment horizontal="center"/>
    </xf>
    <xf numFmtId="10" fontId="56" fillId="32" borderId="103" xfId="37" applyNumberFormat="1" applyFill="1" applyBorder="1" applyAlignment="1" applyProtection="1">
      <alignment horizontal="center" shrinkToFit="1"/>
    </xf>
    <xf numFmtId="10" fontId="56" fillId="32" borderId="105" xfId="37" applyNumberFormat="1" applyFill="1" applyBorder="1" applyAlignment="1" applyProtection="1">
      <alignment horizontal="center" shrinkToFit="1"/>
    </xf>
    <xf numFmtId="10" fontId="46" fillId="32" borderId="103" xfId="37" applyNumberFormat="1" applyFont="1" applyFill="1" applyBorder="1" applyAlignment="1" applyProtection="1">
      <alignment horizontal="center"/>
    </xf>
    <xf numFmtId="10" fontId="46" fillId="32" borderId="105" xfId="37" applyNumberFormat="1" applyFont="1" applyFill="1" applyBorder="1" applyAlignment="1" applyProtection="1">
      <alignment horizontal="center"/>
    </xf>
    <xf numFmtId="186" fontId="63" fillId="0" borderId="29" xfId="0" applyNumberFormat="1" applyFont="1" applyBorder="1" applyAlignment="1">
      <alignment horizontal="left"/>
    </xf>
    <xf numFmtId="171" fontId="56" fillId="0" borderId="103" xfId="48" applyBorder="1" applyAlignment="1" applyProtection="1">
      <alignment horizontal="center" shrinkToFit="1"/>
    </xf>
    <xf numFmtId="171" fontId="56" fillId="0" borderId="105" xfId="48" applyBorder="1" applyAlignment="1" applyProtection="1">
      <alignment horizontal="center" shrinkToFit="1"/>
    </xf>
    <xf numFmtId="171" fontId="56" fillId="0" borderId="122" xfId="48" applyBorder="1" applyAlignment="1" applyProtection="1">
      <alignment horizontal="center" shrinkToFit="1"/>
    </xf>
    <xf numFmtId="188" fontId="46" fillId="0" borderId="103" xfId="48" applyNumberFormat="1" applyFont="1" applyBorder="1" applyAlignment="1" applyProtection="1">
      <alignment horizontal="center" shrinkToFit="1"/>
    </xf>
    <xf numFmtId="188" fontId="46" fillId="0" borderId="105" xfId="48" applyNumberFormat="1" applyFont="1" applyBorder="1" applyAlignment="1" applyProtection="1">
      <alignment horizontal="center" shrinkToFit="1"/>
    </xf>
    <xf numFmtId="187" fontId="49" fillId="20" borderId="122" xfId="37" applyNumberFormat="1" applyFont="1" applyFill="1" applyBorder="1" applyAlignment="1" applyProtection="1">
      <alignment horizontal="center"/>
    </xf>
    <xf numFmtId="0" fontId="24" fillId="8" borderId="1" xfId="0" applyFont="1" applyFill="1" applyBorder="1" applyAlignment="1">
      <alignment horizontal="center" wrapText="1"/>
    </xf>
    <xf numFmtId="0" fontId="12" fillId="0" borderId="104" xfId="0" applyFont="1" applyBorder="1" applyAlignment="1">
      <alignment horizontal="right" vertical="center"/>
    </xf>
    <xf numFmtId="188" fontId="46" fillId="0" borderId="122" xfId="48" applyNumberFormat="1" applyFont="1" applyBorder="1" applyAlignment="1" applyProtection="1">
      <alignment horizontal="center" shrinkToFit="1"/>
    </xf>
    <xf numFmtId="0" fontId="0" fillId="0" borderId="89" xfId="0" applyBorder="1" applyAlignment="1">
      <alignment horizontal="center" wrapText="1"/>
    </xf>
    <xf numFmtId="0" fontId="0" fillId="0" borderId="90" xfId="0" applyBorder="1" applyAlignment="1">
      <alignment horizontal="center" wrapText="1"/>
    </xf>
    <xf numFmtId="0" fontId="0" fillId="0" borderId="91" xfId="0" applyBorder="1" applyAlignment="1">
      <alignment horizontal="center" wrapText="1"/>
    </xf>
    <xf numFmtId="0" fontId="46" fillId="0" borderId="91" xfId="34" applyFont="1" applyBorder="1" applyAlignment="1">
      <alignment horizontal="left"/>
    </xf>
    <xf numFmtId="173" fontId="24" fillId="0" borderId="31" xfId="48" applyNumberFormat="1" applyFont="1" applyFill="1" applyBorder="1" applyAlignment="1" applyProtection="1">
      <alignment horizontal="center" vertical="center"/>
    </xf>
    <xf numFmtId="165" fontId="0" fillId="0" borderId="13" xfId="49" applyFont="1" applyFill="1" applyBorder="1" applyAlignment="1" applyProtection="1">
      <alignment horizontal="left"/>
    </xf>
    <xf numFmtId="0" fontId="46" fillId="0" borderId="13" xfId="34" applyFont="1" applyBorder="1" applyAlignment="1">
      <alignment horizontal="left"/>
    </xf>
    <xf numFmtId="0" fontId="22" fillId="0" borderId="29" xfId="34" applyFont="1" applyBorder="1" applyAlignment="1">
      <alignment horizontal="center" vertical="center" wrapText="1"/>
    </xf>
    <xf numFmtId="0" fontId="50" fillId="0" borderId="11" xfId="34" applyFont="1" applyBorder="1" applyAlignment="1">
      <alignment horizontal="left" vertical="top"/>
    </xf>
    <xf numFmtId="0" fontId="46" fillId="0" borderId="31" xfId="34" applyFont="1" applyBorder="1" applyAlignment="1">
      <alignment horizontal="center" wrapText="1"/>
    </xf>
    <xf numFmtId="0" fontId="49" fillId="0" borderId="123" xfId="34" applyFont="1" applyBorder="1" applyAlignment="1">
      <alignment horizontal="center" vertical="center" wrapText="1"/>
    </xf>
    <xf numFmtId="0" fontId="49" fillId="0" borderId="124" xfId="34" applyFont="1" applyBorder="1" applyAlignment="1">
      <alignment horizontal="left" vertical="center" wrapText="1"/>
    </xf>
    <xf numFmtId="186" fontId="0" fillId="0" borderId="29" xfId="0" applyNumberFormat="1" applyBorder="1" applyAlignment="1">
      <alignment horizontal="left"/>
    </xf>
    <xf numFmtId="0" fontId="0" fillId="16" borderId="109" xfId="0" applyFill="1" applyBorder="1" applyAlignment="1" applyProtection="1">
      <alignment horizontal="left" vertical="center"/>
      <protection locked="0"/>
    </xf>
    <xf numFmtId="165" fontId="24" fillId="0" borderId="44" xfId="49" applyFont="1" applyFill="1" applyBorder="1" applyAlignment="1" applyProtection="1">
      <alignment horizontal="center" vertical="center" wrapText="1"/>
    </xf>
    <xf numFmtId="0" fontId="46" fillId="0" borderId="0" xfId="34" applyFont="1" applyAlignment="1">
      <alignment horizontal="center" wrapText="1"/>
    </xf>
    <xf numFmtId="0" fontId="46" fillId="0" borderId="45" xfId="34" applyFont="1" applyBorder="1" applyAlignment="1">
      <alignment horizontal="left"/>
    </xf>
    <xf numFmtId="0" fontId="24" fillId="0" borderId="0" xfId="0" applyFont="1" applyAlignment="1">
      <alignment horizontal="center" wrapText="1"/>
    </xf>
    <xf numFmtId="0" fontId="0" fillId="0" borderId="0" xfId="0" applyAlignment="1">
      <alignment horizontal="center" wrapText="1"/>
    </xf>
    <xf numFmtId="0" fontId="24" fillId="8" borderId="44" xfId="0" applyFont="1" applyFill="1" applyBorder="1" applyAlignment="1">
      <alignment horizontal="center" vertical="center"/>
    </xf>
    <xf numFmtId="0" fontId="53" fillId="0" borderId="123" xfId="0" applyFont="1" applyBorder="1" applyAlignment="1">
      <alignment horizontal="center" vertical="center" wrapText="1"/>
    </xf>
    <xf numFmtId="0" fontId="22" fillId="0" borderId="0" xfId="0" applyFont="1" applyAlignment="1">
      <alignment horizontal="center" vertical="center" wrapText="1"/>
    </xf>
    <xf numFmtId="4" fontId="24" fillId="0" borderId="32" xfId="0" applyNumberFormat="1" applyFont="1" applyBorder="1" applyAlignment="1">
      <alignment horizontal="left"/>
    </xf>
    <xf numFmtId="0" fontId="24" fillId="0" borderId="30" xfId="35" applyFont="1" applyBorder="1" applyAlignment="1">
      <alignment horizontal="center"/>
    </xf>
    <xf numFmtId="49" fontId="0" fillId="0" borderId="45" xfId="0" applyNumberFormat="1" applyBorder="1" applyAlignment="1">
      <alignment horizontal="left"/>
    </xf>
    <xf numFmtId="177" fontId="56" fillId="0" borderId="13" xfId="48" applyNumberFormat="1" applyFill="1" applyBorder="1" applyAlignment="1" applyProtection="1">
      <alignment horizontal="center" shrinkToFit="1"/>
    </xf>
    <xf numFmtId="10" fontId="56" fillId="0" borderId="30" xfId="37" applyNumberFormat="1" applyFill="1" applyBorder="1" applyAlignment="1" applyProtection="1">
      <alignment horizontal="center"/>
    </xf>
    <xf numFmtId="0" fontId="24" fillId="0" borderId="31" xfId="0" applyFont="1" applyBorder="1" applyAlignment="1">
      <alignment horizontal="right" vertical="center"/>
    </xf>
    <xf numFmtId="177" fontId="56" fillId="0" borderId="45" xfId="48" applyNumberFormat="1" applyFill="1" applyBorder="1" applyAlignment="1" applyProtection="1">
      <alignment horizontal="center" shrinkToFit="1"/>
    </xf>
    <xf numFmtId="10" fontId="56" fillId="0" borderId="32" xfId="37" applyNumberFormat="1" applyFill="1" applyBorder="1" applyAlignment="1" applyProtection="1">
      <alignment horizontal="center"/>
    </xf>
    <xf numFmtId="0" fontId="0" fillId="0" borderId="0" xfId="0" applyAlignment="1">
      <alignment horizontal="center"/>
    </xf>
    <xf numFmtId="0" fontId="0" fillId="0" borderId="39" xfId="0" applyBorder="1" applyAlignment="1">
      <alignment horizontal="left"/>
    </xf>
    <xf numFmtId="0" fontId="31" fillId="0" borderId="99" xfId="0" applyFont="1" applyBorder="1" applyAlignment="1">
      <alignment horizontal="center" vertical="top" wrapText="1"/>
    </xf>
    <xf numFmtId="0" fontId="49" fillId="0" borderId="30" xfId="34" applyFont="1" applyBorder="1" applyAlignment="1">
      <alignment horizontal="center"/>
    </xf>
    <xf numFmtId="0" fontId="46" fillId="0" borderId="13" xfId="34" applyFont="1" applyBorder="1" applyAlignment="1">
      <alignment horizontal="center"/>
    </xf>
    <xf numFmtId="10" fontId="23" fillId="0" borderId="13" xfId="37" applyNumberFormat="1" applyFont="1" applyFill="1" applyBorder="1" applyAlignment="1" applyProtection="1">
      <alignment horizontal="center"/>
    </xf>
    <xf numFmtId="0" fontId="23" fillId="6" borderId="13" xfId="0" applyFont="1" applyFill="1" applyBorder="1" applyAlignment="1" applyProtection="1">
      <alignment horizontal="center"/>
      <protection locked="0"/>
    </xf>
    <xf numFmtId="0" fontId="23" fillId="0" borderId="13" xfId="0" applyFont="1" applyBorder="1" applyAlignment="1">
      <alignment horizontal="center"/>
    </xf>
    <xf numFmtId="176" fontId="24" fillId="8" borderId="31" xfId="0" applyNumberFormat="1" applyFont="1" applyFill="1" applyBorder="1" applyAlignment="1">
      <alignment horizontal="center" shrinkToFit="1"/>
    </xf>
    <xf numFmtId="10" fontId="56" fillId="0" borderId="33" xfId="37" applyNumberFormat="1" applyFill="1" applyBorder="1" applyAlignment="1" applyProtection="1">
      <alignment horizontal="center"/>
    </xf>
    <xf numFmtId="14" fontId="0" fillId="6" borderId="46" xfId="0" applyNumberFormat="1" applyFill="1" applyBorder="1" applyAlignment="1" applyProtection="1">
      <alignment horizontal="center"/>
      <protection locked="0"/>
    </xf>
    <xf numFmtId="14" fontId="0" fillId="6" borderId="36" xfId="0" applyNumberFormat="1" applyFill="1" applyBorder="1" applyAlignment="1" applyProtection="1">
      <alignment horizontal="center"/>
      <protection locked="0"/>
    </xf>
    <xf numFmtId="0" fontId="0" fillId="18" borderId="39" xfId="0" applyFill="1" applyBorder="1"/>
    <xf numFmtId="0" fontId="24" fillId="8" borderId="31" xfId="0" applyFont="1" applyFill="1" applyBorder="1" applyAlignment="1">
      <alignment horizontal="center"/>
    </xf>
    <xf numFmtId="14" fontId="0" fillId="6" borderId="47" xfId="0" applyNumberFormat="1" applyFill="1" applyBorder="1" applyAlignment="1" applyProtection="1">
      <alignment horizontal="center"/>
      <protection locked="0"/>
    </xf>
    <xf numFmtId="10" fontId="56" fillId="0" borderId="78" xfId="37" applyNumberFormat="1" applyFill="1" applyBorder="1" applyAlignment="1" applyProtection="1">
      <alignment horizontal="center"/>
    </xf>
    <xf numFmtId="0" fontId="0" fillId="6" borderId="0" xfId="33" applyFont="1" applyFill="1" applyAlignment="1" applyProtection="1">
      <alignment horizontal="left" vertical="top"/>
      <protection locked="0"/>
    </xf>
    <xf numFmtId="0" fontId="0" fillId="0" borderId="0" xfId="0" applyAlignment="1">
      <alignment horizontal="left"/>
    </xf>
    <xf numFmtId="0" fontId="17" fillId="0" borderId="29" xfId="33" applyFont="1" applyBorder="1" applyAlignment="1">
      <alignment horizontal="center" vertical="center"/>
    </xf>
    <xf numFmtId="0" fontId="0" fillId="0" borderId="0" xfId="0" applyAlignment="1">
      <alignment horizontal="left" wrapText="1"/>
    </xf>
    <xf numFmtId="171" fontId="24" fillId="8" borderId="13" xfId="48" applyFont="1" applyFill="1" applyBorder="1" applyAlignment="1" applyProtection="1">
      <alignment horizontal="center" vertical="center" shrinkToFit="1"/>
    </xf>
    <xf numFmtId="0" fontId="30" fillId="0" borderId="30" xfId="0" applyFont="1" applyBorder="1" applyAlignment="1">
      <alignment horizontal="left" vertical="center"/>
    </xf>
    <xf numFmtId="0" fontId="0" fillId="0" borderId="30" xfId="0" applyBorder="1" applyAlignment="1">
      <alignment horizontal="left"/>
    </xf>
    <xf numFmtId="0" fontId="0" fillId="6" borderId="13" xfId="0" applyFill="1" applyBorder="1" applyAlignment="1" applyProtection="1">
      <alignment horizontal="left" vertical="top"/>
      <protection locked="0"/>
    </xf>
    <xf numFmtId="0" fontId="24" fillId="17" borderId="45" xfId="0" applyFont="1" applyFill="1" applyBorder="1" applyAlignment="1">
      <alignment horizontal="left" vertical="center" wrapText="1"/>
    </xf>
    <xf numFmtId="0" fontId="23" fillId="6" borderId="32" xfId="0" applyFont="1" applyFill="1" applyBorder="1" applyAlignment="1">
      <alignment horizontal="left"/>
    </xf>
    <xf numFmtId="0" fontId="31" fillId="0" borderId="0" xfId="0" applyFont="1" applyAlignment="1">
      <alignment horizontal="center" vertical="center" wrapText="1"/>
    </xf>
    <xf numFmtId="0" fontId="0" fillId="0" borderId="13" xfId="0" applyBorder="1" applyAlignment="1">
      <alignment horizontal="center"/>
    </xf>
    <xf numFmtId="0" fontId="24" fillId="0" borderId="32" xfId="35" applyFont="1" applyBorder="1" applyAlignment="1">
      <alignment horizontal="center"/>
    </xf>
    <xf numFmtId="0" fontId="24" fillId="0" borderId="0" xfId="35" applyFont="1" applyAlignment="1">
      <alignment horizontal="center"/>
    </xf>
    <xf numFmtId="0" fontId="24" fillId="0" borderId="12" xfId="35" applyFont="1" applyBorder="1" applyAlignment="1">
      <alignment horizontal="center"/>
    </xf>
    <xf numFmtId="0" fontId="30" fillId="6" borderId="32" xfId="0" applyFont="1" applyFill="1" applyBorder="1" applyAlignment="1" applyProtection="1">
      <alignment horizontal="left" vertical="top" wrapText="1"/>
      <protection locked="0"/>
    </xf>
    <xf numFmtId="0" fontId="30" fillId="6" borderId="0" xfId="0" applyFont="1" applyFill="1" applyAlignment="1" applyProtection="1">
      <alignment horizontal="left" vertical="top" wrapText="1"/>
      <protection locked="0"/>
    </xf>
    <xf numFmtId="0" fontId="30" fillId="6" borderId="12" xfId="0" applyFont="1" applyFill="1" applyBorder="1" applyAlignment="1" applyProtection="1">
      <alignment horizontal="left" vertical="top" wrapText="1"/>
      <protection locked="0"/>
    </xf>
    <xf numFmtId="0" fontId="30" fillId="6" borderId="45" xfId="0" applyFont="1" applyFill="1" applyBorder="1" applyAlignment="1" applyProtection="1">
      <alignment horizontal="left" vertical="top" wrapText="1"/>
      <protection locked="0"/>
    </xf>
    <xf numFmtId="0" fontId="30" fillId="6" borderId="29" xfId="0" applyFont="1" applyFill="1" applyBorder="1" applyAlignment="1" applyProtection="1">
      <alignment horizontal="left" vertical="top" wrapText="1"/>
      <protection locked="0"/>
    </xf>
    <xf numFmtId="0" fontId="30" fillId="6" borderId="28" xfId="0" applyFont="1" applyFill="1" applyBorder="1" applyAlignment="1" applyProtection="1">
      <alignment horizontal="left" vertical="top" wrapText="1"/>
      <protection locked="0"/>
    </xf>
    <xf numFmtId="0" fontId="0" fillId="8" borderId="80" xfId="0" applyFill="1" applyBorder="1" applyAlignment="1">
      <alignment horizontal="center" vertical="center"/>
    </xf>
    <xf numFmtId="0" fontId="0" fillId="8" borderId="63" xfId="0" applyFill="1" applyBorder="1" applyAlignment="1">
      <alignment horizontal="center" vertical="center"/>
    </xf>
    <xf numFmtId="10" fontId="24" fillId="8" borderId="31" xfId="0" applyNumberFormat="1" applyFont="1" applyFill="1" applyBorder="1" applyAlignment="1">
      <alignment horizontal="center" vertical="center"/>
    </xf>
    <xf numFmtId="0" fontId="0" fillId="0" borderId="41" xfId="0" applyBorder="1" applyAlignment="1">
      <alignment horizontal="center" vertical="center"/>
    </xf>
    <xf numFmtId="0" fontId="0" fillId="0" borderId="65" xfId="0" applyBorder="1" applyAlignment="1">
      <alignment horizontal="center" vertical="center"/>
    </xf>
    <xf numFmtId="0" fontId="0" fillId="8" borderId="41" xfId="0" applyFill="1" applyBorder="1" applyAlignment="1">
      <alignment horizontal="center" vertical="center"/>
    </xf>
    <xf numFmtId="0" fontId="0" fillId="8" borderId="65" xfId="0" applyFill="1" applyBorder="1" applyAlignment="1">
      <alignment horizontal="center" vertical="center"/>
    </xf>
    <xf numFmtId="0" fontId="0" fillId="0" borderId="83" xfId="0" applyBorder="1" applyAlignment="1">
      <alignment horizontal="center" vertical="center"/>
    </xf>
    <xf numFmtId="0" fontId="0" fillId="0" borderId="69" xfId="0" applyBorder="1" applyAlignment="1">
      <alignment horizontal="center" vertical="center"/>
    </xf>
    <xf numFmtId="0" fontId="17" fillId="8" borderId="31" xfId="0" applyFont="1" applyFill="1" applyBorder="1" applyAlignment="1">
      <alignment horizontal="center" vertical="center"/>
    </xf>
    <xf numFmtId="0" fontId="17" fillId="8" borderId="44" xfId="0" applyFont="1" applyFill="1" applyBorder="1" applyAlignment="1">
      <alignment horizontal="center" vertical="center"/>
    </xf>
    <xf numFmtId="0" fontId="8" fillId="0" borderId="10" xfId="0" applyFont="1" applyBorder="1" applyAlignment="1">
      <alignment horizontal="right"/>
    </xf>
    <xf numFmtId="0" fontId="24" fillId="0" borderId="31" xfId="0" applyFont="1" applyBorder="1" applyAlignment="1">
      <alignment horizontal="center"/>
    </xf>
    <xf numFmtId="0" fontId="24" fillId="0" borderId="60" xfId="0" applyFont="1" applyBorder="1" applyAlignment="1">
      <alignment horizontal="center"/>
    </xf>
    <xf numFmtId="0" fontId="24" fillId="0" borderId="31" xfId="0" applyFont="1" applyBorder="1" applyAlignment="1">
      <alignment horizontal="center" vertical="center"/>
    </xf>
    <xf numFmtId="49" fontId="0" fillId="0" borderId="13" xfId="0" applyNumberFormat="1" applyBorder="1" applyAlignment="1">
      <alignment horizontal="left"/>
    </xf>
    <xf numFmtId="0" fontId="24" fillId="0" borderId="33" xfId="0" applyFont="1" applyBorder="1" applyAlignment="1">
      <alignment horizontal="center"/>
    </xf>
    <xf numFmtId="0" fontId="53" fillId="0" borderId="31" xfId="0" applyFont="1" applyBorder="1" applyAlignment="1">
      <alignment horizontal="center" vertical="center" wrapText="1"/>
    </xf>
    <xf numFmtId="4" fontId="24" fillId="0" borderId="30" xfId="0" applyNumberFormat="1" applyFont="1" applyBorder="1" applyAlignment="1">
      <alignment horizontal="left"/>
    </xf>
    <xf numFmtId="0" fontId="0" fillId="0" borderId="0" xfId="33" applyFont="1" applyAlignment="1">
      <alignment horizontal="left" vertical="top"/>
    </xf>
    <xf numFmtId="0" fontId="0" fillId="0" borderId="0" xfId="0"/>
    <xf numFmtId="0" fontId="0" fillId="0" borderId="38" xfId="33" applyFont="1" applyBorder="1" applyAlignment="1">
      <alignment horizontal="right"/>
    </xf>
    <xf numFmtId="180" fontId="24" fillId="0" borderId="40" xfId="48" applyNumberFormat="1" applyFont="1" applyFill="1" applyBorder="1" applyAlignment="1" applyProtection="1">
      <alignment vertical="top" shrinkToFit="1"/>
    </xf>
    <xf numFmtId="0" fontId="0" fillId="0" borderId="70" xfId="33" applyFont="1" applyBorder="1" applyAlignment="1">
      <alignment horizontal="right"/>
    </xf>
    <xf numFmtId="10" fontId="24" fillId="0" borderId="71" xfId="37" applyNumberFormat="1" applyFont="1" applyFill="1" applyBorder="1" applyAlignment="1" applyProtection="1">
      <alignment horizontal="right" vertical="top" shrinkToFit="1"/>
    </xf>
    <xf numFmtId="0" fontId="0" fillId="6" borderId="0" xfId="33" applyFont="1" applyFill="1" applyAlignment="1" applyProtection="1">
      <alignment horizontal="left" vertical="top" wrapText="1"/>
      <protection locked="0"/>
    </xf>
    <xf numFmtId="0" fontId="0" fillId="0" borderId="51" xfId="33" applyFont="1" applyBorder="1" applyAlignment="1">
      <alignment horizontal="center"/>
    </xf>
    <xf numFmtId="0" fontId="0" fillId="0" borderId="0" xfId="33" applyFont="1" applyAlignment="1">
      <alignment horizontal="left" wrapText="1"/>
    </xf>
    <xf numFmtId="0" fontId="0" fillId="0" borderId="0" xfId="33" applyFont="1" applyAlignment="1">
      <alignment vertical="center"/>
    </xf>
    <xf numFmtId="0" fontId="0" fillId="0" borderId="0" xfId="33" applyFont="1" applyAlignment="1">
      <alignment horizontal="left"/>
    </xf>
    <xf numFmtId="0" fontId="0" fillId="0" borderId="0" xfId="33" applyFont="1" applyAlignment="1">
      <alignment horizontal="left" vertical="top" wrapText="1" shrinkToFit="1"/>
    </xf>
    <xf numFmtId="0" fontId="0" fillId="0" borderId="0" xfId="33" applyFont="1" applyAlignment="1">
      <alignment horizontal="left" vertical="top" wrapText="1"/>
    </xf>
    <xf numFmtId="0" fontId="0" fillId="0" borderId="52" xfId="33" applyFont="1" applyBorder="1" applyAlignment="1">
      <alignment horizontal="center" vertical="center" wrapText="1"/>
    </xf>
    <xf numFmtId="0" fontId="0" fillId="0" borderId="64" xfId="33" applyFont="1" applyBorder="1" applyAlignment="1">
      <alignment horizontal="center" vertical="center" wrapText="1"/>
    </xf>
    <xf numFmtId="49" fontId="0" fillId="6" borderId="0" xfId="33" applyNumberFormat="1" applyFont="1" applyFill="1" applyAlignment="1" applyProtection="1">
      <alignment horizontal="left"/>
      <protection locked="0"/>
    </xf>
    <xf numFmtId="168" fontId="0" fillId="0" borderId="0" xfId="33" applyNumberFormat="1" applyFont="1" applyAlignment="1">
      <alignment horizontal="right"/>
    </xf>
    <xf numFmtId="0" fontId="0" fillId="0" borderId="0" xfId="33" applyFont="1" applyAlignment="1">
      <alignment horizontal="center"/>
    </xf>
  </cellXfs>
  <cellStyles count="51">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Hiperlink" xfId="30" builtinId="8"/>
    <cellStyle name="Moeda" xfId="31" builtinId="4"/>
    <cellStyle name="Moeda_Composicao BDI v2.1" xfId="32"/>
    <cellStyle name="Normal" xfId="0" builtinId="0"/>
    <cellStyle name="Normal 2" xfId="33"/>
    <cellStyle name="Normal 3" xfId="34"/>
    <cellStyle name="Normal 4" xfId="50"/>
    <cellStyle name="Normal_FICHA DE VERIFICAÇÃO PRELIMINAR - Plano R" xfId="35"/>
    <cellStyle name="Nota" xfId="36" builtinId="10" customBuiltin="1"/>
    <cellStyle name="Porcentagem" xfId="37" builtinId="5"/>
    <cellStyle name="Porcentagem 2" xfId="38"/>
    <cellStyle name="Saída" xfId="39" builtinId="21" customBuiltin="1"/>
    <cellStyle name="Texto de Aviso" xfId="40" builtinId="11" customBuiltin="1"/>
    <cellStyle name="Texto Explicativo" xfId="41" builtinId="53" customBuiltin="1"/>
    <cellStyle name="Título 1" xfId="42" builtinId="16" customBuiltin="1"/>
    <cellStyle name="Título 2" xfId="43" builtinId="17" customBuiltin="1"/>
    <cellStyle name="Título 3" xfId="44" builtinId="18" customBuiltin="1"/>
    <cellStyle name="Título 4" xfId="45" builtinId="19" customBuiltin="1"/>
    <cellStyle name="Título 5" xfId="46"/>
    <cellStyle name="Total" xfId="47" builtinId="25" customBuiltin="1"/>
    <cellStyle name="Vírgula" xfId="48" builtinId="3"/>
    <cellStyle name="Vírgula 2" xfId="49"/>
  </cellStyles>
  <dxfs count="451">
    <dxf>
      <fill>
        <patternFill>
          <bgColor rgb="FFFF0000"/>
        </patternFill>
      </fill>
    </dxf>
    <dxf>
      <font>
        <b/>
        <i val="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ont>
        <b val="0"/>
        <condense val="0"/>
        <extend val="0"/>
        <color indexed="9"/>
      </font>
      <fill>
        <patternFill patternType="none">
          <fgColor indexed="64"/>
          <bgColor indexed="65"/>
        </patternFill>
      </fill>
    </dxf>
    <dxf>
      <font>
        <b val="0"/>
        <condense val="0"/>
        <extend val="0"/>
        <color indexed="44"/>
      </font>
      <fill>
        <patternFill patternType="solid">
          <fgColor indexed="22"/>
          <bgColor indexed="44"/>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color rgb="FFFF0000"/>
      </font>
    </dxf>
    <dxf>
      <fill>
        <patternFill patternType="solid">
          <fgColor indexed="13"/>
          <bgColor indexed="51"/>
        </patternFill>
      </fill>
    </dxf>
    <dxf>
      <font>
        <b/>
        <i val="0"/>
        <condense val="0"/>
        <extend val="0"/>
        <color indexed="9"/>
      </font>
      <fill>
        <patternFill patternType="solid">
          <fgColor indexed="60"/>
          <bgColor indexed="10"/>
        </patternFill>
      </fill>
    </dxf>
    <dxf>
      <font>
        <b val="0"/>
        <condense val="0"/>
        <extend val="0"/>
        <color indexed="9"/>
      </font>
    </dxf>
    <dxf>
      <font>
        <b/>
        <i val="0"/>
        <condense val="0"/>
        <extend val="0"/>
        <color indexed="10"/>
      </font>
    </dxf>
    <dxf>
      <font>
        <b val="0"/>
        <condense val="0"/>
        <extend val="0"/>
        <color indexed="22"/>
      </font>
      <fill>
        <patternFill patternType="solid">
          <fgColor indexed="44"/>
          <bgColor indexed="22"/>
        </patternFill>
      </fill>
    </dxf>
    <dxf>
      <font>
        <b/>
        <i val="0"/>
        <condense val="0"/>
        <extend val="0"/>
        <color indexed="55"/>
      </font>
      <fill>
        <patternFill patternType="solid">
          <fgColor indexed="46"/>
          <bgColor indexed="55"/>
        </patternFill>
      </fill>
      <border>
        <top style="thin">
          <color indexed="64"/>
        </top>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i val="0"/>
        <condense val="0"/>
        <extend val="0"/>
      </font>
      <fill>
        <patternFill patternType="solid">
          <fgColor indexed="13"/>
          <bgColor indexed="51"/>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color rgb="FFFF0000"/>
      </font>
    </dxf>
    <dxf>
      <font>
        <b/>
        <i val="0"/>
        <color rgb="FFFF0000"/>
      </font>
    </dxf>
    <dxf>
      <font>
        <color theme="0" tint="-0.14996795556505021"/>
      </font>
    </dxf>
    <dxf>
      <font>
        <b/>
        <i val="0"/>
        <condense val="0"/>
        <extend val="0"/>
      </font>
      <fill>
        <patternFill patternType="solid">
          <fgColor indexed="21"/>
          <bgColor indexed="57"/>
        </patternFill>
      </fill>
    </dxf>
    <dxf>
      <font>
        <color theme="0"/>
      </font>
    </dxf>
    <dxf>
      <font>
        <b val="0"/>
        <condense val="0"/>
        <extend val="0"/>
        <color indexed="9"/>
      </font>
      <fill>
        <patternFill patternType="none">
          <fgColor indexed="64"/>
          <bgColor indexed="65"/>
        </patternFill>
      </fill>
      <border>
        <left/>
        <right/>
        <top/>
        <bottom/>
      </border>
    </dxf>
    <dxf>
      <font>
        <b val="0"/>
        <condense val="0"/>
        <extend val="0"/>
        <color indexed="10"/>
      </font>
    </dxf>
    <dxf>
      <font>
        <b val="0"/>
        <condense val="0"/>
        <extend val="0"/>
        <color indexed="9"/>
      </font>
      <fill>
        <patternFill patternType="none">
          <fgColor indexed="64"/>
          <bgColor indexed="65"/>
        </patternFill>
      </fill>
      <border>
        <left/>
        <right/>
        <top/>
        <bottom/>
      </border>
    </dxf>
    <dxf>
      <font>
        <b val="0"/>
        <condense val="0"/>
        <extend val="0"/>
        <color indexed="9"/>
      </font>
      <border>
        <left/>
        <right style="thin">
          <color indexed="64"/>
        </right>
      </border>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ill>
        <patternFill>
          <bgColor rgb="FFFFC000"/>
        </patternFill>
      </fill>
    </dxf>
    <dxf>
      <font>
        <b/>
        <i val="0"/>
        <condense val="0"/>
        <extend val="0"/>
      </font>
      <fill>
        <patternFill patternType="solid">
          <fgColor indexed="21"/>
          <bgColor indexed="57"/>
        </patternFill>
      </fill>
    </dxf>
    <dxf>
      <font>
        <b/>
        <i val="0"/>
        <condense val="0"/>
        <extend val="0"/>
      </font>
      <fill>
        <patternFill patternType="solid">
          <fgColor indexed="21"/>
          <bgColor indexed="57"/>
        </patternFill>
      </fill>
    </dxf>
    <dxf>
      <font>
        <b/>
        <i val="0"/>
        <condense val="0"/>
        <extend val="0"/>
      </font>
      <fill>
        <patternFill patternType="solid">
          <fgColor indexed="21"/>
          <bgColor indexed="57"/>
        </patternFill>
      </fill>
    </dxf>
    <dxf>
      <font>
        <b/>
        <i val="0"/>
        <condense val="0"/>
        <extend val="0"/>
      </font>
      <fill>
        <patternFill patternType="solid">
          <fgColor indexed="21"/>
          <bgColor indexed="57"/>
        </patternFill>
      </fill>
    </dxf>
    <dxf>
      <font>
        <b/>
        <i val="0"/>
        <condense val="0"/>
        <extend val="0"/>
      </font>
      <fill>
        <patternFill patternType="solid">
          <fgColor indexed="21"/>
          <bgColor indexed="57"/>
        </patternFill>
      </fill>
    </dxf>
    <dxf>
      <font>
        <b val="0"/>
        <condense val="0"/>
        <extend val="0"/>
        <color indexed="22"/>
      </font>
      <fill>
        <patternFill patternType="solid">
          <fgColor indexed="44"/>
          <bgColor indexed="22"/>
        </patternFill>
      </fill>
    </dxf>
    <dxf>
      <font>
        <b val="0"/>
        <condense val="0"/>
        <extend val="0"/>
        <color indexed="9"/>
      </font>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val="0"/>
        <condense val="0"/>
        <extend val="0"/>
        <color indexed="9"/>
      </font>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val="0"/>
        <condense val="0"/>
        <extend val="0"/>
        <color indexed="9"/>
      </font>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b/>
        <i val="0"/>
        <condense val="0"/>
        <extend val="0"/>
        <color indexed="9"/>
      </font>
      <fill>
        <patternFill patternType="solid">
          <fgColor indexed="60"/>
          <bgColor indexed="10"/>
        </patternFill>
      </fill>
    </dxf>
    <dxf>
      <font>
        <b val="0"/>
        <condense val="0"/>
        <extend val="0"/>
        <color indexed="44"/>
      </font>
      <fill>
        <patternFill patternType="solid">
          <fgColor indexed="22"/>
          <bgColor indexed="44"/>
        </patternFill>
      </fill>
    </dxf>
    <dxf>
      <font>
        <color rgb="FFFF0000"/>
      </font>
      <fill>
        <patternFill>
          <bgColor rgb="FFFFFF99"/>
        </patternFill>
      </fill>
    </dxf>
    <dxf>
      <font>
        <b val="0"/>
        <condense val="0"/>
        <extend val="0"/>
        <color indexed="8"/>
      </font>
      <fill>
        <patternFill patternType="solid">
          <fgColor indexed="46"/>
          <bgColor indexed="24"/>
        </patternFill>
      </fill>
    </dxf>
    <dxf>
      <font>
        <color rgb="FFFF0000"/>
      </font>
      <fill>
        <patternFill>
          <bgColor rgb="FFFFFF99"/>
        </patternFill>
      </fill>
    </dxf>
    <dxf>
      <font>
        <b val="0"/>
        <condense val="0"/>
        <extend val="0"/>
        <color indexed="8"/>
      </font>
      <fill>
        <patternFill patternType="solid">
          <fgColor indexed="46"/>
          <bgColor indexed="24"/>
        </patternFill>
      </fill>
    </dxf>
    <dxf>
      <font>
        <b/>
        <i val="0"/>
        <color auto="1"/>
      </font>
      <fill>
        <patternFill>
          <bgColor rgb="FFFF0000"/>
        </patternFill>
      </fill>
    </dxf>
    <dxf>
      <font>
        <b/>
        <i val="0"/>
      </font>
      <fill>
        <patternFill>
          <bgColor rgb="FFFF0000"/>
        </patternFill>
      </fill>
    </dxf>
    <dxf>
      <font>
        <b/>
        <i val="0"/>
        <condense val="0"/>
        <extend val="0"/>
      </font>
      <fill>
        <patternFill patternType="solid">
          <fgColor indexed="46"/>
          <bgColor indexed="55"/>
        </patternFill>
      </fill>
      <border>
        <top style="thin">
          <color indexed="64"/>
        </top>
      </border>
    </dxf>
    <dxf>
      <fill>
        <patternFill patternType="solid">
          <fgColor indexed="44"/>
          <bgColor indexed="22"/>
        </patternFill>
      </fill>
    </dxf>
    <dxf>
      <fill>
        <patternFill patternType="solid">
          <fgColor indexed="46"/>
          <bgColor indexed="55"/>
        </patternFill>
      </fill>
    </dxf>
    <dxf>
      <fill>
        <patternFill patternType="solid">
          <fgColor indexed="44"/>
          <bgColor indexed="22"/>
        </patternFill>
      </fill>
    </dxf>
    <dxf>
      <font>
        <b val="0"/>
        <condense val="0"/>
        <extend val="0"/>
        <color indexed="8"/>
      </font>
      <fill>
        <patternFill patternType="solid">
          <fgColor indexed="26"/>
          <bgColor indexed="43"/>
        </patternFill>
      </fill>
    </dxf>
    <dxf>
      <font>
        <color rgb="FFFF0000"/>
      </font>
      <fill>
        <patternFill>
          <bgColor rgb="FFFFFF99"/>
        </patternFill>
      </fill>
    </dxf>
    <dxf>
      <font>
        <b val="0"/>
        <condense val="0"/>
        <extend val="0"/>
        <color indexed="8"/>
      </font>
      <fill>
        <patternFill patternType="solid">
          <fgColor indexed="46"/>
          <bgColor indexed="24"/>
        </patternFill>
      </fill>
    </dxf>
    <dxf>
      <font>
        <color rgb="FFFF0000"/>
      </font>
      <fill>
        <patternFill>
          <bgColor rgb="FFFFFF99"/>
        </patternFill>
      </fill>
    </dxf>
    <dxf>
      <font>
        <b val="0"/>
        <condense val="0"/>
        <extend val="0"/>
        <color indexed="8"/>
      </font>
      <fill>
        <patternFill patternType="solid">
          <fgColor indexed="46"/>
          <bgColor indexed="24"/>
        </patternFill>
      </fill>
    </dxf>
    <dxf>
      <font>
        <b/>
        <i val="0"/>
        <color auto="1"/>
      </font>
      <fill>
        <patternFill>
          <bgColor rgb="FFFF0000"/>
        </patternFill>
      </fill>
    </dxf>
    <dxf>
      <font>
        <b/>
        <i val="0"/>
      </font>
      <fill>
        <patternFill>
          <bgColor rgb="FFFF0000"/>
        </patternFill>
      </fill>
    </dxf>
    <dxf>
      <font>
        <b/>
        <i val="0"/>
        <condense val="0"/>
        <extend val="0"/>
      </font>
      <fill>
        <patternFill patternType="solid">
          <fgColor indexed="46"/>
          <bgColor indexed="55"/>
        </patternFill>
      </fill>
      <border>
        <top style="thin">
          <color indexed="64"/>
        </top>
      </border>
    </dxf>
    <dxf>
      <fill>
        <patternFill patternType="solid">
          <fgColor indexed="44"/>
          <bgColor indexed="22"/>
        </patternFill>
      </fill>
    </dxf>
    <dxf>
      <fill>
        <patternFill patternType="solid">
          <fgColor indexed="46"/>
          <bgColor indexed="55"/>
        </patternFill>
      </fill>
    </dxf>
    <dxf>
      <fill>
        <patternFill patternType="solid">
          <fgColor indexed="44"/>
          <bgColor indexed="22"/>
        </patternFill>
      </fill>
    </dxf>
    <dxf>
      <font>
        <b val="0"/>
        <condense val="0"/>
        <extend val="0"/>
        <color indexed="8"/>
      </font>
      <fill>
        <patternFill patternType="solid">
          <fgColor indexed="26"/>
          <bgColor indexed="43"/>
        </patternFill>
      </fill>
    </dxf>
    <dxf>
      <font>
        <color rgb="FFFF0000"/>
      </font>
      <fill>
        <patternFill>
          <bgColor rgb="FFFFFF99"/>
        </patternFill>
      </fill>
    </dxf>
    <dxf>
      <font>
        <b val="0"/>
        <condense val="0"/>
        <extend val="0"/>
        <color indexed="8"/>
      </font>
      <fill>
        <patternFill patternType="solid">
          <fgColor indexed="46"/>
          <bgColor indexed="24"/>
        </patternFill>
      </fill>
    </dxf>
    <dxf>
      <font>
        <color rgb="FFFF0000"/>
      </font>
      <fill>
        <patternFill>
          <bgColor rgb="FFFFFF99"/>
        </patternFill>
      </fill>
    </dxf>
    <dxf>
      <font>
        <b val="0"/>
        <condense val="0"/>
        <extend val="0"/>
        <color indexed="8"/>
      </font>
      <fill>
        <patternFill patternType="solid">
          <fgColor indexed="46"/>
          <bgColor indexed="24"/>
        </patternFill>
      </fill>
    </dxf>
    <dxf>
      <font>
        <b/>
        <i val="0"/>
        <color auto="1"/>
      </font>
      <fill>
        <patternFill>
          <bgColor rgb="FFFF0000"/>
        </patternFill>
      </fill>
    </dxf>
    <dxf>
      <font>
        <b/>
        <i val="0"/>
      </font>
      <fill>
        <patternFill>
          <bgColor rgb="FFFF0000"/>
        </patternFill>
      </fill>
    </dxf>
    <dxf>
      <font>
        <b/>
        <i val="0"/>
        <condense val="0"/>
        <extend val="0"/>
      </font>
      <fill>
        <patternFill patternType="solid">
          <fgColor indexed="46"/>
          <bgColor indexed="55"/>
        </patternFill>
      </fill>
      <border>
        <top style="thin">
          <color indexed="64"/>
        </top>
      </border>
    </dxf>
    <dxf>
      <fill>
        <patternFill patternType="solid">
          <fgColor indexed="44"/>
          <bgColor indexed="22"/>
        </patternFill>
      </fill>
    </dxf>
    <dxf>
      <fill>
        <patternFill patternType="solid">
          <fgColor indexed="46"/>
          <bgColor indexed="55"/>
        </patternFill>
      </fill>
    </dxf>
    <dxf>
      <fill>
        <patternFill patternType="solid">
          <fgColor indexed="44"/>
          <bgColor indexed="22"/>
        </patternFill>
      </fill>
    </dxf>
    <dxf>
      <font>
        <b val="0"/>
        <condense val="0"/>
        <extend val="0"/>
        <color indexed="8"/>
      </font>
      <fill>
        <patternFill patternType="solid">
          <fgColor indexed="26"/>
          <bgColor indexed="43"/>
        </patternFill>
      </fill>
    </dxf>
    <dxf>
      <font>
        <color rgb="FFFF0000"/>
      </font>
      <fill>
        <patternFill>
          <bgColor rgb="FFFFFF99"/>
        </patternFill>
      </fill>
    </dxf>
    <dxf>
      <font>
        <b val="0"/>
        <condense val="0"/>
        <extend val="0"/>
        <color indexed="8"/>
      </font>
      <fill>
        <patternFill patternType="solid">
          <fgColor indexed="46"/>
          <bgColor indexed="24"/>
        </patternFill>
      </fill>
    </dxf>
    <dxf>
      <font>
        <b val="0"/>
        <condense val="0"/>
        <extend val="0"/>
        <color indexed="9"/>
      </font>
    </dxf>
    <dxf>
      <font>
        <color rgb="FFFF0000"/>
      </font>
      <fill>
        <patternFill>
          <bgColor rgb="FFFFFF99"/>
        </patternFill>
      </fill>
    </dxf>
    <dxf>
      <font>
        <b val="0"/>
        <condense val="0"/>
        <extend val="0"/>
        <color indexed="8"/>
      </font>
      <fill>
        <patternFill patternType="solid">
          <fgColor indexed="46"/>
          <bgColor indexed="24"/>
        </patternFill>
      </fill>
    </dxf>
    <dxf>
      <font>
        <b val="0"/>
        <condense val="0"/>
        <extend val="0"/>
        <color indexed="9"/>
      </font>
    </dxf>
    <dxf>
      <font>
        <color theme="0"/>
      </font>
      <fill>
        <patternFill>
          <bgColor theme="0"/>
        </patternFill>
      </fill>
      <border>
        <left/>
        <right/>
        <top/>
        <bottom/>
        <vertical/>
        <horizontal/>
      </border>
    </dxf>
    <dxf>
      <font>
        <b/>
        <i val="0"/>
        <color auto="1"/>
      </font>
      <fill>
        <patternFill>
          <bgColor rgb="FFFF0000"/>
        </patternFill>
      </fill>
    </dxf>
    <dxf>
      <font>
        <b/>
        <i val="0"/>
        <color rgb="FFFF0000"/>
      </font>
    </dxf>
    <dxf>
      <font>
        <b/>
        <i val="0"/>
      </font>
      <fill>
        <patternFill>
          <bgColor rgb="FFFF0000"/>
        </patternFill>
      </fill>
    </dxf>
    <dxf>
      <font>
        <color theme="0"/>
      </font>
      <border>
        <left/>
        <right/>
      </border>
    </dxf>
    <dxf>
      <font>
        <b val="0"/>
        <condense val="0"/>
        <extend val="0"/>
        <color indexed="9"/>
      </font>
      <border>
        <left/>
      </border>
    </dxf>
    <dxf>
      <font>
        <b val="0"/>
        <condense val="0"/>
        <extend val="0"/>
        <color indexed="9"/>
      </font>
    </dxf>
    <dxf>
      <font>
        <color rgb="FFC0C0C0"/>
      </font>
    </dxf>
    <dxf>
      <font>
        <b/>
        <i val="0"/>
        <condense val="0"/>
        <extend val="0"/>
      </font>
      <fill>
        <patternFill patternType="solid">
          <fgColor indexed="46"/>
          <bgColor indexed="55"/>
        </patternFill>
      </fill>
      <border>
        <top style="thin">
          <color indexed="64"/>
        </top>
      </border>
    </dxf>
    <dxf>
      <fill>
        <patternFill patternType="solid">
          <fgColor indexed="44"/>
          <bgColor indexed="22"/>
        </patternFill>
      </fill>
    </dxf>
    <dxf>
      <fill>
        <patternFill patternType="solid">
          <fgColor indexed="46"/>
          <bgColor indexed="55"/>
        </patternFill>
      </fill>
    </dxf>
    <dxf>
      <fill>
        <patternFill patternType="solid">
          <fgColor indexed="44"/>
          <bgColor indexed="22"/>
        </patternFill>
      </fill>
    </dxf>
    <dxf>
      <font>
        <b val="0"/>
        <condense val="0"/>
        <extend val="0"/>
        <color indexed="8"/>
      </font>
      <fill>
        <patternFill patternType="solid">
          <fgColor indexed="26"/>
          <bgColor indexed="43"/>
        </patternFill>
      </fill>
    </dxf>
    <dxf>
      <fill>
        <patternFill patternType="solid">
          <fgColor indexed="26"/>
          <bgColor indexed="43"/>
        </patternFill>
      </fill>
    </dxf>
    <dxf>
      <font>
        <b val="0"/>
        <condense val="0"/>
        <extend val="0"/>
        <color indexed="22"/>
      </font>
      <fill>
        <patternFill patternType="solid">
          <fgColor indexed="44"/>
          <bgColor indexed="22"/>
        </patternFill>
      </fill>
    </dxf>
    <dxf>
      <font>
        <b/>
        <i val="0"/>
        <color rgb="FFFF0000"/>
      </font>
    </dxf>
    <dxf>
      <font>
        <color theme="0" tint="-0.14996795556505021"/>
      </font>
    </dxf>
    <dxf>
      <font>
        <color theme="0"/>
      </font>
      <fill>
        <patternFill>
          <bgColor theme="0"/>
        </patternFill>
      </fill>
      <border>
        <left/>
        <right/>
        <top/>
        <bottom/>
        <vertical/>
        <horizontal/>
      </border>
    </dxf>
    <dxf>
      <font>
        <color theme="0"/>
      </font>
      <fill>
        <patternFill patternType="solid">
          <bgColor theme="0"/>
        </patternFill>
      </fill>
      <border>
        <left/>
        <right/>
        <top/>
        <vertical/>
        <horizontal/>
      </border>
    </dxf>
    <dxf>
      <font>
        <color theme="0"/>
      </font>
    </dxf>
    <dxf>
      <font>
        <color theme="0" tint="-0.14996795556505021"/>
      </font>
    </dxf>
    <dxf>
      <font>
        <color theme="0"/>
      </font>
    </dxf>
    <dxf>
      <font>
        <color theme="0" tint="-0.14996795556505021"/>
      </font>
    </dxf>
    <dxf>
      <font>
        <color theme="0" tint="-0.24994659260841701"/>
      </font>
    </dxf>
    <dxf>
      <font>
        <color theme="0"/>
      </font>
      <border>
        <left/>
        <right/>
      </border>
    </dxf>
    <dxf>
      <font>
        <b val="0"/>
        <condense val="0"/>
        <extend val="0"/>
        <color indexed="22"/>
      </font>
      <fill>
        <patternFill patternType="solid">
          <fgColor indexed="44"/>
          <bgColor indexed="22"/>
        </patternFill>
      </fill>
    </dxf>
    <dxf>
      <font>
        <color rgb="FFFF0000"/>
      </font>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ont>
        <color rgb="FFFF0000"/>
      </font>
    </dxf>
    <dxf>
      <font>
        <b val="0"/>
        <condense val="0"/>
        <extend val="0"/>
        <color indexed="55"/>
      </font>
      <fill>
        <patternFill patternType="solid">
          <fgColor indexed="46"/>
          <bgColor indexed="55"/>
        </patternFill>
      </fill>
      <border>
        <left/>
        <right/>
        <top style="thin">
          <color indexed="8"/>
        </top>
        <bottom/>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val="0"/>
        <condense val="0"/>
        <extend val="0"/>
        <color indexed="9"/>
      </font>
      <fill>
        <patternFill patternType="none">
          <fgColor indexed="64"/>
          <bgColor indexed="65"/>
        </patternFill>
      </fill>
      <border>
        <left/>
        <right/>
        <top/>
        <bottom/>
      </border>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ont>
        <color rgb="FFFF0000"/>
      </font>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ont>
        <color rgb="FFFF0000"/>
      </font>
    </dxf>
    <dxf>
      <font>
        <b val="0"/>
        <condense val="0"/>
        <extend val="0"/>
        <color indexed="55"/>
      </font>
      <fill>
        <patternFill patternType="solid">
          <fgColor indexed="46"/>
          <bgColor indexed="55"/>
        </patternFill>
      </fill>
      <border>
        <left/>
        <right/>
        <top style="thin">
          <color indexed="8"/>
        </top>
        <bottom/>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val="0"/>
        <condense val="0"/>
        <extend val="0"/>
        <color indexed="9"/>
      </font>
      <fill>
        <patternFill patternType="none">
          <fgColor indexed="64"/>
          <bgColor indexed="65"/>
        </patternFill>
      </fill>
      <border>
        <left/>
        <right/>
        <top/>
        <bottom/>
      </border>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ont>
        <color rgb="FFFF0000"/>
      </font>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ont>
        <color rgb="FFFF0000"/>
      </font>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ont>
        <color rgb="FFFF0000"/>
      </font>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ont>
        <color rgb="FFFF0000"/>
      </font>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rgb="FFFF0000"/>
      </font>
    </dxf>
    <dxf>
      <font>
        <color rgb="FFFF0000"/>
      </font>
    </dxf>
    <dxf>
      <font>
        <color rgb="FFFF0000"/>
      </font>
    </dxf>
    <dxf>
      <font>
        <color rgb="FFFF0000"/>
      </font>
    </dxf>
    <dxf>
      <font>
        <color rgb="FFFF0000"/>
      </font>
    </dxf>
    <dxf>
      <font>
        <b val="0"/>
        <condense val="0"/>
        <extend val="0"/>
        <color indexed="55"/>
      </font>
      <fill>
        <patternFill patternType="solid">
          <fgColor indexed="46"/>
          <bgColor indexed="55"/>
        </patternFill>
      </fill>
      <border>
        <left/>
        <right/>
        <top style="thin">
          <color indexed="8"/>
        </top>
        <bottom/>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val="0"/>
        <condense val="0"/>
        <extend val="0"/>
        <color indexed="9"/>
      </font>
      <fill>
        <patternFill patternType="none">
          <fgColor indexed="64"/>
          <bgColor indexed="65"/>
        </patternFill>
      </fill>
      <border>
        <left/>
        <right/>
        <top/>
        <bottom/>
      </border>
    </dxf>
    <dxf>
      <font>
        <b val="0"/>
        <condense val="0"/>
        <extend val="0"/>
        <color indexed="55"/>
      </font>
      <fill>
        <patternFill patternType="solid">
          <fgColor indexed="46"/>
          <bgColor indexed="55"/>
        </patternFill>
      </fill>
      <border>
        <top style="thin">
          <color indexed="64"/>
        </top>
      </border>
    </dxf>
    <dxf>
      <font>
        <b val="0"/>
        <condense val="0"/>
        <extend val="0"/>
        <color indexed="22"/>
      </font>
      <fill>
        <patternFill patternType="solid">
          <fgColor indexed="44"/>
          <bgColor indexed="22"/>
        </patternFill>
      </fill>
    </dxf>
    <dxf>
      <font>
        <b val="0"/>
        <condense val="0"/>
        <extend val="0"/>
        <color indexed="9"/>
      </font>
      <fill>
        <patternFill patternType="none">
          <fgColor indexed="64"/>
          <bgColor indexed="65"/>
        </patternFill>
      </fill>
      <border>
        <left/>
        <right/>
        <top/>
        <bottom/>
      </border>
    </dxf>
    <dxf>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color theme="0"/>
      </font>
      <fill>
        <patternFill patternType="none">
          <bgColor auto="1"/>
        </patternFill>
      </fill>
      <border>
        <left/>
        <right/>
        <top/>
        <vertical/>
        <horizontal/>
      </border>
    </dxf>
    <dxf>
      <font>
        <color theme="0"/>
      </font>
      <fill>
        <patternFill>
          <bgColor theme="0"/>
        </patternFill>
      </fill>
      <border>
        <right/>
        <top/>
        <bottom/>
      </border>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lor rgb="FFFF0000"/>
      </font>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b/>
        <i val="0"/>
        <color rgb="FFFF000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lor rgb="FF0070C0"/>
      </font>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border>
        <top style="thin">
          <color indexed="64"/>
        </top>
      </border>
    </dxf>
    <dxf>
      <border>
        <left style="thin">
          <color indexed="8"/>
        </left>
        <right style="thin">
          <color indexed="8"/>
        </right>
        <top/>
        <bottom/>
      </border>
    </dxf>
    <dxf>
      <font>
        <b/>
        <i val="0"/>
        <condense val="0"/>
        <extend val="0"/>
        <color indexed="10"/>
      </font>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border>
        <left/>
        <right/>
        <top/>
        <bottom/>
      </border>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top style="thin">
          <color indexed="64"/>
        </top>
      </border>
    </dxf>
    <dxf>
      <font>
        <b val="0"/>
        <condense val="0"/>
        <extend val="0"/>
        <color indexed="9"/>
      </font>
      <fill>
        <patternFill patternType="none">
          <fgColor indexed="64"/>
          <bgColor indexed="65"/>
        </patternFill>
      </fill>
    </dxf>
    <dxf>
      <font>
        <b val="0"/>
        <condense val="0"/>
        <extend val="0"/>
        <color indexed="22"/>
      </font>
      <fill>
        <patternFill patternType="solid">
          <fgColor indexed="44"/>
          <bgColor indexed="22"/>
        </patternFill>
      </fill>
    </dxf>
    <dxf>
      <font>
        <b val="0"/>
        <condense val="0"/>
        <extend val="0"/>
        <color indexed="55"/>
      </font>
      <fill>
        <patternFill patternType="solid">
          <fgColor indexed="46"/>
          <bgColor indexed="55"/>
        </patternFill>
      </fill>
      <border>
        <left/>
        <right/>
        <top style="thin">
          <color indexed="8"/>
        </top>
        <bottom/>
      </border>
    </dxf>
    <dxf>
      <font>
        <b/>
        <i val="0"/>
        <condense val="0"/>
        <extend val="0"/>
      </font>
      <fill>
        <patternFill patternType="solid">
          <fgColor indexed="44"/>
          <bgColor indexed="22"/>
        </patternFill>
      </fill>
    </dxf>
    <dxf>
      <font>
        <b/>
        <i val="0"/>
        <condense val="0"/>
        <extend val="0"/>
      </font>
      <fill>
        <patternFill patternType="solid">
          <fgColor indexed="46"/>
          <bgColor indexed="55"/>
        </patternFill>
      </fill>
      <border>
        <left/>
        <right/>
        <top style="thin">
          <color indexed="8"/>
        </top>
        <bottom/>
      </border>
    </dxf>
    <dxf>
      <font>
        <b/>
        <i val="0"/>
        <condense val="0"/>
        <extend val="0"/>
        <color indexed="9"/>
      </font>
      <fill>
        <patternFill patternType="solid">
          <fgColor indexed="60"/>
          <bgColor indexed="10"/>
        </patternFill>
      </fill>
    </dxf>
    <dxf>
      <font>
        <color rgb="FFFF0000"/>
      </font>
    </dxf>
    <dxf>
      <font>
        <color rgb="FFFF0000"/>
      </font>
    </dxf>
    <dxf>
      <font>
        <color rgb="FFFF000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i val="0"/>
        <condense val="0"/>
        <extend val="0"/>
      </font>
    </dxf>
    <dxf>
      <font>
        <b val="0"/>
        <condense val="0"/>
        <extend val="0"/>
        <color indexed="17"/>
      </font>
      <border>
        <left style="thin">
          <color indexed="8"/>
        </left>
        <right style="thin">
          <color indexed="8"/>
        </right>
        <top style="thin">
          <color indexed="8"/>
        </top>
        <bottom style="thin">
          <color indexed="8"/>
        </bottom>
      </border>
    </dxf>
    <dxf>
      <font>
        <b val="0"/>
        <condense val="0"/>
        <extend val="0"/>
        <color indexed="10"/>
      </font>
      <border>
        <left style="thin">
          <color indexed="8"/>
        </left>
        <right style="thin">
          <color indexed="8"/>
        </right>
        <top style="thin">
          <color indexed="8"/>
        </top>
        <bottom style="thin">
          <color indexed="8"/>
        </bottom>
      </border>
    </dxf>
    <dxf>
      <font>
        <b/>
        <i val="0"/>
        <condense val="0"/>
        <extend val="0"/>
        <color indexed="9"/>
      </font>
      <fill>
        <patternFill patternType="none">
          <fgColor indexed="64"/>
          <bgColor indexed="65"/>
        </patternFill>
      </fill>
      <border>
        <left/>
        <right/>
        <top style="thin">
          <color indexed="64"/>
        </top>
        <bottom/>
      </border>
    </dxf>
    <dxf>
      <font>
        <b val="0"/>
        <condense val="0"/>
        <extend val="0"/>
        <color indexed="9"/>
      </font>
      <fill>
        <patternFill patternType="none">
          <fgColor indexed="64"/>
          <bgColor indexed="65"/>
        </patternFill>
      </fill>
      <border>
        <left/>
        <right/>
        <top/>
        <bottom/>
      </border>
    </dxf>
    <dxf>
      <font>
        <b val="0"/>
        <condense val="0"/>
        <extend val="0"/>
        <color indexed="9"/>
      </font>
      <fill>
        <patternFill patternType="none">
          <fgColor indexed="64"/>
          <bgColor indexed="65"/>
        </patternFill>
      </fill>
    </dxf>
    <dxf>
      <font>
        <b val="0"/>
        <condense val="0"/>
        <extend val="0"/>
        <color indexed="10"/>
      </font>
    </dxf>
    <dxf>
      <font>
        <b val="0"/>
        <condense val="0"/>
        <extend val="0"/>
        <color indexed="10"/>
      </font>
    </dxf>
    <dxf>
      <font>
        <color rgb="FFC0C0C0"/>
      </font>
      <fill>
        <patternFill>
          <bgColor rgb="FFC0C0C0"/>
        </patternFill>
      </fill>
      <border>
        <left/>
        <right/>
        <top/>
        <bottom/>
      </border>
    </dxf>
    <dxf>
      <font>
        <color rgb="FFC0C0C0"/>
      </font>
      <fill>
        <patternFill>
          <bgColor rgb="FFC0C0C0"/>
        </patternFill>
      </fill>
      <border>
        <left/>
        <right/>
        <top/>
        <bottom/>
      </border>
    </dxf>
    <dxf>
      <font>
        <color rgb="FFC0C0C0"/>
      </font>
      <fill>
        <patternFill>
          <bgColor rgb="FFC0C0C0"/>
        </patternFill>
      </fill>
      <border>
        <left/>
        <right/>
        <top/>
        <bottom/>
      </border>
    </dxf>
    <dxf>
      <font>
        <color rgb="FFC0C0C0"/>
      </font>
      <fill>
        <patternFill>
          <bgColor rgb="FFC0C0C0"/>
        </patternFill>
      </fill>
      <border>
        <left/>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2F2FF"/>
      <rgbColor rgb="00DFDFDF"/>
      <rgbColor rgb="00FFFF99"/>
      <rgbColor rgb="00BFBFBF"/>
      <rgbColor rgb="00FF99CC"/>
      <rgbColor rgb="00A7A7A7"/>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0C0C0"/>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6/relationships/vbaProject" Target="vbaProject.bin"/><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checked="Checked" fmlaLink="$AF$10"/>
</file>

<file path=xl/ctrlProps/ctrlProp11.xml><?xml version="1.0" encoding="utf-8"?>
<formControlPr xmlns="http://schemas.microsoft.com/office/spreadsheetml/2009/9/main" objectType="CheckBox" checked="Checked" fmlaLink="$AF$11"/>
</file>

<file path=xl/ctrlProps/ctrlProp12.xml><?xml version="1.0" encoding="utf-8"?>
<formControlPr xmlns="http://schemas.microsoft.com/office/spreadsheetml/2009/9/main" objectType="Spin" dx="15" fmlaLink="$J$9" max="30000" min="1" page="10"/>
</file>

<file path=xl/ctrlProps/ctrlProp13.xml><?xml version="1.0" encoding="utf-8"?>
<formControlPr xmlns="http://schemas.microsoft.com/office/spreadsheetml/2009/9/main" objectType="CheckBox" checked="Checked" fmlaLink="$A$9" noThreeD="1"/>
</file>

<file path=xl/ctrlProps/ctrlProp14.xml><?xml version="1.0" encoding="utf-8"?>
<formControlPr xmlns="http://schemas.microsoft.com/office/spreadsheetml/2009/9/main" objectType="Spin" dx="15" fmlaLink="$O$8" max="30000" min="1" page="10"/>
</file>

<file path=xl/ctrlProps/ctrlProp2.xml><?xml version="1.0" encoding="utf-8"?>
<formControlPr xmlns="http://schemas.microsoft.com/office/spreadsheetml/2009/9/main" objectType="Drop" dropStyle="combo" dx="26" fmlaLink="$O$4" fmlaRange="$J$7:$J$8" noThreeD="1" sel="1" val="0"/>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Drop" dropStyle="combo" dx="26" fmlaLink="$O$3" fmlaRange="$J$5:$J$6" noThreeD="1" sel="1" val="0"/>
</file>

<file path=xl/ctrlProps/ctrlProp5.xml><?xml version="1.0" encoding="utf-8"?>
<formControlPr xmlns="http://schemas.microsoft.com/office/spreadsheetml/2009/9/main" objectType="CheckBox" checked="Checked" fmlaLink="MENU.Import.Form.PreçoUnit" lockText="1" noThreeD="1"/>
</file>

<file path=xl/ctrlProps/ctrlProp6.xml><?xml version="1.0" encoding="utf-8"?>
<formControlPr xmlns="http://schemas.microsoft.com/office/spreadsheetml/2009/9/main" objectType="CheckBox" checked="Checked" fmlaLink="MENU.Import.Form.PLQ" lockText="1" noThreeD="1"/>
</file>

<file path=xl/ctrlProps/ctrlProp7.xml><?xml version="1.0" encoding="utf-8"?>
<formControlPr xmlns="http://schemas.microsoft.com/office/spreadsheetml/2009/9/main" objectType="CheckBox" checked="Checked" fmlaLink="$AF$7"/>
</file>

<file path=xl/ctrlProps/ctrlProp8.xml><?xml version="1.0" encoding="utf-8"?>
<formControlPr xmlns="http://schemas.microsoft.com/office/spreadsheetml/2009/9/main" objectType="CheckBox" checked="Checked" fmlaLink="$AF$8"/>
</file>

<file path=xl/ctrlProps/ctrlProp9.xml><?xml version="1.0" encoding="utf-8"?>
<formControlPr xmlns="http://schemas.microsoft.com/office/spreadsheetml/2009/9/main" objectType="CheckBox" checked="Checked" fmlaLink="$AF$9"/>
</file>

<file path=xl/drawings/_rels/drawing1.xml.rels><?xml version="1.0" encoding="UTF-8" standalone="yes"?>
<Relationships xmlns="http://schemas.openxmlformats.org/package/2006/relationships"><Relationship Id="rId1" Type="http://schemas.openxmlformats.org/officeDocument/2006/relationships/hyperlink" Target="#Menu!E6"/></Relationships>
</file>

<file path=xl/drawings/_rels/drawing10.xml.rels><?xml version="1.0" encoding="UTF-8" standalone="yes"?>
<Relationships xmlns="http://schemas.openxmlformats.org/package/2006/relationships"><Relationship Id="rId3" Type="http://schemas.openxmlformats.org/officeDocument/2006/relationships/hyperlink" Target="#DADOS!E21"/><Relationship Id="rId2" Type="http://schemas.openxmlformats.org/officeDocument/2006/relationships/image" Target="../media/image2.emf"/><Relationship Id="rId1" Type="http://schemas.openxmlformats.org/officeDocument/2006/relationships/hyperlink" Target="#Menu!E6"/></Relationships>
</file>

<file path=xl/drawings/_rels/drawing11.xml.rels><?xml version="1.0" encoding="UTF-8" standalone="yes"?>
<Relationships xmlns="http://schemas.openxmlformats.org/package/2006/relationships"><Relationship Id="rId3" Type="http://schemas.openxmlformats.org/officeDocument/2006/relationships/hyperlink" Target="#RRE!E13"/><Relationship Id="rId2" Type="http://schemas.openxmlformats.org/officeDocument/2006/relationships/hyperlink" Target="#C&#193;LCULO!D13"/><Relationship Id="rId1" Type="http://schemas.openxmlformats.org/officeDocument/2006/relationships/hyperlink" Target="#Menu!E6"/><Relationship Id="rId5" Type="http://schemas.openxmlformats.org/officeDocument/2006/relationships/hyperlink" Target="#CRONOPLE!G15"/><Relationship Id="rId4" Type="http://schemas.openxmlformats.org/officeDocument/2006/relationships/image" Target="../media/image2.emf"/></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CRONO!T14"/><Relationship Id="rId1" Type="http://schemas.openxmlformats.org/officeDocument/2006/relationships/hyperlink" Target="#Menu!E6"/><Relationship Id="rId5" Type="http://schemas.openxmlformats.org/officeDocument/2006/relationships/hyperlink" Target="#DADOS!F40"/><Relationship Id="rId4" Type="http://schemas.openxmlformats.org/officeDocument/2006/relationships/hyperlink" Target="#RRE!E13"/></Relationships>
</file>

<file path=xl/drawings/_rels/drawing13.xml.rels><?xml version="1.0" encoding="UTF-8" standalone="yes"?>
<Relationships xmlns="http://schemas.openxmlformats.org/package/2006/relationships"><Relationship Id="rId3" Type="http://schemas.openxmlformats.org/officeDocument/2006/relationships/hyperlink" Target="#Of&#237;cio!C6"/><Relationship Id="rId2" Type="http://schemas.openxmlformats.org/officeDocument/2006/relationships/image" Target="../media/image2.emf"/><Relationship Id="rId1" Type="http://schemas.openxmlformats.org/officeDocument/2006/relationships/hyperlink" Target="#Menu!E6"/></Relationships>
</file>

<file path=xl/drawings/_rels/drawing14.xml.rels><?xml version="1.0" encoding="UTF-8" standalone="yes"?>
<Relationships xmlns="http://schemas.openxmlformats.org/package/2006/relationships"><Relationship Id="rId3" Type="http://schemas.openxmlformats.org/officeDocument/2006/relationships/hyperlink" Target="#Menu!E6"/><Relationship Id="rId2" Type="http://schemas.openxmlformats.org/officeDocument/2006/relationships/hyperlink" Target="#RRE!E13"/><Relationship Id="rId1" Type="http://schemas.openxmlformats.org/officeDocument/2006/relationships/hyperlink" Target="#DADOS!E46"/></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hyperlink" Target="#BDI!J14"/><Relationship Id="rId1" Type="http://schemas.openxmlformats.org/officeDocument/2006/relationships/hyperlink" Target="#Menu!E6"/></Relationships>
</file>

<file path=xl/drawings/_rels/drawing4.xml.rels><?xml version="1.0" encoding="UTF-8" standalone="yes"?>
<Relationships xmlns="http://schemas.openxmlformats.org/package/2006/relationships"><Relationship Id="rId3" Type="http://schemas.openxmlformats.org/officeDocument/2006/relationships/hyperlink" Target="#OR&#199;AMENTO!M13"/><Relationship Id="rId2" Type="http://schemas.openxmlformats.org/officeDocument/2006/relationships/hyperlink" Target="#Menu!E6"/><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3" Type="http://schemas.openxmlformats.org/officeDocument/2006/relationships/hyperlink" Target="#BDI!J14"/><Relationship Id="rId2" Type="http://schemas.openxmlformats.org/officeDocument/2006/relationships/hyperlink" Target="#Menu!E6"/><Relationship Id="rId1" Type="http://schemas.openxmlformats.org/officeDocument/2006/relationships/image" Target="../media/image2.emf"/><Relationship Id="rId4" Type="http://schemas.openxmlformats.org/officeDocument/2006/relationships/hyperlink" Target="#C&#193;LCULO!I16"/></Relationships>
</file>

<file path=xl/drawings/_rels/drawing6.xml.rels><?xml version="1.0" encoding="UTF-8" standalone="yes"?>
<Relationships xmlns="http://schemas.openxmlformats.org/package/2006/relationships"><Relationship Id="rId3" Type="http://schemas.openxmlformats.org/officeDocument/2006/relationships/hyperlink" Target="#Menu!E6"/><Relationship Id="rId2" Type="http://schemas.openxmlformats.org/officeDocument/2006/relationships/image" Target="../media/image2.emf"/><Relationship Id="rId1" Type="http://schemas.openxmlformats.org/officeDocument/2006/relationships/hyperlink" Target="#C&#193;LCULO!A1"/><Relationship Id="rId4" Type="http://schemas.openxmlformats.org/officeDocument/2006/relationships/hyperlink" Target="#OR&#199;AMENTO!M13"/></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OR&#199;AMENTO!M13"/><Relationship Id="rId1" Type="http://schemas.openxmlformats.org/officeDocument/2006/relationships/hyperlink" Target="#Menu!E6"/></Relationships>
</file>

<file path=xl/drawings/_rels/drawing8.xml.rels><?xml version="1.0" encoding="UTF-8" standalone="yes"?>
<Relationships xmlns="http://schemas.openxmlformats.org/package/2006/relationships"><Relationship Id="rId3" Type="http://schemas.openxmlformats.org/officeDocument/2006/relationships/hyperlink" Target="#Menu!E6"/><Relationship Id="rId2" Type="http://schemas.openxmlformats.org/officeDocument/2006/relationships/image" Target="../media/image2.emf"/><Relationship Id="rId1" Type="http://schemas.openxmlformats.org/officeDocument/2006/relationships/hyperlink" Target="#EVENTOS!D15"/><Relationship Id="rId5" Type="http://schemas.openxmlformats.org/officeDocument/2006/relationships/hyperlink" Target="#C&#193;LCULO!Q12"/><Relationship Id="rId4" Type="http://schemas.openxmlformats.org/officeDocument/2006/relationships/hyperlink" Target="#CRONO!E7"/></Relationships>
</file>

<file path=xl/drawings/_rels/drawing9.xml.rels><?xml version="1.0" encoding="UTF-8" standalone="yes"?>
<Relationships xmlns="http://schemas.openxmlformats.org/package/2006/relationships"><Relationship Id="rId3" Type="http://schemas.openxmlformats.org/officeDocument/2006/relationships/hyperlink" Target="#QCI!H13"/><Relationship Id="rId2" Type="http://schemas.openxmlformats.org/officeDocument/2006/relationships/image" Target="../media/image2.emf"/><Relationship Id="rId1" Type="http://schemas.openxmlformats.org/officeDocument/2006/relationships/hyperlink" Target="#Menu!E6"/><Relationship Id="rId4" Type="http://schemas.openxmlformats.org/officeDocument/2006/relationships/hyperlink" Target="#OR&#199;AMENTO!T16"/></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76200</xdr:rowOff>
    </xdr:from>
    <xdr:to>
      <xdr:col>1</xdr:col>
      <xdr:colOff>102923</xdr:colOff>
      <xdr:row>2</xdr:row>
      <xdr:rowOff>49540</xdr:rowOff>
    </xdr:to>
    <xdr:sp macro="" textlink="">
      <xdr:nvSpPr>
        <xdr:cNvPr id="3073" name="AutoShape 67">
          <a:hlinkClick xmlns:r="http://schemas.openxmlformats.org/officeDocument/2006/relationships" r:id="rId1"/>
          <a:extLst>
            <a:ext uri="{FF2B5EF4-FFF2-40B4-BE49-F238E27FC236}">
              <a16:creationId xmlns:a16="http://schemas.microsoft.com/office/drawing/2014/main" id="{00000000-0008-0000-0000-0000010C0000}"/>
            </a:ext>
          </a:extLst>
        </xdr:cNvPr>
        <xdr:cNvSpPr>
          <a:spLocks noChangeArrowheads="1"/>
        </xdr:cNvSpPr>
      </xdr:nvSpPr>
      <xdr:spPr bwMode="auto">
        <a:xfrm>
          <a:off x="104775" y="76200"/>
          <a:ext cx="571500"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13</xdr:col>
      <xdr:colOff>116417</xdr:colOff>
      <xdr:row>7</xdr:row>
      <xdr:rowOff>140970</xdr:rowOff>
    </xdr:from>
    <xdr:to>
      <xdr:col>15</xdr:col>
      <xdr:colOff>2988</xdr:colOff>
      <xdr:row>10</xdr:row>
      <xdr:rowOff>148236</xdr:rowOff>
    </xdr:to>
    <xdr:sp macro="" textlink="" fLocksText="0">
      <xdr:nvSpPr>
        <xdr:cNvPr id="11268" name="AutoShape 317">
          <a:extLst>
            <a:ext uri="{FF2B5EF4-FFF2-40B4-BE49-F238E27FC236}">
              <a16:creationId xmlns:a16="http://schemas.microsoft.com/office/drawing/2014/main" id="{00000000-0008-0000-0900-0000042C0000}"/>
            </a:ext>
          </a:extLst>
        </xdr:cNvPr>
        <xdr:cNvSpPr>
          <a:spLocks noChangeArrowheads="1"/>
        </xdr:cNvSpPr>
      </xdr:nvSpPr>
      <xdr:spPr bwMode="auto">
        <a:xfrm>
          <a:off x="12096750" y="1361017"/>
          <a:ext cx="2116667" cy="491066"/>
        </a:xfrm>
        <a:prstGeom prst="wedgeRectCallout">
          <a:avLst>
            <a:gd name="adj1" fmla="val 121111"/>
            <a:gd name="adj2" fmla="val 52440"/>
          </a:avLst>
        </a:prstGeom>
        <a:solidFill>
          <a:srgbClr val="FFFF99"/>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0" bIns="0" anchor="t"/>
        <a:lstStyle/>
        <a:p>
          <a:pPr algn="l" rtl="0">
            <a:defRPr sz="1000"/>
          </a:pPr>
          <a:r>
            <a:rPr lang="pt-BR" sz="1000" b="1" i="0" u="none" strike="noStrike" baseline="0">
              <a:solidFill>
                <a:srgbClr val="000000"/>
              </a:solidFill>
              <a:latin typeface="Arial"/>
              <a:cs typeface="Arial"/>
            </a:rPr>
            <a:t>Para inclusão de metas de outras Plan. Mult., digite a descrição e valores manualmente ao lado.</a:t>
          </a:r>
        </a:p>
      </xdr:txBody>
    </xdr:sp>
    <xdr:clientData fPrintsWithSheet="0"/>
  </xdr:twoCellAnchor>
  <xdr:twoCellAnchor>
    <xdr:from>
      <xdr:col>3</xdr:col>
      <xdr:colOff>38100</xdr:colOff>
      <xdr:row>8</xdr:row>
      <xdr:rowOff>9525</xdr:rowOff>
    </xdr:from>
    <xdr:to>
      <xdr:col>4</xdr:col>
      <xdr:colOff>58425</xdr:colOff>
      <xdr:row>10</xdr:row>
      <xdr:rowOff>1059</xdr:rowOff>
    </xdr:to>
    <xdr:sp macro="" textlink="">
      <xdr:nvSpPr>
        <xdr:cNvPr id="11269" name="AutoShape 67">
          <a:hlinkClick xmlns:r="http://schemas.openxmlformats.org/officeDocument/2006/relationships" r:id="rId1"/>
          <a:extLst>
            <a:ext uri="{FF2B5EF4-FFF2-40B4-BE49-F238E27FC236}">
              <a16:creationId xmlns:a16="http://schemas.microsoft.com/office/drawing/2014/main" id="{00000000-0008-0000-0900-0000052C0000}"/>
            </a:ext>
          </a:extLst>
        </xdr:cNvPr>
        <xdr:cNvSpPr>
          <a:spLocks noChangeArrowheads="1"/>
        </xdr:cNvSpPr>
      </xdr:nvSpPr>
      <xdr:spPr bwMode="auto">
        <a:xfrm>
          <a:off x="285750" y="1419225"/>
          <a:ext cx="468000" cy="315384"/>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4</xdr:col>
      <xdr:colOff>710354</xdr:colOff>
      <xdr:row>8</xdr:row>
      <xdr:rowOff>11430</xdr:rowOff>
    </xdr:from>
    <xdr:to>
      <xdr:col>5</xdr:col>
      <xdr:colOff>722579</xdr:colOff>
      <xdr:row>10</xdr:row>
      <xdr:rowOff>9710</xdr:rowOff>
    </xdr:to>
    <xdr:sp macro="[0]!Linhas.AddLinha" textlink="">
      <xdr:nvSpPr>
        <xdr:cNvPr id="11270" name="AutoShape 67">
          <a:extLst>
            <a:ext uri="{FF2B5EF4-FFF2-40B4-BE49-F238E27FC236}">
              <a16:creationId xmlns:a16="http://schemas.microsoft.com/office/drawing/2014/main" id="{00000000-0008-0000-0900-0000062C0000}"/>
            </a:ext>
          </a:extLst>
        </xdr:cNvPr>
        <xdr:cNvSpPr>
          <a:spLocks noChangeArrowheads="1"/>
        </xdr:cNvSpPr>
      </xdr:nvSpPr>
      <xdr:spPr bwMode="auto">
        <a:xfrm>
          <a:off x="1405679" y="1421130"/>
          <a:ext cx="1260000" cy="32213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LINHAS</a:t>
          </a:r>
        </a:p>
      </xdr:txBody>
    </xdr:sp>
    <xdr:clientData fPrintsWithSheet="0"/>
  </xdr:twoCellAnchor>
  <xdr:twoCellAnchor>
    <xdr:from>
      <xdr:col>5</xdr:col>
      <xdr:colOff>777246</xdr:colOff>
      <xdr:row>8</xdr:row>
      <xdr:rowOff>9525</xdr:rowOff>
    </xdr:from>
    <xdr:to>
      <xdr:col>5</xdr:col>
      <xdr:colOff>1893246</xdr:colOff>
      <xdr:row>10</xdr:row>
      <xdr:rowOff>1059</xdr:rowOff>
    </xdr:to>
    <xdr:sp macro="[0]!Linhas.ExcLinhas" textlink="">
      <xdr:nvSpPr>
        <xdr:cNvPr id="11271" name="AutoShape 67">
          <a:extLst>
            <a:ext uri="{FF2B5EF4-FFF2-40B4-BE49-F238E27FC236}">
              <a16:creationId xmlns:a16="http://schemas.microsoft.com/office/drawing/2014/main" id="{00000000-0008-0000-0900-0000072C0000}"/>
            </a:ext>
          </a:extLst>
        </xdr:cNvPr>
        <xdr:cNvSpPr>
          <a:spLocks noChangeArrowheads="1"/>
        </xdr:cNvSpPr>
      </xdr:nvSpPr>
      <xdr:spPr bwMode="auto">
        <a:xfrm>
          <a:off x="2720346" y="1419225"/>
          <a:ext cx="1116000" cy="315384"/>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LINHAS</a:t>
          </a:r>
        </a:p>
      </xdr:txBody>
    </xdr:sp>
    <xdr:clientData fPrintsWithSheet="0"/>
  </xdr:twoCellAnchor>
  <xdr:twoCellAnchor>
    <xdr:from>
      <xdr:col>7</xdr:col>
      <xdr:colOff>904237</xdr:colOff>
      <xdr:row>8</xdr:row>
      <xdr:rowOff>9525</xdr:rowOff>
    </xdr:from>
    <xdr:to>
      <xdr:col>9</xdr:col>
      <xdr:colOff>485820</xdr:colOff>
      <xdr:row>10</xdr:row>
      <xdr:rowOff>3175</xdr:rowOff>
    </xdr:to>
    <xdr:sp macro="[0]!cpQCItoCR" textlink="">
      <xdr:nvSpPr>
        <xdr:cNvPr id="7" name="AutoShape 67">
          <a:extLst>
            <a:ext uri="{FF2B5EF4-FFF2-40B4-BE49-F238E27FC236}">
              <a16:creationId xmlns:a16="http://schemas.microsoft.com/office/drawing/2014/main" id="{00000000-0008-0000-0900-000007000000}"/>
            </a:ext>
          </a:extLst>
        </xdr:cNvPr>
        <xdr:cNvSpPr>
          <a:spLocks noChangeArrowheads="1"/>
        </xdr:cNvSpPr>
      </xdr:nvSpPr>
      <xdr:spPr bwMode="auto">
        <a:xfrm>
          <a:off x="7137820" y="1395942"/>
          <a:ext cx="1476000" cy="31115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CP QCI = CP CONTRATO</a:t>
          </a:r>
        </a:p>
      </xdr:txBody>
    </xdr:sp>
    <xdr:clientData fPrintsWithSheet="0"/>
  </xdr:twoCellAnchor>
  <xdr:twoCellAnchor>
    <xdr:from>
      <xdr:col>3</xdr:col>
      <xdr:colOff>0</xdr:colOff>
      <xdr:row>0</xdr:row>
      <xdr:rowOff>21166</xdr:rowOff>
    </xdr:from>
    <xdr:to>
      <xdr:col>5</xdr:col>
      <xdr:colOff>128694</xdr:colOff>
      <xdr:row>1</xdr:row>
      <xdr:rowOff>25399</xdr:rowOff>
    </xdr:to>
    <xdr:pic>
      <xdr:nvPicPr>
        <xdr:cNvPr id="2" name="Picture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417"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104775</xdr:colOff>
      <xdr:row>8</xdr:row>
      <xdr:rowOff>9525</xdr:rowOff>
    </xdr:from>
    <xdr:to>
      <xdr:col>4</xdr:col>
      <xdr:colOff>644775</xdr:colOff>
      <xdr:row>10</xdr:row>
      <xdr:rowOff>1059</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900-000003000000}"/>
            </a:ext>
          </a:extLst>
        </xdr:cNvPr>
        <xdr:cNvSpPr>
          <a:spLocks noChangeArrowheads="1"/>
        </xdr:cNvSpPr>
      </xdr:nvSpPr>
      <xdr:spPr bwMode="auto">
        <a:xfrm>
          <a:off x="800100" y="1419225"/>
          <a:ext cx="540000" cy="315384"/>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DADOS</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7</xdr:row>
      <xdr:rowOff>42333</xdr:rowOff>
    </xdr:from>
    <xdr:to>
      <xdr:col>2</xdr:col>
      <xdr:colOff>28575</xdr:colOff>
      <xdr:row>9</xdr:row>
      <xdr:rowOff>4410</xdr:rowOff>
    </xdr:to>
    <xdr:sp macro="" textlink="">
      <xdr:nvSpPr>
        <xdr:cNvPr id="10243" name="AutoShape 67">
          <a:hlinkClick xmlns:r="http://schemas.openxmlformats.org/officeDocument/2006/relationships" r:id="rId1"/>
          <a:extLst>
            <a:ext uri="{FF2B5EF4-FFF2-40B4-BE49-F238E27FC236}">
              <a16:creationId xmlns:a16="http://schemas.microsoft.com/office/drawing/2014/main" id="{00000000-0008-0000-0A00-000003280000}"/>
            </a:ext>
          </a:extLst>
        </xdr:cNvPr>
        <xdr:cNvSpPr>
          <a:spLocks noChangeArrowheads="1"/>
        </xdr:cNvSpPr>
      </xdr:nvSpPr>
      <xdr:spPr bwMode="auto">
        <a:xfrm>
          <a:off x="247650" y="928158"/>
          <a:ext cx="571500" cy="324027"/>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mc:AlternateContent xmlns:mc="http://schemas.openxmlformats.org/markup-compatibility/2006">
    <mc:Choice xmlns:a14="http://schemas.microsoft.com/office/drawing/2010/main" Requires="a14">
      <xdr:twoCellAnchor>
        <xdr:from>
          <xdr:col>11</xdr:col>
          <xdr:colOff>0</xdr:colOff>
          <xdr:row>8</xdr:row>
          <xdr:rowOff>9525</xdr:rowOff>
        </xdr:from>
        <xdr:to>
          <xdr:col>11</xdr:col>
          <xdr:colOff>219075</xdr:colOff>
          <xdr:row>9</xdr:row>
          <xdr:rowOff>0</xdr:rowOff>
        </xdr:to>
        <xdr:sp macro="" textlink="">
          <xdr:nvSpPr>
            <xdr:cNvPr id="10246" name="Botão de rotação 275" hidden="1">
              <a:extLst>
                <a:ext uri="{63B3BB69-23CF-44E3-9099-C40C66FF867C}">
                  <a14:compatExt spid="_x0000_s10246"/>
                </a:ext>
                <a:ext uri="{FF2B5EF4-FFF2-40B4-BE49-F238E27FC236}">
                  <a16:creationId xmlns:a16="http://schemas.microsoft.com/office/drawing/2014/main" id="{00000000-0008-0000-0A00-000006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twoCellAnchor>
    <xdr:from>
      <xdr:col>1</xdr:col>
      <xdr:colOff>0</xdr:colOff>
      <xdr:row>9</xdr:row>
      <xdr:rowOff>19050</xdr:rowOff>
    </xdr:from>
    <xdr:to>
      <xdr:col>2</xdr:col>
      <xdr:colOff>31751</xdr:colOff>
      <xdr:row>10</xdr:row>
      <xdr:rowOff>159808</xdr:rowOff>
    </xdr:to>
    <xdr:sp macro="" textlink="">
      <xdr:nvSpPr>
        <xdr:cNvPr id="5" name="AutoShape 67">
          <a:hlinkClick xmlns:r="http://schemas.openxmlformats.org/officeDocument/2006/relationships" r:id="rId2"/>
          <a:extLst>
            <a:ext uri="{FF2B5EF4-FFF2-40B4-BE49-F238E27FC236}">
              <a16:creationId xmlns:a16="http://schemas.microsoft.com/office/drawing/2014/main" id="{00000000-0008-0000-0A00-000005000000}"/>
            </a:ext>
          </a:extLst>
        </xdr:cNvPr>
        <xdr:cNvSpPr>
          <a:spLocks noChangeArrowheads="1"/>
        </xdr:cNvSpPr>
      </xdr:nvSpPr>
      <xdr:spPr bwMode="auto">
        <a:xfrm>
          <a:off x="247650" y="1266825"/>
          <a:ext cx="574676"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PLQ</a:t>
          </a:r>
          <a:endParaRPr lang="pt-BR" sz="1100" b="1" i="0" u="none" strike="noStrike" baseline="0">
            <a:solidFill>
              <a:srgbClr val="000000"/>
            </a:solidFill>
            <a:latin typeface="Calibri"/>
          </a:endParaRPr>
        </a:p>
      </xdr:txBody>
    </xdr:sp>
    <xdr:clientData fPrintsWithSheet="0"/>
  </xdr:twoCellAnchor>
  <xdr:twoCellAnchor>
    <xdr:from>
      <xdr:col>1</xdr:col>
      <xdr:colOff>0</xdr:colOff>
      <xdr:row>10</xdr:row>
      <xdr:rowOff>500803</xdr:rowOff>
    </xdr:from>
    <xdr:to>
      <xdr:col>2</xdr:col>
      <xdr:colOff>31751</xdr:colOff>
      <xdr:row>10</xdr:row>
      <xdr:rowOff>803486</xdr:rowOff>
    </xdr:to>
    <xdr:sp macro="" textlink="">
      <xdr:nvSpPr>
        <xdr:cNvPr id="6" name="AutoShape 67">
          <a:hlinkClick xmlns:r="http://schemas.openxmlformats.org/officeDocument/2006/relationships" r:id="rId3"/>
          <a:extLst>
            <a:ext uri="{FF2B5EF4-FFF2-40B4-BE49-F238E27FC236}">
              <a16:creationId xmlns:a16="http://schemas.microsoft.com/office/drawing/2014/main" id="{00000000-0008-0000-0A00-000006000000}"/>
            </a:ext>
          </a:extLst>
        </xdr:cNvPr>
        <xdr:cNvSpPr>
          <a:spLocks noChangeArrowheads="1"/>
        </xdr:cNvSpPr>
      </xdr:nvSpPr>
      <xdr:spPr bwMode="auto">
        <a:xfrm>
          <a:off x="247650" y="1910503"/>
          <a:ext cx="574676"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RRE</a:t>
          </a:r>
          <a:endParaRPr lang="pt-BR" sz="1100" b="1" i="0" u="none" strike="noStrike" baseline="0">
            <a:solidFill>
              <a:srgbClr val="000000"/>
            </a:solidFill>
            <a:latin typeface="Calibri"/>
          </a:endParaRPr>
        </a:p>
      </xdr:txBody>
    </xdr:sp>
    <xdr:clientData fPrintsWithSheet="0"/>
  </xdr:twoCellAnchor>
  <xdr:twoCellAnchor>
    <xdr:from>
      <xdr:col>1</xdr:col>
      <xdr:colOff>0</xdr:colOff>
      <xdr:row>2</xdr:row>
      <xdr:rowOff>21166</xdr:rowOff>
    </xdr:from>
    <xdr:to>
      <xdr:col>3</xdr:col>
      <xdr:colOff>149861</xdr:colOff>
      <xdr:row>4</xdr:row>
      <xdr:rowOff>4232</xdr:rowOff>
    </xdr:to>
    <xdr:pic>
      <xdr:nvPicPr>
        <xdr:cNvPr id="2" name="Picture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43417" y="3386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0</xdr:colOff>
      <xdr:row>10</xdr:row>
      <xdr:rowOff>180975</xdr:rowOff>
    </xdr:from>
    <xdr:to>
      <xdr:col>2</xdr:col>
      <xdr:colOff>31751</xdr:colOff>
      <xdr:row>10</xdr:row>
      <xdr:rowOff>483658</xdr:rowOff>
    </xdr:to>
    <xdr:sp macro="" textlink="">
      <xdr:nvSpPr>
        <xdr:cNvPr id="3" name="AutoShape 67">
          <a:hlinkClick xmlns:r="http://schemas.openxmlformats.org/officeDocument/2006/relationships" r:id="rId5"/>
          <a:extLst>
            <a:ext uri="{FF2B5EF4-FFF2-40B4-BE49-F238E27FC236}">
              <a16:creationId xmlns:a16="http://schemas.microsoft.com/office/drawing/2014/main" id="{00000000-0008-0000-0A00-000003000000}"/>
            </a:ext>
          </a:extLst>
        </xdr:cNvPr>
        <xdr:cNvSpPr>
          <a:spLocks noChangeArrowheads="1"/>
        </xdr:cNvSpPr>
      </xdr:nvSpPr>
      <xdr:spPr bwMode="auto">
        <a:xfrm>
          <a:off x="247650" y="1590675"/>
          <a:ext cx="574676"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CRONO</a:t>
          </a:r>
          <a:endParaRPr lang="pt-BR" sz="1100" b="1" i="0" u="none" strike="noStrike" baseline="0">
            <a:solidFill>
              <a:srgbClr val="000000"/>
            </a:solidFill>
            <a:latin typeface="Calibri"/>
          </a:endParaRP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8</xdr:col>
      <xdr:colOff>1276350</xdr:colOff>
      <xdr:row>8</xdr:row>
      <xdr:rowOff>57150</xdr:rowOff>
    </xdr:from>
    <xdr:to>
      <xdr:col>12</xdr:col>
      <xdr:colOff>445815</xdr:colOff>
      <xdr:row>10</xdr:row>
      <xdr:rowOff>85725</xdr:rowOff>
    </xdr:to>
    <xdr:sp macro="" textlink="" fLocksText="0">
      <xdr:nvSpPr>
        <xdr:cNvPr id="12293" name="TextBoxArred">
          <a:extLst>
            <a:ext uri="{FF2B5EF4-FFF2-40B4-BE49-F238E27FC236}">
              <a16:creationId xmlns:a16="http://schemas.microsoft.com/office/drawing/2014/main" id="{00000000-0008-0000-0B00-000005300000}"/>
            </a:ext>
          </a:extLst>
        </xdr:cNvPr>
        <xdr:cNvSpPr txBox="1">
          <a:spLocks noChangeArrowheads="1"/>
        </xdr:cNvSpPr>
      </xdr:nvSpPr>
      <xdr:spPr bwMode="auto">
        <a:xfrm flipH="1">
          <a:off x="12411075" y="1314450"/>
          <a:ext cx="2790825" cy="352425"/>
        </a:xfrm>
        <a:prstGeom prst="rect">
          <a:avLst/>
        </a:prstGeom>
        <a:noFill/>
        <a:ln w="648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27360" bIns="0" anchor="t"/>
        <a:lstStyle/>
        <a:p>
          <a:pPr algn="ctr" rtl="0">
            <a:defRPr sz="1000"/>
          </a:pPr>
          <a:r>
            <a:rPr lang="pt-BR" sz="1000" b="0" i="0" u="none" strike="noStrike" baseline="0">
              <a:solidFill>
                <a:srgbClr val="000000"/>
              </a:solidFill>
              <a:latin typeface="Arial"/>
              <a:cs typeface="Arial"/>
            </a:rPr>
            <a:t>Considerar valores arredondados com (0,00)</a:t>
          </a:r>
        </a:p>
      </xdr:txBody>
    </xdr:sp>
    <xdr:clientData fPrintsWithSheet="0"/>
  </xdr:twoCellAnchor>
  <xdr:twoCellAnchor>
    <xdr:from>
      <xdr:col>3</xdr:col>
      <xdr:colOff>95250</xdr:colOff>
      <xdr:row>8</xdr:row>
      <xdr:rowOff>114300</xdr:rowOff>
    </xdr:from>
    <xdr:to>
      <xdr:col>3</xdr:col>
      <xdr:colOff>681990</xdr:colOff>
      <xdr:row>10</xdr:row>
      <xdr:rowOff>104775</xdr:rowOff>
    </xdr:to>
    <xdr:sp macro="" textlink="">
      <xdr:nvSpPr>
        <xdr:cNvPr id="12294" name="AutoShape 67">
          <a:hlinkClick xmlns:r="http://schemas.openxmlformats.org/officeDocument/2006/relationships" r:id="rId1"/>
          <a:extLst>
            <a:ext uri="{FF2B5EF4-FFF2-40B4-BE49-F238E27FC236}">
              <a16:creationId xmlns:a16="http://schemas.microsoft.com/office/drawing/2014/main" id="{00000000-0008-0000-0B00-000006300000}"/>
            </a:ext>
          </a:extLst>
        </xdr:cNvPr>
        <xdr:cNvSpPr>
          <a:spLocks noChangeArrowheads="1"/>
        </xdr:cNvSpPr>
      </xdr:nvSpPr>
      <xdr:spPr bwMode="auto">
        <a:xfrm>
          <a:off x="342900" y="1371600"/>
          <a:ext cx="586740"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mc:AlternateContent xmlns:mc="http://schemas.openxmlformats.org/markup-compatibility/2006">
    <mc:Choice xmlns:a14="http://schemas.microsoft.com/office/drawing/2010/main" Requires="a14">
      <xdr:twoCellAnchor>
        <xdr:from>
          <xdr:col>10</xdr:col>
          <xdr:colOff>219075</xdr:colOff>
          <xdr:row>9</xdr:row>
          <xdr:rowOff>47625</xdr:rowOff>
        </xdr:from>
        <xdr:to>
          <xdr:col>10</xdr:col>
          <xdr:colOff>523875</xdr:colOff>
          <xdr:row>10</xdr:row>
          <xdr:rowOff>114300</xdr:rowOff>
        </xdr:to>
        <xdr:sp macro="" textlink="">
          <xdr:nvSpPr>
            <xdr:cNvPr id="12295" name="CaixaArredMed" hidden="1">
              <a:extLst>
                <a:ext uri="{63B3BB69-23CF-44E3-9099-C40C66FF867C}">
                  <a14:compatExt spid="_x0000_s12295"/>
                </a:ext>
                <a:ext uri="{FF2B5EF4-FFF2-40B4-BE49-F238E27FC236}">
                  <a16:creationId xmlns:a16="http://schemas.microsoft.com/office/drawing/2014/main" id="{00000000-0008-0000-0B00-000007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28575</xdr:colOff>
          <xdr:row>6</xdr:row>
          <xdr:rowOff>123825</xdr:rowOff>
        </xdr:from>
        <xdr:to>
          <xdr:col>15</xdr:col>
          <xdr:colOff>266700</xdr:colOff>
          <xdr:row>8</xdr:row>
          <xdr:rowOff>0</xdr:rowOff>
        </xdr:to>
        <xdr:sp macro="" textlink="">
          <xdr:nvSpPr>
            <xdr:cNvPr id="12296" name="Botão de rotação 23" hidden="1">
              <a:extLst>
                <a:ext uri="{63B3BB69-23CF-44E3-9099-C40C66FF867C}">
                  <a14:compatExt spid="_x0000_s12296"/>
                </a:ext>
                <a:ext uri="{FF2B5EF4-FFF2-40B4-BE49-F238E27FC236}">
                  <a16:creationId xmlns:a16="http://schemas.microsoft.com/office/drawing/2014/main" id="{00000000-0008-0000-0B00-000008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twoCellAnchor>
    <xdr:from>
      <xdr:col>4</xdr:col>
      <xdr:colOff>2213610</xdr:colOff>
      <xdr:row>8</xdr:row>
      <xdr:rowOff>112395</xdr:rowOff>
    </xdr:from>
    <xdr:to>
      <xdr:col>4</xdr:col>
      <xdr:colOff>4095750</xdr:colOff>
      <xdr:row>10</xdr:row>
      <xdr:rowOff>95412</xdr:rowOff>
    </xdr:to>
    <xdr:sp macro="[0]!BM.alternaModo" textlink="">
      <xdr:nvSpPr>
        <xdr:cNvPr id="12298" name="ShapeModoBM">
          <a:extLst>
            <a:ext uri="{FF2B5EF4-FFF2-40B4-BE49-F238E27FC236}">
              <a16:creationId xmlns:a16="http://schemas.microsoft.com/office/drawing/2014/main" id="{00000000-0008-0000-0B00-00000A300000}"/>
            </a:ext>
          </a:extLst>
        </xdr:cNvPr>
        <xdr:cNvSpPr>
          <a:spLocks noChangeArrowheads="1"/>
        </xdr:cNvSpPr>
      </xdr:nvSpPr>
      <xdr:spPr bwMode="auto">
        <a:xfrm>
          <a:off x="3175635" y="1369695"/>
          <a:ext cx="1882140" cy="306867"/>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Habilitar Modo CAIXA</a:t>
          </a:r>
        </a:p>
      </xdr:txBody>
    </xdr:sp>
    <xdr:clientData fPrintsWithSheet="0"/>
  </xdr:twoCellAnchor>
  <xdr:twoCellAnchor>
    <xdr:from>
      <xdr:col>16</xdr:col>
      <xdr:colOff>0</xdr:colOff>
      <xdr:row>6</xdr:row>
      <xdr:rowOff>42333</xdr:rowOff>
    </xdr:from>
    <xdr:to>
      <xdr:col>16</xdr:col>
      <xdr:colOff>0</xdr:colOff>
      <xdr:row>9</xdr:row>
      <xdr:rowOff>102792</xdr:rowOff>
    </xdr:to>
    <xdr:sp macro="[0]!CopiarMedição" textlink="" fLocksText="0">
      <xdr:nvSpPr>
        <xdr:cNvPr id="8" name="ShapeCopiarMed">
          <a:extLst>
            <a:ext uri="{FF2B5EF4-FFF2-40B4-BE49-F238E27FC236}">
              <a16:creationId xmlns:a16="http://schemas.microsoft.com/office/drawing/2014/main" id="{00000000-0008-0000-0B00-000008000000}"/>
            </a:ext>
          </a:extLst>
        </xdr:cNvPr>
        <xdr:cNvSpPr>
          <a:spLocks noChangeArrowheads="1"/>
        </xdr:cNvSpPr>
      </xdr:nvSpPr>
      <xdr:spPr bwMode="auto">
        <a:xfrm>
          <a:off x="17187333" y="963083"/>
          <a:ext cx="709083" cy="529167"/>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Copiar da Medição</a:t>
          </a:r>
        </a:p>
      </xdr:txBody>
    </xdr:sp>
    <xdr:clientData/>
  </xdr:twoCellAnchor>
  <xdr:twoCellAnchor>
    <xdr:from>
      <xdr:col>4</xdr:col>
      <xdr:colOff>806450</xdr:colOff>
      <xdr:row>8</xdr:row>
      <xdr:rowOff>116417</xdr:rowOff>
    </xdr:from>
    <xdr:to>
      <xdr:col>4</xdr:col>
      <xdr:colOff>1393191</xdr:colOff>
      <xdr:row>10</xdr:row>
      <xdr:rowOff>101600</xdr:rowOff>
    </xdr:to>
    <xdr:sp macro="" textlink="">
      <xdr:nvSpPr>
        <xdr:cNvPr id="9" name="AutoShape 67">
          <a:hlinkClick xmlns:r="http://schemas.openxmlformats.org/officeDocument/2006/relationships" r:id="rId2"/>
          <a:extLst>
            <a:ext uri="{FF2B5EF4-FFF2-40B4-BE49-F238E27FC236}">
              <a16:creationId xmlns:a16="http://schemas.microsoft.com/office/drawing/2014/main" id="{00000000-0008-0000-0B00-000009000000}"/>
            </a:ext>
          </a:extLst>
        </xdr:cNvPr>
        <xdr:cNvSpPr>
          <a:spLocks noChangeArrowheads="1"/>
        </xdr:cNvSpPr>
      </xdr:nvSpPr>
      <xdr:spPr bwMode="auto">
        <a:xfrm>
          <a:off x="1768475" y="1373717"/>
          <a:ext cx="586741" cy="30903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CFF</a:t>
          </a:r>
          <a:endParaRPr lang="pt-BR" sz="1100" b="1" i="0" u="none" strike="noStrike" baseline="0">
            <a:solidFill>
              <a:srgbClr val="000000"/>
            </a:solidFill>
            <a:latin typeface="Calibri"/>
          </a:endParaRPr>
        </a:p>
      </xdr:txBody>
    </xdr:sp>
    <xdr:clientData fPrintsWithSheet="0"/>
  </xdr:twoCellAnchor>
  <xdr:twoCellAnchor>
    <xdr:from>
      <xdr:col>3</xdr:col>
      <xdr:colOff>0</xdr:colOff>
      <xdr:row>0</xdr:row>
      <xdr:rowOff>21166</xdr:rowOff>
    </xdr:from>
    <xdr:to>
      <xdr:col>4</xdr:col>
      <xdr:colOff>1102361</xdr:colOff>
      <xdr:row>2</xdr:row>
      <xdr:rowOff>14816</xdr:rowOff>
    </xdr:to>
    <xdr:pic>
      <xdr:nvPicPr>
        <xdr:cNvPr id="2" name="Picture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3417"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1512358</xdr:colOff>
      <xdr:row>8</xdr:row>
      <xdr:rowOff>116417</xdr:rowOff>
    </xdr:from>
    <xdr:to>
      <xdr:col>4</xdr:col>
      <xdr:colOff>2099099</xdr:colOff>
      <xdr:row>10</xdr:row>
      <xdr:rowOff>101600</xdr:rowOff>
    </xdr:to>
    <xdr:sp macro="" textlink="">
      <xdr:nvSpPr>
        <xdr:cNvPr id="3" name="AutoShape 67">
          <a:hlinkClick xmlns:r="http://schemas.openxmlformats.org/officeDocument/2006/relationships" r:id="rId4"/>
          <a:extLst>
            <a:ext uri="{FF2B5EF4-FFF2-40B4-BE49-F238E27FC236}">
              <a16:creationId xmlns:a16="http://schemas.microsoft.com/office/drawing/2014/main" id="{00000000-0008-0000-0B00-000003000000}"/>
            </a:ext>
          </a:extLst>
        </xdr:cNvPr>
        <xdr:cNvSpPr>
          <a:spLocks noChangeArrowheads="1"/>
        </xdr:cNvSpPr>
      </xdr:nvSpPr>
      <xdr:spPr bwMode="auto">
        <a:xfrm>
          <a:off x="2474383" y="1373717"/>
          <a:ext cx="586741" cy="30903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RRE</a:t>
          </a:r>
          <a:endParaRPr lang="pt-BR" sz="1100" b="1" i="0" u="none" strike="noStrike" baseline="0">
            <a:solidFill>
              <a:srgbClr val="000000"/>
            </a:solidFill>
            <a:latin typeface="Calibri"/>
          </a:endParaRPr>
        </a:p>
      </xdr:txBody>
    </xdr:sp>
    <xdr:clientData fPrintsWithSheet="0"/>
  </xdr:twoCellAnchor>
  <xdr:twoCellAnchor>
    <xdr:from>
      <xdr:col>4</xdr:col>
      <xdr:colOff>104775</xdr:colOff>
      <xdr:row>8</xdr:row>
      <xdr:rowOff>114300</xdr:rowOff>
    </xdr:from>
    <xdr:to>
      <xdr:col>4</xdr:col>
      <xdr:colOff>691515</xdr:colOff>
      <xdr:row>10</xdr:row>
      <xdr:rowOff>104775</xdr:rowOff>
    </xdr:to>
    <xdr:sp macro="" textlink="">
      <xdr:nvSpPr>
        <xdr:cNvPr id="4" name="AutoShape 67">
          <a:hlinkClick xmlns:r="http://schemas.openxmlformats.org/officeDocument/2006/relationships" r:id="rId5"/>
          <a:extLst>
            <a:ext uri="{FF2B5EF4-FFF2-40B4-BE49-F238E27FC236}">
              <a16:creationId xmlns:a16="http://schemas.microsoft.com/office/drawing/2014/main" id="{00000000-0008-0000-0B00-000004000000}"/>
            </a:ext>
          </a:extLst>
        </xdr:cNvPr>
        <xdr:cNvSpPr>
          <a:spLocks noChangeArrowheads="1"/>
        </xdr:cNvSpPr>
      </xdr:nvSpPr>
      <xdr:spPr bwMode="auto">
        <a:xfrm>
          <a:off x="1066800" y="1371600"/>
          <a:ext cx="586740"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DADOS</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14</xdr:col>
      <xdr:colOff>102870</xdr:colOff>
      <xdr:row>7</xdr:row>
      <xdr:rowOff>160020</xdr:rowOff>
    </xdr:from>
    <xdr:to>
      <xdr:col>24</xdr:col>
      <xdr:colOff>169545</xdr:colOff>
      <xdr:row>10</xdr:row>
      <xdr:rowOff>49546</xdr:rowOff>
    </xdr:to>
    <xdr:sp macro="" textlink="" fLocksText="0">
      <xdr:nvSpPr>
        <xdr:cNvPr id="13317" name="AutoShape 317">
          <a:extLst>
            <a:ext uri="{FF2B5EF4-FFF2-40B4-BE49-F238E27FC236}">
              <a16:creationId xmlns:a16="http://schemas.microsoft.com/office/drawing/2014/main" id="{00000000-0008-0000-0C00-000005340000}"/>
            </a:ext>
          </a:extLst>
        </xdr:cNvPr>
        <xdr:cNvSpPr>
          <a:spLocks noChangeArrowheads="1"/>
        </xdr:cNvSpPr>
      </xdr:nvSpPr>
      <xdr:spPr bwMode="auto">
        <a:xfrm>
          <a:off x="10487025" y="1562100"/>
          <a:ext cx="2724150" cy="390525"/>
        </a:xfrm>
        <a:prstGeom prst="wedgeRectCallout">
          <a:avLst>
            <a:gd name="adj1" fmla="val 72181"/>
            <a:gd name="adj2" fmla="val 58333"/>
          </a:avLst>
        </a:prstGeom>
        <a:solidFill>
          <a:srgbClr val="FFFF99"/>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0" bIns="0" anchor="t"/>
        <a:lstStyle/>
        <a:p>
          <a:pPr algn="l" rtl="0">
            <a:defRPr sz="1000"/>
          </a:pPr>
          <a:r>
            <a:rPr lang="pt-BR" sz="1000" b="1" i="0" u="none" strike="noStrike" baseline="0">
              <a:solidFill>
                <a:srgbClr val="000000"/>
              </a:solidFill>
              <a:latin typeface="Arial"/>
              <a:cs typeface="Arial"/>
            </a:rPr>
            <a:t>Para Metas preenchidas manualmente, digite o valor medido nas colunas à direita.</a:t>
          </a:r>
        </a:p>
      </xdr:txBody>
    </xdr:sp>
    <xdr:clientData fPrintsWithSheet="0"/>
  </xdr:twoCellAnchor>
  <xdr:twoCellAnchor>
    <xdr:from>
      <xdr:col>4</xdr:col>
      <xdr:colOff>85725</xdr:colOff>
      <xdr:row>8</xdr:row>
      <xdr:rowOff>28575</xdr:rowOff>
    </xdr:from>
    <xdr:to>
      <xdr:col>5</xdr:col>
      <xdr:colOff>142875</xdr:colOff>
      <xdr:row>10</xdr:row>
      <xdr:rowOff>11435</xdr:rowOff>
    </xdr:to>
    <xdr:sp macro="" textlink="">
      <xdr:nvSpPr>
        <xdr:cNvPr id="13318" name="AutoShape 67">
          <a:hlinkClick xmlns:r="http://schemas.openxmlformats.org/officeDocument/2006/relationships" r:id="rId1"/>
          <a:extLst>
            <a:ext uri="{FF2B5EF4-FFF2-40B4-BE49-F238E27FC236}">
              <a16:creationId xmlns:a16="http://schemas.microsoft.com/office/drawing/2014/main" id="{00000000-0008-0000-0C00-000006340000}"/>
            </a:ext>
          </a:extLst>
        </xdr:cNvPr>
        <xdr:cNvSpPr>
          <a:spLocks noChangeArrowheads="1"/>
        </xdr:cNvSpPr>
      </xdr:nvSpPr>
      <xdr:spPr bwMode="auto">
        <a:xfrm>
          <a:off x="333375" y="1600200"/>
          <a:ext cx="571500"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5</xdr:col>
      <xdr:colOff>240453</xdr:colOff>
      <xdr:row>8</xdr:row>
      <xdr:rowOff>31750</xdr:rowOff>
    </xdr:from>
    <xdr:to>
      <xdr:col>5</xdr:col>
      <xdr:colOff>1524000</xdr:colOff>
      <xdr:row>10</xdr:row>
      <xdr:rowOff>9447</xdr:rowOff>
    </xdr:to>
    <xdr:sp macro="[0]!IrPara_Medição" textlink="">
      <xdr:nvSpPr>
        <xdr:cNvPr id="5" name="AutoShape 67">
          <a:extLst>
            <a:ext uri="{FF2B5EF4-FFF2-40B4-BE49-F238E27FC236}">
              <a16:creationId xmlns:a16="http://schemas.microsoft.com/office/drawing/2014/main" id="{00000000-0008-0000-0C00-000005000000}"/>
            </a:ext>
          </a:extLst>
        </xdr:cNvPr>
        <xdr:cNvSpPr>
          <a:spLocks noChangeArrowheads="1"/>
        </xdr:cNvSpPr>
      </xdr:nvSpPr>
      <xdr:spPr bwMode="auto">
        <a:xfrm>
          <a:off x="1002453" y="1441450"/>
          <a:ext cx="1283547" cy="301547"/>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EDITAR MEDIÇÃO</a:t>
          </a:r>
          <a:endParaRPr lang="pt-BR" sz="1100" b="1" i="0" u="none" strike="noStrike" baseline="0">
            <a:solidFill>
              <a:srgbClr val="000000"/>
            </a:solidFill>
            <a:latin typeface="Calibri"/>
          </a:endParaRPr>
        </a:p>
      </xdr:txBody>
    </xdr:sp>
    <xdr:clientData fPrintsWithSheet="0"/>
  </xdr:twoCellAnchor>
  <xdr:twoCellAnchor>
    <xdr:from>
      <xdr:col>4</xdr:col>
      <xdr:colOff>0</xdr:colOff>
      <xdr:row>0</xdr:row>
      <xdr:rowOff>21166</xdr:rowOff>
    </xdr:from>
    <xdr:to>
      <xdr:col>5</xdr:col>
      <xdr:colOff>1303444</xdr:colOff>
      <xdr:row>1</xdr:row>
      <xdr:rowOff>25399</xdr:rowOff>
    </xdr:to>
    <xdr:pic>
      <xdr:nvPicPr>
        <xdr:cNvPr id="2" name="Picture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84917"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5</xdr:col>
      <xdr:colOff>1623483</xdr:colOff>
      <xdr:row>8</xdr:row>
      <xdr:rowOff>31750</xdr:rowOff>
    </xdr:from>
    <xdr:to>
      <xdr:col>5</xdr:col>
      <xdr:colOff>2210224</xdr:colOff>
      <xdr:row>10</xdr:row>
      <xdr:rowOff>9447</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C00-000003000000}"/>
            </a:ext>
          </a:extLst>
        </xdr:cNvPr>
        <xdr:cNvSpPr>
          <a:spLocks noChangeArrowheads="1"/>
        </xdr:cNvSpPr>
      </xdr:nvSpPr>
      <xdr:spPr bwMode="auto">
        <a:xfrm>
          <a:off x="2385483" y="1441450"/>
          <a:ext cx="586741" cy="301547"/>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OFÍCIO</a:t>
          </a:r>
          <a:endParaRPr lang="pt-BR" sz="1100" b="1" i="0" u="none" strike="noStrike" baseline="0">
            <a:solidFill>
              <a:srgbClr val="000000"/>
            </a:solidFill>
            <a:latin typeface="Calibri"/>
          </a:endParaRP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4</xdr:col>
      <xdr:colOff>459529</xdr:colOff>
      <xdr:row>1</xdr:row>
      <xdr:rowOff>64559</xdr:rowOff>
    </xdr:from>
    <xdr:to>
      <xdr:col>5</xdr:col>
      <xdr:colOff>486201</xdr:colOff>
      <xdr:row>2</xdr:row>
      <xdr:rowOff>208209</xdr:rowOff>
    </xdr:to>
    <xdr:sp macro="[0]!Plan12.InsereFigura" textlink="">
      <xdr:nvSpPr>
        <xdr:cNvPr id="14337" name="ShapeBrasao">
          <a:extLst>
            <a:ext uri="{FF2B5EF4-FFF2-40B4-BE49-F238E27FC236}">
              <a16:creationId xmlns:a16="http://schemas.microsoft.com/office/drawing/2014/main" id="{00000000-0008-0000-0D00-000001380000}"/>
            </a:ext>
          </a:extLst>
        </xdr:cNvPr>
        <xdr:cNvSpPr>
          <a:spLocks noChangeArrowheads="1"/>
        </xdr:cNvSpPr>
      </xdr:nvSpPr>
      <xdr:spPr bwMode="auto">
        <a:xfrm>
          <a:off x="3468159" y="223309"/>
          <a:ext cx="1405467" cy="3024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INSERIR BRASÃO</a:t>
          </a:r>
        </a:p>
      </xdr:txBody>
    </xdr:sp>
    <xdr:clientData fPrintsWithSheet="0"/>
  </xdr:twoCellAnchor>
  <xdr:twoCellAnchor>
    <xdr:from>
      <xdr:col>3</xdr:col>
      <xdr:colOff>653415</xdr:colOff>
      <xdr:row>1</xdr:row>
      <xdr:rowOff>66675</xdr:rowOff>
    </xdr:from>
    <xdr:to>
      <xdr:col>3</xdr:col>
      <xdr:colOff>1193415</xdr:colOff>
      <xdr:row>2</xdr:row>
      <xdr:rowOff>210325</xdr:rowOff>
    </xdr:to>
    <xdr:sp macro="" textlink="">
      <xdr:nvSpPr>
        <xdr:cNvPr id="14338" name="AutoShape 67">
          <a:hlinkClick xmlns:r="http://schemas.openxmlformats.org/officeDocument/2006/relationships" r:id="rId1"/>
          <a:extLst>
            <a:ext uri="{FF2B5EF4-FFF2-40B4-BE49-F238E27FC236}">
              <a16:creationId xmlns:a16="http://schemas.microsoft.com/office/drawing/2014/main" id="{00000000-0008-0000-0D00-000002380000}"/>
            </a:ext>
          </a:extLst>
        </xdr:cNvPr>
        <xdr:cNvSpPr>
          <a:spLocks noChangeArrowheads="1"/>
        </xdr:cNvSpPr>
      </xdr:nvSpPr>
      <xdr:spPr bwMode="auto">
        <a:xfrm>
          <a:off x="2282190" y="228600"/>
          <a:ext cx="540000" cy="3055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DADOS</a:t>
          </a:r>
        </a:p>
      </xdr:txBody>
    </xdr:sp>
    <xdr:clientData fPrintsWithSheet="0"/>
  </xdr:twoCellAnchor>
  <xdr:twoCellAnchor>
    <xdr:from>
      <xdr:col>3</xdr:col>
      <xdr:colOff>1236981</xdr:colOff>
      <xdr:row>1</xdr:row>
      <xdr:rowOff>63499</xdr:rowOff>
    </xdr:from>
    <xdr:to>
      <xdr:col>4</xdr:col>
      <xdr:colOff>399026</xdr:colOff>
      <xdr:row>2</xdr:row>
      <xdr:rowOff>207432</xdr:rowOff>
    </xdr:to>
    <xdr:sp macro="" textlink="">
      <xdr:nvSpPr>
        <xdr:cNvPr id="4" name="AutoShape 67">
          <a:hlinkClick xmlns:r="http://schemas.openxmlformats.org/officeDocument/2006/relationships" r:id="rId2"/>
          <a:extLst>
            <a:ext uri="{FF2B5EF4-FFF2-40B4-BE49-F238E27FC236}">
              <a16:creationId xmlns:a16="http://schemas.microsoft.com/office/drawing/2014/main" id="{00000000-0008-0000-0D00-000004000000}"/>
            </a:ext>
          </a:extLst>
        </xdr:cNvPr>
        <xdr:cNvSpPr>
          <a:spLocks noChangeArrowheads="1"/>
        </xdr:cNvSpPr>
      </xdr:nvSpPr>
      <xdr:spPr bwMode="auto">
        <a:xfrm>
          <a:off x="2836334" y="222249"/>
          <a:ext cx="571501"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RRE</a:t>
          </a:r>
          <a:endParaRPr lang="pt-BR" sz="1100" b="1" i="0" u="none" strike="noStrike" baseline="0">
            <a:solidFill>
              <a:srgbClr val="000000"/>
            </a:solidFill>
            <a:latin typeface="Calibri"/>
          </a:endParaRPr>
        </a:p>
      </xdr:txBody>
    </xdr:sp>
    <xdr:clientData fPrintsWithSheet="0"/>
  </xdr:twoCellAnchor>
  <xdr:twoCellAnchor>
    <xdr:from>
      <xdr:col>3</xdr:col>
      <xdr:colOff>72390</xdr:colOff>
      <xdr:row>1</xdr:row>
      <xdr:rowOff>66675</xdr:rowOff>
    </xdr:from>
    <xdr:to>
      <xdr:col>3</xdr:col>
      <xdr:colOff>612390</xdr:colOff>
      <xdr:row>2</xdr:row>
      <xdr:rowOff>210325</xdr:rowOff>
    </xdr:to>
    <xdr:sp macro="" textlink="">
      <xdr:nvSpPr>
        <xdr:cNvPr id="2" name="AutoShape 67">
          <a:hlinkClick xmlns:r="http://schemas.openxmlformats.org/officeDocument/2006/relationships" r:id="rId3"/>
          <a:extLst>
            <a:ext uri="{FF2B5EF4-FFF2-40B4-BE49-F238E27FC236}">
              <a16:creationId xmlns:a16="http://schemas.microsoft.com/office/drawing/2014/main" id="{00000000-0008-0000-0D00-000002000000}"/>
            </a:ext>
          </a:extLst>
        </xdr:cNvPr>
        <xdr:cNvSpPr>
          <a:spLocks noChangeArrowheads="1"/>
        </xdr:cNvSpPr>
      </xdr:nvSpPr>
      <xdr:spPr bwMode="auto">
        <a:xfrm>
          <a:off x="1701165" y="228600"/>
          <a:ext cx="540000" cy="3055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2087880</xdr:colOff>
      <xdr:row>2</xdr:row>
      <xdr:rowOff>259080</xdr:rowOff>
    </xdr:to>
    <xdr:pic>
      <xdr:nvPicPr>
        <xdr:cNvPr id="20321" name="Imagem 23">
          <a:extLst>
            <a:ext uri="{FF2B5EF4-FFF2-40B4-BE49-F238E27FC236}">
              <a16:creationId xmlns:a16="http://schemas.microsoft.com/office/drawing/2014/main" id="{00000000-0008-0000-0100-0000614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120" y="190500"/>
          <a:ext cx="2476500" cy="54102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2</xdr:col>
          <xdr:colOff>7620</xdr:colOff>
          <xdr:row>4</xdr:row>
          <xdr:rowOff>0</xdr:rowOff>
        </xdr:from>
        <xdr:to>
          <xdr:col>2</xdr:col>
          <xdr:colOff>1264920</xdr:colOff>
          <xdr:row>6</xdr:row>
          <xdr:rowOff>7620</xdr:rowOff>
        </xdr:to>
        <xdr:grpSp>
          <xdr:nvGrpSpPr>
            <xdr:cNvPr id="20322" name="TipoOrçamento">
              <a:extLst>
                <a:ext uri="{FF2B5EF4-FFF2-40B4-BE49-F238E27FC236}">
                  <a16:creationId xmlns:a16="http://schemas.microsoft.com/office/drawing/2014/main" id="{00000000-0008-0000-0100-0000624F0000}"/>
                </a:ext>
              </a:extLst>
            </xdr:cNvPr>
            <xdr:cNvGrpSpPr>
              <a:grpSpLocks/>
            </xdr:cNvGrpSpPr>
          </xdr:nvGrpSpPr>
          <xdr:grpSpPr bwMode="auto">
            <a:xfrm>
              <a:off x="569595" y="971550"/>
              <a:ext cx="1257300" cy="483870"/>
              <a:chOff x="523876" y="971530"/>
              <a:chExt cx="1257300" cy="485777"/>
            </a:xfrm>
          </xdr:grpSpPr>
          <xdr:sp macro="" textlink="">
            <xdr:nvSpPr>
              <xdr:cNvPr id="15377" name="Group Box 17" descr="Tipo de Orçamento          " hidden="1">
                <a:extLst>
                  <a:ext uri="{63B3BB69-23CF-44E3-9099-C40C66FF867C}">
                    <a14:compatExt spid="_x0000_s15377"/>
                  </a:ext>
                  <a:ext uri="{FF2B5EF4-FFF2-40B4-BE49-F238E27FC236}">
                    <a16:creationId xmlns:a16="http://schemas.microsoft.com/office/drawing/2014/main" id="{00000000-0008-0000-0100-0000113C0000}"/>
                  </a:ext>
                </a:extLst>
              </xdr:cNvPr>
              <xdr:cNvSpPr/>
            </xdr:nvSpPr>
            <xdr:spPr bwMode="auto">
              <a:xfrm>
                <a:off x="523876" y="971530"/>
                <a:ext cx="1257300" cy="485777"/>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pt-BR" sz="800" b="0" i="0" u="none" strike="noStrike" baseline="0">
                    <a:solidFill>
                      <a:srgbClr val="000000"/>
                    </a:solidFill>
                    <a:latin typeface="Segoe UI"/>
                    <a:cs typeface="Segoe UI"/>
                  </a:rPr>
                  <a:t>Tipo de Orçamento          </a:t>
                </a:r>
              </a:p>
            </xdr:txBody>
          </xdr:sp>
          <xdr:sp macro="" textlink="">
            <xdr:nvSpPr>
              <xdr:cNvPr id="15453" name="Drop Down 93" hidden="1">
                <a:extLst>
                  <a:ext uri="{63B3BB69-23CF-44E3-9099-C40C66FF867C}">
                    <a14:compatExt spid="_x0000_s15453"/>
                  </a:ext>
                  <a:ext uri="{FF2B5EF4-FFF2-40B4-BE49-F238E27FC236}">
                    <a16:creationId xmlns:a16="http://schemas.microsoft.com/office/drawing/2014/main" id="{00000000-0008-0000-0100-00005D3C0000}"/>
                  </a:ext>
                </a:extLst>
              </xdr:cNvPr>
              <xdr:cNvSpPr/>
            </xdr:nvSpPr>
            <xdr:spPr bwMode="auto">
              <a:xfrm>
                <a:off x="647699" y="1133477"/>
                <a:ext cx="981076" cy="21907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1363980</xdr:colOff>
          <xdr:row>4</xdr:row>
          <xdr:rowOff>0</xdr:rowOff>
        </xdr:from>
        <xdr:to>
          <xdr:col>3</xdr:col>
          <xdr:colOff>22860</xdr:colOff>
          <xdr:row>6</xdr:row>
          <xdr:rowOff>7620</xdr:rowOff>
        </xdr:to>
        <xdr:grpSp>
          <xdr:nvGrpSpPr>
            <xdr:cNvPr id="20323" name="Acompanhamento">
              <a:extLst>
                <a:ext uri="{FF2B5EF4-FFF2-40B4-BE49-F238E27FC236}">
                  <a16:creationId xmlns:a16="http://schemas.microsoft.com/office/drawing/2014/main" id="{00000000-0008-0000-0100-0000634F0000}"/>
                </a:ext>
              </a:extLst>
            </xdr:cNvPr>
            <xdr:cNvGrpSpPr>
              <a:grpSpLocks/>
            </xdr:cNvGrpSpPr>
          </xdr:nvGrpSpPr>
          <xdr:grpSpPr bwMode="auto">
            <a:xfrm>
              <a:off x="1925955" y="971550"/>
              <a:ext cx="1230630" cy="483870"/>
              <a:chOff x="1790701" y="971525"/>
              <a:chExt cx="1304925" cy="485777"/>
            </a:xfrm>
          </xdr:grpSpPr>
          <xdr:sp macro="" textlink="">
            <xdr:nvSpPr>
              <xdr:cNvPr id="15384" name="Group Box 24" hidden="1">
                <a:extLst>
                  <a:ext uri="{63B3BB69-23CF-44E3-9099-C40C66FF867C}">
                    <a14:compatExt spid="_x0000_s15384"/>
                  </a:ext>
                  <a:ext uri="{FF2B5EF4-FFF2-40B4-BE49-F238E27FC236}">
                    <a16:creationId xmlns:a16="http://schemas.microsoft.com/office/drawing/2014/main" id="{00000000-0008-0000-0100-0000183C0000}"/>
                  </a:ext>
                </a:extLst>
              </xdr:cNvPr>
              <xdr:cNvSpPr/>
            </xdr:nvSpPr>
            <xdr:spPr bwMode="auto">
              <a:xfrm>
                <a:off x="1790701" y="971525"/>
                <a:ext cx="1304925" cy="485777"/>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pt-BR" sz="800" b="0" i="0" u="none" strike="noStrike" baseline="0">
                    <a:solidFill>
                      <a:srgbClr val="000000"/>
                    </a:solidFill>
                    <a:latin typeface="Segoe UI"/>
                    <a:cs typeface="Segoe UI"/>
                  </a:rPr>
                  <a:t>Acompanhamento     </a:t>
                </a:r>
              </a:p>
            </xdr:txBody>
          </xdr:sp>
          <xdr:sp macro="" textlink="">
            <xdr:nvSpPr>
              <xdr:cNvPr id="15454" name="Drop Down 94" hidden="1">
                <a:extLst>
                  <a:ext uri="{63B3BB69-23CF-44E3-9099-C40C66FF867C}">
                    <a14:compatExt spid="_x0000_s15454"/>
                  </a:ext>
                  <a:ext uri="{FF2B5EF4-FFF2-40B4-BE49-F238E27FC236}">
                    <a16:creationId xmlns:a16="http://schemas.microsoft.com/office/drawing/2014/main" id="{00000000-0008-0000-0100-00005E3C0000}"/>
                  </a:ext>
                </a:extLst>
              </xdr:cNvPr>
              <xdr:cNvSpPr/>
            </xdr:nvSpPr>
            <xdr:spPr bwMode="auto">
              <a:xfrm>
                <a:off x="1924050" y="1133475"/>
                <a:ext cx="981075" cy="21907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twoCellAnchor>
    <xdr:from>
      <xdr:col>9</xdr:col>
      <xdr:colOff>66676</xdr:colOff>
      <xdr:row>6</xdr:row>
      <xdr:rowOff>160019</xdr:rowOff>
    </xdr:from>
    <xdr:to>
      <xdr:col>9</xdr:col>
      <xdr:colOff>1202056</xdr:colOff>
      <xdr:row>9</xdr:row>
      <xdr:rowOff>38099</xdr:rowOff>
    </xdr:to>
    <xdr:sp macro="[0]!imprimirPROPOSTA" textlink="">
      <xdr:nvSpPr>
        <xdr:cNvPr id="10" name="Bot.ImprimirProposta">
          <a:extLst>
            <a:ext uri="{FF2B5EF4-FFF2-40B4-BE49-F238E27FC236}">
              <a16:creationId xmlns:a16="http://schemas.microsoft.com/office/drawing/2014/main" id="{00000000-0008-0000-0100-00000A000000}"/>
            </a:ext>
          </a:extLst>
        </xdr:cNvPr>
        <xdr:cNvSpPr>
          <a:spLocks noChangeArrowheads="1"/>
        </xdr:cNvSpPr>
      </xdr:nvSpPr>
      <xdr:spPr bwMode="auto">
        <a:xfrm>
          <a:off x="9686926" y="1607819"/>
          <a:ext cx="1135380" cy="47815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IMPRIMIR DOCUMENTOS</a:t>
          </a:r>
        </a:p>
      </xdr:txBody>
    </xdr:sp>
    <xdr:clientData/>
  </xdr:twoCellAnchor>
  <xdr:twoCellAnchor>
    <xdr:from>
      <xdr:col>9</xdr:col>
      <xdr:colOff>66675</xdr:colOff>
      <xdr:row>14</xdr:row>
      <xdr:rowOff>160020</xdr:rowOff>
    </xdr:from>
    <xdr:to>
      <xdr:col>9</xdr:col>
      <xdr:colOff>1202055</xdr:colOff>
      <xdr:row>17</xdr:row>
      <xdr:rowOff>38100</xdr:rowOff>
    </xdr:to>
    <xdr:sp macro="[0]!imprimirLICITADO" textlink="">
      <xdr:nvSpPr>
        <xdr:cNvPr id="12" name="Bot.ImprimirLicitacao">
          <a:extLst>
            <a:ext uri="{FF2B5EF4-FFF2-40B4-BE49-F238E27FC236}">
              <a16:creationId xmlns:a16="http://schemas.microsoft.com/office/drawing/2014/main" id="{00000000-0008-0000-0100-00000C000000}"/>
            </a:ext>
          </a:extLst>
        </xdr:cNvPr>
        <xdr:cNvSpPr>
          <a:spLocks noChangeArrowheads="1"/>
        </xdr:cNvSpPr>
      </xdr:nvSpPr>
      <xdr:spPr bwMode="auto">
        <a:xfrm>
          <a:off x="9686925" y="3236595"/>
          <a:ext cx="1135380" cy="47815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IMPRIMIR DOCUMENTOS</a:t>
          </a:r>
        </a:p>
      </xdr:txBody>
    </xdr:sp>
    <xdr:clientData/>
  </xdr:twoCellAnchor>
  <xdr:twoCellAnchor>
    <xdr:from>
      <xdr:col>9</xdr:col>
      <xdr:colOff>57150</xdr:colOff>
      <xdr:row>18</xdr:row>
      <xdr:rowOff>142875</xdr:rowOff>
    </xdr:from>
    <xdr:to>
      <xdr:col>9</xdr:col>
      <xdr:colOff>1192530</xdr:colOff>
      <xdr:row>21</xdr:row>
      <xdr:rowOff>28575</xdr:rowOff>
    </xdr:to>
    <xdr:sp macro="[0]!imprimirMedicao" textlink="">
      <xdr:nvSpPr>
        <xdr:cNvPr id="13" name="Bot.ImprimirAcompanhamento">
          <a:extLst>
            <a:ext uri="{FF2B5EF4-FFF2-40B4-BE49-F238E27FC236}">
              <a16:creationId xmlns:a16="http://schemas.microsoft.com/office/drawing/2014/main" id="{00000000-0008-0000-0100-00000D000000}"/>
            </a:ext>
          </a:extLst>
        </xdr:cNvPr>
        <xdr:cNvSpPr>
          <a:spLocks noChangeArrowheads="1"/>
        </xdr:cNvSpPr>
      </xdr:nvSpPr>
      <xdr:spPr bwMode="auto">
        <a:xfrm>
          <a:off x="9677400" y="4086225"/>
          <a:ext cx="1135380" cy="48577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IMPRIMIR DOCUMENTOS</a:t>
          </a:r>
        </a:p>
      </xdr:txBody>
    </xdr:sp>
    <xdr:clientData/>
  </xdr:twoCellAnchor>
  <xdr:twoCellAnchor>
    <xdr:from>
      <xdr:col>9</xdr:col>
      <xdr:colOff>66675</xdr:colOff>
      <xdr:row>2</xdr:row>
      <xdr:rowOff>0</xdr:rowOff>
    </xdr:from>
    <xdr:to>
      <xdr:col>11</xdr:col>
      <xdr:colOff>219825</xdr:colOff>
      <xdr:row>5</xdr:row>
      <xdr:rowOff>66675</xdr:rowOff>
    </xdr:to>
    <xdr:sp macro="[0]!Importar_Verif" textlink="">
      <xdr:nvSpPr>
        <xdr:cNvPr id="14" name="Bot.Importar">
          <a:extLst>
            <a:ext uri="{FF2B5EF4-FFF2-40B4-BE49-F238E27FC236}">
              <a16:creationId xmlns:a16="http://schemas.microsoft.com/office/drawing/2014/main" id="{00000000-0008-0000-0100-00000E000000}"/>
            </a:ext>
          </a:extLst>
        </xdr:cNvPr>
        <xdr:cNvSpPr>
          <a:spLocks noChangeArrowheads="1"/>
        </xdr:cNvSpPr>
      </xdr:nvSpPr>
      <xdr:spPr bwMode="auto">
        <a:xfrm>
          <a:off x="9686925" y="476250"/>
          <a:ext cx="1620000" cy="77152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IMPORTAR DE OUTRA PLANILHA MÚLTIPLA</a:t>
          </a:r>
        </a:p>
        <a:p>
          <a:pPr algn="ctr" rtl="0">
            <a:defRPr sz="1000"/>
          </a:pPr>
          <a:r>
            <a:rPr lang="pt-BR" sz="1100" b="1" i="0" u="none" strike="noStrike" baseline="0">
              <a:solidFill>
                <a:srgbClr val="000000"/>
              </a:solidFill>
              <a:latin typeface="Calibri"/>
            </a:rPr>
            <a:t>(A PARTIR DA VERSÃO 3)</a:t>
          </a:r>
        </a:p>
      </xdr:txBody>
    </xdr:sp>
    <xdr:clientData/>
  </xdr:twoCellAnchor>
  <mc:AlternateContent xmlns:mc="http://schemas.openxmlformats.org/markup-compatibility/2006">
    <mc:Choice xmlns:a14="http://schemas.microsoft.com/office/drawing/2010/main" Requires="a14">
      <xdr:twoCellAnchor editAs="oneCell">
        <xdr:from>
          <xdr:col>10</xdr:col>
          <xdr:colOff>38100</xdr:colOff>
          <xdr:row>0</xdr:row>
          <xdr:rowOff>47625</xdr:rowOff>
        </xdr:from>
        <xdr:to>
          <xdr:col>13</xdr:col>
          <xdr:colOff>2371725</xdr:colOff>
          <xdr:row>1</xdr:row>
          <xdr:rowOff>28575</xdr:rowOff>
        </xdr:to>
        <xdr:sp macro="" textlink="">
          <xdr:nvSpPr>
            <xdr:cNvPr id="15455" name="Check Box 95" hidden="1">
              <a:extLst>
                <a:ext uri="{63B3BB69-23CF-44E3-9099-C40C66FF867C}">
                  <a14:compatExt spid="_x0000_s15455"/>
                </a:ext>
                <a:ext uri="{FF2B5EF4-FFF2-40B4-BE49-F238E27FC236}">
                  <a16:creationId xmlns:a16="http://schemas.microsoft.com/office/drawing/2014/main" id="{00000000-0008-0000-0100-00005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Importar Fórmulas para o Custo Unitário (aba ORÇAMENTO)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xdr:row>
          <xdr:rowOff>66675</xdr:rowOff>
        </xdr:from>
        <xdr:to>
          <xdr:col>13</xdr:col>
          <xdr:colOff>2390775</xdr:colOff>
          <xdr:row>1</xdr:row>
          <xdr:rowOff>228600</xdr:rowOff>
        </xdr:to>
        <xdr:sp macro="" textlink="">
          <xdr:nvSpPr>
            <xdr:cNvPr id="15456" name="Check Box 96" hidden="1">
              <a:extLst>
                <a:ext uri="{63B3BB69-23CF-44E3-9099-C40C66FF867C}">
                  <a14:compatExt spid="_x0000_s15456"/>
                </a:ext>
                <a:ext uri="{FF2B5EF4-FFF2-40B4-BE49-F238E27FC236}">
                  <a16:creationId xmlns:a16="http://schemas.microsoft.com/office/drawing/2014/main" id="{00000000-0008-0000-0100-00006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Importar Fórmulas para as Quantidades da PLQ (aba CÁLCULO)</a:t>
              </a:r>
            </a:p>
          </xdr:txBody>
        </xdr:sp>
        <xdr:clientData/>
      </xdr:twoCellAnchor>
    </mc:Choice>
    <mc:Fallback/>
  </mc:AlternateContent>
  <xdr:twoCellAnchor>
    <xdr:from>
      <xdr:col>11</xdr:col>
      <xdr:colOff>371475</xdr:colOff>
      <xdr:row>2</xdr:row>
      <xdr:rowOff>28575</xdr:rowOff>
    </xdr:from>
    <xdr:to>
      <xdr:col>13</xdr:col>
      <xdr:colOff>1169100</xdr:colOff>
      <xdr:row>5</xdr:row>
      <xdr:rowOff>89958</xdr:rowOff>
    </xdr:to>
    <xdr:sp macro="[0]!Importar_PO_PLE_QCI" textlink="">
      <xdr:nvSpPr>
        <xdr:cNvPr id="2" name="Bot.Importar">
          <a:extLst>
            <a:ext uri="{FF2B5EF4-FFF2-40B4-BE49-F238E27FC236}">
              <a16:creationId xmlns:a16="http://schemas.microsoft.com/office/drawing/2014/main" id="{00000000-0008-0000-0100-000002000000}"/>
            </a:ext>
          </a:extLst>
        </xdr:cNvPr>
        <xdr:cNvSpPr>
          <a:spLocks noChangeArrowheads="1"/>
        </xdr:cNvSpPr>
      </xdr:nvSpPr>
      <xdr:spPr bwMode="auto">
        <a:xfrm>
          <a:off x="11420475" y="504825"/>
          <a:ext cx="1512000" cy="766233"/>
        </a:xfrm>
        <a:prstGeom prst="roundRect">
          <a:avLst>
            <a:gd name="adj" fmla="val 16667"/>
          </a:avLst>
        </a:prstGeom>
        <a:solidFill>
          <a:srgbClr val="FFCC99"/>
        </a:solidFill>
        <a:ln w="9360">
          <a:solidFill>
            <a:srgbClr val="808080"/>
          </a:solidFill>
          <a:miter lim="800000"/>
          <a:headEnd/>
          <a:tailEnd/>
        </a:ln>
        <a:effectLst/>
      </xdr:spPr>
      <xdr:txBody>
        <a:bodyPr vertOverflow="clip" wrap="square" lIns="27360" tIns="27360" rIns="27360" bIns="27360" anchor="ctr"/>
        <a:lstStyle/>
        <a:p>
          <a:pPr algn="ctr" rtl="0">
            <a:defRPr sz="1000"/>
          </a:pPr>
          <a:r>
            <a:rPr lang="pt-BR" sz="1100" b="1" i="0" u="none" strike="noStrike" baseline="0">
              <a:solidFill>
                <a:srgbClr val="000000"/>
              </a:solidFill>
              <a:latin typeface="+mn-lt"/>
            </a:rPr>
            <a:t>IMPORTAR DE OUTROS MODELOS CAIXA</a:t>
          </a:r>
        </a:p>
        <a:p>
          <a:pPr algn="ctr" rtl="0">
            <a:defRPr sz="1000"/>
          </a:pPr>
          <a:r>
            <a:rPr lang="pt-BR" sz="1100" b="1" i="1" u="none" strike="noStrike" baseline="0">
              <a:solidFill>
                <a:srgbClr val="000000"/>
              </a:solidFill>
              <a:latin typeface="+mn-lt"/>
            </a:rPr>
            <a:t>(PO / PLE / QCI)</a:t>
          </a:r>
        </a:p>
      </xdr:txBody>
    </xdr:sp>
    <xdr:clientData/>
  </xdr:twoCellAnchor>
  <xdr:twoCellAnchor>
    <xdr:from>
      <xdr:col>9</xdr:col>
      <xdr:colOff>28574</xdr:colOff>
      <xdr:row>9</xdr:row>
      <xdr:rowOff>171449</xdr:rowOff>
    </xdr:from>
    <xdr:to>
      <xdr:col>9</xdr:col>
      <xdr:colOff>1246859</xdr:colOff>
      <xdr:row>13</xdr:row>
      <xdr:rowOff>59624</xdr:rowOff>
    </xdr:to>
    <xdr:sp macro="[0]!Verificar_Export_Tgov" textlink="">
      <xdr:nvSpPr>
        <xdr:cNvPr id="3" name="Bot.ImprimirProposta">
          <a:extLst>
            <a:ext uri="{FF2B5EF4-FFF2-40B4-BE49-F238E27FC236}">
              <a16:creationId xmlns:a16="http://schemas.microsoft.com/office/drawing/2014/main" id="{00000000-0008-0000-0100-000003000000}"/>
            </a:ext>
          </a:extLst>
        </xdr:cNvPr>
        <xdr:cNvSpPr>
          <a:spLocks noChangeArrowheads="1"/>
        </xdr:cNvSpPr>
      </xdr:nvSpPr>
      <xdr:spPr bwMode="auto">
        <a:xfrm>
          <a:off x="9648824" y="2219324"/>
          <a:ext cx="1218285" cy="75495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GERAR ARQUIVO PARA UPLOAD NO TRANSFEREGOV</a:t>
          </a:r>
        </a:p>
      </xdr:txBody>
    </xdr:sp>
    <xdr:clientData/>
  </xdr:twoCellAnchor>
  <xdr:twoCellAnchor>
    <xdr:from>
      <xdr:col>13</xdr:col>
      <xdr:colOff>1428751</xdr:colOff>
      <xdr:row>2</xdr:row>
      <xdr:rowOff>28575</xdr:rowOff>
    </xdr:from>
    <xdr:to>
      <xdr:col>13</xdr:col>
      <xdr:colOff>2564131</xdr:colOff>
      <xdr:row>4</xdr:row>
      <xdr:rowOff>11430</xdr:rowOff>
    </xdr:to>
    <xdr:sp macro="[0]!RESET_PM" textlink="">
      <xdr:nvSpPr>
        <xdr:cNvPr id="4" name="Bot.ImprimirProposta">
          <a:extLst>
            <a:ext uri="{FF2B5EF4-FFF2-40B4-BE49-F238E27FC236}">
              <a16:creationId xmlns:a16="http://schemas.microsoft.com/office/drawing/2014/main" id="{2581A2E8-1109-9DBB-2289-7A8FC721FF65}"/>
            </a:ext>
          </a:extLst>
        </xdr:cNvPr>
        <xdr:cNvSpPr>
          <a:spLocks noChangeArrowheads="1"/>
        </xdr:cNvSpPr>
      </xdr:nvSpPr>
      <xdr:spPr bwMode="auto">
        <a:xfrm>
          <a:off x="13192126" y="504825"/>
          <a:ext cx="1135380" cy="47815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RESET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64770</xdr:colOff>
      <xdr:row>0</xdr:row>
      <xdr:rowOff>38100</xdr:rowOff>
    </xdr:from>
    <xdr:to>
      <xdr:col>0</xdr:col>
      <xdr:colOff>636270</xdr:colOff>
      <xdr:row>1</xdr:row>
      <xdr:rowOff>135255</xdr:rowOff>
    </xdr:to>
    <xdr:sp macro="" textlink="">
      <xdr:nvSpPr>
        <xdr:cNvPr id="2050" name="AutoShape 67">
          <a:hlinkClick xmlns:r="http://schemas.openxmlformats.org/officeDocument/2006/relationships" r:id="rId1"/>
          <a:extLst>
            <a:ext uri="{FF2B5EF4-FFF2-40B4-BE49-F238E27FC236}">
              <a16:creationId xmlns:a16="http://schemas.microsoft.com/office/drawing/2014/main" id="{00000000-0008-0000-0200-000002080000}"/>
            </a:ext>
          </a:extLst>
        </xdr:cNvPr>
        <xdr:cNvSpPr>
          <a:spLocks noChangeArrowheads="1"/>
        </xdr:cNvSpPr>
      </xdr:nvSpPr>
      <xdr:spPr bwMode="auto">
        <a:xfrm>
          <a:off x="64770" y="38100"/>
          <a:ext cx="571500" cy="29718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2</xdr:col>
      <xdr:colOff>2809875</xdr:colOff>
      <xdr:row>0</xdr:row>
      <xdr:rowOff>14817</xdr:rowOff>
    </xdr:from>
    <xdr:to>
      <xdr:col>2</xdr:col>
      <xdr:colOff>3528817</xdr:colOff>
      <xdr:row>1</xdr:row>
      <xdr:rowOff>123825</xdr:rowOff>
    </xdr:to>
    <xdr:sp macro="" textlink="">
      <xdr:nvSpPr>
        <xdr:cNvPr id="2" name="AutoShape 67">
          <a:hlinkClick xmlns:r="http://schemas.openxmlformats.org/officeDocument/2006/relationships" r:id="rId2"/>
          <a:extLst>
            <a:ext uri="{FF2B5EF4-FFF2-40B4-BE49-F238E27FC236}">
              <a16:creationId xmlns:a16="http://schemas.microsoft.com/office/drawing/2014/main" id="{00000000-0008-0000-0200-000002000000}"/>
            </a:ext>
          </a:extLst>
        </xdr:cNvPr>
        <xdr:cNvSpPr>
          <a:spLocks noChangeArrowheads="1"/>
        </xdr:cNvSpPr>
      </xdr:nvSpPr>
      <xdr:spPr bwMode="auto">
        <a:xfrm>
          <a:off x="8096250" y="14817"/>
          <a:ext cx="718942" cy="30903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BDI</a:t>
          </a:r>
        </a:p>
      </xdr:txBody>
    </xdr:sp>
    <xdr:clientData fPrintsWithSheet="0"/>
  </xdr:twoCellAnchor>
  <xdr:twoCellAnchor>
    <xdr:from>
      <xdr:col>2</xdr:col>
      <xdr:colOff>1738117</xdr:colOff>
      <xdr:row>32</xdr:row>
      <xdr:rowOff>0</xdr:rowOff>
    </xdr:from>
    <xdr:to>
      <xdr:col>2</xdr:col>
      <xdr:colOff>3528817</xdr:colOff>
      <xdr:row>33</xdr:row>
      <xdr:rowOff>142875</xdr:rowOff>
    </xdr:to>
    <xdr:sp macro="[0]!IrPara_OrçLicit" textlink="">
      <xdr:nvSpPr>
        <xdr:cNvPr id="4" name="AutoShape 67">
          <a:extLst>
            <a:ext uri="{FF2B5EF4-FFF2-40B4-BE49-F238E27FC236}">
              <a16:creationId xmlns:a16="http://schemas.microsoft.com/office/drawing/2014/main" id="{00000000-0008-0000-0200-000004000000}"/>
            </a:ext>
          </a:extLst>
        </xdr:cNvPr>
        <xdr:cNvSpPr>
          <a:spLocks noChangeArrowheads="1"/>
        </xdr:cNvSpPr>
      </xdr:nvSpPr>
      <xdr:spPr bwMode="auto">
        <a:xfrm>
          <a:off x="7024492" y="5495925"/>
          <a:ext cx="1790700"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mn-lt"/>
            </a:rPr>
            <a:t>ORÇAMENTO LICITADO</a:t>
          </a:r>
        </a:p>
      </xdr:txBody>
    </xdr:sp>
    <xdr:clientData fPrintsWithSheet="0"/>
  </xdr:twoCellAnchor>
  <xdr:twoCellAnchor>
    <xdr:from>
      <xdr:col>2</xdr:col>
      <xdr:colOff>2324099</xdr:colOff>
      <xdr:row>43</xdr:row>
      <xdr:rowOff>0</xdr:rowOff>
    </xdr:from>
    <xdr:to>
      <xdr:col>2</xdr:col>
      <xdr:colOff>3528816</xdr:colOff>
      <xdr:row>44</xdr:row>
      <xdr:rowOff>142875</xdr:rowOff>
    </xdr:to>
    <xdr:sp macro="[0]!IrPara_Medição" textlink="">
      <xdr:nvSpPr>
        <xdr:cNvPr id="5" name="AutoShape 67">
          <a:extLst>
            <a:ext uri="{FF2B5EF4-FFF2-40B4-BE49-F238E27FC236}">
              <a16:creationId xmlns:a16="http://schemas.microsoft.com/office/drawing/2014/main" id="{00000000-0008-0000-0200-000005000000}"/>
            </a:ext>
          </a:extLst>
        </xdr:cNvPr>
        <xdr:cNvSpPr>
          <a:spLocks noChangeArrowheads="1"/>
        </xdr:cNvSpPr>
      </xdr:nvSpPr>
      <xdr:spPr bwMode="auto">
        <a:xfrm>
          <a:off x="7610474" y="7372350"/>
          <a:ext cx="1204717"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MEDIÇÃO</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9</xdr:col>
      <xdr:colOff>30480</xdr:colOff>
      <xdr:row>0</xdr:row>
      <xdr:rowOff>15240</xdr:rowOff>
    </xdr:from>
    <xdr:to>
      <xdr:col>11</xdr:col>
      <xdr:colOff>403860</xdr:colOff>
      <xdr:row>2</xdr:row>
      <xdr:rowOff>38100</xdr:rowOff>
    </xdr:to>
    <xdr:pic>
      <xdr:nvPicPr>
        <xdr:cNvPr id="4848" name="Logo1">
          <a:extLst>
            <a:ext uri="{FF2B5EF4-FFF2-40B4-BE49-F238E27FC236}">
              <a16:creationId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 y="15240"/>
          <a:ext cx="1836420" cy="38862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7</xdr:col>
      <xdr:colOff>176741</xdr:colOff>
      <xdr:row>0</xdr:row>
      <xdr:rowOff>50923</xdr:rowOff>
    </xdr:from>
    <xdr:to>
      <xdr:col>8</xdr:col>
      <xdr:colOff>28575</xdr:colOff>
      <xdr:row>1</xdr:row>
      <xdr:rowOff>152400</xdr:rowOff>
    </xdr:to>
    <xdr:sp macro="" textlink="">
      <xdr:nvSpPr>
        <xdr:cNvPr id="4098" name="AutoShape 67">
          <a:hlinkClick xmlns:r="http://schemas.openxmlformats.org/officeDocument/2006/relationships" r:id="rId2"/>
          <a:extLst>
            <a:ext uri="{FF2B5EF4-FFF2-40B4-BE49-F238E27FC236}">
              <a16:creationId xmlns:a16="http://schemas.microsoft.com/office/drawing/2014/main" id="{00000000-0008-0000-0300-000002100000}"/>
            </a:ext>
          </a:extLst>
        </xdr:cNvPr>
        <xdr:cNvSpPr>
          <a:spLocks noChangeArrowheads="1"/>
        </xdr:cNvSpPr>
      </xdr:nvSpPr>
      <xdr:spPr bwMode="auto">
        <a:xfrm>
          <a:off x="176741" y="50923"/>
          <a:ext cx="566209" cy="301502"/>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7</xdr:col>
      <xdr:colOff>176741</xdr:colOff>
      <xdr:row>2</xdr:row>
      <xdr:rowOff>14817</xdr:rowOff>
    </xdr:from>
    <xdr:to>
      <xdr:col>8</xdr:col>
      <xdr:colOff>28575</xdr:colOff>
      <xdr:row>4</xdr:row>
      <xdr:rowOff>0</xdr:rowOff>
    </xdr:to>
    <xdr:sp macro="" textlink="">
      <xdr:nvSpPr>
        <xdr:cNvPr id="5" name="AutoShape 67">
          <a:hlinkClick xmlns:r="http://schemas.openxmlformats.org/officeDocument/2006/relationships" r:id="rId3"/>
          <a:extLst>
            <a:ext uri="{FF2B5EF4-FFF2-40B4-BE49-F238E27FC236}">
              <a16:creationId xmlns:a16="http://schemas.microsoft.com/office/drawing/2014/main" id="{00000000-0008-0000-0300-000005000000}"/>
            </a:ext>
          </a:extLst>
        </xdr:cNvPr>
        <xdr:cNvSpPr>
          <a:spLocks noChangeArrowheads="1"/>
        </xdr:cNvSpPr>
      </xdr:nvSpPr>
      <xdr:spPr bwMode="auto">
        <a:xfrm>
          <a:off x="176741" y="376767"/>
          <a:ext cx="566209" cy="30903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PO</a:t>
          </a:r>
          <a:endParaRPr lang="pt-BR" sz="1100" b="1" i="0" u="none" strike="noStrike" baseline="0">
            <a:solidFill>
              <a:srgbClr val="000000"/>
            </a:solidFill>
            <a:latin typeface="Calibri"/>
          </a:endParaRPr>
        </a:p>
      </xdr:txBody>
    </xdr:sp>
    <xdr:clientData fPrintsWithSheet="0"/>
  </xdr:twoCellAnchor>
  <xdr:twoCellAnchor>
    <xdr:from>
      <xdr:col>7</xdr:col>
      <xdr:colOff>148166</xdr:colOff>
      <xdr:row>6</xdr:row>
      <xdr:rowOff>0</xdr:rowOff>
    </xdr:from>
    <xdr:to>
      <xdr:col>8</xdr:col>
      <xdr:colOff>0</xdr:colOff>
      <xdr:row>6</xdr:row>
      <xdr:rowOff>270000</xdr:rowOff>
    </xdr:to>
    <xdr:sp macro="[0]!IrPara_BDI_1" textlink="">
      <xdr:nvSpPr>
        <xdr:cNvPr id="2" name="AutoShape 67">
          <a:extLst>
            <a:ext uri="{FF2B5EF4-FFF2-40B4-BE49-F238E27FC236}">
              <a16:creationId xmlns:a16="http://schemas.microsoft.com/office/drawing/2014/main" id="{00000000-0008-0000-0300-000002000000}"/>
            </a:ext>
          </a:extLst>
        </xdr:cNvPr>
        <xdr:cNvSpPr>
          <a:spLocks noChangeArrowheads="1"/>
        </xdr:cNvSpPr>
      </xdr:nvSpPr>
      <xdr:spPr bwMode="auto">
        <a:xfrm>
          <a:off x="148166" y="1009650"/>
          <a:ext cx="566209" cy="2700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BDI 1</a:t>
          </a:r>
          <a:endParaRPr lang="pt-BR" sz="1100" b="1" i="0" u="none" strike="noStrike" baseline="0">
            <a:solidFill>
              <a:srgbClr val="000000"/>
            </a:solidFill>
            <a:latin typeface="Calibri"/>
          </a:endParaRPr>
        </a:p>
      </xdr:txBody>
    </xdr:sp>
    <xdr:clientData fPrintsWithSheet="0"/>
  </xdr:twoCellAnchor>
  <xdr:twoCellAnchor>
    <xdr:from>
      <xdr:col>7</xdr:col>
      <xdr:colOff>148166</xdr:colOff>
      <xdr:row>7</xdr:row>
      <xdr:rowOff>0</xdr:rowOff>
    </xdr:from>
    <xdr:to>
      <xdr:col>8</xdr:col>
      <xdr:colOff>0</xdr:colOff>
      <xdr:row>8</xdr:row>
      <xdr:rowOff>108075</xdr:rowOff>
    </xdr:to>
    <xdr:sp macro="[0]!IrPara_BDI_2" textlink="">
      <xdr:nvSpPr>
        <xdr:cNvPr id="3" name="AutoShape 67">
          <a:extLst>
            <a:ext uri="{FF2B5EF4-FFF2-40B4-BE49-F238E27FC236}">
              <a16:creationId xmlns:a16="http://schemas.microsoft.com/office/drawing/2014/main" id="{00000000-0008-0000-0300-000003000000}"/>
            </a:ext>
          </a:extLst>
        </xdr:cNvPr>
        <xdr:cNvSpPr>
          <a:spLocks noChangeArrowheads="1"/>
        </xdr:cNvSpPr>
      </xdr:nvSpPr>
      <xdr:spPr bwMode="auto">
        <a:xfrm>
          <a:off x="148166" y="1333500"/>
          <a:ext cx="566209" cy="2700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BDI 2</a:t>
          </a:r>
          <a:endParaRPr lang="pt-BR" sz="1100" b="1" i="0" u="none" strike="noStrike" baseline="0">
            <a:solidFill>
              <a:srgbClr val="000000"/>
            </a:solidFill>
            <a:latin typeface="Calibri"/>
          </a:endParaRPr>
        </a:p>
      </xdr:txBody>
    </xdr:sp>
    <xdr:clientData fPrintsWithSheet="0"/>
  </xdr:twoCellAnchor>
  <xdr:twoCellAnchor>
    <xdr:from>
      <xdr:col>7</xdr:col>
      <xdr:colOff>148166</xdr:colOff>
      <xdr:row>8</xdr:row>
      <xdr:rowOff>158625</xdr:rowOff>
    </xdr:from>
    <xdr:to>
      <xdr:col>8</xdr:col>
      <xdr:colOff>0</xdr:colOff>
      <xdr:row>10</xdr:row>
      <xdr:rowOff>104775</xdr:rowOff>
    </xdr:to>
    <xdr:sp macro="[0]!IrPara_BDI_3" textlink="">
      <xdr:nvSpPr>
        <xdr:cNvPr id="4" name="AutoShape 67">
          <a:extLst>
            <a:ext uri="{FF2B5EF4-FFF2-40B4-BE49-F238E27FC236}">
              <a16:creationId xmlns:a16="http://schemas.microsoft.com/office/drawing/2014/main" id="{00000000-0008-0000-0300-000004000000}"/>
            </a:ext>
          </a:extLst>
        </xdr:cNvPr>
        <xdr:cNvSpPr>
          <a:spLocks noChangeArrowheads="1"/>
        </xdr:cNvSpPr>
      </xdr:nvSpPr>
      <xdr:spPr bwMode="auto">
        <a:xfrm>
          <a:off x="148166" y="1654050"/>
          <a:ext cx="566209" cy="2700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BDI 3</a:t>
          </a:r>
          <a:endParaRPr lang="pt-BR" sz="1100" b="1" i="0" u="none" strike="noStrike" baseline="0">
            <a:solidFill>
              <a:srgbClr val="000000"/>
            </a:solidFill>
            <a:latin typeface="Calibri"/>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14</xdr:col>
      <xdr:colOff>60960</xdr:colOff>
      <xdr:row>0</xdr:row>
      <xdr:rowOff>15240</xdr:rowOff>
    </xdr:from>
    <xdr:to>
      <xdr:col>15</xdr:col>
      <xdr:colOff>1036320</xdr:colOff>
      <xdr:row>1</xdr:row>
      <xdr:rowOff>167640</xdr:rowOff>
    </xdr:to>
    <xdr:pic>
      <xdr:nvPicPr>
        <xdr:cNvPr id="24130" name="Picture 2">
          <a:extLst>
            <a:ext uri="{FF2B5EF4-FFF2-40B4-BE49-F238E27FC236}">
              <a16:creationId xmlns:a16="http://schemas.microsoft.com/office/drawing/2014/main" id="{00000000-0008-0000-0400-0000425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140" y="15240"/>
          <a:ext cx="1844040" cy="3733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9102</xdr:colOff>
      <xdr:row>8</xdr:row>
      <xdr:rowOff>95250</xdr:rowOff>
    </xdr:from>
    <xdr:to>
      <xdr:col>24</xdr:col>
      <xdr:colOff>3810</xdr:colOff>
      <xdr:row>10</xdr:row>
      <xdr:rowOff>141018</xdr:rowOff>
    </xdr:to>
    <xdr:sp macro="" textlink="" fLocksText="0">
      <xdr:nvSpPr>
        <xdr:cNvPr id="5127" name="TextBoxArred">
          <a:extLst>
            <a:ext uri="{FF2B5EF4-FFF2-40B4-BE49-F238E27FC236}">
              <a16:creationId xmlns:a16="http://schemas.microsoft.com/office/drawing/2014/main" id="{00000000-0008-0000-0400-000007140000}"/>
            </a:ext>
          </a:extLst>
        </xdr:cNvPr>
        <xdr:cNvSpPr txBox="1">
          <a:spLocks noChangeArrowheads="1"/>
        </xdr:cNvSpPr>
      </xdr:nvSpPr>
      <xdr:spPr bwMode="auto">
        <a:xfrm flipH="1">
          <a:off x="9381702" y="1381125"/>
          <a:ext cx="4652433" cy="369618"/>
        </a:xfrm>
        <a:prstGeom prst="rect">
          <a:avLst/>
        </a:prstGeom>
        <a:noFill/>
        <a:ln w="6480">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2680" rIns="27360" bIns="0" anchor="t"/>
        <a:lstStyle/>
        <a:p>
          <a:pPr algn="ctr" rtl="0">
            <a:defRPr sz="1000"/>
          </a:pPr>
          <a:r>
            <a:rPr lang="pt-BR" sz="1000" b="0" i="0" u="none" strike="noStrike" baseline="0">
              <a:solidFill>
                <a:srgbClr val="000000"/>
              </a:solidFill>
              <a:latin typeface="Arial"/>
              <a:cs typeface="Arial"/>
            </a:rPr>
            <a:t>Considerar valores arredondados com (0,00)</a:t>
          </a:r>
        </a:p>
      </xdr:txBody>
    </xdr:sp>
    <xdr:clientData fPrintsWithSheet="0"/>
  </xdr:twoCellAnchor>
  <mc:AlternateContent xmlns:mc="http://schemas.openxmlformats.org/markup-compatibility/2006">
    <mc:Choice xmlns:a14="http://schemas.microsoft.com/office/drawing/2010/main" Requires="a14">
      <xdr:twoCellAnchor>
        <xdr:from>
          <xdr:col>19</xdr:col>
          <xdr:colOff>381000</xdr:colOff>
          <xdr:row>9</xdr:row>
          <xdr:rowOff>66675</xdr:rowOff>
        </xdr:from>
        <xdr:to>
          <xdr:col>19</xdr:col>
          <xdr:colOff>828675</xdr:colOff>
          <xdr:row>10</xdr:row>
          <xdr:rowOff>142875</xdr:rowOff>
        </xdr:to>
        <xdr:sp macro="" textlink="">
          <xdr:nvSpPr>
            <xdr:cNvPr id="5128" name="CaixaArredQuant"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390525</xdr:colOff>
          <xdr:row>9</xdr:row>
          <xdr:rowOff>66675</xdr:rowOff>
        </xdr:from>
        <xdr:to>
          <xdr:col>20</xdr:col>
          <xdr:colOff>819150</xdr:colOff>
          <xdr:row>10</xdr:row>
          <xdr:rowOff>142875</xdr:rowOff>
        </xdr:to>
        <xdr:sp macro="" textlink="">
          <xdr:nvSpPr>
            <xdr:cNvPr id="5129" name="CaixaArredCustoUnit"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21</xdr:col>
          <xdr:colOff>266700</xdr:colOff>
          <xdr:row>9</xdr:row>
          <xdr:rowOff>66675</xdr:rowOff>
        </xdr:from>
        <xdr:to>
          <xdr:col>21</xdr:col>
          <xdr:colOff>676275</xdr:colOff>
          <xdr:row>10</xdr:row>
          <xdr:rowOff>142875</xdr:rowOff>
        </xdr:to>
        <xdr:sp macro="" textlink="">
          <xdr:nvSpPr>
            <xdr:cNvPr id="5130" name="CaixaArredBDI"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22</xdr:col>
          <xdr:colOff>390525</xdr:colOff>
          <xdr:row>9</xdr:row>
          <xdr:rowOff>66675</xdr:rowOff>
        </xdr:from>
        <xdr:to>
          <xdr:col>22</xdr:col>
          <xdr:colOff>809625</xdr:colOff>
          <xdr:row>10</xdr:row>
          <xdr:rowOff>142875</xdr:rowOff>
        </xdr:to>
        <xdr:sp macro="" textlink="">
          <xdr:nvSpPr>
            <xdr:cNvPr id="5131" name="CaixaArredPrecoUnit"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428625</xdr:colOff>
          <xdr:row>9</xdr:row>
          <xdr:rowOff>47625</xdr:rowOff>
        </xdr:from>
        <xdr:to>
          <xdr:col>23</xdr:col>
          <xdr:colOff>857250</xdr:colOff>
          <xdr:row>10</xdr:row>
          <xdr:rowOff>142875</xdr:rowOff>
        </xdr:to>
        <xdr:sp macro="" textlink="">
          <xdr:nvSpPr>
            <xdr:cNvPr id="5132" name="CaixaArredPrecoTotal"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PrintsWithSheet="0"/>
      </xdr:twoCellAnchor>
    </mc:Choice>
    <mc:Fallback/>
  </mc:AlternateContent>
  <xdr:twoCellAnchor>
    <xdr:from>
      <xdr:col>12</xdr:col>
      <xdr:colOff>302895</xdr:colOff>
      <xdr:row>0</xdr:row>
      <xdr:rowOff>60116</xdr:rowOff>
    </xdr:from>
    <xdr:to>
      <xdr:col>13</xdr:col>
      <xdr:colOff>440812</xdr:colOff>
      <xdr:row>1</xdr:row>
      <xdr:rowOff>144023</xdr:rowOff>
    </xdr:to>
    <xdr:sp macro="" textlink="">
      <xdr:nvSpPr>
        <xdr:cNvPr id="5133" name="AutoShape 67">
          <a:hlinkClick xmlns:r="http://schemas.openxmlformats.org/officeDocument/2006/relationships" r:id="rId2"/>
          <a:extLst>
            <a:ext uri="{FF2B5EF4-FFF2-40B4-BE49-F238E27FC236}">
              <a16:creationId xmlns:a16="http://schemas.microsoft.com/office/drawing/2014/main" id="{00000000-0008-0000-0400-00000D140000}"/>
            </a:ext>
          </a:extLst>
        </xdr:cNvPr>
        <xdr:cNvSpPr>
          <a:spLocks noChangeArrowheads="1"/>
        </xdr:cNvSpPr>
      </xdr:nvSpPr>
      <xdr:spPr bwMode="auto">
        <a:xfrm>
          <a:off x="546312" y="60116"/>
          <a:ext cx="720000" cy="31674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14</xdr:col>
      <xdr:colOff>3809</xdr:colOff>
      <xdr:row>8</xdr:row>
      <xdr:rowOff>45710</xdr:rowOff>
    </xdr:from>
    <xdr:to>
      <xdr:col>15</xdr:col>
      <xdr:colOff>397034</xdr:colOff>
      <xdr:row>11</xdr:row>
      <xdr:rowOff>18410</xdr:rowOff>
    </xdr:to>
    <xdr:sp macro="[0]!Linhas.AddLinha" textlink="">
      <xdr:nvSpPr>
        <xdr:cNvPr id="5134" name="AutoShape 67">
          <a:extLst>
            <a:ext uri="{FF2B5EF4-FFF2-40B4-BE49-F238E27FC236}">
              <a16:creationId xmlns:a16="http://schemas.microsoft.com/office/drawing/2014/main" id="{00000000-0008-0000-0400-00000E140000}"/>
            </a:ext>
          </a:extLst>
        </xdr:cNvPr>
        <xdr:cNvSpPr>
          <a:spLocks noChangeArrowheads="1"/>
        </xdr:cNvSpPr>
      </xdr:nvSpPr>
      <xdr:spPr bwMode="auto">
        <a:xfrm>
          <a:off x="1413509" y="1331585"/>
          <a:ext cx="1240950" cy="45847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LINHAS</a:t>
          </a:r>
        </a:p>
      </xdr:txBody>
    </xdr:sp>
    <xdr:clientData fPrintsWithSheet="0"/>
  </xdr:twoCellAnchor>
  <xdr:twoCellAnchor>
    <xdr:from>
      <xdr:col>16</xdr:col>
      <xdr:colOff>836294</xdr:colOff>
      <xdr:row>8</xdr:row>
      <xdr:rowOff>41900</xdr:rowOff>
    </xdr:from>
    <xdr:to>
      <xdr:col>17</xdr:col>
      <xdr:colOff>1025684</xdr:colOff>
      <xdr:row>11</xdr:row>
      <xdr:rowOff>20315</xdr:rowOff>
    </xdr:to>
    <xdr:sp macro="[0]!fixar" textlink="">
      <xdr:nvSpPr>
        <xdr:cNvPr id="5135" name="AutoShape 67">
          <a:extLst>
            <a:ext uri="{FF2B5EF4-FFF2-40B4-BE49-F238E27FC236}">
              <a16:creationId xmlns:a16="http://schemas.microsoft.com/office/drawing/2014/main" id="{00000000-0008-0000-0400-00000F140000}"/>
            </a:ext>
          </a:extLst>
        </xdr:cNvPr>
        <xdr:cNvSpPr>
          <a:spLocks noChangeArrowheads="1"/>
        </xdr:cNvSpPr>
      </xdr:nvSpPr>
      <xdr:spPr bwMode="auto">
        <a:xfrm>
          <a:off x="4141469" y="1327775"/>
          <a:ext cx="1237140" cy="46419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FIXAR DESCRIÇÕES</a:t>
          </a:r>
        </a:p>
      </xdr:txBody>
    </xdr:sp>
    <xdr:clientData fPrintsWithSheet="0"/>
  </xdr:twoCellAnchor>
  <xdr:twoCellAnchor>
    <xdr:from>
      <xdr:col>15</xdr:col>
      <xdr:colOff>527684</xdr:colOff>
      <xdr:row>8</xdr:row>
      <xdr:rowOff>38090</xdr:rowOff>
    </xdr:from>
    <xdr:to>
      <xdr:col>16</xdr:col>
      <xdr:colOff>717074</xdr:colOff>
      <xdr:row>11</xdr:row>
      <xdr:rowOff>20315</xdr:rowOff>
    </xdr:to>
    <xdr:sp macro="[0]!Linhas.ExcLinhas" textlink="">
      <xdr:nvSpPr>
        <xdr:cNvPr id="5136" name="AutoShape 67">
          <a:extLst>
            <a:ext uri="{FF2B5EF4-FFF2-40B4-BE49-F238E27FC236}">
              <a16:creationId xmlns:a16="http://schemas.microsoft.com/office/drawing/2014/main" id="{00000000-0008-0000-0400-000010140000}"/>
            </a:ext>
          </a:extLst>
        </xdr:cNvPr>
        <xdr:cNvSpPr>
          <a:spLocks noChangeArrowheads="1"/>
        </xdr:cNvSpPr>
      </xdr:nvSpPr>
      <xdr:spPr bwMode="auto">
        <a:xfrm>
          <a:off x="2785109" y="1323965"/>
          <a:ext cx="1237140" cy="4680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LINHAS</a:t>
          </a:r>
        </a:p>
      </xdr:txBody>
    </xdr:sp>
    <xdr:clientData fPrintsWithSheet="0"/>
  </xdr:twoCellAnchor>
  <xdr:twoCellAnchor>
    <xdr:from>
      <xdr:col>17</xdr:col>
      <xdr:colOff>2535551</xdr:colOff>
      <xdr:row>8</xdr:row>
      <xdr:rowOff>38090</xdr:rowOff>
    </xdr:from>
    <xdr:to>
      <xdr:col>17</xdr:col>
      <xdr:colOff>3765071</xdr:colOff>
      <xdr:row>11</xdr:row>
      <xdr:rowOff>20315</xdr:rowOff>
    </xdr:to>
    <xdr:sp macro="[0]!recuperar" textlink="">
      <xdr:nvSpPr>
        <xdr:cNvPr id="5137" name="AutoShape 67">
          <a:extLst>
            <a:ext uri="{FF2B5EF4-FFF2-40B4-BE49-F238E27FC236}">
              <a16:creationId xmlns:a16="http://schemas.microsoft.com/office/drawing/2014/main" id="{00000000-0008-0000-0400-000011140000}"/>
            </a:ext>
          </a:extLst>
        </xdr:cNvPr>
        <xdr:cNvSpPr>
          <a:spLocks noChangeArrowheads="1"/>
        </xdr:cNvSpPr>
      </xdr:nvSpPr>
      <xdr:spPr bwMode="auto">
        <a:xfrm>
          <a:off x="6888476" y="1323965"/>
          <a:ext cx="1229520" cy="4680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RECUPERAR FÓRMULAS</a:t>
          </a:r>
        </a:p>
      </xdr:txBody>
    </xdr:sp>
    <xdr:clientData fPrintsWithSheet="0"/>
  </xdr:twoCellAnchor>
  <xdr:twoCellAnchor>
    <xdr:from>
      <xdr:col>17</xdr:col>
      <xdr:colOff>3889797</xdr:colOff>
      <xdr:row>8</xdr:row>
      <xdr:rowOff>39995</xdr:rowOff>
    </xdr:from>
    <xdr:to>
      <xdr:col>18</xdr:col>
      <xdr:colOff>640662</xdr:colOff>
      <xdr:row>11</xdr:row>
      <xdr:rowOff>8885</xdr:rowOff>
    </xdr:to>
    <xdr:sp macro="[0]!buscarcodigo" textlink="">
      <xdr:nvSpPr>
        <xdr:cNvPr id="14" name="AutoShape 67">
          <a:extLst>
            <a:ext uri="{FF2B5EF4-FFF2-40B4-BE49-F238E27FC236}">
              <a16:creationId xmlns:a16="http://schemas.microsoft.com/office/drawing/2014/main" id="{00000000-0008-0000-0400-00000E000000}"/>
            </a:ext>
          </a:extLst>
        </xdr:cNvPr>
        <xdr:cNvSpPr>
          <a:spLocks noChangeArrowheads="1"/>
        </xdr:cNvSpPr>
      </xdr:nvSpPr>
      <xdr:spPr bwMode="auto">
        <a:xfrm>
          <a:off x="8242722" y="1325870"/>
          <a:ext cx="1132365" cy="45466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BUSCAR CÓDIGO</a:t>
          </a:r>
        </a:p>
      </xdr:txBody>
    </xdr:sp>
    <xdr:clientData fPrintsWithSheet="0"/>
  </xdr:twoCellAnchor>
  <xdr:twoCellAnchor>
    <xdr:from>
      <xdr:col>12</xdr:col>
      <xdr:colOff>303953</xdr:colOff>
      <xdr:row>2</xdr:row>
      <xdr:rowOff>21165</xdr:rowOff>
    </xdr:from>
    <xdr:to>
      <xdr:col>13</xdr:col>
      <xdr:colOff>441870</xdr:colOff>
      <xdr:row>4</xdr:row>
      <xdr:rowOff>6348</xdr:rowOff>
    </xdr:to>
    <xdr:sp macro="" textlink="">
      <xdr:nvSpPr>
        <xdr:cNvPr id="15" name="AutoShape 67">
          <a:hlinkClick xmlns:r="http://schemas.openxmlformats.org/officeDocument/2006/relationships" r:id="rId3"/>
          <a:extLst>
            <a:ext uri="{FF2B5EF4-FFF2-40B4-BE49-F238E27FC236}">
              <a16:creationId xmlns:a16="http://schemas.microsoft.com/office/drawing/2014/main" id="{00000000-0008-0000-0400-00000F000000}"/>
            </a:ext>
          </a:extLst>
        </xdr:cNvPr>
        <xdr:cNvSpPr>
          <a:spLocks noChangeArrowheads="1"/>
        </xdr:cNvSpPr>
      </xdr:nvSpPr>
      <xdr:spPr bwMode="auto">
        <a:xfrm>
          <a:off x="547370" y="444498"/>
          <a:ext cx="720000"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BDI</a:t>
          </a:r>
        </a:p>
      </xdr:txBody>
    </xdr:sp>
    <xdr:clientData fPrintsWithSheet="0"/>
  </xdr:twoCellAnchor>
  <xdr:twoCellAnchor>
    <xdr:from>
      <xdr:col>12</xdr:col>
      <xdr:colOff>308186</xdr:colOff>
      <xdr:row>4</xdr:row>
      <xdr:rowOff>67730</xdr:rowOff>
    </xdr:from>
    <xdr:to>
      <xdr:col>13</xdr:col>
      <xdr:colOff>446103</xdr:colOff>
      <xdr:row>6</xdr:row>
      <xdr:rowOff>158746</xdr:rowOff>
    </xdr:to>
    <xdr:sp macro="" textlink="">
      <xdr:nvSpPr>
        <xdr:cNvPr id="16" name="AutoShape 67">
          <a:hlinkClick xmlns:r="http://schemas.openxmlformats.org/officeDocument/2006/relationships" r:id="rId4"/>
          <a:extLst>
            <a:ext uri="{FF2B5EF4-FFF2-40B4-BE49-F238E27FC236}">
              <a16:creationId xmlns:a16="http://schemas.microsoft.com/office/drawing/2014/main" id="{00000000-0008-0000-0400-000010000000}"/>
            </a:ext>
          </a:extLst>
        </xdr:cNvPr>
        <xdr:cNvSpPr>
          <a:spLocks noChangeArrowheads="1"/>
        </xdr:cNvSpPr>
      </xdr:nvSpPr>
      <xdr:spPr bwMode="auto">
        <a:xfrm>
          <a:off x="551603" y="808563"/>
          <a:ext cx="720000"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panose="020F0502020204030204" pitchFamily="34" charset="0"/>
            </a:rPr>
            <a:t>CÁLCULO</a:t>
          </a:r>
          <a:endParaRPr lang="pt-BR" sz="1100" b="1" i="0" u="none" strike="noStrike" baseline="0">
            <a:solidFill>
              <a:srgbClr val="000000"/>
            </a:solidFill>
            <a:latin typeface="Calibri"/>
          </a:endParaRPr>
        </a:p>
      </xdr:txBody>
    </xdr:sp>
    <xdr:clientData fPrintsWithSheet="0"/>
  </xdr:twoCellAnchor>
  <xdr:twoCellAnchor>
    <xdr:from>
      <xdr:col>12</xdr:col>
      <xdr:colOff>308186</xdr:colOff>
      <xdr:row>7</xdr:row>
      <xdr:rowOff>52920</xdr:rowOff>
    </xdr:from>
    <xdr:to>
      <xdr:col>13</xdr:col>
      <xdr:colOff>446103</xdr:colOff>
      <xdr:row>9</xdr:row>
      <xdr:rowOff>38103</xdr:rowOff>
    </xdr:to>
    <xdr:sp macro="[0]!IrPara_Eventos" textlink="">
      <xdr:nvSpPr>
        <xdr:cNvPr id="2" name="AutoShape 67">
          <a:extLst>
            <a:ext uri="{FF2B5EF4-FFF2-40B4-BE49-F238E27FC236}">
              <a16:creationId xmlns:a16="http://schemas.microsoft.com/office/drawing/2014/main" id="{00000000-0008-0000-0400-000002000000}"/>
            </a:ext>
          </a:extLst>
        </xdr:cNvPr>
        <xdr:cNvSpPr>
          <a:spLocks noChangeArrowheads="1"/>
        </xdr:cNvSpPr>
      </xdr:nvSpPr>
      <xdr:spPr bwMode="auto">
        <a:xfrm>
          <a:off x="551603" y="1164170"/>
          <a:ext cx="720000" cy="302683"/>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000" b="1" i="0" u="none" strike="noStrike" baseline="0">
              <a:solidFill>
                <a:srgbClr val="000000"/>
              </a:solidFill>
              <a:latin typeface="Calibri" panose="020F0502020204030204" pitchFamily="34" charset="0"/>
            </a:rPr>
            <a:t>EVENTOS</a:t>
          </a:r>
          <a:endParaRPr lang="pt-BR" sz="1000" b="1" i="0" u="none" strike="noStrike" baseline="0">
            <a:solidFill>
              <a:srgbClr val="000000"/>
            </a:solidFill>
            <a:latin typeface="Calibri"/>
          </a:endParaRPr>
        </a:p>
      </xdr:txBody>
    </xdr:sp>
    <xdr:clientData fPrintsWithSheet="0"/>
  </xdr:twoCellAnchor>
  <xdr:twoCellAnchor>
    <xdr:from>
      <xdr:col>12</xdr:col>
      <xdr:colOff>308186</xdr:colOff>
      <xdr:row>9</xdr:row>
      <xdr:rowOff>105833</xdr:rowOff>
    </xdr:from>
    <xdr:to>
      <xdr:col>13</xdr:col>
      <xdr:colOff>446103</xdr:colOff>
      <xdr:row>11</xdr:row>
      <xdr:rowOff>90733</xdr:rowOff>
    </xdr:to>
    <xdr:sp macro="[0]!IrPara_Crono" textlink="">
      <xdr:nvSpPr>
        <xdr:cNvPr id="3" name="AutoShape 67">
          <a:extLst>
            <a:ext uri="{FF2B5EF4-FFF2-40B4-BE49-F238E27FC236}">
              <a16:creationId xmlns:a16="http://schemas.microsoft.com/office/drawing/2014/main" id="{00000000-0008-0000-0400-000003000000}"/>
            </a:ext>
          </a:extLst>
        </xdr:cNvPr>
        <xdr:cNvSpPr>
          <a:spLocks noChangeArrowheads="1"/>
        </xdr:cNvSpPr>
      </xdr:nvSpPr>
      <xdr:spPr bwMode="auto">
        <a:xfrm>
          <a:off x="551603" y="1534583"/>
          <a:ext cx="720000" cy="3024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CRONO</a:t>
          </a:r>
        </a:p>
      </xdr:txBody>
    </xdr:sp>
    <xdr:clientData fPrintsWithSheet="0"/>
  </xdr:twoCellAnchor>
  <xdr:twoCellAnchor>
    <xdr:from>
      <xdr:col>17</xdr:col>
      <xdr:colOff>1161837</xdr:colOff>
      <xdr:row>8</xdr:row>
      <xdr:rowOff>41900</xdr:rowOff>
    </xdr:from>
    <xdr:to>
      <xdr:col>17</xdr:col>
      <xdr:colOff>2391357</xdr:colOff>
      <xdr:row>11</xdr:row>
      <xdr:rowOff>20315</xdr:rowOff>
    </xdr:to>
    <xdr:sp macro="[0]!unidade_padrão" textlink="">
      <xdr:nvSpPr>
        <xdr:cNvPr id="4" name="AutoShape 67">
          <a:extLst>
            <a:ext uri="{FF2B5EF4-FFF2-40B4-BE49-F238E27FC236}">
              <a16:creationId xmlns:a16="http://schemas.microsoft.com/office/drawing/2014/main" id="{00000000-0008-0000-0400-000004000000}"/>
            </a:ext>
          </a:extLst>
        </xdr:cNvPr>
        <xdr:cNvSpPr>
          <a:spLocks noChangeArrowheads="1"/>
        </xdr:cNvSpPr>
      </xdr:nvSpPr>
      <xdr:spPr bwMode="auto">
        <a:xfrm>
          <a:off x="5514762" y="1327775"/>
          <a:ext cx="1229520" cy="46419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PADRONIZAR UNIDADES</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3</xdr:col>
      <xdr:colOff>315816</xdr:colOff>
      <xdr:row>9</xdr:row>
      <xdr:rowOff>0</xdr:rowOff>
    </xdr:from>
    <xdr:to>
      <xdr:col>3</xdr:col>
      <xdr:colOff>1774965</xdr:colOff>
      <xdr:row>9</xdr:row>
      <xdr:rowOff>304800</xdr:rowOff>
    </xdr:to>
    <xdr:sp macro="[0]!Linhas.AddLinha" textlink="">
      <xdr:nvSpPr>
        <xdr:cNvPr id="7171" name="AutoShape 67">
          <a:extLst>
            <a:ext uri="{FF2B5EF4-FFF2-40B4-BE49-F238E27FC236}">
              <a16:creationId xmlns:a16="http://schemas.microsoft.com/office/drawing/2014/main" id="{00000000-0008-0000-0500-0000031C0000}"/>
            </a:ext>
          </a:extLst>
        </xdr:cNvPr>
        <xdr:cNvSpPr>
          <a:spLocks noChangeArrowheads="1"/>
        </xdr:cNvSpPr>
      </xdr:nvSpPr>
      <xdr:spPr bwMode="auto">
        <a:xfrm>
          <a:off x="1405899" y="1640417"/>
          <a:ext cx="1459149" cy="3048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LINHAS</a:t>
          </a:r>
        </a:p>
      </xdr:txBody>
    </xdr:sp>
    <xdr:clientData fPrintsWithSheet="0"/>
  </xdr:twoCellAnchor>
  <xdr:twoCellAnchor>
    <xdr:from>
      <xdr:col>3</xdr:col>
      <xdr:colOff>1866077</xdr:colOff>
      <xdr:row>9</xdr:row>
      <xdr:rowOff>0</xdr:rowOff>
    </xdr:from>
    <xdr:to>
      <xdr:col>3</xdr:col>
      <xdr:colOff>3302003</xdr:colOff>
      <xdr:row>9</xdr:row>
      <xdr:rowOff>304800</xdr:rowOff>
    </xdr:to>
    <xdr:sp macro="[0]!Linhas.ExcLinhas" textlink="">
      <xdr:nvSpPr>
        <xdr:cNvPr id="7172" name="AutoShape 67">
          <a:extLst>
            <a:ext uri="{FF2B5EF4-FFF2-40B4-BE49-F238E27FC236}">
              <a16:creationId xmlns:a16="http://schemas.microsoft.com/office/drawing/2014/main" id="{00000000-0008-0000-0500-0000041C0000}"/>
            </a:ext>
          </a:extLst>
        </xdr:cNvPr>
        <xdr:cNvSpPr>
          <a:spLocks noChangeArrowheads="1"/>
        </xdr:cNvSpPr>
      </xdr:nvSpPr>
      <xdr:spPr bwMode="auto">
        <a:xfrm>
          <a:off x="2956160" y="1640417"/>
          <a:ext cx="1435926" cy="3048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LINHAS</a:t>
          </a:r>
        </a:p>
      </xdr:txBody>
    </xdr:sp>
    <xdr:clientData fPrintsWithSheet="0"/>
  </xdr:twoCellAnchor>
  <xdr:twoCellAnchor>
    <xdr:from>
      <xdr:col>5</xdr:col>
      <xdr:colOff>95249</xdr:colOff>
      <xdr:row>9</xdr:row>
      <xdr:rowOff>0</xdr:rowOff>
    </xdr:from>
    <xdr:to>
      <xdr:col>5</xdr:col>
      <xdr:colOff>1852083</xdr:colOff>
      <xdr:row>9</xdr:row>
      <xdr:rowOff>304800</xdr:rowOff>
    </xdr:to>
    <xdr:sp macro="" textlink="">
      <xdr:nvSpPr>
        <xdr:cNvPr id="22" name="AutoShape 67">
          <a:hlinkClick xmlns:r="http://schemas.openxmlformats.org/officeDocument/2006/relationships" r:id="rId1"/>
          <a:extLst>
            <a:ext uri="{FF2B5EF4-FFF2-40B4-BE49-F238E27FC236}">
              <a16:creationId xmlns:a16="http://schemas.microsoft.com/office/drawing/2014/main" id="{00000000-0008-0000-0500-000016000000}"/>
            </a:ext>
          </a:extLst>
        </xdr:cNvPr>
        <xdr:cNvSpPr>
          <a:spLocks noChangeArrowheads="1"/>
        </xdr:cNvSpPr>
      </xdr:nvSpPr>
      <xdr:spPr bwMode="auto">
        <a:xfrm>
          <a:off x="4571999" y="1640417"/>
          <a:ext cx="1756834"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DEFINIR FRENTES DE OBRA</a:t>
          </a:r>
        </a:p>
      </xdr:txBody>
    </xdr:sp>
    <xdr:clientData fPrintsWithSheet="0"/>
  </xdr:twoCellAnchor>
  <xdr:twoCellAnchor>
    <xdr:from>
      <xdr:col>2</xdr:col>
      <xdr:colOff>31749</xdr:colOff>
      <xdr:row>1</xdr:row>
      <xdr:rowOff>31749</xdr:rowOff>
    </xdr:from>
    <xdr:to>
      <xdr:col>3</xdr:col>
      <xdr:colOff>1007108</xdr:colOff>
      <xdr:row>2</xdr:row>
      <xdr:rowOff>35982</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4999" y="190499"/>
          <a:ext cx="1822026"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95255</xdr:colOff>
      <xdr:row>9</xdr:row>
      <xdr:rowOff>0</xdr:rowOff>
    </xdr:from>
    <xdr:to>
      <xdr:col>2</xdr:col>
      <xdr:colOff>421391</xdr:colOff>
      <xdr:row>9</xdr:row>
      <xdr:rowOff>304800</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500-000003000000}"/>
            </a:ext>
          </a:extLst>
        </xdr:cNvPr>
        <xdr:cNvSpPr>
          <a:spLocks noChangeArrowheads="1"/>
        </xdr:cNvSpPr>
      </xdr:nvSpPr>
      <xdr:spPr bwMode="auto">
        <a:xfrm>
          <a:off x="95255" y="1640417"/>
          <a:ext cx="569553"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2</xdr:col>
      <xdr:colOff>497420</xdr:colOff>
      <xdr:row>9</xdr:row>
      <xdr:rowOff>4022</xdr:rowOff>
    </xdr:from>
    <xdr:to>
      <xdr:col>3</xdr:col>
      <xdr:colOff>229815</xdr:colOff>
      <xdr:row>9</xdr:row>
      <xdr:rowOff>308822</xdr:rowOff>
    </xdr:to>
    <xdr:sp macro="" textlink="">
      <xdr:nvSpPr>
        <xdr:cNvPr id="4" name="AutoShape 67">
          <a:hlinkClick xmlns:r="http://schemas.openxmlformats.org/officeDocument/2006/relationships" r:id="rId4"/>
          <a:extLst>
            <a:ext uri="{FF2B5EF4-FFF2-40B4-BE49-F238E27FC236}">
              <a16:creationId xmlns:a16="http://schemas.microsoft.com/office/drawing/2014/main" id="{00000000-0008-0000-0500-000004000000}"/>
            </a:ext>
          </a:extLst>
        </xdr:cNvPr>
        <xdr:cNvSpPr>
          <a:spLocks noChangeArrowheads="1"/>
        </xdr:cNvSpPr>
      </xdr:nvSpPr>
      <xdr:spPr bwMode="auto">
        <a:xfrm>
          <a:off x="740837" y="1644439"/>
          <a:ext cx="579061"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PO</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2</xdr:col>
      <xdr:colOff>152400</xdr:colOff>
      <xdr:row>6</xdr:row>
      <xdr:rowOff>9525</xdr:rowOff>
    </xdr:from>
    <xdr:to>
      <xdr:col>3</xdr:col>
      <xdr:colOff>474303</xdr:colOff>
      <xdr:row>7</xdr:row>
      <xdr:rowOff>123825</xdr:rowOff>
    </xdr:to>
    <xdr:sp macro="" textlink="">
      <xdr:nvSpPr>
        <xdr:cNvPr id="6147" name="AutoShape 67">
          <a:hlinkClick xmlns:r="http://schemas.openxmlformats.org/officeDocument/2006/relationships" r:id="rId1"/>
          <a:extLst>
            <a:ext uri="{FF2B5EF4-FFF2-40B4-BE49-F238E27FC236}">
              <a16:creationId xmlns:a16="http://schemas.microsoft.com/office/drawing/2014/main" id="{00000000-0008-0000-0600-000003180000}"/>
            </a:ext>
          </a:extLst>
        </xdr:cNvPr>
        <xdr:cNvSpPr>
          <a:spLocks noChangeArrowheads="1"/>
        </xdr:cNvSpPr>
      </xdr:nvSpPr>
      <xdr:spPr bwMode="auto">
        <a:xfrm>
          <a:off x="152400" y="209550"/>
          <a:ext cx="561975"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5</xdr:col>
      <xdr:colOff>179070</xdr:colOff>
      <xdr:row>11</xdr:row>
      <xdr:rowOff>266700</xdr:rowOff>
    </xdr:from>
    <xdr:to>
      <xdr:col>5</xdr:col>
      <xdr:colOff>2905076</xdr:colOff>
      <xdr:row>11</xdr:row>
      <xdr:rowOff>571500</xdr:rowOff>
    </xdr:to>
    <xdr:sp macro="[0]!IrPara_Eventos" textlink="">
      <xdr:nvSpPr>
        <xdr:cNvPr id="6148" name="AutoShape 67">
          <a:extLst>
            <a:ext uri="{FF2B5EF4-FFF2-40B4-BE49-F238E27FC236}">
              <a16:creationId xmlns:a16="http://schemas.microsoft.com/office/drawing/2014/main" id="{00000000-0008-0000-0600-000004180000}"/>
            </a:ext>
          </a:extLst>
        </xdr:cNvPr>
        <xdr:cNvSpPr>
          <a:spLocks noChangeArrowheads="1"/>
        </xdr:cNvSpPr>
      </xdr:nvSpPr>
      <xdr:spPr bwMode="auto">
        <a:xfrm>
          <a:off x="1847850" y="1304925"/>
          <a:ext cx="2657475"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REDEFINIR AGRUPADORES DE EVENTOS</a:t>
          </a:r>
        </a:p>
      </xdr:txBody>
    </xdr:sp>
    <xdr:clientData fPrintsWithSheet="0"/>
  </xdr:twoCellAnchor>
  <xdr:twoCellAnchor>
    <xdr:from>
      <xdr:col>5</xdr:col>
      <xdr:colOff>2977515</xdr:colOff>
      <xdr:row>11</xdr:row>
      <xdr:rowOff>266700</xdr:rowOff>
    </xdr:from>
    <xdr:to>
      <xdr:col>6</xdr:col>
      <xdr:colOff>26724</xdr:colOff>
      <xdr:row>11</xdr:row>
      <xdr:rowOff>571500</xdr:rowOff>
    </xdr:to>
    <xdr:sp macro="[0]!Colunas.incluirpag" textlink="">
      <xdr:nvSpPr>
        <xdr:cNvPr id="6149" name="AutoShape 67">
          <a:extLst>
            <a:ext uri="{FF2B5EF4-FFF2-40B4-BE49-F238E27FC236}">
              <a16:creationId xmlns:a16="http://schemas.microsoft.com/office/drawing/2014/main" id="{00000000-0008-0000-0600-000005180000}"/>
            </a:ext>
          </a:extLst>
        </xdr:cNvPr>
        <xdr:cNvSpPr>
          <a:spLocks noChangeArrowheads="1"/>
        </xdr:cNvSpPr>
      </xdr:nvSpPr>
      <xdr:spPr bwMode="auto">
        <a:xfrm>
          <a:off x="4562475" y="1304925"/>
          <a:ext cx="1514475" cy="3048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8 FRENTES</a:t>
          </a:r>
        </a:p>
      </xdr:txBody>
    </xdr:sp>
    <xdr:clientData fPrintsWithSheet="0"/>
  </xdr:twoCellAnchor>
  <xdr:twoCellAnchor>
    <xdr:from>
      <xdr:col>6</xdr:col>
      <xdr:colOff>93345</xdr:colOff>
      <xdr:row>11</xdr:row>
      <xdr:rowOff>266700</xdr:rowOff>
    </xdr:from>
    <xdr:to>
      <xdr:col>7</xdr:col>
      <xdr:colOff>908727</xdr:colOff>
      <xdr:row>11</xdr:row>
      <xdr:rowOff>581025</xdr:rowOff>
    </xdr:to>
    <xdr:sp macro="[0]!Colunas.excluirpag" textlink="">
      <xdr:nvSpPr>
        <xdr:cNvPr id="6150" name="AutoShape 67">
          <a:extLst>
            <a:ext uri="{FF2B5EF4-FFF2-40B4-BE49-F238E27FC236}">
              <a16:creationId xmlns:a16="http://schemas.microsoft.com/office/drawing/2014/main" id="{00000000-0008-0000-0600-000006180000}"/>
            </a:ext>
          </a:extLst>
        </xdr:cNvPr>
        <xdr:cNvSpPr>
          <a:spLocks noChangeArrowheads="1"/>
        </xdr:cNvSpPr>
      </xdr:nvSpPr>
      <xdr:spPr bwMode="auto">
        <a:xfrm>
          <a:off x="6143625" y="1304925"/>
          <a:ext cx="1514475" cy="314325"/>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8 FRENTES</a:t>
          </a:r>
        </a:p>
      </xdr:txBody>
    </xdr:sp>
    <xdr:clientData fPrintsWithSheet="0"/>
  </xdr:twoCellAnchor>
  <xdr:twoCellAnchor>
    <xdr:from>
      <xdr:col>2</xdr:col>
      <xdr:colOff>137584</xdr:colOff>
      <xdr:row>8</xdr:row>
      <xdr:rowOff>13547</xdr:rowOff>
    </xdr:from>
    <xdr:to>
      <xdr:col>3</xdr:col>
      <xdr:colOff>473228</xdr:colOff>
      <xdr:row>9</xdr:row>
      <xdr:rowOff>157622</xdr:rowOff>
    </xdr:to>
    <xdr:sp macro="" textlink="">
      <xdr:nvSpPr>
        <xdr:cNvPr id="7" name="AutoShape 67">
          <a:hlinkClick xmlns:r="http://schemas.openxmlformats.org/officeDocument/2006/relationships" r:id="rId2"/>
          <a:extLst>
            <a:ext uri="{FF2B5EF4-FFF2-40B4-BE49-F238E27FC236}">
              <a16:creationId xmlns:a16="http://schemas.microsoft.com/office/drawing/2014/main" id="{00000000-0008-0000-0600-000007000000}"/>
            </a:ext>
          </a:extLst>
        </xdr:cNvPr>
        <xdr:cNvSpPr>
          <a:spLocks noChangeArrowheads="1"/>
        </xdr:cNvSpPr>
      </xdr:nvSpPr>
      <xdr:spPr bwMode="auto">
        <a:xfrm>
          <a:off x="137584" y="565997"/>
          <a:ext cx="583294" cy="3060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PO</a:t>
          </a:r>
        </a:p>
      </xdr:txBody>
    </xdr:sp>
    <xdr:clientData fPrintsWithSheet="0"/>
  </xdr:twoCellAnchor>
  <xdr:twoCellAnchor>
    <xdr:from>
      <xdr:col>4</xdr:col>
      <xdr:colOff>0</xdr:colOff>
      <xdr:row>5</xdr:row>
      <xdr:rowOff>21166</xdr:rowOff>
    </xdr:from>
    <xdr:to>
      <xdr:col>5</xdr:col>
      <xdr:colOff>975360</xdr:colOff>
      <xdr:row>7</xdr:row>
      <xdr:rowOff>14816</xdr:rowOff>
    </xdr:to>
    <xdr:pic>
      <xdr:nvPicPr>
        <xdr:cNvPr id="2" name="Picture 2">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500"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137584</xdr:colOff>
      <xdr:row>10</xdr:row>
      <xdr:rowOff>66675</xdr:rowOff>
    </xdr:from>
    <xdr:to>
      <xdr:col>3</xdr:col>
      <xdr:colOff>473228</xdr:colOff>
      <xdr:row>11</xdr:row>
      <xdr:rowOff>212725</xdr:rowOff>
    </xdr:to>
    <xdr:sp macro="[0]!IrPara_Crono" textlink="">
      <xdr:nvSpPr>
        <xdr:cNvPr id="3" name="AutoShape 67">
          <a:extLst>
            <a:ext uri="{FF2B5EF4-FFF2-40B4-BE49-F238E27FC236}">
              <a16:creationId xmlns:a16="http://schemas.microsoft.com/office/drawing/2014/main" id="{00000000-0008-0000-0600-000003000000}"/>
            </a:ext>
          </a:extLst>
        </xdr:cNvPr>
        <xdr:cNvSpPr>
          <a:spLocks noChangeArrowheads="1"/>
        </xdr:cNvSpPr>
      </xdr:nvSpPr>
      <xdr:spPr bwMode="auto">
        <a:xfrm>
          <a:off x="137584" y="942975"/>
          <a:ext cx="583294" cy="3079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CRONO</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139065</xdr:colOff>
      <xdr:row>10</xdr:row>
      <xdr:rowOff>0</xdr:rowOff>
    </xdr:from>
    <xdr:to>
      <xdr:col>2</xdr:col>
      <xdr:colOff>826824</xdr:colOff>
      <xdr:row>10</xdr:row>
      <xdr:rowOff>314325</xdr:rowOff>
    </xdr:to>
    <xdr:sp macro="" textlink="">
      <xdr:nvSpPr>
        <xdr:cNvPr id="9218" name="AutoShape 67">
          <a:hlinkClick xmlns:r="http://schemas.openxmlformats.org/officeDocument/2006/relationships" r:id="rId1"/>
          <a:extLst>
            <a:ext uri="{FF2B5EF4-FFF2-40B4-BE49-F238E27FC236}">
              <a16:creationId xmlns:a16="http://schemas.microsoft.com/office/drawing/2014/main" id="{00000000-0008-0000-0700-000002240000}"/>
            </a:ext>
          </a:extLst>
        </xdr:cNvPr>
        <xdr:cNvSpPr>
          <a:spLocks noChangeArrowheads="1"/>
        </xdr:cNvSpPr>
      </xdr:nvSpPr>
      <xdr:spPr bwMode="auto">
        <a:xfrm>
          <a:off x="929640" y="1352550"/>
          <a:ext cx="687759"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EVENTOS</a:t>
          </a:r>
        </a:p>
      </xdr:txBody>
    </xdr:sp>
    <xdr:clientData fPrintsWithSheet="0"/>
  </xdr:twoCellAnchor>
  <xdr:twoCellAnchor>
    <xdr:from>
      <xdr:col>2</xdr:col>
      <xdr:colOff>137160</xdr:colOff>
      <xdr:row>10</xdr:row>
      <xdr:rowOff>409575</xdr:rowOff>
    </xdr:from>
    <xdr:to>
      <xdr:col>2</xdr:col>
      <xdr:colOff>1603909</xdr:colOff>
      <xdr:row>10</xdr:row>
      <xdr:rowOff>714375</xdr:rowOff>
    </xdr:to>
    <xdr:sp macro="[0]!CRONO.AtualizarLinhas" textlink="">
      <xdr:nvSpPr>
        <xdr:cNvPr id="9219" name="AutoShape 67">
          <a:extLst>
            <a:ext uri="{FF2B5EF4-FFF2-40B4-BE49-F238E27FC236}">
              <a16:creationId xmlns:a16="http://schemas.microsoft.com/office/drawing/2014/main" id="{00000000-0008-0000-0700-000003240000}"/>
            </a:ext>
          </a:extLst>
        </xdr:cNvPr>
        <xdr:cNvSpPr>
          <a:spLocks noChangeArrowheads="1"/>
        </xdr:cNvSpPr>
      </xdr:nvSpPr>
      <xdr:spPr bwMode="auto">
        <a:xfrm>
          <a:off x="927735" y="1762125"/>
          <a:ext cx="1466749" cy="304800"/>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ATUALIZAR LINHAS</a:t>
          </a:r>
        </a:p>
      </xdr:txBody>
    </xdr:sp>
    <xdr:clientData fPrintsWithSheet="0"/>
  </xdr:twoCellAnchor>
  <xdr:twoCellAnchor>
    <xdr:from>
      <xdr:col>1</xdr:col>
      <xdr:colOff>0</xdr:colOff>
      <xdr:row>1</xdr:row>
      <xdr:rowOff>21166</xdr:rowOff>
    </xdr:from>
    <xdr:to>
      <xdr:col>2</xdr:col>
      <xdr:colOff>1282277</xdr:colOff>
      <xdr:row>2</xdr:row>
      <xdr:rowOff>25399</xdr:rowOff>
    </xdr:to>
    <xdr:pic>
      <xdr:nvPicPr>
        <xdr:cNvPr id="2" name="Picture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417"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19050</xdr:colOff>
      <xdr:row>10</xdr:row>
      <xdr:rowOff>9525</xdr:rowOff>
    </xdr:from>
    <xdr:to>
      <xdr:col>2</xdr:col>
      <xdr:colOff>45678</xdr:colOff>
      <xdr:row>10</xdr:row>
      <xdr:rowOff>314325</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700-000003000000}"/>
            </a:ext>
          </a:extLst>
        </xdr:cNvPr>
        <xdr:cNvSpPr>
          <a:spLocks noChangeArrowheads="1"/>
        </xdr:cNvSpPr>
      </xdr:nvSpPr>
      <xdr:spPr bwMode="auto">
        <a:xfrm>
          <a:off x="266700" y="1362075"/>
          <a:ext cx="569553"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2</xdr:col>
      <xdr:colOff>1672590</xdr:colOff>
      <xdr:row>10</xdr:row>
      <xdr:rowOff>0</xdr:rowOff>
    </xdr:from>
    <xdr:to>
      <xdr:col>2</xdr:col>
      <xdr:colOff>2360349</xdr:colOff>
      <xdr:row>10</xdr:row>
      <xdr:rowOff>314325</xdr:rowOff>
    </xdr:to>
    <xdr:sp macro="" textlink="">
      <xdr:nvSpPr>
        <xdr:cNvPr id="4" name="AutoShape 67">
          <a:hlinkClick xmlns:r="http://schemas.openxmlformats.org/officeDocument/2006/relationships" r:id="rId4"/>
          <a:extLst>
            <a:ext uri="{FF2B5EF4-FFF2-40B4-BE49-F238E27FC236}">
              <a16:creationId xmlns:a16="http://schemas.microsoft.com/office/drawing/2014/main" id="{00000000-0008-0000-0700-000004000000}"/>
            </a:ext>
          </a:extLst>
        </xdr:cNvPr>
        <xdr:cNvSpPr>
          <a:spLocks noChangeArrowheads="1"/>
        </xdr:cNvSpPr>
      </xdr:nvSpPr>
      <xdr:spPr bwMode="auto">
        <a:xfrm>
          <a:off x="2463165" y="1352550"/>
          <a:ext cx="687759"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CFF</a:t>
          </a:r>
        </a:p>
      </xdr:txBody>
    </xdr:sp>
    <xdr:clientData fPrintsWithSheet="0"/>
  </xdr:twoCellAnchor>
  <xdr:twoCellAnchor>
    <xdr:from>
      <xdr:col>2</xdr:col>
      <xdr:colOff>901065</xdr:colOff>
      <xdr:row>10</xdr:row>
      <xdr:rowOff>0</xdr:rowOff>
    </xdr:from>
    <xdr:to>
      <xdr:col>2</xdr:col>
      <xdr:colOff>1588824</xdr:colOff>
      <xdr:row>10</xdr:row>
      <xdr:rowOff>314325</xdr:rowOff>
    </xdr:to>
    <xdr:sp macro="" textlink="">
      <xdr:nvSpPr>
        <xdr:cNvPr id="5" name="AutoShape 67">
          <a:hlinkClick xmlns:r="http://schemas.openxmlformats.org/officeDocument/2006/relationships" r:id="rId5"/>
          <a:extLst>
            <a:ext uri="{FF2B5EF4-FFF2-40B4-BE49-F238E27FC236}">
              <a16:creationId xmlns:a16="http://schemas.microsoft.com/office/drawing/2014/main" id="{00000000-0008-0000-0700-000005000000}"/>
            </a:ext>
          </a:extLst>
        </xdr:cNvPr>
        <xdr:cNvSpPr>
          <a:spLocks noChangeArrowheads="1"/>
        </xdr:cNvSpPr>
      </xdr:nvSpPr>
      <xdr:spPr bwMode="auto">
        <a:xfrm>
          <a:off x="1691640" y="1352550"/>
          <a:ext cx="687759" cy="31432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PLQ</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7</xdr:col>
      <xdr:colOff>142875</xdr:colOff>
      <xdr:row>3</xdr:row>
      <xdr:rowOff>85725</xdr:rowOff>
    </xdr:from>
    <xdr:to>
      <xdr:col>7</xdr:col>
      <xdr:colOff>729615</xdr:colOff>
      <xdr:row>4</xdr:row>
      <xdr:rowOff>190500</xdr:rowOff>
    </xdr:to>
    <xdr:sp macro="" textlink="">
      <xdr:nvSpPr>
        <xdr:cNvPr id="8195" name="AutoShape 67">
          <a:hlinkClick xmlns:r="http://schemas.openxmlformats.org/officeDocument/2006/relationships" r:id="rId1"/>
          <a:extLst>
            <a:ext uri="{FF2B5EF4-FFF2-40B4-BE49-F238E27FC236}">
              <a16:creationId xmlns:a16="http://schemas.microsoft.com/office/drawing/2014/main" id="{00000000-0008-0000-0800-000003200000}"/>
            </a:ext>
          </a:extLst>
        </xdr:cNvPr>
        <xdr:cNvSpPr>
          <a:spLocks noChangeArrowheads="1"/>
        </xdr:cNvSpPr>
      </xdr:nvSpPr>
      <xdr:spPr bwMode="auto">
        <a:xfrm>
          <a:off x="3181350" y="571500"/>
          <a:ext cx="571500" cy="304800"/>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MENU</a:t>
          </a:r>
        </a:p>
      </xdr:txBody>
    </xdr:sp>
    <xdr:clientData fPrintsWithSheet="0"/>
  </xdr:twoCellAnchor>
  <xdr:twoCellAnchor>
    <xdr:from>
      <xdr:col>20</xdr:col>
      <xdr:colOff>66676</xdr:colOff>
      <xdr:row>8</xdr:row>
      <xdr:rowOff>93345</xdr:rowOff>
    </xdr:from>
    <xdr:to>
      <xdr:col>22</xdr:col>
      <xdr:colOff>698281</xdr:colOff>
      <xdr:row>10</xdr:row>
      <xdr:rowOff>76147</xdr:rowOff>
    </xdr:to>
    <xdr:sp macro="[0]!IrPara_CronoPLE" textlink="">
      <xdr:nvSpPr>
        <xdr:cNvPr id="8196" name="CRONO.b.preenchEventos">
          <a:extLst>
            <a:ext uri="{FF2B5EF4-FFF2-40B4-BE49-F238E27FC236}">
              <a16:creationId xmlns:a16="http://schemas.microsoft.com/office/drawing/2014/main" id="{00000000-0008-0000-0800-000004200000}"/>
            </a:ext>
          </a:extLst>
        </xdr:cNvPr>
        <xdr:cNvSpPr>
          <a:spLocks noChangeArrowheads="1"/>
        </xdr:cNvSpPr>
      </xdr:nvSpPr>
      <xdr:spPr bwMode="auto">
        <a:xfrm>
          <a:off x="5619751" y="960120"/>
          <a:ext cx="2098455" cy="306652"/>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PREENCHIMENTO POR EVENTOS</a:t>
          </a:r>
        </a:p>
      </xdr:txBody>
    </xdr:sp>
    <xdr:clientData fPrintsWithSheet="0"/>
  </xdr:twoCellAnchor>
  <xdr:twoCellAnchor>
    <xdr:from>
      <xdr:col>8</xdr:col>
      <xdr:colOff>14548</xdr:colOff>
      <xdr:row>8</xdr:row>
      <xdr:rowOff>93345</xdr:rowOff>
    </xdr:from>
    <xdr:to>
      <xdr:col>10</xdr:col>
      <xdr:colOff>17248</xdr:colOff>
      <xdr:row>10</xdr:row>
      <xdr:rowOff>76147</xdr:rowOff>
    </xdr:to>
    <xdr:sp macro="[0]!CRONO.AtualizarLinhas" textlink="">
      <xdr:nvSpPr>
        <xdr:cNvPr id="8197" name="AutoShape 67">
          <a:extLst>
            <a:ext uri="{FF2B5EF4-FFF2-40B4-BE49-F238E27FC236}">
              <a16:creationId xmlns:a16="http://schemas.microsoft.com/office/drawing/2014/main" id="{00000000-0008-0000-0800-000005200000}"/>
            </a:ext>
          </a:extLst>
        </xdr:cNvPr>
        <xdr:cNvSpPr>
          <a:spLocks noChangeArrowheads="1"/>
        </xdr:cNvSpPr>
      </xdr:nvSpPr>
      <xdr:spPr bwMode="auto">
        <a:xfrm>
          <a:off x="1109923" y="960120"/>
          <a:ext cx="1260000" cy="306652"/>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ATUALIZAR LINHAS</a:t>
          </a:r>
        </a:p>
      </xdr:txBody>
    </xdr:sp>
    <xdr:clientData fPrintsWithSheet="0"/>
  </xdr:twoCellAnchor>
  <xdr:twoCellAnchor>
    <xdr:from>
      <xdr:col>25</xdr:col>
      <xdr:colOff>223307</xdr:colOff>
      <xdr:row>8</xdr:row>
      <xdr:rowOff>93345</xdr:rowOff>
    </xdr:from>
    <xdr:to>
      <xdr:col>27</xdr:col>
      <xdr:colOff>484457</xdr:colOff>
      <xdr:row>10</xdr:row>
      <xdr:rowOff>76147</xdr:rowOff>
    </xdr:to>
    <xdr:sp macro="[0]!incluirpag" textlink="">
      <xdr:nvSpPr>
        <xdr:cNvPr id="8198" name="AutoShape 67">
          <a:extLst>
            <a:ext uri="{FF2B5EF4-FFF2-40B4-BE49-F238E27FC236}">
              <a16:creationId xmlns:a16="http://schemas.microsoft.com/office/drawing/2014/main" id="{00000000-0008-0000-0800-000006200000}"/>
            </a:ext>
          </a:extLst>
        </xdr:cNvPr>
        <xdr:cNvSpPr>
          <a:spLocks noChangeArrowheads="1"/>
        </xdr:cNvSpPr>
      </xdr:nvSpPr>
      <xdr:spPr bwMode="auto">
        <a:xfrm>
          <a:off x="9443507" y="960120"/>
          <a:ext cx="1728000" cy="306652"/>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ADICIONAR 12 PARCELAS</a:t>
          </a:r>
        </a:p>
      </xdr:txBody>
    </xdr:sp>
    <xdr:clientData fPrintsWithSheet="0"/>
  </xdr:twoCellAnchor>
  <xdr:twoCellAnchor>
    <xdr:from>
      <xdr:col>27</xdr:col>
      <xdr:colOff>604308</xdr:colOff>
      <xdr:row>8</xdr:row>
      <xdr:rowOff>93345</xdr:rowOff>
    </xdr:from>
    <xdr:to>
      <xdr:col>29</xdr:col>
      <xdr:colOff>685458</xdr:colOff>
      <xdr:row>10</xdr:row>
      <xdr:rowOff>76147</xdr:rowOff>
    </xdr:to>
    <xdr:sp macro="[0]!excluirpag" textlink="">
      <xdr:nvSpPr>
        <xdr:cNvPr id="8199" name="AutoShape 67">
          <a:extLst>
            <a:ext uri="{FF2B5EF4-FFF2-40B4-BE49-F238E27FC236}">
              <a16:creationId xmlns:a16="http://schemas.microsoft.com/office/drawing/2014/main" id="{00000000-0008-0000-0800-000007200000}"/>
            </a:ext>
          </a:extLst>
        </xdr:cNvPr>
        <xdr:cNvSpPr>
          <a:spLocks noChangeArrowheads="1"/>
        </xdr:cNvSpPr>
      </xdr:nvSpPr>
      <xdr:spPr bwMode="auto">
        <a:xfrm>
          <a:off x="11291358" y="960120"/>
          <a:ext cx="1548000" cy="306652"/>
        </a:xfrm>
        <a:prstGeom prst="roundRect">
          <a:avLst>
            <a:gd name="adj" fmla="val 16667"/>
          </a:avLst>
        </a:prstGeom>
        <a:solidFill>
          <a:srgbClr val="FFCC99"/>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EXCLUIR 12 PARCELAS</a:t>
          </a:r>
        </a:p>
      </xdr:txBody>
    </xdr:sp>
    <xdr:clientData fPrintsWithSheet="0"/>
  </xdr:twoCellAnchor>
  <xdr:twoCellAnchor>
    <xdr:from>
      <xdr:col>8</xdr:col>
      <xdr:colOff>0</xdr:colOff>
      <xdr:row>3</xdr:row>
      <xdr:rowOff>21166</xdr:rowOff>
    </xdr:from>
    <xdr:to>
      <xdr:col>10</xdr:col>
      <xdr:colOff>372110</xdr:colOff>
      <xdr:row>5</xdr:row>
      <xdr:rowOff>25399</xdr:rowOff>
    </xdr:to>
    <xdr:pic>
      <xdr:nvPicPr>
        <xdr:cNvPr id="2" name="Picture 2">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0083" y="21166"/>
          <a:ext cx="1822027" cy="385233"/>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23</xdr:col>
      <xdr:colOff>714375</xdr:colOff>
      <xdr:row>8</xdr:row>
      <xdr:rowOff>93345</xdr:rowOff>
    </xdr:from>
    <xdr:to>
      <xdr:col>24</xdr:col>
      <xdr:colOff>567690</xdr:colOff>
      <xdr:row>10</xdr:row>
      <xdr:rowOff>64770</xdr:rowOff>
    </xdr:to>
    <xdr:sp macro="" textlink="">
      <xdr:nvSpPr>
        <xdr:cNvPr id="3" name="AutoShape 67">
          <a:hlinkClick xmlns:r="http://schemas.openxmlformats.org/officeDocument/2006/relationships" r:id="rId3"/>
          <a:extLst>
            <a:ext uri="{FF2B5EF4-FFF2-40B4-BE49-F238E27FC236}">
              <a16:creationId xmlns:a16="http://schemas.microsoft.com/office/drawing/2014/main" id="{00000000-0008-0000-0800-000003000000}"/>
            </a:ext>
          </a:extLst>
        </xdr:cNvPr>
        <xdr:cNvSpPr>
          <a:spLocks noChangeArrowheads="1"/>
        </xdr:cNvSpPr>
      </xdr:nvSpPr>
      <xdr:spPr bwMode="auto">
        <a:xfrm>
          <a:off x="8467725" y="960120"/>
          <a:ext cx="586740" cy="2952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QCI</a:t>
          </a:r>
        </a:p>
      </xdr:txBody>
    </xdr:sp>
    <xdr:clientData fPrintsWithSheet="0"/>
  </xdr:twoCellAnchor>
  <xdr:twoCellAnchor>
    <xdr:from>
      <xdr:col>23</xdr:col>
      <xdr:colOff>47625</xdr:colOff>
      <xdr:row>8</xdr:row>
      <xdr:rowOff>93345</xdr:rowOff>
    </xdr:from>
    <xdr:to>
      <xdr:col>23</xdr:col>
      <xdr:colOff>634365</xdr:colOff>
      <xdr:row>10</xdr:row>
      <xdr:rowOff>64770</xdr:rowOff>
    </xdr:to>
    <xdr:sp macro="" textlink="">
      <xdr:nvSpPr>
        <xdr:cNvPr id="4" name="AutoShape 67">
          <a:hlinkClick xmlns:r="http://schemas.openxmlformats.org/officeDocument/2006/relationships" r:id="rId4"/>
          <a:extLst>
            <a:ext uri="{FF2B5EF4-FFF2-40B4-BE49-F238E27FC236}">
              <a16:creationId xmlns:a16="http://schemas.microsoft.com/office/drawing/2014/main" id="{00000000-0008-0000-0800-000004000000}"/>
            </a:ext>
          </a:extLst>
        </xdr:cNvPr>
        <xdr:cNvSpPr>
          <a:spLocks noChangeArrowheads="1"/>
        </xdr:cNvSpPr>
      </xdr:nvSpPr>
      <xdr:spPr bwMode="auto">
        <a:xfrm>
          <a:off x="7800975" y="960120"/>
          <a:ext cx="586740" cy="295275"/>
        </a:xfrm>
        <a:prstGeom prst="roundRect">
          <a:avLst>
            <a:gd name="adj" fmla="val 16667"/>
          </a:avLst>
        </a:prstGeom>
        <a:solidFill>
          <a:srgbClr val="99CCFF"/>
        </a:solidFill>
        <a:ln w="9360">
          <a:solidFill>
            <a:srgbClr val="80808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27360" rIns="27360" bIns="27360" anchor="ctr"/>
        <a:lstStyle/>
        <a:p>
          <a:pPr algn="ctr" rtl="0">
            <a:defRPr sz="1000"/>
          </a:pPr>
          <a:r>
            <a:rPr lang="pt-BR" sz="1100" b="1" i="0" u="none" strike="noStrike" baseline="0">
              <a:solidFill>
                <a:srgbClr val="000000"/>
              </a:solidFill>
              <a:latin typeface="Calibri"/>
            </a:rPr>
            <a:t>PO</a:t>
          </a:r>
        </a:p>
      </xdr:txBody>
    </xdr:sp>
    <xdr:clientData fPrintsWithSheet="0"/>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2.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omments" Target="../comments6.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4.vml"/><Relationship Id="rId7" Type="http://schemas.openxmlformats.org/officeDocument/2006/relationships/ctrlProp" Target="../ctrlProps/ctrlProp1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pageSetUpPr fitToPage="1"/>
  </sheetPr>
  <dimension ref="A3:E185"/>
  <sheetViews>
    <sheetView showGridLines="0" zoomScaleNormal="100" workbookViewId="0">
      <pane ySplit="3" topLeftCell="A4" activePane="bottomLeft" state="frozen"/>
      <selection pane="bottomLeft"/>
    </sheetView>
  </sheetViews>
  <sheetFormatPr defaultRowHeight="12.75" x14ac:dyDescent="0.2"/>
  <cols>
    <col min="1" max="1" width="8.5703125" customWidth="1"/>
    <col min="2" max="2" width="5.5703125" customWidth="1"/>
    <col min="3" max="3" width="3.5703125" customWidth="1"/>
    <col min="4" max="4" width="130.5703125" customWidth="1"/>
  </cols>
  <sheetData>
    <row r="3" spans="1:4" ht="36.75" customHeight="1" x14ac:dyDescent="0.35">
      <c r="B3" s="40" t="s">
        <v>0</v>
      </c>
    </row>
    <row r="5" spans="1:4" ht="18.75" x14ac:dyDescent="0.3">
      <c r="A5" s="41"/>
      <c r="B5" s="42"/>
      <c r="C5" s="42"/>
      <c r="D5" s="43"/>
    </row>
    <row r="6" spans="1:4" ht="18.75" x14ac:dyDescent="0.3">
      <c r="A6" s="44" t="s">
        <v>1</v>
      </c>
      <c r="B6" s="45"/>
      <c r="C6" s="45"/>
      <c r="D6" s="3"/>
    </row>
    <row r="7" spans="1:4" ht="15" x14ac:dyDescent="0.25">
      <c r="A7" s="4"/>
      <c r="B7" s="46" t="s">
        <v>2</v>
      </c>
      <c r="C7" s="46"/>
      <c r="D7" s="3"/>
    </row>
    <row r="8" spans="1:4" ht="15" x14ac:dyDescent="0.25">
      <c r="A8" s="4"/>
      <c r="B8" s="46"/>
      <c r="C8" s="47" t="str">
        <f>IF(D8&lt;&gt;"","▪","")</f>
        <v>▪</v>
      </c>
      <c r="D8" s="498" t="s">
        <v>3</v>
      </c>
    </row>
    <row r="9" spans="1:4" ht="15" x14ac:dyDescent="0.25">
      <c r="A9" s="4"/>
      <c r="B9" s="46"/>
      <c r="C9" s="47" t="str">
        <f>IF(D9&lt;&gt;"","▪","")</f>
        <v/>
      </c>
      <c r="D9" s="498"/>
    </row>
    <row r="10" spans="1:4" ht="18.75" x14ac:dyDescent="0.3">
      <c r="A10" s="601" t="s">
        <v>4</v>
      </c>
      <c r="B10" s="602"/>
      <c r="C10" s="602"/>
      <c r="D10" s="603"/>
    </row>
    <row r="11" spans="1:4" ht="15" x14ac:dyDescent="0.25">
      <c r="A11" s="4"/>
      <c r="B11" s="46" t="s">
        <v>2</v>
      </c>
      <c r="C11" s="46"/>
      <c r="D11" s="498"/>
    </row>
    <row r="12" spans="1:4" ht="15" x14ac:dyDescent="0.25">
      <c r="A12" s="4"/>
      <c r="B12" s="46"/>
      <c r="C12" s="47" t="str">
        <f>IF(D12&lt;&gt;"","▪","")</f>
        <v>▪</v>
      </c>
      <c r="D12" s="498" t="s">
        <v>5</v>
      </c>
    </row>
    <row r="13" spans="1:4" ht="15" x14ac:dyDescent="0.25">
      <c r="A13" s="4"/>
      <c r="B13" s="46" t="s">
        <v>6</v>
      </c>
      <c r="C13" s="46"/>
      <c r="D13" s="498"/>
    </row>
    <row r="14" spans="1:4" ht="15" x14ac:dyDescent="0.25">
      <c r="A14" s="413"/>
      <c r="B14" s="46"/>
      <c r="C14" s="47" t="str">
        <f>IF(D14&lt;&gt;"","▪","")</f>
        <v>▪</v>
      </c>
      <c r="D14" s="498" t="s">
        <v>7</v>
      </c>
    </row>
    <row r="15" spans="1:4" ht="15" x14ac:dyDescent="0.2">
      <c r="A15" s="413"/>
      <c r="C15" s="47" t="str">
        <f>IF(D15&lt;&gt;"","▪","")</f>
        <v>▪</v>
      </c>
      <c r="D15" s="498" t="s">
        <v>8</v>
      </c>
    </row>
    <row r="16" spans="1:4" x14ac:dyDescent="0.2">
      <c r="A16" s="417"/>
      <c r="D16" s="85"/>
    </row>
    <row r="17" spans="1:4" ht="18.75" x14ac:dyDescent="0.3">
      <c r="A17" s="601" t="s">
        <v>9</v>
      </c>
      <c r="B17" s="602"/>
      <c r="C17" s="602"/>
      <c r="D17" s="603"/>
    </row>
    <row r="18" spans="1:4" ht="15" x14ac:dyDescent="0.25">
      <c r="A18" s="4"/>
      <c r="B18" s="46" t="s">
        <v>2</v>
      </c>
      <c r="C18" s="46"/>
      <c r="D18" s="498"/>
    </row>
    <row r="19" spans="1:4" ht="15" x14ac:dyDescent="0.25">
      <c r="A19" s="4"/>
      <c r="B19" s="46"/>
      <c r="C19" s="47" t="str">
        <f>IF(D19&lt;&gt;"","▪","")</f>
        <v>▪</v>
      </c>
      <c r="D19" s="498" t="s">
        <v>5</v>
      </c>
    </row>
    <row r="20" spans="1:4" ht="15" x14ac:dyDescent="0.25">
      <c r="A20" s="4"/>
      <c r="B20" s="46"/>
      <c r="C20" s="47" t="str">
        <f>IF(D20&lt;&gt;"","▪","")</f>
        <v>▪</v>
      </c>
      <c r="D20" s="498" t="s">
        <v>10</v>
      </c>
    </row>
    <row r="21" spans="1:4" ht="15" x14ac:dyDescent="0.25">
      <c r="A21" s="413"/>
      <c r="B21" s="46" t="s">
        <v>11</v>
      </c>
      <c r="C21" s="46"/>
      <c r="D21" s="498"/>
    </row>
    <row r="22" spans="1:4" ht="15" x14ac:dyDescent="0.25">
      <c r="A22" s="413"/>
      <c r="B22" s="46"/>
      <c r="C22" s="47" t="str">
        <f>IF(D22&lt;&gt;"","▪","")</f>
        <v>▪</v>
      </c>
      <c r="D22" s="498" t="s">
        <v>12</v>
      </c>
    </row>
    <row r="23" spans="1:4" ht="15" x14ac:dyDescent="0.25">
      <c r="A23" s="413"/>
      <c r="B23" s="46" t="s">
        <v>13</v>
      </c>
      <c r="C23" s="46"/>
      <c r="D23" s="498"/>
    </row>
    <row r="24" spans="1:4" ht="15" x14ac:dyDescent="0.25">
      <c r="A24" s="413"/>
      <c r="B24" s="46"/>
      <c r="C24" s="47" t="str">
        <f>IF(D24&lt;&gt;"","▪","")</f>
        <v>▪</v>
      </c>
      <c r="D24" s="498" t="s">
        <v>14</v>
      </c>
    </row>
    <row r="25" spans="1:4" ht="15" x14ac:dyDescent="0.25">
      <c r="A25" s="413"/>
      <c r="B25" s="46" t="s">
        <v>15</v>
      </c>
      <c r="C25" s="46"/>
      <c r="D25" s="498"/>
    </row>
    <row r="26" spans="1:4" ht="15" x14ac:dyDescent="0.25">
      <c r="A26" s="413"/>
      <c r="B26" s="46"/>
      <c r="C26" s="47" t="str">
        <f>IF(D26&lt;&gt;"","▪","")</f>
        <v>▪</v>
      </c>
      <c r="D26" s="498" t="s">
        <v>16</v>
      </c>
    </row>
    <row r="27" spans="1:4" ht="15" x14ac:dyDescent="0.25">
      <c r="A27" s="413"/>
      <c r="B27" s="46" t="s">
        <v>17</v>
      </c>
      <c r="C27" s="46"/>
      <c r="D27" s="498"/>
    </row>
    <row r="28" spans="1:4" ht="15" x14ac:dyDescent="0.25">
      <c r="A28" s="413"/>
      <c r="B28" s="46"/>
      <c r="C28" s="47" t="str">
        <f>IF(D28&lt;&gt;"","▪","")</f>
        <v>▪</v>
      </c>
      <c r="D28" s="498" t="s">
        <v>18</v>
      </c>
    </row>
    <row r="29" spans="1:4" x14ac:dyDescent="0.2">
      <c r="A29" s="417"/>
      <c r="D29" s="85"/>
    </row>
    <row r="30" spans="1:4" ht="18.75" x14ac:dyDescent="0.3">
      <c r="A30" s="601" t="s">
        <v>19</v>
      </c>
      <c r="B30" s="602"/>
      <c r="C30" s="602"/>
      <c r="D30" s="603"/>
    </row>
    <row r="31" spans="1:4" ht="15" x14ac:dyDescent="0.25">
      <c r="A31" s="4"/>
      <c r="B31" s="46" t="s">
        <v>2</v>
      </c>
      <c r="C31" s="46"/>
      <c r="D31" s="498"/>
    </row>
    <row r="32" spans="1:4" ht="15" x14ac:dyDescent="0.25">
      <c r="A32" s="4"/>
      <c r="B32" s="46"/>
      <c r="C32" s="47" t="str">
        <f>IF(D32&lt;&gt;"","▪","")</f>
        <v>▪</v>
      </c>
      <c r="D32" s="498" t="s">
        <v>10</v>
      </c>
    </row>
    <row r="33" spans="1:5" ht="15" x14ac:dyDescent="0.25">
      <c r="A33" s="4"/>
      <c r="B33" s="46" t="s">
        <v>20</v>
      </c>
      <c r="C33" s="47"/>
      <c r="D33" s="498"/>
    </row>
    <row r="34" spans="1:5" ht="15" x14ac:dyDescent="0.25">
      <c r="A34" s="4"/>
      <c r="B34" s="46"/>
      <c r="C34" s="47" t="str">
        <f>IF(D34&lt;&gt;"","▪","")</f>
        <v>▪</v>
      </c>
      <c r="D34" s="498" t="s">
        <v>21</v>
      </c>
    </row>
    <row r="35" spans="1:5" ht="15" x14ac:dyDescent="0.25">
      <c r="A35" s="4"/>
      <c r="B35" s="46"/>
      <c r="C35" s="46"/>
      <c r="D35" s="499"/>
      <c r="E35" s="46"/>
    </row>
    <row r="36" spans="1:5" x14ac:dyDescent="0.2">
      <c r="A36" s="417"/>
      <c r="D36" s="85"/>
    </row>
    <row r="37" spans="1:5" ht="18.75" x14ac:dyDescent="0.3">
      <c r="A37" s="601" t="s">
        <v>22</v>
      </c>
      <c r="B37" s="602"/>
      <c r="C37" s="602"/>
      <c r="D37" s="603"/>
    </row>
    <row r="38" spans="1:5" ht="15" x14ac:dyDescent="0.25">
      <c r="A38" s="4"/>
      <c r="B38" s="46" t="s">
        <v>23</v>
      </c>
      <c r="C38" s="46"/>
      <c r="D38" s="498"/>
    </row>
    <row r="39" spans="1:5" ht="15" x14ac:dyDescent="0.25">
      <c r="A39" s="4"/>
      <c r="B39" s="46"/>
      <c r="C39" s="47" t="str">
        <f>IF(D39&lt;&gt;"","▪","")</f>
        <v>▪</v>
      </c>
      <c r="D39" s="498" t="s">
        <v>24</v>
      </c>
    </row>
    <row r="40" spans="1:5" ht="15" x14ac:dyDescent="0.25">
      <c r="A40" s="4"/>
      <c r="B40" s="46" t="s">
        <v>13</v>
      </c>
      <c r="C40" s="46"/>
      <c r="D40" s="498"/>
    </row>
    <row r="41" spans="1:5" ht="15" x14ac:dyDescent="0.25">
      <c r="A41" s="4"/>
      <c r="B41" s="46"/>
      <c r="C41" s="47" t="str">
        <f>IF(D41&lt;&gt;"","▪","")</f>
        <v>▪</v>
      </c>
      <c r="D41" s="498" t="s">
        <v>25</v>
      </c>
    </row>
    <row r="42" spans="1:5" ht="15" x14ac:dyDescent="0.25">
      <c r="A42" s="4"/>
      <c r="B42" s="46" t="s">
        <v>15</v>
      </c>
      <c r="C42" s="46"/>
      <c r="D42" s="498"/>
      <c r="E42" s="46"/>
    </row>
    <row r="43" spans="1:5" ht="15" x14ac:dyDescent="0.25">
      <c r="A43" s="4"/>
      <c r="B43" s="46"/>
      <c r="C43" s="47" t="str">
        <f>IF(D43&lt;&gt;"","▪","")</f>
        <v>▪</v>
      </c>
      <c r="D43" s="498" t="s">
        <v>26</v>
      </c>
    </row>
    <row r="44" spans="1:5" ht="15" x14ac:dyDescent="0.25">
      <c r="A44" s="4"/>
      <c r="B44" s="46"/>
      <c r="C44" s="46"/>
      <c r="D44" s="499"/>
    </row>
    <row r="45" spans="1:5" ht="18.75" x14ac:dyDescent="0.3">
      <c r="A45" s="601" t="s">
        <v>27</v>
      </c>
      <c r="B45" s="602"/>
      <c r="C45" s="602"/>
      <c r="D45" s="603"/>
    </row>
    <row r="46" spans="1:5" ht="15" x14ac:dyDescent="0.25">
      <c r="A46" s="4"/>
      <c r="B46" s="46" t="s">
        <v>2</v>
      </c>
      <c r="C46" s="46"/>
      <c r="D46" s="498"/>
    </row>
    <row r="47" spans="1:5" ht="15" x14ac:dyDescent="0.25">
      <c r="A47" s="4"/>
      <c r="B47" s="46"/>
      <c r="C47" s="47" t="str">
        <f>IF(D47&lt;&gt;"","▪","")</f>
        <v>▪</v>
      </c>
      <c r="D47" s="498" t="s">
        <v>28</v>
      </c>
    </row>
    <row r="48" spans="1:5" ht="15" x14ac:dyDescent="0.25">
      <c r="A48" s="4"/>
      <c r="B48" s="46"/>
      <c r="C48" s="46"/>
      <c r="D48" s="499"/>
    </row>
    <row r="49" spans="1:4" ht="18.75" x14ac:dyDescent="0.3">
      <c r="A49" s="601" t="s">
        <v>29</v>
      </c>
      <c r="B49" s="602"/>
      <c r="C49" s="602"/>
      <c r="D49" s="603"/>
    </row>
    <row r="50" spans="1:4" ht="15" x14ac:dyDescent="0.25">
      <c r="A50" s="4"/>
      <c r="B50" s="46" t="s">
        <v>2</v>
      </c>
      <c r="C50" s="46"/>
      <c r="D50" s="498"/>
    </row>
    <row r="51" spans="1:4" ht="15" x14ac:dyDescent="0.25">
      <c r="A51" s="4"/>
      <c r="B51" s="46"/>
      <c r="C51" s="47" t="str">
        <f>IF(D51&lt;&gt;"","▪","")</f>
        <v>▪</v>
      </c>
      <c r="D51" s="498" t="s">
        <v>30</v>
      </c>
    </row>
    <row r="52" spans="1:4" ht="15" x14ac:dyDescent="0.25">
      <c r="A52" s="4"/>
      <c r="B52" s="46"/>
      <c r="C52" s="47" t="str">
        <f>IF(D52&lt;&gt;"","▪","")</f>
        <v>▪</v>
      </c>
      <c r="D52" s="498" t="s">
        <v>31</v>
      </c>
    </row>
    <row r="53" spans="1:4" ht="15" x14ac:dyDescent="0.25">
      <c r="A53" s="4"/>
      <c r="B53" s="46"/>
      <c r="C53" s="46"/>
      <c r="D53" s="499"/>
    </row>
    <row r="54" spans="1:4" ht="18.75" x14ac:dyDescent="0.3">
      <c r="A54" s="604" t="s">
        <v>32</v>
      </c>
      <c r="B54" s="602"/>
      <c r="C54" s="602"/>
      <c r="D54" s="603"/>
    </row>
    <row r="55" spans="1:4" ht="15" x14ac:dyDescent="0.25">
      <c r="A55" s="413"/>
      <c r="B55" s="46" t="s">
        <v>2</v>
      </c>
      <c r="C55" s="46"/>
      <c r="D55" s="498"/>
    </row>
    <row r="56" spans="1:4" ht="15" x14ac:dyDescent="0.25">
      <c r="A56" s="413"/>
      <c r="B56" s="46"/>
      <c r="C56" s="47" t="str">
        <f t="shared" ref="C56" si="0">IF(D56&lt;&gt;"","▪","")</f>
        <v>▪</v>
      </c>
      <c r="D56" s="498" t="s">
        <v>33</v>
      </c>
    </row>
    <row r="57" spans="1:4" ht="30" customHeight="1" x14ac:dyDescent="0.25">
      <c r="A57" s="413"/>
      <c r="B57" s="46"/>
      <c r="C57" s="47" t="str">
        <f t="shared" ref="C57:C62" si="1">IF(D57&lt;&gt;"","▪","")</f>
        <v>▪</v>
      </c>
      <c r="D57" s="498" t="s">
        <v>34</v>
      </c>
    </row>
    <row r="58" spans="1:4" ht="30" customHeight="1" x14ac:dyDescent="0.25">
      <c r="A58" s="413"/>
      <c r="B58" s="46"/>
      <c r="C58" s="47" t="str">
        <f t="shared" si="1"/>
        <v>▪</v>
      </c>
      <c r="D58" s="498" t="s">
        <v>35</v>
      </c>
    </row>
    <row r="59" spans="1:4" ht="30" customHeight="1" x14ac:dyDescent="0.25">
      <c r="A59" s="413"/>
      <c r="B59" s="46"/>
      <c r="C59" s="47" t="str">
        <f t="shared" si="1"/>
        <v>▪</v>
      </c>
      <c r="D59" s="498" t="s">
        <v>36</v>
      </c>
    </row>
    <row r="60" spans="1:4" ht="25.5" x14ac:dyDescent="0.25">
      <c r="A60" s="413"/>
      <c r="B60" s="46"/>
      <c r="C60" s="47" t="str">
        <f t="shared" si="1"/>
        <v>▪</v>
      </c>
      <c r="D60" s="498" t="s">
        <v>37</v>
      </c>
    </row>
    <row r="61" spans="1:4" ht="15" x14ac:dyDescent="0.25">
      <c r="A61" s="413"/>
      <c r="B61" s="46"/>
      <c r="C61" s="47" t="str">
        <f t="shared" si="1"/>
        <v>▪</v>
      </c>
      <c r="D61" s="498" t="s">
        <v>38</v>
      </c>
    </row>
    <row r="62" spans="1:4" ht="30" customHeight="1" x14ac:dyDescent="0.25">
      <c r="A62" s="413"/>
      <c r="B62" s="46"/>
      <c r="C62" s="47" t="str">
        <f t="shared" si="1"/>
        <v>▪</v>
      </c>
      <c r="D62" s="498" t="s">
        <v>39</v>
      </c>
    </row>
    <row r="63" spans="1:4" ht="15" x14ac:dyDescent="0.25">
      <c r="A63" s="413"/>
      <c r="B63" s="46" t="s">
        <v>40</v>
      </c>
      <c r="C63" s="46"/>
      <c r="D63" s="498"/>
    </row>
    <row r="64" spans="1:4" ht="15" x14ac:dyDescent="0.25">
      <c r="A64" s="413"/>
      <c r="B64" s="46"/>
      <c r="C64" s="47" t="str">
        <f>IF(D64&lt;&gt;"","▪","")</f>
        <v>▪</v>
      </c>
      <c r="D64" s="498" t="s">
        <v>41</v>
      </c>
    </row>
    <row r="65" spans="1:4" ht="15" x14ac:dyDescent="0.25">
      <c r="A65" s="413"/>
      <c r="B65" s="46"/>
      <c r="C65" s="47" t="str">
        <f>IF(D65&lt;&gt;"","▪","")</f>
        <v>▪</v>
      </c>
      <c r="D65" s="498" t="s">
        <v>42</v>
      </c>
    </row>
    <row r="66" spans="1:4" ht="15" x14ac:dyDescent="0.25">
      <c r="A66" s="413"/>
      <c r="B66" s="46"/>
      <c r="C66" s="47"/>
      <c r="D66" s="500" t="s">
        <v>43</v>
      </c>
    </row>
    <row r="67" spans="1:4" ht="15" x14ac:dyDescent="0.25">
      <c r="A67" s="413"/>
      <c r="B67" s="46"/>
      <c r="C67" s="47" t="str">
        <f>IF(D67&lt;&gt;"","▪","")</f>
        <v>▪</v>
      </c>
      <c r="D67" s="498" t="s">
        <v>44</v>
      </c>
    </row>
    <row r="68" spans="1:4" ht="15" x14ac:dyDescent="0.25">
      <c r="A68" s="413"/>
      <c r="B68" s="46"/>
      <c r="C68" s="47"/>
      <c r="D68" s="500" t="s">
        <v>45</v>
      </c>
    </row>
    <row r="69" spans="1:4" ht="15" x14ac:dyDescent="0.25">
      <c r="A69" s="413"/>
      <c r="B69" s="46"/>
      <c r="C69" s="47" t="str">
        <f>IF(D69&lt;&gt;"","▪","")</f>
        <v>▪</v>
      </c>
      <c r="D69" s="498" t="s">
        <v>46</v>
      </c>
    </row>
    <row r="70" spans="1:4" ht="15" x14ac:dyDescent="0.25">
      <c r="A70" s="413"/>
      <c r="B70" s="46"/>
      <c r="C70" s="47" t="str">
        <f>IF(D70&lt;&gt;"","▪","")</f>
        <v>▪</v>
      </c>
      <c r="D70" s="498" t="s">
        <v>47</v>
      </c>
    </row>
    <row r="71" spans="1:4" ht="15" x14ac:dyDescent="0.25">
      <c r="A71" s="413"/>
      <c r="B71" s="46" t="s">
        <v>23</v>
      </c>
      <c r="C71" s="46"/>
      <c r="D71" s="498"/>
    </row>
    <row r="72" spans="1:4" ht="15" x14ac:dyDescent="0.25">
      <c r="A72" s="413"/>
      <c r="B72" s="46"/>
      <c r="C72" s="47" t="str">
        <f>IF(D72&lt;&gt;"","▪","")</f>
        <v>▪</v>
      </c>
      <c r="D72" s="498" t="s">
        <v>48</v>
      </c>
    </row>
    <row r="73" spans="1:4" ht="15" x14ac:dyDescent="0.25">
      <c r="A73" s="413"/>
      <c r="B73" s="46" t="s">
        <v>49</v>
      </c>
      <c r="C73" s="46"/>
      <c r="D73" s="498"/>
    </row>
    <row r="74" spans="1:4" ht="15" x14ac:dyDescent="0.25">
      <c r="A74" s="413"/>
      <c r="B74" s="46"/>
      <c r="C74" s="47" t="str">
        <f>IF(D74&lt;&gt;"","▪","")</f>
        <v>▪</v>
      </c>
      <c r="D74" s="498" t="s">
        <v>50</v>
      </c>
    </row>
    <row r="75" spans="1:4" ht="15" x14ac:dyDescent="0.25">
      <c r="A75" s="413"/>
      <c r="B75" s="46"/>
      <c r="C75" s="47" t="str">
        <f>IF(D75&lt;&gt;"","▪","")</f>
        <v>▪</v>
      </c>
      <c r="D75" s="498" t="s">
        <v>51</v>
      </c>
    </row>
    <row r="76" spans="1:4" ht="15" x14ac:dyDescent="0.25">
      <c r="A76" s="413"/>
      <c r="B76" s="46"/>
      <c r="C76" s="47" t="str">
        <f>IF(D76&lt;&gt;"","▪","")</f>
        <v>▪</v>
      </c>
      <c r="D76" s="498" t="s">
        <v>52</v>
      </c>
    </row>
    <row r="77" spans="1:4" ht="15" x14ac:dyDescent="0.25">
      <c r="A77" s="413"/>
      <c r="B77" s="46"/>
      <c r="C77" s="47" t="str">
        <f>IF(D77&lt;&gt;"","▪","")</f>
        <v>▪</v>
      </c>
      <c r="D77" s="498" t="s">
        <v>53</v>
      </c>
    </row>
    <row r="78" spans="1:4" ht="15" x14ac:dyDescent="0.25">
      <c r="A78" s="413"/>
      <c r="B78" s="46" t="s">
        <v>54</v>
      </c>
      <c r="C78" s="46"/>
      <c r="D78" s="498"/>
    </row>
    <row r="79" spans="1:4" ht="15" x14ac:dyDescent="0.25">
      <c r="A79" s="413"/>
      <c r="B79" s="46"/>
      <c r="C79" s="47" t="str">
        <f>IF(D79&lt;&gt;"","▪","")</f>
        <v>▪</v>
      </c>
      <c r="D79" s="498" t="s">
        <v>50</v>
      </c>
    </row>
    <row r="80" spans="1:4" ht="15" x14ac:dyDescent="0.25">
      <c r="A80" s="413"/>
      <c r="B80" s="46"/>
      <c r="C80" s="47" t="str">
        <f>IF(D80&lt;&gt;"","▪","")</f>
        <v>▪</v>
      </c>
      <c r="D80" s="498" t="s">
        <v>55</v>
      </c>
    </row>
    <row r="81" spans="1:4" ht="15" x14ac:dyDescent="0.25">
      <c r="A81" s="413"/>
      <c r="B81" s="46"/>
      <c r="C81" s="47" t="str">
        <f>IF(D81&lt;&gt;"","▪","")</f>
        <v>▪</v>
      </c>
      <c r="D81" s="498" t="s">
        <v>52</v>
      </c>
    </row>
    <row r="82" spans="1:4" ht="15" x14ac:dyDescent="0.25">
      <c r="A82" s="413"/>
      <c r="B82" s="46"/>
      <c r="C82" s="47" t="str">
        <f>IF(D82&lt;&gt;"","▪","")</f>
        <v>▪</v>
      </c>
      <c r="D82" s="498" t="s">
        <v>53</v>
      </c>
    </row>
    <row r="83" spans="1:4" ht="15" x14ac:dyDescent="0.25">
      <c r="A83" s="413"/>
      <c r="B83" s="46" t="s">
        <v>17</v>
      </c>
      <c r="C83" s="46"/>
      <c r="D83" s="498"/>
    </row>
    <row r="84" spans="1:4" ht="20.100000000000001" customHeight="1" x14ac:dyDescent="0.25">
      <c r="A84" s="413"/>
      <c r="B84" s="46"/>
      <c r="C84" s="47" t="str">
        <f>IF(D84&lt;&gt;"","▪","")</f>
        <v>▪</v>
      </c>
      <c r="D84" s="498" t="s">
        <v>56</v>
      </c>
    </row>
    <row r="85" spans="1:4" ht="15" x14ac:dyDescent="0.25">
      <c r="A85" s="413"/>
      <c r="B85" s="46" t="s">
        <v>57</v>
      </c>
      <c r="C85" s="46"/>
      <c r="D85" s="498"/>
    </row>
    <row r="86" spans="1:4" ht="20.100000000000001" customHeight="1" x14ac:dyDescent="0.25">
      <c r="A86" s="413"/>
      <c r="B86" s="46"/>
      <c r="C86" s="47" t="str">
        <f>IF(D86&lt;&gt;"","▪","")</f>
        <v>▪</v>
      </c>
      <c r="D86" s="498" t="s">
        <v>58</v>
      </c>
    </row>
    <row r="87" spans="1:4" ht="15" x14ac:dyDescent="0.25">
      <c r="A87" s="417"/>
      <c r="B87" s="476"/>
      <c r="C87" s="476"/>
      <c r="D87" s="501"/>
    </row>
    <row r="88" spans="1:4" ht="18.75" x14ac:dyDescent="0.3">
      <c r="A88" s="601" t="s">
        <v>59</v>
      </c>
      <c r="B88" s="602"/>
      <c r="C88" s="602"/>
      <c r="D88" s="603"/>
    </row>
    <row r="89" spans="1:4" ht="15" x14ac:dyDescent="0.25">
      <c r="A89" s="4"/>
      <c r="B89" s="46" t="s">
        <v>2</v>
      </c>
      <c r="C89" s="46"/>
      <c r="D89" s="498"/>
    </row>
    <row r="90" spans="1:4" ht="15" x14ac:dyDescent="0.25">
      <c r="A90" s="4"/>
      <c r="B90" s="46"/>
      <c r="C90" s="47" t="str">
        <f>IF(D90&lt;&gt;"","▪","")</f>
        <v>▪</v>
      </c>
      <c r="D90" s="498" t="s">
        <v>60</v>
      </c>
    </row>
    <row r="91" spans="1:4" ht="15" x14ac:dyDescent="0.25">
      <c r="A91" s="4"/>
      <c r="B91" s="46" t="s">
        <v>40</v>
      </c>
      <c r="C91" s="46"/>
      <c r="D91" s="498"/>
    </row>
    <row r="92" spans="1:4" ht="15" x14ac:dyDescent="0.25">
      <c r="A92" s="4"/>
      <c r="B92" s="46"/>
      <c r="C92" s="47" t="str">
        <f>IF(D92&lt;&gt;"","▪","")</f>
        <v>▪</v>
      </c>
      <c r="D92" s="498" t="s">
        <v>61</v>
      </c>
    </row>
    <row r="93" spans="1:4" ht="38.25" x14ac:dyDescent="0.25">
      <c r="A93" s="4"/>
      <c r="B93" s="46"/>
      <c r="C93" s="47" t="str">
        <f>IF(D93&lt;&gt;"","▪","")</f>
        <v>▪</v>
      </c>
      <c r="D93" s="498" t="s">
        <v>62</v>
      </c>
    </row>
    <row r="94" spans="1:4" ht="25.5" x14ac:dyDescent="0.25">
      <c r="A94" s="4"/>
      <c r="B94" s="46"/>
      <c r="C94" s="47" t="str">
        <f>IF(D94&lt;&gt;"","▪","")</f>
        <v>▪</v>
      </c>
      <c r="D94" s="498" t="s">
        <v>63</v>
      </c>
    </row>
    <row r="95" spans="1:4" ht="15" x14ac:dyDescent="0.25">
      <c r="A95" s="4"/>
      <c r="B95" s="46" t="s">
        <v>23</v>
      </c>
      <c r="C95" s="46"/>
      <c r="D95" s="498"/>
    </row>
    <row r="96" spans="1:4" ht="15" x14ac:dyDescent="0.25">
      <c r="A96" s="4"/>
      <c r="B96" s="46"/>
      <c r="C96" s="47" t="str">
        <f>IF(D96&lt;&gt;"","▪","")</f>
        <v>▪</v>
      </c>
      <c r="D96" s="498" t="s">
        <v>64</v>
      </c>
    </row>
    <row r="97" spans="1:4" ht="15" x14ac:dyDescent="0.25">
      <c r="A97" s="4"/>
      <c r="B97" s="46" t="s">
        <v>11</v>
      </c>
      <c r="C97" s="46"/>
      <c r="D97" s="498"/>
    </row>
    <row r="98" spans="1:4" ht="15" x14ac:dyDescent="0.25">
      <c r="A98" s="4"/>
      <c r="B98" s="46"/>
      <c r="C98" s="47" t="str">
        <f>IF(D98&lt;&gt;"","▪","")</f>
        <v>▪</v>
      </c>
      <c r="D98" s="498" t="s">
        <v>65</v>
      </c>
    </row>
    <row r="99" spans="1:4" ht="15" x14ac:dyDescent="0.25">
      <c r="A99" s="413"/>
      <c r="B99" s="46" t="s">
        <v>49</v>
      </c>
      <c r="C99" s="46"/>
      <c r="D99" s="498"/>
    </row>
    <row r="100" spans="1:4" ht="25.5" x14ac:dyDescent="0.25">
      <c r="A100" s="413"/>
      <c r="B100" s="46"/>
      <c r="C100" s="47" t="str">
        <f>IF(D100&lt;&gt;"","▪","")</f>
        <v>▪</v>
      </c>
      <c r="D100" s="498" t="s">
        <v>66</v>
      </c>
    </row>
    <row r="101" spans="1:4" ht="15" x14ac:dyDescent="0.25">
      <c r="A101" s="413"/>
      <c r="B101" s="46"/>
      <c r="C101" s="47" t="str">
        <f>IF(D101&lt;&gt;"","▪","")</f>
        <v>▪</v>
      </c>
      <c r="D101" s="498" t="s">
        <v>67</v>
      </c>
    </row>
    <row r="102" spans="1:4" ht="15" x14ac:dyDescent="0.25">
      <c r="A102" s="413"/>
      <c r="B102" s="46" t="s">
        <v>20</v>
      </c>
      <c r="C102" s="46"/>
      <c r="D102" s="498"/>
    </row>
    <row r="103" spans="1:4" ht="15" x14ac:dyDescent="0.25">
      <c r="A103" s="413"/>
      <c r="B103" s="46"/>
      <c r="C103" s="47" t="str">
        <f>IF(D103&lt;&gt;"","▪","")</f>
        <v>▪</v>
      </c>
      <c r="D103" s="498" t="s">
        <v>68</v>
      </c>
    </row>
    <row r="104" spans="1:4" ht="15" x14ac:dyDescent="0.25">
      <c r="A104" s="4"/>
      <c r="B104" s="46" t="s">
        <v>54</v>
      </c>
      <c r="C104" s="46"/>
      <c r="D104" s="498"/>
    </row>
    <row r="105" spans="1:4" ht="15" x14ac:dyDescent="0.25">
      <c r="A105" s="4"/>
      <c r="B105" s="46"/>
      <c r="C105" s="47" t="str">
        <f>IF(D105&lt;&gt;"","▪","")</f>
        <v>▪</v>
      </c>
      <c r="D105" s="498" t="s">
        <v>69</v>
      </c>
    </row>
    <row r="106" spans="1:4" ht="15" x14ac:dyDescent="0.25">
      <c r="A106" s="4"/>
      <c r="B106" s="46"/>
      <c r="C106" s="47" t="str">
        <f>IF(D106&lt;&gt;"","▪","")</f>
        <v>▪</v>
      </c>
      <c r="D106" s="498" t="s">
        <v>70</v>
      </c>
    </row>
    <row r="107" spans="1:4" ht="15" x14ac:dyDescent="0.25">
      <c r="A107" s="4"/>
      <c r="B107" s="46" t="s">
        <v>71</v>
      </c>
      <c r="C107" s="46"/>
      <c r="D107" s="498"/>
    </row>
    <row r="108" spans="1:4" ht="15" x14ac:dyDescent="0.25">
      <c r="A108" s="4"/>
      <c r="B108" s="46"/>
      <c r="C108" s="47" t="str">
        <f>IF(D108&lt;&gt;"","▪","")</f>
        <v>▪</v>
      </c>
      <c r="D108" s="498" t="s">
        <v>72</v>
      </c>
    </row>
    <row r="109" spans="1:4" ht="15" x14ac:dyDescent="0.25">
      <c r="A109" s="4"/>
      <c r="B109" s="46"/>
      <c r="C109" s="47" t="str">
        <f>IF(D109&lt;&gt;"","▪","")</f>
        <v>▪</v>
      </c>
      <c r="D109" s="498" t="s">
        <v>73</v>
      </c>
    </row>
    <row r="110" spans="1:4" ht="15" x14ac:dyDescent="0.25">
      <c r="A110" s="4"/>
      <c r="B110" s="46"/>
      <c r="C110" s="47" t="str">
        <f>IF(D110&lt;&gt;"","▪","")</f>
        <v>▪</v>
      </c>
      <c r="D110" s="498" t="s">
        <v>74</v>
      </c>
    </row>
    <row r="111" spans="1:4" ht="15" x14ac:dyDescent="0.25">
      <c r="A111" s="4"/>
      <c r="B111" s="46" t="s">
        <v>17</v>
      </c>
      <c r="C111" s="46"/>
      <c r="D111" s="498"/>
    </row>
    <row r="112" spans="1:4" ht="15" x14ac:dyDescent="0.25">
      <c r="A112" s="4"/>
      <c r="B112" s="46"/>
      <c r="C112" s="47" t="str">
        <f>IF(D112&lt;&gt;"","▪","")</f>
        <v>▪</v>
      </c>
      <c r="D112" s="498" t="s">
        <v>75</v>
      </c>
    </row>
    <row r="113" spans="1:4" ht="15" x14ac:dyDescent="0.25">
      <c r="A113" s="4"/>
      <c r="B113" s="46" t="s">
        <v>76</v>
      </c>
      <c r="C113" s="46"/>
      <c r="D113" s="498"/>
    </row>
    <row r="114" spans="1:4" ht="15" x14ac:dyDescent="0.25">
      <c r="A114" s="4"/>
      <c r="B114" s="46"/>
      <c r="C114" s="47" t="str">
        <f>IF(D114&lt;&gt;"","▪","")</f>
        <v>▪</v>
      </c>
      <c r="D114" s="498" t="s">
        <v>77</v>
      </c>
    </row>
    <row r="115" spans="1:4" ht="15" x14ac:dyDescent="0.25">
      <c r="A115" s="4"/>
      <c r="B115" s="46" t="s">
        <v>78</v>
      </c>
      <c r="C115" s="46"/>
      <c r="D115" s="498"/>
    </row>
    <row r="116" spans="1:4" ht="15" x14ac:dyDescent="0.25">
      <c r="A116" s="4"/>
      <c r="B116" s="46"/>
      <c r="C116" s="47" t="str">
        <f>IF(D116&lt;&gt;"","▪","")</f>
        <v>▪</v>
      </c>
      <c r="D116" s="498" t="s">
        <v>79</v>
      </c>
    </row>
    <row r="117" spans="1:4" ht="15" x14ac:dyDescent="0.25">
      <c r="A117" s="417"/>
      <c r="B117" s="476"/>
      <c r="C117" s="476"/>
      <c r="D117" s="501"/>
    </row>
    <row r="118" spans="1:4" ht="18.75" x14ac:dyDescent="0.3">
      <c r="A118" s="601" t="s">
        <v>80</v>
      </c>
      <c r="B118" s="602"/>
      <c r="C118" s="602"/>
      <c r="D118" s="603"/>
    </row>
    <row r="119" spans="1:4" ht="15" x14ac:dyDescent="0.25">
      <c r="A119" s="4"/>
      <c r="B119" s="46" t="s">
        <v>40</v>
      </c>
      <c r="C119" s="46"/>
      <c r="D119" s="498"/>
    </row>
    <row r="120" spans="1:4" ht="25.5" x14ac:dyDescent="0.25">
      <c r="A120" s="4"/>
      <c r="B120" s="46"/>
      <c r="C120" s="47" t="str">
        <f>IF(D120&lt;&gt;"","▪","")</f>
        <v>▪</v>
      </c>
      <c r="D120" s="498" t="s">
        <v>81</v>
      </c>
    </row>
    <row r="121" spans="1:4" ht="15" x14ac:dyDescent="0.25">
      <c r="A121" s="4"/>
      <c r="B121" s="46" t="s">
        <v>11</v>
      </c>
      <c r="C121" s="46"/>
      <c r="D121" s="498"/>
    </row>
    <row r="122" spans="1:4" ht="15" x14ac:dyDescent="0.25">
      <c r="A122" s="4"/>
      <c r="B122" s="46"/>
      <c r="C122" s="47" t="str">
        <f>IF(D122&lt;&gt;"","▪","")</f>
        <v>▪</v>
      </c>
      <c r="D122" s="498" t="s">
        <v>82</v>
      </c>
    </row>
    <row r="123" spans="1:4" ht="15" x14ac:dyDescent="0.25">
      <c r="A123" s="4"/>
      <c r="B123" s="46" t="s">
        <v>23</v>
      </c>
      <c r="C123" s="46"/>
      <c r="D123" s="498"/>
    </row>
    <row r="124" spans="1:4" ht="15" x14ac:dyDescent="0.25">
      <c r="A124" s="4"/>
      <c r="B124" s="46"/>
      <c r="C124" s="47" t="str">
        <f>IF(D124&lt;&gt;"","▪","")</f>
        <v>▪</v>
      </c>
      <c r="D124" s="498" t="s">
        <v>83</v>
      </c>
    </row>
    <row r="125" spans="1:4" ht="15" x14ac:dyDescent="0.25">
      <c r="A125" s="417"/>
      <c r="B125" s="476"/>
      <c r="C125" s="476"/>
      <c r="D125" s="501"/>
    </row>
    <row r="126" spans="1:4" ht="18.75" x14ac:dyDescent="0.3">
      <c r="A126" s="601" t="s">
        <v>931</v>
      </c>
      <c r="B126" s="602"/>
      <c r="C126" s="602"/>
      <c r="D126" s="603"/>
    </row>
    <row r="127" spans="1:4" ht="15" x14ac:dyDescent="0.25">
      <c r="A127" s="4"/>
      <c r="B127" s="46" t="s">
        <v>2</v>
      </c>
      <c r="C127" s="46"/>
      <c r="D127" s="498"/>
    </row>
    <row r="128" spans="1:4" ht="15" x14ac:dyDescent="0.25">
      <c r="A128" s="4"/>
      <c r="B128" s="46"/>
      <c r="C128" s="47" t="str">
        <f>IF(D128&lt;&gt;"","▪","")</f>
        <v>▪</v>
      </c>
      <c r="D128" s="498" t="s">
        <v>932</v>
      </c>
    </row>
    <row r="129" spans="1:4" ht="15" x14ac:dyDescent="0.25">
      <c r="A129" s="417"/>
      <c r="B129" s="476"/>
      <c r="C129" s="476"/>
      <c r="D129" s="501"/>
    </row>
    <row r="130" spans="1:4" ht="18.75" x14ac:dyDescent="0.3">
      <c r="A130" s="601" t="s">
        <v>933</v>
      </c>
      <c r="B130" s="602"/>
      <c r="C130" s="602"/>
      <c r="D130" s="603"/>
    </row>
    <row r="131" spans="1:4" ht="15" x14ac:dyDescent="0.25">
      <c r="A131" s="4"/>
      <c r="B131" s="46" t="s">
        <v>40</v>
      </c>
      <c r="C131" s="46"/>
      <c r="D131" s="498"/>
    </row>
    <row r="132" spans="1:4" ht="15" x14ac:dyDescent="0.25">
      <c r="A132" s="4"/>
      <c r="B132" s="46"/>
      <c r="C132" s="47" t="str">
        <f>IF(D132&lt;&gt;"","▪","")</f>
        <v>▪</v>
      </c>
      <c r="D132" s="498" t="s">
        <v>935</v>
      </c>
    </row>
    <row r="133" spans="1:4" ht="15" x14ac:dyDescent="0.25">
      <c r="A133" s="4"/>
      <c r="B133" s="46"/>
      <c r="C133" s="47" t="str">
        <f>IF(D133&lt;&gt;"","▪","")</f>
        <v>▪</v>
      </c>
      <c r="D133" s="498" t="s">
        <v>938</v>
      </c>
    </row>
    <row r="134" spans="1:4" ht="15" x14ac:dyDescent="0.25">
      <c r="A134" s="4"/>
      <c r="B134" s="46" t="s">
        <v>71</v>
      </c>
      <c r="C134" s="46"/>
      <c r="D134" s="498"/>
    </row>
    <row r="135" spans="1:4" ht="15" x14ac:dyDescent="0.25">
      <c r="A135" s="413"/>
      <c r="B135" s="46"/>
      <c r="C135" s="47" t="str">
        <f>IF(D135&lt;&gt;"","▪","")</f>
        <v>▪</v>
      </c>
      <c r="D135" s="498" t="s">
        <v>936</v>
      </c>
    </row>
    <row r="136" spans="1:4" ht="15" x14ac:dyDescent="0.25">
      <c r="A136" s="4"/>
      <c r="B136" s="46" t="s">
        <v>17</v>
      </c>
      <c r="C136" s="46"/>
      <c r="D136" s="498"/>
    </row>
    <row r="137" spans="1:4" ht="15" x14ac:dyDescent="0.2">
      <c r="A137" s="413"/>
      <c r="C137" s="47" t="str">
        <f>IF(D137&lt;&gt;"","▪","")</f>
        <v>▪</v>
      </c>
      <c r="D137" s="498" t="s">
        <v>934</v>
      </c>
    </row>
    <row r="138" spans="1:4" ht="15" x14ac:dyDescent="0.25">
      <c r="A138" s="417"/>
      <c r="B138" s="476"/>
      <c r="C138" s="476"/>
      <c r="D138" s="501"/>
    </row>
    <row r="139" spans="1:4" ht="18.75" x14ac:dyDescent="0.3">
      <c r="A139" s="601" t="s">
        <v>944</v>
      </c>
      <c r="B139" s="602"/>
      <c r="C139" s="602"/>
      <c r="D139" s="603"/>
    </row>
    <row r="140" spans="1:4" ht="15" x14ac:dyDescent="0.25">
      <c r="A140" s="4"/>
      <c r="B140" s="46" t="s">
        <v>40</v>
      </c>
      <c r="C140" s="46"/>
      <c r="D140" s="498"/>
    </row>
    <row r="141" spans="1:4" ht="25.5" x14ac:dyDescent="0.25">
      <c r="A141" s="4"/>
      <c r="B141" s="46"/>
      <c r="C141" s="47" t="str">
        <f>IF(D141&lt;&gt;"","▪","")</f>
        <v>▪</v>
      </c>
      <c r="D141" s="498" t="s">
        <v>949</v>
      </c>
    </row>
    <row r="142" spans="1:4" ht="15" x14ac:dyDescent="0.25">
      <c r="A142" s="4"/>
      <c r="B142" s="46" t="s">
        <v>23</v>
      </c>
      <c r="C142" s="46"/>
      <c r="D142" s="498"/>
    </row>
    <row r="143" spans="1:4" ht="15" x14ac:dyDescent="0.25">
      <c r="A143" s="413"/>
      <c r="B143" s="46"/>
      <c r="C143" s="47" t="str">
        <f>IF(D143&lt;&gt;"","▪","")</f>
        <v>▪</v>
      </c>
      <c r="D143" s="498" t="s">
        <v>945</v>
      </c>
    </row>
    <row r="144" spans="1:4" ht="15" x14ac:dyDescent="0.25">
      <c r="A144" s="4"/>
      <c r="B144" s="46" t="s">
        <v>11</v>
      </c>
      <c r="C144" s="46"/>
      <c r="D144" s="498"/>
    </row>
    <row r="145" spans="1:4" ht="15" x14ac:dyDescent="0.2">
      <c r="A145" s="413"/>
      <c r="C145" s="47" t="str">
        <f>IF(D145&lt;&gt;"","▪","")</f>
        <v>▪</v>
      </c>
      <c r="D145" s="498" t="s">
        <v>945</v>
      </c>
    </row>
    <row r="146" spans="1:4" ht="15" x14ac:dyDescent="0.25">
      <c r="A146" s="4"/>
      <c r="B146" s="46" t="s">
        <v>49</v>
      </c>
      <c r="C146" s="46"/>
      <c r="D146" s="498"/>
    </row>
    <row r="147" spans="1:4" ht="15" x14ac:dyDescent="0.2">
      <c r="A147" s="413"/>
      <c r="C147" s="47" t="str">
        <f>IF(D147&lt;&gt;"","▪","")</f>
        <v>▪</v>
      </c>
      <c r="D147" s="498" t="s">
        <v>946</v>
      </c>
    </row>
    <row r="148" spans="1:4" ht="15" x14ac:dyDescent="0.25">
      <c r="A148" s="4"/>
      <c r="B148" s="46" t="s">
        <v>20</v>
      </c>
      <c r="C148" s="46"/>
      <c r="D148" s="498"/>
    </row>
    <row r="149" spans="1:4" ht="15" x14ac:dyDescent="0.2">
      <c r="A149" s="413"/>
      <c r="C149" s="47" t="str">
        <f>IF(D149&lt;&gt;"","▪","")</f>
        <v>▪</v>
      </c>
      <c r="D149" s="498" t="s">
        <v>945</v>
      </c>
    </row>
    <row r="150" spans="1:4" ht="15" x14ac:dyDescent="0.25">
      <c r="A150" s="4"/>
      <c r="B150" s="46" t="s">
        <v>54</v>
      </c>
      <c r="C150" s="46"/>
      <c r="D150" s="498"/>
    </row>
    <row r="151" spans="1:4" ht="15" x14ac:dyDescent="0.2">
      <c r="A151" s="413"/>
      <c r="C151" s="47" t="str">
        <f>IF(D151&lt;&gt;"","▪","")</f>
        <v>▪</v>
      </c>
      <c r="D151" s="498" t="s">
        <v>947</v>
      </c>
    </row>
    <row r="152" spans="1:4" ht="15" x14ac:dyDescent="0.25">
      <c r="A152" s="4"/>
      <c r="B152" s="46" t="s">
        <v>71</v>
      </c>
      <c r="C152" s="46"/>
      <c r="D152" s="498"/>
    </row>
    <row r="153" spans="1:4" ht="15" x14ac:dyDescent="0.2">
      <c r="A153" s="413"/>
      <c r="C153" s="47" t="str">
        <f>IF(D153&lt;&gt;"","▪","")</f>
        <v>▪</v>
      </c>
      <c r="D153" s="498" t="s">
        <v>948</v>
      </c>
    </row>
    <row r="154" spans="1:4" ht="15" x14ac:dyDescent="0.25">
      <c r="A154" s="417"/>
      <c r="B154" s="476"/>
      <c r="C154" s="476"/>
      <c r="D154" s="501"/>
    </row>
    <row r="155" spans="1:4" ht="18.75" x14ac:dyDescent="0.3">
      <c r="A155" s="601" t="s">
        <v>951</v>
      </c>
      <c r="B155" s="602"/>
      <c r="C155" s="602"/>
      <c r="D155" s="603"/>
    </row>
    <row r="156" spans="1:4" ht="15" x14ac:dyDescent="0.25">
      <c r="A156" s="4"/>
      <c r="B156" s="46" t="s">
        <v>2</v>
      </c>
      <c r="C156" s="46"/>
      <c r="D156" s="498"/>
    </row>
    <row r="157" spans="1:4" ht="15" x14ac:dyDescent="0.25">
      <c r="A157" s="4"/>
      <c r="B157" s="46"/>
      <c r="C157" s="47" t="str">
        <f>IF(D157&lt;&gt;"","▪","")</f>
        <v>▪</v>
      </c>
      <c r="D157" s="498" t="s">
        <v>986</v>
      </c>
    </row>
    <row r="158" spans="1:4" ht="15" x14ac:dyDescent="0.25">
      <c r="A158" s="4"/>
      <c r="B158" s="46" t="s">
        <v>40</v>
      </c>
      <c r="C158" s="46"/>
      <c r="D158" s="498"/>
    </row>
    <row r="159" spans="1:4" ht="25.5" x14ac:dyDescent="0.25">
      <c r="A159" s="4"/>
      <c r="B159" s="46"/>
      <c r="C159" s="47" t="str">
        <f>IF(D159&lt;&gt;"","▪","")</f>
        <v>▪</v>
      </c>
      <c r="D159" s="498" t="s">
        <v>987</v>
      </c>
    </row>
    <row r="160" spans="1:4" ht="25.5" x14ac:dyDescent="0.25">
      <c r="A160" s="4"/>
      <c r="B160" s="46"/>
      <c r="C160" s="47" t="str">
        <f>IF(D160&lt;&gt;"","▪","")</f>
        <v>▪</v>
      </c>
      <c r="D160" s="498" t="s">
        <v>993</v>
      </c>
    </row>
    <row r="161" spans="1:4" ht="38.25" x14ac:dyDescent="0.25">
      <c r="A161" s="4"/>
      <c r="B161" s="46"/>
      <c r="C161" s="47" t="str">
        <f>IF(D161&lt;&gt;"","▪","")</f>
        <v>▪</v>
      </c>
      <c r="D161" s="498" t="s">
        <v>953</v>
      </c>
    </row>
    <row r="162" spans="1:4" ht="15" x14ac:dyDescent="0.25">
      <c r="A162" s="4"/>
      <c r="B162" s="46" t="s">
        <v>11</v>
      </c>
      <c r="C162" s="46"/>
      <c r="D162" s="498"/>
    </row>
    <row r="163" spans="1:4" ht="15" x14ac:dyDescent="0.2">
      <c r="A163" s="413"/>
      <c r="C163" s="47" t="str">
        <f>IF(D163&lt;&gt;"","▪","")</f>
        <v>▪</v>
      </c>
      <c r="D163" s="498" t="s">
        <v>983</v>
      </c>
    </row>
    <row r="164" spans="1:4" ht="15" x14ac:dyDescent="0.2">
      <c r="A164" s="413"/>
      <c r="C164" s="47" t="str">
        <f>IF(D164&lt;&gt;"","▪","")</f>
        <v>▪</v>
      </c>
      <c r="D164" s="498" t="s">
        <v>952</v>
      </c>
    </row>
    <row r="165" spans="1:4" ht="15" x14ac:dyDescent="0.2">
      <c r="A165" s="413"/>
      <c r="C165" s="47" t="str">
        <f>IF(D165&lt;&gt;"","▪","")</f>
        <v>▪</v>
      </c>
      <c r="D165" s="498" t="s">
        <v>997</v>
      </c>
    </row>
    <row r="166" spans="1:4" ht="15" x14ac:dyDescent="0.2">
      <c r="A166" s="413"/>
      <c r="C166" s="47" t="str">
        <f>IF(D166&lt;&gt;"","▪","")</f>
        <v>▪</v>
      </c>
      <c r="D166" s="498" t="s">
        <v>988</v>
      </c>
    </row>
    <row r="167" spans="1:4" ht="15" x14ac:dyDescent="0.2">
      <c r="A167" s="413"/>
      <c r="C167" s="47" t="str">
        <f>IF(D167&lt;&gt;"","▪","")</f>
        <v>▪</v>
      </c>
      <c r="D167" s="498" t="s">
        <v>989</v>
      </c>
    </row>
    <row r="168" spans="1:4" ht="15" x14ac:dyDescent="0.25">
      <c r="A168" s="4"/>
      <c r="B168" s="46" t="s">
        <v>20</v>
      </c>
      <c r="C168" s="46"/>
      <c r="D168" s="498"/>
    </row>
    <row r="169" spans="1:4" ht="25.5" x14ac:dyDescent="0.2">
      <c r="A169" s="413"/>
      <c r="C169" s="47" t="str">
        <f>IF(D169&lt;&gt;"","▪","")</f>
        <v>▪</v>
      </c>
      <c r="D169" s="498" t="s">
        <v>990</v>
      </c>
    </row>
    <row r="170" spans="1:4" ht="15" x14ac:dyDescent="0.2">
      <c r="A170" s="413"/>
      <c r="C170" s="47" t="str">
        <f t="shared" ref="C170:C171" si="2">IF(D170&lt;&gt;"","▪","")</f>
        <v>▪</v>
      </c>
      <c r="D170" s="498" t="s">
        <v>991</v>
      </c>
    </row>
    <row r="171" spans="1:4" ht="15" x14ac:dyDescent="0.2">
      <c r="A171" s="413"/>
      <c r="C171" s="47" t="str">
        <f t="shared" si="2"/>
        <v>▪</v>
      </c>
      <c r="D171" s="498" t="s">
        <v>992</v>
      </c>
    </row>
    <row r="172" spans="1:4" ht="15" x14ac:dyDescent="0.25">
      <c r="A172" s="4"/>
      <c r="B172" s="46" t="s">
        <v>54</v>
      </c>
      <c r="C172" s="46"/>
      <c r="D172" s="498"/>
    </row>
    <row r="173" spans="1:4" ht="15" x14ac:dyDescent="0.2">
      <c r="A173" s="413"/>
      <c r="C173" s="47" t="str">
        <f>IF(D173&lt;&gt;"","▪","")</f>
        <v>▪</v>
      </c>
      <c r="D173" s="498" t="s">
        <v>947</v>
      </c>
    </row>
    <row r="174" spans="1:4" ht="15" x14ac:dyDescent="0.25">
      <c r="A174" s="4"/>
      <c r="B174" s="46" t="s">
        <v>76</v>
      </c>
      <c r="C174" s="46"/>
      <c r="D174" s="498"/>
    </row>
    <row r="175" spans="1:4" ht="15" x14ac:dyDescent="0.2">
      <c r="A175" s="413"/>
      <c r="C175" s="47" t="str">
        <f>IF(D175&lt;&gt;"","▪","")</f>
        <v>▪</v>
      </c>
      <c r="D175" s="498" t="s">
        <v>984</v>
      </c>
    </row>
    <row r="176" spans="1:4" ht="15" x14ac:dyDescent="0.25">
      <c r="A176" s="4"/>
      <c r="B176" s="46" t="s">
        <v>17</v>
      </c>
      <c r="C176" s="46"/>
      <c r="D176" s="498"/>
    </row>
    <row r="177" spans="1:4" ht="15" x14ac:dyDescent="0.2">
      <c r="A177" s="413"/>
      <c r="C177" s="47" t="str">
        <f>IF(D177&lt;&gt;"","▪","")</f>
        <v>▪</v>
      </c>
      <c r="D177" s="498" t="s">
        <v>985</v>
      </c>
    </row>
    <row r="178" spans="1:4" ht="15" x14ac:dyDescent="0.25">
      <c r="A178" s="417"/>
      <c r="B178" s="476"/>
      <c r="C178" s="476"/>
      <c r="D178" s="501"/>
    </row>
    <row r="179" spans="1:4" ht="18.75" x14ac:dyDescent="0.3">
      <c r="A179" s="601" t="s">
        <v>999</v>
      </c>
      <c r="B179" s="602"/>
      <c r="C179" s="602"/>
      <c r="D179" s="603"/>
    </row>
    <row r="180" spans="1:4" ht="15" x14ac:dyDescent="0.25">
      <c r="A180" s="4"/>
      <c r="B180" s="46" t="s">
        <v>2</v>
      </c>
      <c r="C180" s="46"/>
      <c r="D180" s="498"/>
    </row>
    <row r="181" spans="1:4" ht="15" x14ac:dyDescent="0.25">
      <c r="A181" s="4"/>
      <c r="B181" s="46"/>
      <c r="C181" s="47" t="str">
        <f>IF(D181&lt;&gt;"","▪","")</f>
        <v>▪</v>
      </c>
      <c r="D181" s="498" t="s">
        <v>1000</v>
      </c>
    </row>
    <row r="182" spans="1:4" ht="15" x14ac:dyDescent="0.25">
      <c r="A182" s="4"/>
      <c r="B182" s="46" t="s">
        <v>40</v>
      </c>
      <c r="C182" s="46"/>
      <c r="D182" s="498"/>
    </row>
    <row r="183" spans="1:4" ht="15" x14ac:dyDescent="0.25">
      <c r="A183" s="4"/>
      <c r="B183" s="46"/>
      <c r="C183" s="47" t="str">
        <f>IF(D183&lt;&gt;"","▪","")</f>
        <v>▪</v>
      </c>
      <c r="D183" s="498" t="s">
        <v>1001</v>
      </c>
    </row>
    <row r="184" spans="1:4" ht="15" x14ac:dyDescent="0.25">
      <c r="A184" s="4"/>
      <c r="B184" s="46"/>
      <c r="C184" s="47" t="str">
        <f>IF(D184&lt;&gt;"","▪","")</f>
        <v>▪</v>
      </c>
      <c r="D184" s="498" t="s">
        <v>1002</v>
      </c>
    </row>
    <row r="185" spans="1:4" ht="15" x14ac:dyDescent="0.25">
      <c r="A185" s="417"/>
      <c r="B185" s="476"/>
      <c r="C185" s="476"/>
      <c r="D185" s="501"/>
    </row>
  </sheetData>
  <sheetProtection algorithmName="SHA-512" hashValue="WcPxdwezxGVGA6Fdfckj5oC+SASDE9EDV4gNg8qEhr6XQOK9DB5xqVexxk6anWczDNoj9oUtNkn87l2zChx61w==" saltValue="w0efRp1tvK9Giruk4GQylQ==" spinCount="100000" sheet="1" objects="1" scenarios="1" autoFilter="0"/>
  <phoneticPr fontId="38" type="noConversion"/>
  <pageMargins left="0.78740157480314998" right="0.78740157480314998" top="0.78740157480314998" bottom="0.78740157480314998" header="5.7086614173228396" footer="0.59055118110236204"/>
  <pageSetup paperSize="9" scale="58" firstPageNumber="0" fitToHeight="0" orientation="portrait" horizontalDpi="300" verticalDpi="300" r:id="rId1"/>
  <headerFooter alignWithMargins="0">
    <oddHeader>&amp;L_</oddHeader>
    <oddFooter>&amp;LPMv3.14&amp;R&amp;P / &amp;N</oddFooter>
  </headerFooter>
  <rowBreaks count="2" manualBreakCount="2">
    <brk id="53" max="16383" man="1"/>
    <brk id="129" max="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7">
    <pageSetUpPr fitToPage="1"/>
  </sheetPr>
  <dimension ref="A1:AE37"/>
  <sheetViews>
    <sheetView showGridLines="0" zoomScaleNormal="100" zoomScaleSheetLayoutView="90" workbookViewId="0">
      <pane xSplit="7" ySplit="13" topLeftCell="H14" activePane="bottomRight" state="frozen"/>
      <selection pane="topRight" activeCell="H1" sqref="H1"/>
      <selection pane="bottomLeft" activeCell="C14" sqref="C14"/>
      <selection pane="bottomRight"/>
    </sheetView>
  </sheetViews>
  <sheetFormatPr defaultRowHeight="12.75" x14ac:dyDescent="0.2"/>
  <cols>
    <col min="1" max="1" width="15.85546875" hidden="1" customWidth="1"/>
    <col min="2" max="2" width="10.42578125" hidden="1" customWidth="1"/>
    <col min="3" max="3" width="3.5703125" customWidth="1"/>
    <col min="4" max="4" width="6.5703125" customWidth="1"/>
    <col min="5" max="5" width="18.5703125" customWidth="1"/>
    <col min="6" max="6" width="28.5703125" customWidth="1"/>
    <col min="7" max="7" width="35.5703125" customWidth="1"/>
    <col min="8" max="8" width="15.5703125" customWidth="1"/>
    <col min="9" max="9" width="12.5703125" customWidth="1"/>
    <col min="10" max="10" width="7.5703125" customWidth="1"/>
    <col min="11" max="15" width="16.5703125" customWidth="1"/>
    <col min="16" max="17" width="5.5703125" customWidth="1"/>
    <col min="18" max="18" width="35.5703125" customWidth="1"/>
    <col min="19" max="19" width="1.5703125" customWidth="1"/>
    <col min="20" max="21" width="16.5703125" customWidth="1"/>
    <col min="22" max="22" width="13.5703125" customWidth="1"/>
    <col min="23" max="24" width="16.5703125" customWidth="1"/>
    <col min="25" max="25" width="1.5703125" customWidth="1"/>
    <col min="26" max="28" width="9.140625" hidden="1" customWidth="1"/>
    <col min="29" max="29" width="3.5703125" hidden="1" customWidth="1"/>
    <col min="30" max="30" width="13.42578125" hidden="1" customWidth="1"/>
    <col min="31" max="31" width="9.140625" hidden="1" customWidth="1"/>
  </cols>
  <sheetData>
    <row r="1" spans="1:31" ht="30" customHeight="1" x14ac:dyDescent="0.2">
      <c r="A1" s="653" t="s">
        <v>980</v>
      </c>
      <c r="F1" s="271" t="s">
        <v>805</v>
      </c>
      <c r="I1" s="8"/>
      <c r="J1" s="8"/>
      <c r="O1" s="491" t="s">
        <v>757</v>
      </c>
      <c r="P1" s="85"/>
    </row>
    <row r="2" spans="1:31" x14ac:dyDescent="0.2">
      <c r="A2" t="s">
        <v>975</v>
      </c>
      <c r="Z2" t="s">
        <v>806</v>
      </c>
      <c r="AA2" s="87" t="s">
        <v>807</v>
      </c>
      <c r="AB2" s="76"/>
    </row>
    <row r="3" spans="1:31" x14ac:dyDescent="0.2">
      <c r="A3" t="s">
        <v>976</v>
      </c>
      <c r="D3" s="699" t="s">
        <v>650</v>
      </c>
      <c r="E3" s="699"/>
      <c r="F3" s="86" t="s">
        <v>707</v>
      </c>
      <c r="G3" s="699" t="s">
        <v>652</v>
      </c>
      <c r="H3" s="699"/>
      <c r="I3" s="699"/>
      <c r="J3" s="780" t="s">
        <v>808</v>
      </c>
      <c r="K3" s="780"/>
      <c r="L3" s="780"/>
      <c r="M3" s="781" t="s">
        <v>809</v>
      </c>
      <c r="N3" s="781"/>
      <c r="O3" s="781"/>
      <c r="Z3" s="101">
        <f ca="1">MAX(Z7:AB7)</f>
        <v>2.819114770898436E-3</v>
      </c>
      <c r="AA3" s="272" cm="1">
        <f t="array" aca="1" ref="AA3" ca="1">IF(OR($O$24=ORÇAMENTO.SumINVMANUAL+QCI.SumINVMANUAL,$O$24=0),0,MIN(MAX(0,($Z$3*$O$24-ORÇAMENTO.SumCPMANUAL-QCI.SumCPMANUAL)/($O$24-ORÇAMENTO.SumINVMANUAL-QCI.SumINVMANUAL)),1))</f>
        <v>2.819114770898436E-3</v>
      </c>
      <c r="AB3" s="91"/>
    </row>
    <row r="4" spans="1:31" x14ac:dyDescent="0.2">
      <c r="A4" t="s">
        <v>977</v>
      </c>
      <c r="D4" s="702">
        <f>Import.CR</f>
        <v>0</v>
      </c>
      <c r="E4" s="702"/>
      <c r="F4" s="55" t="str">
        <f>Import.TransfereGOV</f>
        <v>948148</v>
      </c>
      <c r="G4" s="702" t="str">
        <f>Import.Proponente</f>
        <v>18.029.165/0001-51</v>
      </c>
      <c r="H4" s="702"/>
      <c r="I4" s="702"/>
      <c r="J4" s="782" t="str">
        <f>Import.Município</f>
        <v>Liberdade - MG</v>
      </c>
      <c r="K4" s="782"/>
      <c r="L4" s="782"/>
      <c r="M4" s="781"/>
      <c r="N4" s="781"/>
      <c r="O4" s="781"/>
      <c r="R4" s="128"/>
      <c r="Z4" s="91"/>
      <c r="AA4" s="91"/>
      <c r="AB4" s="91"/>
    </row>
    <row r="5" spans="1:31" ht="5.0999999999999996" customHeight="1" x14ac:dyDescent="0.2">
      <c r="A5" t="s">
        <v>978</v>
      </c>
      <c r="M5" s="264"/>
      <c r="O5" s="4"/>
    </row>
    <row r="6" spans="1:31" x14ac:dyDescent="0.2">
      <c r="A6" t="s">
        <v>979</v>
      </c>
      <c r="D6" s="699" t="s">
        <v>708</v>
      </c>
      <c r="E6" s="699"/>
      <c r="F6" s="699"/>
      <c r="G6" s="699"/>
      <c r="H6" s="699"/>
      <c r="I6" s="699"/>
      <c r="J6" s="699"/>
      <c r="K6" s="699"/>
      <c r="L6" s="273" t="s">
        <v>715</v>
      </c>
      <c r="M6" s="86" t="str">
        <f>IF(import.recurso="FGTS","FINANCIAMENTO","REPASSE")</f>
        <v>REPASSE</v>
      </c>
      <c r="N6" s="86" t="s">
        <v>810</v>
      </c>
      <c r="O6" s="86" t="s">
        <v>811</v>
      </c>
      <c r="Z6" t="s">
        <v>812</v>
      </c>
      <c r="AA6" t="s">
        <v>813</v>
      </c>
      <c r="AB6" t="s">
        <v>814</v>
      </c>
    </row>
    <row r="7" spans="1:31" ht="12.75" customHeight="1" x14ac:dyDescent="0.2">
      <c r="A7" s="657" t="s">
        <v>982</v>
      </c>
      <c r="C7" s="692" t="s">
        <v>655</v>
      </c>
      <c r="D7" s="702" t="str">
        <f>Import.Apelido</f>
        <v>Construção de ponte e pavimentação de estrada vicinal</v>
      </c>
      <c r="E7" s="702"/>
      <c r="F7" s="702"/>
      <c r="G7" s="702"/>
      <c r="H7" s="702"/>
      <c r="I7" s="702"/>
      <c r="J7" s="702"/>
      <c r="K7" s="702"/>
      <c r="L7" s="274" t="str">
        <f>import.recurso</f>
        <v>OGU</v>
      </c>
      <c r="M7" s="275">
        <f>Import.Repasse</f>
        <v>1249036</v>
      </c>
      <c r="N7" s="275">
        <f>Import.Contrapartida</f>
        <v>5462.18</v>
      </c>
      <c r="O7" s="275">
        <f>M7+N7</f>
        <v>1254498.18</v>
      </c>
      <c r="Z7" s="101">
        <f>ROUND(Import.CPMinPerc,4)</f>
        <v>1E-3</v>
      </c>
      <c r="AA7" s="101">
        <f ca="1">IF($O$24=0,0,Import.CPMinAbsoluta/$O$24)</f>
        <v>2.819114770898436E-3</v>
      </c>
      <c r="AB7" s="101">
        <f ca="1">IF($O$24=0,0,($O$24-$AB$24-Import.Repasse)/($O$24))</f>
        <v>-0.17372527899463291</v>
      </c>
    </row>
    <row r="8" spans="1:31" x14ac:dyDescent="0.2">
      <c r="A8" t="s">
        <v>819</v>
      </c>
      <c r="C8" s="692"/>
      <c r="D8" s="91"/>
      <c r="E8" s="91"/>
      <c r="F8" s="276"/>
      <c r="G8" s="91"/>
      <c r="H8" s="91"/>
      <c r="I8" s="91"/>
      <c r="J8" s="91"/>
      <c r="K8" s="91"/>
      <c r="L8" s="91"/>
      <c r="M8" s="91"/>
      <c r="N8" s="91"/>
      <c r="O8" s="91"/>
    </row>
    <row r="9" spans="1:31" ht="12.75" customHeight="1" x14ac:dyDescent="0.2">
      <c r="A9" t="s">
        <v>981</v>
      </c>
      <c r="C9" s="692"/>
      <c r="G9" s="779" t="str">
        <f ca="1">IF($T$11&lt;&gt;"","PREENCHIMENTO INCOMPLETO DA TABELA AUXILIAR DO QCI",
  IF($G$11&lt;&gt;"","PREENCHIMENTO INCOMPLETO DA TABELA PRINCIPAL DO QCI",
  IF(AND($O$24&gt;0,$M$25&gt;Import.CPMaxPerc,Import.CPMaxPerc&gt;0),"ERRO: CONTRAPARTIDA MAIOR QUE A MÁXIMA",
  IF(OR(AND($O$24&gt;0,$M$25&lt;QCI!$Z$7),$M$24&lt;ROUND(Import.CPMinAbsoluta,2)),"ERRO: CONTRAPARTIDA MENOR QUE A MÍNIMA",
  IF(OR($L$10&lt;0,$M$10&lt;0),"ERRO: SALDO NEGATIVO",
  IF(COUNTIF($L$13:$L$24,"&lt;0")&gt;0,"ERRO: VALORES DE REPASSE NEGATIVOS",
  IF(OFFSET($A$24,-1,0)&lt;OFFSET(ORÇAMENTO!$E$55,-1,0),"ERRO: NÚMERO DE LINHAS DO QCI INSUFICIENTE. CLIQUE NO BOTÃO ADICIONAR LINHAS",
  "")))))))</f>
        <v/>
      </c>
      <c r="H9" s="779"/>
      <c r="I9" s="511"/>
      <c r="J9" s="510"/>
      <c r="K9" s="778" t="s">
        <v>815</v>
      </c>
      <c r="L9" s="277" t="str">
        <f>$L$13</f>
        <v>Repasse (R$)</v>
      </c>
      <c r="M9" s="277" t="s">
        <v>741</v>
      </c>
      <c r="AD9" s="776"/>
      <c r="AE9" s="776"/>
    </row>
    <row r="10" spans="1:31" ht="12.75" customHeight="1" x14ac:dyDescent="0.2">
      <c r="A10" s="775" t="s">
        <v>816</v>
      </c>
      <c r="C10" s="692"/>
      <c r="G10" s="779"/>
      <c r="H10" s="779"/>
      <c r="I10" s="511"/>
      <c r="J10" s="510"/>
      <c r="K10" s="778"/>
      <c r="L10" s="278">
        <f ca="1">Import.Repasse-L24</f>
        <v>187872.15999999992</v>
      </c>
      <c r="M10" s="279">
        <f ca="1">Import.Contrapartida-M24</f>
        <v>2462.1800000000003</v>
      </c>
      <c r="Z10" s="712" t="s">
        <v>721</v>
      </c>
      <c r="AA10" s="712"/>
      <c r="AB10" s="712"/>
      <c r="AD10" s="776" t="s">
        <v>817</v>
      </c>
      <c r="AE10" s="776"/>
    </row>
    <row r="11" spans="1:31" ht="20.100000000000001" customHeight="1" x14ac:dyDescent="0.25">
      <c r="A11" s="775"/>
      <c r="C11" s="692"/>
      <c r="G11" s="581" t="str">
        <f ca="1">IF(COUNTIF($P$13:$P$24,"ITEM")&gt;0,"Falta definir o ITEM de Investimento da Meta "&amp;INDEX($D$13:$D$24,MATCH("ITEM",$P$13:$P$24,0)),
  IF(COUNTIF($P$13:$P$24,"SUBITEM")&gt;0,"Falta definir o SUBITEM de Investimento da Meta "&amp;INDEX($D$13:$D$24,MATCH("SUBITEM",$P$13:$P$24,0)),
  IF(COUNTIF($P$13:$P$24,"SITUAÇÃO")&gt;0,"Falta definir a SITUAÇÃO do Investimento da Meta "&amp;INDEX($D$13:$D$24,MATCH("SITUAÇÃO",$P$13:$P$24,0)),
  IF(COUNTIF($P$13:$P$24,"QUANT.")&gt;0,"Falta preencher a QUANTIDADE da Meta "&amp;INDEX($D$13:$D$24,MATCH("QUANT.",$P$13:$P$24,0)),
  ""))))</f>
        <v/>
      </c>
      <c r="T11" s="520" t="str">
        <f>IF(COUNTIF($S$13:$S$24,"► LOTE")&gt;0,"Falta preencher o LOTE/CTEF da Meta "&amp;INDEX($D$13:$D$24,MATCH("► LOTE",$S$13:$S$24,0)),
  IF(COUNTIF($S$13:$S$24,"► INVEST")&gt;0,"Falta preencher o valor do INVESTIMENTO da Meta "&amp;INDEX($D$13:$D$24,MATCH("► INVEST",$S$13:$S$24,0)),
  IF(COUNTIF($S$13:$S$24,"► DIV")&gt;0,"Falta definir a DIVISÃO do Investimento da Meta "&amp;INDEX($D$13:$D$24,MATCH("► DIV",$S$13:$S$24,0)),
  IF(COUNTIF($S$13:$S$24,"► CP")&gt;0,"Falta preencher o valor da CONTRAPARTIDA da Meta "&amp;INDEX($D$13:$D$24,MATCH("► CP",$S$13:$S$24,0)),
  IF(COUNTIF($S$13:$S$24,"► OU")&gt;0,"Falta preencher o valor de OUTROS recursos da Meta "&amp;INDEX($D$13:$D$24,MATCH("► OU",$S$13:$S$24,0)),
  "")))))</f>
        <v/>
      </c>
      <c r="Z11" s="109" t="s">
        <v>818</v>
      </c>
      <c r="AA11" s="109" t="s">
        <v>741</v>
      </c>
      <c r="AB11" s="110" t="s">
        <v>742</v>
      </c>
    </row>
    <row r="12" spans="1:31" ht="30" hidden="1" customHeight="1" x14ac:dyDescent="0.2">
      <c r="A12">
        <f ca="1">IF(NOT(ISBLANK(QCI.DescManual)),OFFSET(A12,-1,0),D12)</f>
        <v>-1</v>
      </c>
      <c r="B12" t="str">
        <f ca="1">IF(NOT(ISBLANK(QCI.DescManual)),IF(QCI.Divisao="Calculado","Manual","SemiAuto"),IF(ISERROR(MATCH($A12,ORÇAMENTO!$E$15:$E$55,0)),"Branco","Automático"))</f>
        <v>Branco</v>
      </c>
      <c r="C12" t="str">
        <f ca="1">IF(O12&gt;0,"F","")</f>
        <v/>
      </c>
      <c r="D12" s="280">
        <f>ROW()-ROW($D$13)</f>
        <v>-1</v>
      </c>
      <c r="E12" s="117"/>
      <c r="F12" s="117"/>
      <c r="G12" s="162" t="str">
        <f ca="1">IF(OR($B12="Manual",$B12="SemiAuto"),QCI.DescManual,IF($B12="Automático",INDEX(ORÇAMENTO!$R$15:$R$55,MATCH($A12,ORÇAMENTO!$E$15:$E$55,0)),""))</f>
        <v/>
      </c>
      <c r="H12" s="117"/>
      <c r="I12" s="463"/>
      <c r="J12" s="281" t="str">
        <f ca="1">IF(AND(ISBLANK(E12),ISBLANK(F12)),"",VLOOKUP($F12,OFFSET(DADOS!$A$2,1,MATCH(QCI!$E12,DADOS!$2:$2,0)-1,100,50),2,FALSE))</f>
        <v/>
      </c>
      <c r="K12" s="462" t="str" cm="1">
        <f t="array" aca="1" ref="K12" ca="1">IF(OR($B12="Manual",$B12="SemiAuto"),QCI.LoteManual,IF($B12="Automático",IF(TIPOORCAMENTO="Licitado",Import.CTEF,"LOTE 1"),""))</f>
        <v/>
      </c>
      <c r="L12" s="282">
        <f ca="1">ROUND($O12,2)-ROUND($M12,2)-ROUND($N12,2)</f>
        <v>0</v>
      </c>
      <c r="M12" s="283">
        <f ca="1">ROUND($AA12,2)-ROUND($AE12,2)</f>
        <v>0</v>
      </c>
      <c r="N12" s="284">
        <f ca="1">ROUND($AB12,2)</f>
        <v>0</v>
      </c>
      <c r="O12" s="285" cm="1">
        <f t="array" aca="1" ref="O12" ca="1">IF($B12="Branco",0,IF(OR($B12="Manual",$B12="SemiAuto"),QCI.InvManual,INDEX(ORÇAMENTO!X$15:X$55,MATCH($A12,ORÇAMENTO!$E$15:$E$55,0))))</f>
        <v>0</v>
      </c>
      <c r="P12" s="576" t="str">
        <f ca="1">IF(O12=0,"",
  IF(E12="","ITEM",
  IF(F12="","SUBITEM",
  IF(H12="","SITUAÇÃO",
  IF(I12=0,"QUANT.","")))))</f>
        <v/>
      </c>
      <c r="R12" s="464"/>
      <c r="S12" s="577" t="str">
        <f>IF(R12="","",
  IF(T12=0,"► LOTE",
  IF(U12=0,"► INVEST",
  IF(V12=0,"► DIV",
  IF(AND(V12="Calculado",W12=""),"► CP",
  IF(AND(V12="Calculado",X12=""),"► OU",""))))))</f>
        <v/>
      </c>
      <c r="T12" s="465"/>
      <c r="U12" s="578"/>
      <c r="V12" s="466" t="s">
        <v>819</v>
      </c>
      <c r="W12" s="579"/>
      <c r="X12" s="580"/>
      <c r="Z12">
        <f ca="1">$O12-$AA12-$AB12</f>
        <v>0</v>
      </c>
      <c r="AA12" cm="1">
        <f t="array" aca="1" ref="AA12" ca="1">IF($B12="Branco",0,IF($B12="Manual",QCI.CPManual,IF($B12="SemiAuto",ROUND(QCI!$AA$3*QCI.InvManual,2),INDEX(ORÇAMENTO!$AA$15:$AA$55,MATCH($A12,ORÇAMENTO!$E$15:$E$55,0)))))</f>
        <v>0</v>
      </c>
      <c r="AB12" cm="1">
        <f t="array" aca="1" ref="AB12" ca="1">IF($B12="Branco",0,IF($B12="Manual",QCI.OutrosManual,IF($B12="SemiAuto",0,INDEX(ORÇAMENTO!$AB$15:$AB$55,MATCH($A12,ORÇAMENTO!$E$15:$E$55,0)))))</f>
        <v>0</v>
      </c>
      <c r="AD12" s="288" t="b">
        <f ca="1">AND($AA$3&gt;0,$AA$3&lt;1,$O12&gt;0,OR($B12="Automático",$B12="SemiAuto"),OR(QCI!$Z$3=QCI!$Z$7,QCI!$Z$3=QCI!$AA$7,QCI!$Z$3=QCI!$AB$7))</f>
        <v>0</v>
      </c>
      <c r="AE12" s="288">
        <f ca="1">IF(AND($AD12,$O12&gt;0,COUNTIF(OFFSET($AD12,1,0):$AD$24,TRUE)=0),CHOOSE(1+LOG(1+2*(QCI!$Z$3=QCI!$Z$7)+4*(QCI!$Z$3=QCI!$AA$7)+8*(QCI!$Z$3=QCI!$AB$7),2),0,$AA$24-ROUND(Import.CPMinPerc*$O$24,2),$AA$24-Import.CPMinAbsoluta,Import.Repasse-$Z$24),0)</f>
        <v>0</v>
      </c>
    </row>
    <row r="13" spans="1:31" ht="25.5" customHeight="1" x14ac:dyDescent="0.2">
      <c r="A13" s="85">
        <v>0</v>
      </c>
      <c r="B13" s="289" t="s">
        <v>820</v>
      </c>
      <c r="C13" s="105" t="s">
        <v>660</v>
      </c>
      <c r="D13" s="106" t="s">
        <v>701</v>
      </c>
      <c r="E13" s="106" t="s">
        <v>821</v>
      </c>
      <c r="F13" s="106" t="s">
        <v>822</v>
      </c>
      <c r="G13" s="106" t="s">
        <v>823</v>
      </c>
      <c r="H13" s="106" t="s">
        <v>669</v>
      </c>
      <c r="I13" s="106" t="s">
        <v>712</v>
      </c>
      <c r="J13" s="106" t="s">
        <v>824</v>
      </c>
      <c r="K13" s="106" t="s">
        <v>825</v>
      </c>
      <c r="L13" s="644" t="str">
        <f>IF(import.recurso="FGTS","Financiamento (R$)","Repasse (R$)")</f>
        <v>Repasse (R$)</v>
      </c>
      <c r="M13" s="645" t="s">
        <v>826</v>
      </c>
      <c r="N13" s="290" t="s">
        <v>742</v>
      </c>
      <c r="O13" s="106" t="s">
        <v>827</v>
      </c>
      <c r="R13" s="291" t="s">
        <v>823</v>
      </c>
      <c r="T13" s="291" t="s">
        <v>825</v>
      </c>
      <c r="U13" s="158" t="s">
        <v>827</v>
      </c>
      <c r="V13" s="292" t="s">
        <v>828</v>
      </c>
      <c r="W13" s="157" t="s">
        <v>826</v>
      </c>
      <c r="X13" s="159" t="s">
        <v>742</v>
      </c>
    </row>
    <row r="14" spans="1:31" ht="30" customHeight="1" x14ac:dyDescent="0.2">
      <c r="A14">
        <f t="shared" ref="A14:A23" ca="1" si="0">IF(NOT(ISBLANK(QCI.DescManual)),OFFSET(A14,-1,0),D14)</f>
        <v>1</v>
      </c>
      <c r="B14" t="str">
        <f ca="1">IF(NOT(ISBLANK(QCI.DescManual)),IF(QCI.Divisao="Calculado","Manual","SemiAuto"),IF(ISERROR(MATCH($A14,ORÇAMENTO!$E$15:$E$55,0)),"Branco","Automático"))</f>
        <v>Automático</v>
      </c>
      <c r="C14" t="str">
        <f t="shared" ref="C14:C22" ca="1" si="1">IF(O14&gt;0,"F","")</f>
        <v>F</v>
      </c>
      <c r="D14" s="280">
        <f t="shared" ref="D14:D22" si="2">ROW()-ROW($D$13)</f>
        <v>1</v>
      </c>
      <c r="E14" s="117" t="s">
        <v>102</v>
      </c>
      <c r="F14" s="117" t="s">
        <v>182</v>
      </c>
      <c r="G14" s="162" t="str">
        <f ca="1">IF(OR($B14="Manual",$B14="SemiAuto"),QCI.DescManual,IF($B14="Automático",INDEX(ORÇAMENTO!$R$15:$R$55,MATCH($A14,ORÇAMENTO!$E$15:$E$55,0)),""))</f>
        <v>CONSTRUÇÃO DE PONTE E PAVIMENTAÇÃO DE ESTRADA VICINAL</v>
      </c>
      <c r="H14" s="117" t="s">
        <v>976</v>
      </c>
      <c r="I14" s="463">
        <v>1685.74</v>
      </c>
      <c r="J14" s="281" t="str">
        <f ca="1">IF(AND(ISBLANK(E14),ISBLANK(F14)),"",VLOOKUP($F14,OFFSET(DADOS!$A$2,1,MATCH(QCI!$E14,DADOS!$2:$2,0)-1,100,50),2,FALSE))</f>
        <v>m²</v>
      </c>
      <c r="K14" s="462" t="str" cm="1">
        <f t="array" aca="1" ref="K14" ca="1">IF(OR($B14="Manual",$B14="SemiAuto"),QCI.LoteManual,IF($B14="Automático",IF(TIPOORCAMENTO="Licitado",Import.CTEF,"LOTE 1"),""))</f>
        <v>LOTE 1</v>
      </c>
      <c r="L14" s="282">
        <f t="shared" ref="L14:L22" ca="1" si="3">ROUND($O14,2)-ROUND($M14,2)-ROUND($N14,2)</f>
        <v>1061163.8400000001</v>
      </c>
      <c r="M14" s="283">
        <f t="shared" ref="M14:M22" ca="1" si="4">ROUND($AA14,2)-ROUND($AE14,2)</f>
        <v>3000</v>
      </c>
      <c r="N14" s="284">
        <f t="shared" ref="N14:N22" ca="1" si="5">ROUND($AB14,2)</f>
        <v>0</v>
      </c>
      <c r="O14" s="285" cm="1">
        <f t="array" aca="1" ref="O14" ca="1">IF($B14="Branco",0,IF(OR($B14="Manual",$B14="SemiAuto"),QCI.InvManual,INDEX(ORÇAMENTO!X$15:X$55,MATCH($A14,ORÇAMENTO!$E$15:$E$55,0))))</f>
        <v>1064163.8400000001</v>
      </c>
      <c r="P14" s="576" t="str">
        <f t="shared" ref="P14:P22" ca="1" si="6">IF(O14=0,"",
  IF(E14="","ITEM",
  IF(F14="","SUBITEM",
  IF(H14="","SITUAÇÃO",
  IF(I14=0,"QUANT.","")))))</f>
        <v/>
      </c>
      <c r="R14" s="464"/>
      <c r="S14" s="577" t="str">
        <f t="shared" ref="S14:S22" si="7">IF(R14="","",
  IF(T14=0,"► LOTE",
  IF(U14=0,"► INVEST",
  IF(V14=0,"► DIV",
  IF(AND(V14="Calculado",W14=""),"► CP",
  IF(AND(V14="Calculado",X14=""),"► OU",""))))))</f>
        <v/>
      </c>
      <c r="T14" s="465"/>
      <c r="U14" s="578"/>
      <c r="V14" s="466" t="s">
        <v>819</v>
      </c>
      <c r="W14" s="579"/>
      <c r="X14" s="580"/>
      <c r="Z14">
        <f t="shared" ref="Z14:Z22" ca="1" si="8">$O14-$AA14-$AB14</f>
        <v>1061163.8400000001</v>
      </c>
      <c r="AA14" cm="1">
        <f t="array" aca="1" ref="AA14" ca="1">IF($B14="Branco",0,IF($B14="Manual",QCI.CPManual,IF($B14="SemiAuto",ROUND(QCI!$AA$3*QCI.InvManual,2),INDEX(ORÇAMENTO!$AA$15:$AA$55,MATCH($A14,ORÇAMENTO!$E$15:$E$55,0)))))</f>
        <v>2999.9999999999995</v>
      </c>
      <c r="AB14" cm="1">
        <f t="array" aca="1" ref="AB14" ca="1">IF($B14="Branco",0,IF($B14="Manual",QCI.OutrosManual,IF($B14="SemiAuto",0,INDEX(ORÇAMENTO!$AB$15:$AB$55,MATCH($A14,ORÇAMENTO!$E$15:$E$55,0)))))</f>
        <v>0</v>
      </c>
      <c r="AD14" s="288" t="b">
        <f ca="1">AND($AA$3&gt;0,$AA$3&lt;1,$O14&gt;0,OR($B14="Automático",$B14="SemiAuto"),OR(QCI!$Z$3=QCI!$Z$7,QCI!$Z$3=QCI!$AA$7,QCI!$Z$3=QCI!$AB$7))</f>
        <v>1</v>
      </c>
      <c r="AE14" s="288">
        <f ca="1">IF(AND($AD14,$O14&gt;0,COUNTIF(OFFSET($AD14,1,0):$AD$24,TRUE)=0),CHOOSE(1+LOG(1+2*(QCI!$Z$3=QCI!$Z$7)+4*(QCI!$Z$3=QCI!$AA$7)+8*(QCI!$Z$3=QCI!$AB$7),2),0,$AA$24-ROUND(Import.CPMinPerc*$O$24,2),$AA$24-Import.CPMinAbsoluta,Import.Repasse-$Z$24),0)</f>
        <v>0</v>
      </c>
    </row>
    <row r="15" spans="1:31" ht="30" customHeight="1" x14ac:dyDescent="0.2">
      <c r="A15">
        <f t="shared" ca="1" si="0"/>
        <v>2</v>
      </c>
      <c r="B15" t="str">
        <f ca="1">IF(NOT(ISBLANK(QCI.DescManual)),IF(QCI.Divisao="Calculado","Manual","SemiAuto"),IF(ISERROR(MATCH($A15,ORÇAMENTO!$E$15:$E$55,0)),"Branco","Automático"))</f>
        <v>Branco</v>
      </c>
      <c r="C15" t="str">
        <f t="shared" ca="1" si="1"/>
        <v/>
      </c>
      <c r="D15" s="280">
        <f t="shared" si="2"/>
        <v>2</v>
      </c>
      <c r="E15" s="117"/>
      <c r="F15" s="117"/>
      <c r="G15" s="162" t="str">
        <f ca="1">IF(OR($B15="Manual",$B15="SemiAuto"),QCI.DescManual,IF($B15="Automático",INDEX(ORÇAMENTO!$R$15:$R$55,MATCH($A15,ORÇAMENTO!$E$15:$E$55,0)),""))</f>
        <v/>
      </c>
      <c r="H15" s="117"/>
      <c r="I15" s="463"/>
      <c r="J15" s="281" t="str">
        <f ca="1">IF(AND(ISBLANK(E15),ISBLANK(F15)),"",VLOOKUP($F15,OFFSET(DADOS!$A$2,1,MATCH(QCI!$E15,DADOS!$2:$2,0)-1,100,50),2,FALSE))</f>
        <v/>
      </c>
      <c r="K15" s="462" t="str" cm="1">
        <f t="array" aca="1" ref="K15" ca="1">IF(OR($B15="Manual",$B15="SemiAuto"),QCI.LoteManual,IF($B15="Automático",IF(TIPOORCAMENTO="Licitado",Import.CTEF,"LOTE 1"),""))</f>
        <v/>
      </c>
      <c r="L15" s="282">
        <f t="shared" ca="1" si="3"/>
        <v>0</v>
      </c>
      <c r="M15" s="283">
        <f t="shared" ca="1" si="4"/>
        <v>0</v>
      </c>
      <c r="N15" s="284">
        <f t="shared" ca="1" si="5"/>
        <v>0</v>
      </c>
      <c r="O15" s="285" cm="1">
        <f t="array" aca="1" ref="O15" ca="1">IF($B15="Branco",0,IF(OR($B15="Manual",$B15="SemiAuto"),QCI.InvManual,INDEX(ORÇAMENTO!X$15:X$55,MATCH($A15,ORÇAMENTO!$E$15:$E$55,0))))</f>
        <v>0</v>
      </c>
      <c r="P15" s="576" t="str">
        <f t="shared" ca="1" si="6"/>
        <v/>
      </c>
      <c r="R15" s="464"/>
      <c r="S15" s="577" t="str">
        <f t="shared" si="7"/>
        <v/>
      </c>
      <c r="T15" s="465"/>
      <c r="U15" s="578"/>
      <c r="V15" s="466" t="s">
        <v>819</v>
      </c>
      <c r="W15" s="579"/>
      <c r="X15" s="580"/>
      <c r="Z15">
        <f t="shared" ca="1" si="8"/>
        <v>0</v>
      </c>
      <c r="AA15" cm="1">
        <f t="array" aca="1" ref="AA15" ca="1">IF($B15="Branco",0,IF($B15="Manual",QCI.CPManual,IF($B15="SemiAuto",ROUND(QCI!$AA$3*QCI.InvManual,2),INDEX(ORÇAMENTO!$AA$15:$AA$55,MATCH($A15,ORÇAMENTO!$E$15:$E$55,0)))))</f>
        <v>0</v>
      </c>
      <c r="AB15" cm="1">
        <f t="array" aca="1" ref="AB15" ca="1">IF($B15="Branco",0,IF($B15="Manual",QCI.OutrosManual,IF($B15="SemiAuto",0,INDEX(ORÇAMENTO!$AB$15:$AB$55,MATCH($A15,ORÇAMENTO!$E$15:$E$55,0)))))</f>
        <v>0</v>
      </c>
      <c r="AD15" s="288" t="b">
        <f ca="1">AND($AA$3&gt;0,$AA$3&lt;1,$O15&gt;0,OR($B15="Automático",$B15="SemiAuto"),OR(QCI!$Z$3=QCI!$Z$7,QCI!$Z$3=QCI!$AA$7,QCI!$Z$3=QCI!$AB$7))</f>
        <v>0</v>
      </c>
      <c r="AE15" s="288">
        <f ca="1">IF(AND($AD15,$O15&gt;0,COUNTIF(OFFSET($AD15,1,0):$AD$24,TRUE)=0),CHOOSE(1+LOG(1+2*(QCI!$Z$3=QCI!$Z$7)+4*(QCI!$Z$3=QCI!$AA$7)+8*(QCI!$Z$3=QCI!$AB$7),2),0,$AA$24-ROUND(Import.CPMinPerc*$O$24,2),$AA$24-Import.CPMinAbsoluta,Import.Repasse-$Z$24),0)</f>
        <v>0</v>
      </c>
    </row>
    <row r="16" spans="1:31" ht="30" customHeight="1" x14ac:dyDescent="0.2">
      <c r="A16">
        <f t="shared" ca="1" si="0"/>
        <v>3</v>
      </c>
      <c r="B16" t="str">
        <f ca="1">IF(NOT(ISBLANK(QCI.DescManual)),IF(QCI.Divisao="Calculado","Manual","SemiAuto"),IF(ISERROR(MATCH($A16,ORÇAMENTO!$E$15:$E$55,0)),"Branco","Automático"))</f>
        <v>Branco</v>
      </c>
      <c r="C16" t="str">
        <f t="shared" ca="1" si="1"/>
        <v/>
      </c>
      <c r="D16" s="280">
        <f t="shared" si="2"/>
        <v>3</v>
      </c>
      <c r="E16" s="117"/>
      <c r="F16" s="117"/>
      <c r="G16" s="162" t="str">
        <f ca="1">IF(OR($B16="Manual",$B16="SemiAuto"),QCI.DescManual,IF($B16="Automático",INDEX(ORÇAMENTO!$R$15:$R$55,MATCH($A16,ORÇAMENTO!$E$15:$E$55,0)),""))</f>
        <v/>
      </c>
      <c r="H16" s="117"/>
      <c r="I16" s="463"/>
      <c r="J16" s="281" t="str">
        <f ca="1">IF(AND(ISBLANK(E16),ISBLANK(F16)),"",VLOOKUP($F16,OFFSET(DADOS!$A$2,1,MATCH(QCI!$E16,DADOS!$2:$2,0)-1,100,50),2,FALSE))</f>
        <v/>
      </c>
      <c r="K16" s="462" t="str" cm="1">
        <f t="array" aca="1" ref="K16" ca="1">IF(OR($B16="Manual",$B16="SemiAuto"),QCI.LoteManual,IF($B16="Automático",IF(TIPOORCAMENTO="Licitado",Import.CTEF,"LOTE 1"),""))</f>
        <v/>
      </c>
      <c r="L16" s="282">
        <f t="shared" ca="1" si="3"/>
        <v>0</v>
      </c>
      <c r="M16" s="283">
        <f t="shared" ca="1" si="4"/>
        <v>0</v>
      </c>
      <c r="N16" s="284">
        <f t="shared" ca="1" si="5"/>
        <v>0</v>
      </c>
      <c r="O16" s="285" cm="1">
        <f t="array" aca="1" ref="O16" ca="1">IF($B16="Branco",0,IF(OR($B16="Manual",$B16="SemiAuto"),QCI.InvManual,INDEX(ORÇAMENTO!X$15:X$55,MATCH($A16,ORÇAMENTO!$E$15:$E$55,0))))</f>
        <v>0</v>
      </c>
      <c r="P16" s="576" t="str">
        <f t="shared" ca="1" si="6"/>
        <v/>
      </c>
      <c r="R16" s="464"/>
      <c r="S16" s="577" t="str">
        <f t="shared" si="7"/>
        <v/>
      </c>
      <c r="T16" s="465"/>
      <c r="U16" s="578"/>
      <c r="V16" s="466" t="s">
        <v>819</v>
      </c>
      <c r="W16" s="579"/>
      <c r="X16" s="580"/>
      <c r="Z16">
        <f t="shared" ca="1" si="8"/>
        <v>0</v>
      </c>
      <c r="AA16" cm="1">
        <f t="array" aca="1" ref="AA16" ca="1">IF($B16="Branco",0,IF($B16="Manual",QCI.CPManual,IF($B16="SemiAuto",ROUND(QCI!$AA$3*QCI.InvManual,2),INDEX(ORÇAMENTO!$AA$15:$AA$55,MATCH($A16,ORÇAMENTO!$E$15:$E$55,0)))))</f>
        <v>0</v>
      </c>
      <c r="AB16" cm="1">
        <f t="array" aca="1" ref="AB16" ca="1">IF($B16="Branco",0,IF($B16="Manual",QCI.OutrosManual,IF($B16="SemiAuto",0,INDEX(ORÇAMENTO!$AB$15:$AB$55,MATCH($A16,ORÇAMENTO!$E$15:$E$55,0)))))</f>
        <v>0</v>
      </c>
      <c r="AD16" s="288" t="b">
        <f ca="1">AND($AA$3&gt;0,$AA$3&lt;1,$O16&gt;0,OR($B16="Automático",$B16="SemiAuto"),OR(QCI!$Z$3=QCI!$Z$7,QCI!$Z$3=QCI!$AA$7,QCI!$Z$3=QCI!$AB$7))</f>
        <v>0</v>
      </c>
      <c r="AE16" s="288">
        <f ca="1">IF(AND($AD16,$O16&gt;0,COUNTIF(OFFSET($AD16,1,0):$AD$24,TRUE)=0),CHOOSE(1+LOG(1+2*(QCI!$Z$3=QCI!$Z$7)+4*(QCI!$Z$3=QCI!$AA$7)+8*(QCI!$Z$3=QCI!$AB$7),2),0,$AA$24-ROUND(Import.CPMinPerc*$O$24,2),$AA$24-Import.CPMinAbsoluta,Import.Repasse-$Z$24),0)</f>
        <v>0</v>
      </c>
    </row>
    <row r="17" spans="1:31" ht="30" customHeight="1" x14ac:dyDescent="0.2">
      <c r="A17">
        <f t="shared" ca="1" si="0"/>
        <v>4</v>
      </c>
      <c r="B17" t="str">
        <f ca="1">IF(NOT(ISBLANK(QCI.DescManual)),IF(QCI.Divisao="Calculado","Manual","SemiAuto"),IF(ISERROR(MATCH($A17,ORÇAMENTO!$E$15:$E$55,0)),"Branco","Automático"))</f>
        <v>Branco</v>
      </c>
      <c r="C17" t="str">
        <f t="shared" ca="1" si="1"/>
        <v/>
      </c>
      <c r="D17" s="280">
        <f t="shared" si="2"/>
        <v>4</v>
      </c>
      <c r="E17" s="117"/>
      <c r="F17" s="117"/>
      <c r="G17" s="162" t="str">
        <f ca="1">IF(OR($B17="Manual",$B17="SemiAuto"),QCI.DescManual,IF($B17="Automático",INDEX(ORÇAMENTO!$R$15:$R$55,MATCH($A17,ORÇAMENTO!$E$15:$E$55,0)),""))</f>
        <v/>
      </c>
      <c r="H17" s="117"/>
      <c r="I17" s="463"/>
      <c r="J17" s="281" t="str">
        <f ca="1">IF(AND(ISBLANK(E17),ISBLANK(F17)),"",VLOOKUP($F17,OFFSET(DADOS!$A$2,1,MATCH(QCI!$E17,DADOS!$2:$2,0)-1,100,50),2,FALSE))</f>
        <v/>
      </c>
      <c r="K17" s="462" t="str" cm="1">
        <f t="array" aca="1" ref="K17" ca="1">IF(OR($B17="Manual",$B17="SemiAuto"),QCI.LoteManual,IF($B17="Automático",IF(TIPOORCAMENTO="Licitado",Import.CTEF,"LOTE 1"),""))</f>
        <v/>
      </c>
      <c r="L17" s="282">
        <f t="shared" ca="1" si="3"/>
        <v>0</v>
      </c>
      <c r="M17" s="283">
        <f t="shared" ca="1" si="4"/>
        <v>0</v>
      </c>
      <c r="N17" s="284">
        <f t="shared" ca="1" si="5"/>
        <v>0</v>
      </c>
      <c r="O17" s="285" cm="1">
        <f t="array" aca="1" ref="O17" ca="1">IF($B17="Branco",0,IF(OR($B17="Manual",$B17="SemiAuto"),QCI.InvManual,INDEX(ORÇAMENTO!X$15:X$55,MATCH($A17,ORÇAMENTO!$E$15:$E$55,0))))</f>
        <v>0</v>
      </c>
      <c r="P17" s="576" t="str">
        <f t="shared" ca="1" si="6"/>
        <v/>
      </c>
      <c r="R17" s="464"/>
      <c r="S17" s="577" t="str">
        <f t="shared" si="7"/>
        <v/>
      </c>
      <c r="T17" s="465"/>
      <c r="U17" s="578"/>
      <c r="V17" s="466" t="s">
        <v>819</v>
      </c>
      <c r="W17" s="579"/>
      <c r="X17" s="580"/>
      <c r="Z17">
        <f t="shared" ca="1" si="8"/>
        <v>0</v>
      </c>
      <c r="AA17" cm="1">
        <f t="array" aca="1" ref="AA17" ca="1">IF($B17="Branco",0,IF($B17="Manual",QCI.CPManual,IF($B17="SemiAuto",ROUND(QCI!$AA$3*QCI.InvManual,2),INDEX(ORÇAMENTO!$AA$15:$AA$55,MATCH($A17,ORÇAMENTO!$E$15:$E$55,0)))))</f>
        <v>0</v>
      </c>
      <c r="AB17" cm="1">
        <f t="array" aca="1" ref="AB17" ca="1">IF($B17="Branco",0,IF($B17="Manual",QCI.OutrosManual,IF($B17="SemiAuto",0,INDEX(ORÇAMENTO!$AB$15:$AB$55,MATCH($A17,ORÇAMENTO!$E$15:$E$55,0)))))</f>
        <v>0</v>
      </c>
      <c r="AD17" s="288" t="b">
        <f ca="1">AND($AA$3&gt;0,$AA$3&lt;1,$O17&gt;0,OR($B17="Automático",$B17="SemiAuto"),OR(QCI!$Z$3=QCI!$Z$7,QCI!$Z$3=QCI!$AA$7,QCI!$Z$3=QCI!$AB$7))</f>
        <v>0</v>
      </c>
      <c r="AE17" s="288">
        <f ca="1">IF(AND($AD17,$O17&gt;0,COUNTIF(OFFSET($AD17,1,0):$AD$24,TRUE)=0),CHOOSE(1+LOG(1+2*(QCI!$Z$3=QCI!$Z$7)+4*(QCI!$Z$3=QCI!$AA$7)+8*(QCI!$Z$3=QCI!$AB$7),2),0,$AA$24-ROUND(Import.CPMinPerc*$O$24,2),$AA$24-Import.CPMinAbsoluta,Import.Repasse-$Z$24),0)</f>
        <v>0</v>
      </c>
    </row>
    <row r="18" spans="1:31" ht="30" customHeight="1" x14ac:dyDescent="0.2">
      <c r="A18">
        <f t="shared" ca="1" si="0"/>
        <v>5</v>
      </c>
      <c r="B18" t="str">
        <f ca="1">IF(NOT(ISBLANK(QCI.DescManual)),IF(QCI.Divisao="Calculado","Manual","SemiAuto"),IF(ISERROR(MATCH($A18,ORÇAMENTO!$E$15:$E$55,0)),"Branco","Automático"))</f>
        <v>Branco</v>
      </c>
      <c r="C18" t="str">
        <f t="shared" ca="1" si="1"/>
        <v/>
      </c>
      <c r="D18" s="280">
        <f t="shared" si="2"/>
        <v>5</v>
      </c>
      <c r="E18" s="117"/>
      <c r="F18" s="117"/>
      <c r="G18" s="162" t="str">
        <f ca="1">IF(OR($B18="Manual",$B18="SemiAuto"),QCI.DescManual,IF($B18="Automático",INDEX(ORÇAMENTO!$R$15:$R$55,MATCH($A18,ORÇAMENTO!$E$15:$E$55,0)),""))</f>
        <v/>
      </c>
      <c r="H18" s="117"/>
      <c r="I18" s="463"/>
      <c r="J18" s="281" t="str">
        <f ca="1">IF(AND(ISBLANK(E18),ISBLANK(F18)),"",VLOOKUP($F18,OFFSET(DADOS!$A$2,1,MATCH(QCI!$E18,DADOS!$2:$2,0)-1,100,50),2,FALSE))</f>
        <v/>
      </c>
      <c r="K18" s="462" t="str" cm="1">
        <f t="array" aca="1" ref="K18" ca="1">IF(OR($B18="Manual",$B18="SemiAuto"),QCI.LoteManual,IF($B18="Automático",IF(TIPOORCAMENTO="Licitado",Import.CTEF,"LOTE 1"),""))</f>
        <v/>
      </c>
      <c r="L18" s="282">
        <f t="shared" ca="1" si="3"/>
        <v>0</v>
      </c>
      <c r="M18" s="283">
        <f t="shared" ca="1" si="4"/>
        <v>0</v>
      </c>
      <c r="N18" s="284">
        <f t="shared" ca="1" si="5"/>
        <v>0</v>
      </c>
      <c r="O18" s="285" cm="1">
        <f t="array" aca="1" ref="O18" ca="1">IF($B18="Branco",0,IF(OR($B18="Manual",$B18="SemiAuto"),QCI.InvManual,INDEX(ORÇAMENTO!X$15:X$55,MATCH($A18,ORÇAMENTO!$E$15:$E$55,0))))</f>
        <v>0</v>
      </c>
      <c r="P18" s="576" t="str">
        <f t="shared" ca="1" si="6"/>
        <v/>
      </c>
      <c r="R18" s="464"/>
      <c r="S18" s="577" t="str">
        <f t="shared" si="7"/>
        <v/>
      </c>
      <c r="T18" s="465"/>
      <c r="U18" s="578"/>
      <c r="V18" s="466" t="s">
        <v>819</v>
      </c>
      <c r="W18" s="579"/>
      <c r="X18" s="580"/>
      <c r="Z18">
        <f t="shared" ca="1" si="8"/>
        <v>0</v>
      </c>
      <c r="AA18" cm="1">
        <f t="array" aca="1" ref="AA18" ca="1">IF($B18="Branco",0,IF($B18="Manual",QCI.CPManual,IF($B18="SemiAuto",ROUND(QCI!$AA$3*QCI.InvManual,2),INDEX(ORÇAMENTO!$AA$15:$AA$55,MATCH($A18,ORÇAMENTO!$E$15:$E$55,0)))))</f>
        <v>0</v>
      </c>
      <c r="AB18" cm="1">
        <f t="array" aca="1" ref="AB18" ca="1">IF($B18="Branco",0,IF($B18="Manual",QCI.OutrosManual,IF($B18="SemiAuto",0,INDEX(ORÇAMENTO!$AB$15:$AB$55,MATCH($A18,ORÇAMENTO!$E$15:$E$55,0)))))</f>
        <v>0</v>
      </c>
      <c r="AD18" s="288" t="b">
        <f ca="1">AND($AA$3&gt;0,$AA$3&lt;1,$O18&gt;0,OR($B18="Automático",$B18="SemiAuto"),OR(QCI!$Z$3=QCI!$Z$7,QCI!$Z$3=QCI!$AA$7,QCI!$Z$3=QCI!$AB$7))</f>
        <v>0</v>
      </c>
      <c r="AE18" s="288">
        <f ca="1">IF(AND($AD18,$O18&gt;0,COUNTIF(OFFSET($AD18,1,0):$AD$24,TRUE)=0),CHOOSE(1+LOG(1+2*(QCI!$Z$3=QCI!$Z$7)+4*(QCI!$Z$3=QCI!$AA$7)+8*(QCI!$Z$3=QCI!$AB$7),2),0,$AA$24-ROUND(Import.CPMinPerc*$O$24,2),$AA$24-Import.CPMinAbsoluta,Import.Repasse-$Z$24),0)</f>
        <v>0</v>
      </c>
    </row>
    <row r="19" spans="1:31" ht="30" customHeight="1" x14ac:dyDescent="0.2">
      <c r="A19">
        <f t="shared" ca="1" si="0"/>
        <v>6</v>
      </c>
      <c r="B19" t="str">
        <f ca="1">IF(NOT(ISBLANK(QCI.DescManual)),IF(QCI.Divisao="Calculado","Manual","SemiAuto"),IF(ISERROR(MATCH($A19,ORÇAMENTO!$E$15:$E$55,0)),"Branco","Automático"))</f>
        <v>Branco</v>
      </c>
      <c r="C19" t="str">
        <f t="shared" ca="1" si="1"/>
        <v/>
      </c>
      <c r="D19" s="280">
        <f t="shared" si="2"/>
        <v>6</v>
      </c>
      <c r="E19" s="117"/>
      <c r="F19" s="117"/>
      <c r="G19" s="162" t="str">
        <f ca="1">IF(OR($B19="Manual",$B19="SemiAuto"),QCI.DescManual,IF($B19="Automático",INDEX(ORÇAMENTO!$R$15:$R$55,MATCH($A19,ORÇAMENTO!$E$15:$E$55,0)),""))</f>
        <v/>
      </c>
      <c r="H19" s="117"/>
      <c r="I19" s="463"/>
      <c r="J19" s="281" t="str">
        <f ca="1">IF(AND(ISBLANK(E19),ISBLANK(F19)),"",VLOOKUP($F19,OFFSET(DADOS!$A$2,1,MATCH(QCI!$E19,DADOS!$2:$2,0)-1,100,50),2,FALSE))</f>
        <v/>
      </c>
      <c r="K19" s="462" t="str" cm="1">
        <f t="array" aca="1" ref="K19" ca="1">IF(OR($B19="Manual",$B19="SemiAuto"),QCI.LoteManual,IF($B19="Automático",IF(TIPOORCAMENTO="Licitado",Import.CTEF,"LOTE 1"),""))</f>
        <v/>
      </c>
      <c r="L19" s="282">
        <f t="shared" ca="1" si="3"/>
        <v>0</v>
      </c>
      <c r="M19" s="283">
        <f t="shared" ca="1" si="4"/>
        <v>0</v>
      </c>
      <c r="N19" s="284">
        <f t="shared" ca="1" si="5"/>
        <v>0</v>
      </c>
      <c r="O19" s="285" cm="1">
        <f t="array" aca="1" ref="O19" ca="1">IF($B19="Branco",0,IF(OR($B19="Manual",$B19="SemiAuto"),QCI.InvManual,INDEX(ORÇAMENTO!X$15:X$55,MATCH($A19,ORÇAMENTO!$E$15:$E$55,0))))</f>
        <v>0</v>
      </c>
      <c r="P19" s="576" t="str">
        <f t="shared" ca="1" si="6"/>
        <v/>
      </c>
      <c r="R19" s="464"/>
      <c r="S19" s="577" t="str">
        <f t="shared" si="7"/>
        <v/>
      </c>
      <c r="T19" s="465"/>
      <c r="U19" s="578"/>
      <c r="V19" s="466" t="s">
        <v>819</v>
      </c>
      <c r="W19" s="579"/>
      <c r="X19" s="580"/>
      <c r="Z19">
        <f t="shared" ca="1" si="8"/>
        <v>0</v>
      </c>
      <c r="AA19" cm="1">
        <f t="array" aca="1" ref="AA19" ca="1">IF($B19="Branco",0,IF($B19="Manual",QCI.CPManual,IF($B19="SemiAuto",ROUND(QCI!$AA$3*QCI.InvManual,2),INDEX(ORÇAMENTO!$AA$15:$AA$55,MATCH($A19,ORÇAMENTO!$E$15:$E$55,0)))))</f>
        <v>0</v>
      </c>
      <c r="AB19" cm="1">
        <f t="array" aca="1" ref="AB19" ca="1">IF($B19="Branco",0,IF($B19="Manual",QCI.OutrosManual,IF($B19="SemiAuto",0,INDEX(ORÇAMENTO!$AB$15:$AB$55,MATCH($A19,ORÇAMENTO!$E$15:$E$55,0)))))</f>
        <v>0</v>
      </c>
      <c r="AD19" s="288" t="b">
        <f ca="1">AND($AA$3&gt;0,$AA$3&lt;1,$O19&gt;0,OR($B19="Automático",$B19="SemiAuto"),OR(QCI!$Z$3=QCI!$Z$7,QCI!$Z$3=QCI!$AA$7,QCI!$Z$3=QCI!$AB$7))</f>
        <v>0</v>
      </c>
      <c r="AE19" s="288">
        <f ca="1">IF(AND($AD19,$O19&gt;0,COUNTIF(OFFSET($AD19,1,0):$AD$24,TRUE)=0),CHOOSE(1+LOG(1+2*(QCI!$Z$3=QCI!$Z$7)+4*(QCI!$Z$3=QCI!$AA$7)+8*(QCI!$Z$3=QCI!$AB$7),2),0,$AA$24-ROUND(Import.CPMinPerc*$O$24,2),$AA$24-Import.CPMinAbsoluta,Import.Repasse-$Z$24),0)</f>
        <v>0</v>
      </c>
    </row>
    <row r="20" spans="1:31" ht="30" customHeight="1" x14ac:dyDescent="0.2">
      <c r="A20">
        <f t="shared" ca="1" si="0"/>
        <v>7</v>
      </c>
      <c r="B20" t="str">
        <f ca="1">IF(NOT(ISBLANK(QCI.DescManual)),IF(QCI.Divisao="Calculado","Manual","SemiAuto"),IF(ISERROR(MATCH($A20,ORÇAMENTO!$E$15:$E$55,0)),"Branco","Automático"))</f>
        <v>Branco</v>
      </c>
      <c r="C20" t="str">
        <f t="shared" ca="1" si="1"/>
        <v/>
      </c>
      <c r="D20" s="280">
        <f t="shared" si="2"/>
        <v>7</v>
      </c>
      <c r="E20" s="117"/>
      <c r="F20" s="117"/>
      <c r="G20" s="162" t="str">
        <f ca="1">IF(OR($B20="Manual",$B20="SemiAuto"),QCI.DescManual,IF($B20="Automático",INDEX(ORÇAMENTO!$R$15:$R$55,MATCH($A20,ORÇAMENTO!$E$15:$E$55,0)),""))</f>
        <v/>
      </c>
      <c r="H20" s="117"/>
      <c r="I20" s="463"/>
      <c r="J20" s="281" t="str">
        <f ca="1">IF(AND(ISBLANK(E20),ISBLANK(F20)),"",VLOOKUP($F20,OFFSET(DADOS!$A$2,1,MATCH(QCI!$E20,DADOS!$2:$2,0)-1,100,50),2,FALSE))</f>
        <v/>
      </c>
      <c r="K20" s="462" t="str" cm="1">
        <f t="array" aca="1" ref="K20" ca="1">IF(OR($B20="Manual",$B20="SemiAuto"),QCI.LoteManual,IF($B20="Automático",IF(TIPOORCAMENTO="Licitado",Import.CTEF,"LOTE 1"),""))</f>
        <v/>
      </c>
      <c r="L20" s="282">
        <f t="shared" ca="1" si="3"/>
        <v>0</v>
      </c>
      <c r="M20" s="283">
        <f t="shared" ca="1" si="4"/>
        <v>0</v>
      </c>
      <c r="N20" s="284">
        <f t="shared" ca="1" si="5"/>
        <v>0</v>
      </c>
      <c r="O20" s="285" cm="1">
        <f t="array" aca="1" ref="O20" ca="1">IF($B20="Branco",0,IF(OR($B20="Manual",$B20="SemiAuto"),QCI.InvManual,INDEX(ORÇAMENTO!X$15:X$55,MATCH($A20,ORÇAMENTO!$E$15:$E$55,0))))</f>
        <v>0</v>
      </c>
      <c r="P20" s="576" t="str">
        <f t="shared" ca="1" si="6"/>
        <v/>
      </c>
      <c r="R20" s="464"/>
      <c r="S20" s="577" t="str">
        <f t="shared" si="7"/>
        <v/>
      </c>
      <c r="T20" s="465"/>
      <c r="U20" s="578"/>
      <c r="V20" s="466" t="s">
        <v>819</v>
      </c>
      <c r="W20" s="579"/>
      <c r="X20" s="580"/>
      <c r="Z20">
        <f t="shared" ca="1" si="8"/>
        <v>0</v>
      </c>
      <c r="AA20" cm="1">
        <f t="array" aca="1" ref="AA20" ca="1">IF($B20="Branco",0,IF($B20="Manual",QCI.CPManual,IF($B20="SemiAuto",ROUND(QCI!$AA$3*QCI.InvManual,2),INDEX(ORÇAMENTO!$AA$15:$AA$55,MATCH($A20,ORÇAMENTO!$E$15:$E$55,0)))))</f>
        <v>0</v>
      </c>
      <c r="AB20" cm="1">
        <f t="array" aca="1" ref="AB20" ca="1">IF($B20="Branco",0,IF($B20="Manual",QCI.OutrosManual,IF($B20="SemiAuto",0,INDEX(ORÇAMENTO!$AB$15:$AB$55,MATCH($A20,ORÇAMENTO!$E$15:$E$55,0)))))</f>
        <v>0</v>
      </c>
      <c r="AD20" s="288" t="b">
        <f ca="1">AND($AA$3&gt;0,$AA$3&lt;1,$O20&gt;0,OR($B20="Automático",$B20="SemiAuto"),OR(QCI!$Z$3=QCI!$Z$7,QCI!$Z$3=QCI!$AA$7,QCI!$Z$3=QCI!$AB$7))</f>
        <v>0</v>
      </c>
      <c r="AE20" s="288">
        <f ca="1">IF(AND($AD20,$O20&gt;0,COUNTIF(OFFSET($AD20,1,0):$AD$24,TRUE)=0),CHOOSE(1+LOG(1+2*(QCI!$Z$3=QCI!$Z$7)+4*(QCI!$Z$3=QCI!$AA$7)+8*(QCI!$Z$3=QCI!$AB$7),2),0,$AA$24-ROUND(Import.CPMinPerc*$O$24,2),$AA$24-Import.CPMinAbsoluta,Import.Repasse-$Z$24),0)</f>
        <v>0</v>
      </c>
    </row>
    <row r="21" spans="1:31" ht="30" customHeight="1" x14ac:dyDescent="0.2">
      <c r="A21">
        <f t="shared" ca="1" si="0"/>
        <v>8</v>
      </c>
      <c r="B21" t="str">
        <f ca="1">IF(NOT(ISBLANK(QCI.DescManual)),IF(QCI.Divisao="Calculado","Manual","SemiAuto"),IF(ISERROR(MATCH($A21,ORÇAMENTO!$E$15:$E$55,0)),"Branco","Automático"))</f>
        <v>Branco</v>
      </c>
      <c r="C21" t="str">
        <f t="shared" ca="1" si="1"/>
        <v/>
      </c>
      <c r="D21" s="280">
        <f t="shared" si="2"/>
        <v>8</v>
      </c>
      <c r="E21" s="117"/>
      <c r="F21" s="117"/>
      <c r="G21" s="162" t="str">
        <f ca="1">IF(OR($B21="Manual",$B21="SemiAuto"),QCI.DescManual,IF($B21="Automático",INDEX(ORÇAMENTO!$R$15:$R$55,MATCH($A21,ORÇAMENTO!$E$15:$E$55,0)),""))</f>
        <v/>
      </c>
      <c r="H21" s="117"/>
      <c r="I21" s="463"/>
      <c r="J21" s="281" t="str">
        <f ca="1">IF(AND(ISBLANK(E21),ISBLANK(F21)),"",VLOOKUP($F21,OFFSET(DADOS!$A$2,1,MATCH(QCI!$E21,DADOS!$2:$2,0)-1,100,50),2,FALSE))</f>
        <v/>
      </c>
      <c r="K21" s="462" t="str" cm="1">
        <f t="array" aca="1" ref="K21" ca="1">IF(OR($B21="Manual",$B21="SemiAuto"),QCI.LoteManual,IF($B21="Automático",IF(TIPOORCAMENTO="Licitado",Import.CTEF,"LOTE 1"),""))</f>
        <v/>
      </c>
      <c r="L21" s="282">
        <f t="shared" ca="1" si="3"/>
        <v>0</v>
      </c>
      <c r="M21" s="283">
        <f t="shared" ca="1" si="4"/>
        <v>0</v>
      </c>
      <c r="N21" s="284">
        <f t="shared" ca="1" si="5"/>
        <v>0</v>
      </c>
      <c r="O21" s="285" cm="1">
        <f t="array" aca="1" ref="O21" ca="1">IF($B21="Branco",0,IF(OR($B21="Manual",$B21="SemiAuto"),QCI.InvManual,INDEX(ORÇAMENTO!X$15:X$55,MATCH($A21,ORÇAMENTO!$E$15:$E$55,0))))</f>
        <v>0</v>
      </c>
      <c r="P21" s="576" t="str">
        <f t="shared" ca="1" si="6"/>
        <v/>
      </c>
      <c r="R21" s="464"/>
      <c r="S21" s="577" t="str">
        <f t="shared" si="7"/>
        <v/>
      </c>
      <c r="T21" s="465"/>
      <c r="U21" s="578"/>
      <c r="V21" s="466" t="s">
        <v>819</v>
      </c>
      <c r="W21" s="579"/>
      <c r="X21" s="580"/>
      <c r="Z21">
        <f t="shared" ca="1" si="8"/>
        <v>0</v>
      </c>
      <c r="AA21" cm="1">
        <f t="array" aca="1" ref="AA21" ca="1">IF($B21="Branco",0,IF($B21="Manual",QCI.CPManual,IF($B21="SemiAuto",ROUND(QCI!$AA$3*QCI.InvManual,2),INDEX(ORÇAMENTO!$AA$15:$AA$55,MATCH($A21,ORÇAMENTO!$E$15:$E$55,0)))))</f>
        <v>0</v>
      </c>
      <c r="AB21" cm="1">
        <f t="array" aca="1" ref="AB21" ca="1">IF($B21="Branco",0,IF($B21="Manual",QCI.OutrosManual,IF($B21="SemiAuto",0,INDEX(ORÇAMENTO!$AB$15:$AB$55,MATCH($A21,ORÇAMENTO!$E$15:$E$55,0)))))</f>
        <v>0</v>
      </c>
      <c r="AD21" s="288" t="b">
        <f ca="1">AND($AA$3&gt;0,$AA$3&lt;1,$O21&gt;0,OR($B21="Automático",$B21="SemiAuto"),OR(QCI!$Z$3=QCI!$Z$7,QCI!$Z$3=QCI!$AA$7,QCI!$Z$3=QCI!$AB$7))</f>
        <v>0</v>
      </c>
      <c r="AE21" s="288">
        <f ca="1">IF(AND($AD21,$O21&gt;0,COUNTIF(OFFSET($AD21,1,0):$AD$24,TRUE)=0),CHOOSE(1+LOG(1+2*(QCI!$Z$3=QCI!$Z$7)+4*(QCI!$Z$3=QCI!$AA$7)+8*(QCI!$Z$3=QCI!$AB$7),2),0,$AA$24-ROUND(Import.CPMinPerc*$O$24,2),$AA$24-Import.CPMinAbsoluta,Import.Repasse-$Z$24),0)</f>
        <v>0</v>
      </c>
    </row>
    <row r="22" spans="1:31" ht="30" customHeight="1" x14ac:dyDescent="0.2">
      <c r="A22">
        <f t="shared" ca="1" si="0"/>
        <v>9</v>
      </c>
      <c r="B22" t="str">
        <f ca="1">IF(NOT(ISBLANK(QCI.DescManual)),IF(QCI.Divisao="Calculado","Manual","SemiAuto"),IF(ISERROR(MATCH($A22,ORÇAMENTO!$E$15:$E$55,0)),"Branco","Automático"))</f>
        <v>Branco</v>
      </c>
      <c r="C22" t="str">
        <f t="shared" ca="1" si="1"/>
        <v/>
      </c>
      <c r="D22" s="280">
        <f t="shared" si="2"/>
        <v>9</v>
      </c>
      <c r="E22" s="117"/>
      <c r="F22" s="117"/>
      <c r="G22" s="162" t="str">
        <f ca="1">IF(OR($B22="Manual",$B22="SemiAuto"),QCI.DescManual,IF($B22="Automático",INDEX(ORÇAMENTO!$R$15:$R$55,MATCH($A22,ORÇAMENTO!$E$15:$E$55,0)),""))</f>
        <v/>
      </c>
      <c r="H22" s="117"/>
      <c r="I22" s="463"/>
      <c r="J22" s="281" t="str">
        <f ca="1">IF(AND(ISBLANK(E22),ISBLANK(F22)),"",VLOOKUP($F22,OFFSET(DADOS!$A$2,1,MATCH(QCI!$E22,DADOS!$2:$2,0)-1,100,50),2,FALSE))</f>
        <v/>
      </c>
      <c r="K22" s="462" t="str" cm="1">
        <f t="array" aca="1" ref="K22" ca="1">IF(OR($B22="Manual",$B22="SemiAuto"),QCI.LoteManual,IF($B22="Automático",IF(TIPOORCAMENTO="Licitado",Import.CTEF,"LOTE 1"),""))</f>
        <v/>
      </c>
      <c r="L22" s="282">
        <f t="shared" ca="1" si="3"/>
        <v>0</v>
      </c>
      <c r="M22" s="283">
        <f t="shared" ca="1" si="4"/>
        <v>0</v>
      </c>
      <c r="N22" s="284">
        <f t="shared" ca="1" si="5"/>
        <v>0</v>
      </c>
      <c r="O22" s="285" cm="1">
        <f t="array" aca="1" ref="O22" ca="1">IF($B22="Branco",0,IF(OR($B22="Manual",$B22="SemiAuto"),QCI.InvManual,INDEX(ORÇAMENTO!X$15:X$55,MATCH($A22,ORÇAMENTO!$E$15:$E$55,0))))</f>
        <v>0</v>
      </c>
      <c r="P22" s="576" t="str">
        <f t="shared" ca="1" si="6"/>
        <v/>
      </c>
      <c r="R22" s="464"/>
      <c r="S22" s="577" t="str">
        <f t="shared" si="7"/>
        <v/>
      </c>
      <c r="T22" s="465"/>
      <c r="U22" s="578"/>
      <c r="V22" s="466" t="s">
        <v>819</v>
      </c>
      <c r="W22" s="579"/>
      <c r="X22" s="580"/>
      <c r="Z22">
        <f t="shared" ca="1" si="8"/>
        <v>0</v>
      </c>
      <c r="AA22" cm="1">
        <f t="array" aca="1" ref="AA22" ca="1">IF($B22="Branco",0,IF($B22="Manual",QCI.CPManual,IF($B22="SemiAuto",ROUND(QCI!$AA$3*QCI.InvManual,2),INDEX(ORÇAMENTO!$AA$15:$AA$55,MATCH($A22,ORÇAMENTO!$E$15:$E$55,0)))))</f>
        <v>0</v>
      </c>
      <c r="AB22" cm="1">
        <f t="array" aca="1" ref="AB22" ca="1">IF($B22="Branco",0,IF($B22="Manual",QCI.OutrosManual,IF($B22="SemiAuto",0,INDEX(ORÇAMENTO!$AB$15:$AB$55,MATCH($A22,ORÇAMENTO!$E$15:$E$55,0)))))</f>
        <v>0</v>
      </c>
      <c r="AD22" s="288" t="b">
        <f ca="1">AND($AA$3&gt;0,$AA$3&lt;1,$O22&gt;0,OR($B22="Automático",$B22="SemiAuto"),OR(QCI!$Z$3=QCI!$Z$7,QCI!$Z$3=QCI!$AA$7,QCI!$Z$3=QCI!$AB$7))</f>
        <v>0</v>
      </c>
      <c r="AE22" s="288">
        <f ca="1">IF(AND($AD22,$O22&gt;0,COUNTIF(OFFSET($AD22,1,0):$AD$24,TRUE)=0),CHOOSE(1+LOG(1+2*(QCI!$Z$3=QCI!$Z$7)+4*(QCI!$Z$3=QCI!$AA$7)+8*(QCI!$Z$3=QCI!$AB$7),2),0,$AA$24-ROUND(Import.CPMinPerc*$O$24,2),$AA$24-Import.CPMinAbsoluta,Import.Repasse-$Z$24),0)</f>
        <v>0</v>
      </c>
    </row>
    <row r="23" spans="1:31" ht="30" customHeight="1" x14ac:dyDescent="0.2">
      <c r="A23">
        <f t="shared" ca="1" si="0"/>
        <v>10</v>
      </c>
      <c r="B23" t="str">
        <f ca="1">IF(NOT(ISBLANK(QCI.DescManual)),IF(QCI.Divisao="Calculado","Manual","SemiAuto"),IF(ISERROR(MATCH($A23,ORÇAMENTO!$E$15:$E$55,0)),"Branco","Automático"))</f>
        <v>Branco</v>
      </c>
      <c r="C23" t="str">
        <f ca="1">IF(O23&gt;0,"F","")</f>
        <v/>
      </c>
      <c r="D23" s="280">
        <f>ROW()-ROW($D$13)</f>
        <v>10</v>
      </c>
      <c r="E23" s="117"/>
      <c r="F23" s="117"/>
      <c r="G23" s="162" t="str">
        <f ca="1">IF(OR($B23="Manual",$B23="SemiAuto"),QCI.DescManual,IF($B23="Automático",INDEX(ORÇAMENTO!$R$15:$R$55,MATCH($A23,ORÇAMENTO!$E$15:$E$55,0)),""))</f>
        <v/>
      </c>
      <c r="H23" s="117"/>
      <c r="I23" s="463"/>
      <c r="J23" s="281" t="str">
        <f ca="1">IF(AND(ISBLANK(E23),ISBLANK(F23)),"",VLOOKUP($F23,OFFSET(DADOS!$A$2,1,MATCH(QCI!$E23,DADOS!$2:$2,0)-1,100,50),2,FALSE))</f>
        <v/>
      </c>
      <c r="K23" s="462" t="str" cm="1">
        <f t="array" aca="1" ref="K23" ca="1">IF(OR($B23="Manual",$B23="SemiAuto"),QCI.LoteManual,IF($B23="Automático",IF(TIPOORCAMENTO="Licitado",Import.CTEF,"LOTE 1"),""))</f>
        <v/>
      </c>
      <c r="L23" s="282">
        <f ca="1">ROUND($O23,2)-ROUND($M23,2)-ROUND($N23,2)</f>
        <v>0</v>
      </c>
      <c r="M23" s="283">
        <f ca="1">ROUND($AA23,2)-ROUND($AE23,2)</f>
        <v>0</v>
      </c>
      <c r="N23" s="284">
        <f ca="1">ROUND($AB23,2)</f>
        <v>0</v>
      </c>
      <c r="O23" s="285" cm="1">
        <f t="array" aca="1" ref="O23" ca="1">IF($B23="Branco",0,IF(OR($B23="Manual",$B23="SemiAuto"),QCI.InvManual,INDEX(ORÇAMENTO!X$15:X$55,MATCH($A23,ORÇAMENTO!$E$15:$E$55,0))))</f>
        <v>0</v>
      </c>
      <c r="P23" s="576" t="str">
        <f ca="1">IF(O23=0,"",
  IF(E23="","ITEM",
  IF(F23="","SUBITEM",
  IF(H23="","SITUAÇÃO",
  IF(I23=0,"QUANT.","")))))</f>
        <v/>
      </c>
      <c r="R23" s="464"/>
      <c r="S23" s="577" t="str">
        <f>IF(R23="","",
  IF(T23=0,"► LOTE",
  IF(U23=0,"► INVEST",
  IF(V23=0,"► DIV",
  IF(AND(V23="Calculado",W23=""),"► CP",
  IF(AND(V23="Calculado",X23=""),"► OU",""))))))</f>
        <v/>
      </c>
      <c r="T23" s="465"/>
      <c r="U23" s="578"/>
      <c r="V23" s="466" t="s">
        <v>819</v>
      </c>
      <c r="W23" s="579"/>
      <c r="X23" s="580"/>
      <c r="Z23">
        <f ca="1">$O23-$AA23-$AB23</f>
        <v>0</v>
      </c>
      <c r="AA23" cm="1">
        <f t="array" aca="1" ref="AA23" ca="1">IF($B23="Branco",0,IF($B23="Manual",QCI.CPManual,IF($B23="SemiAuto",ROUND(QCI!$AA$3*QCI.InvManual,2),INDEX(ORÇAMENTO!$AA$15:$AA$55,MATCH($A23,ORÇAMENTO!$E$15:$E$55,0)))))</f>
        <v>0</v>
      </c>
      <c r="AB23" cm="1">
        <f t="array" aca="1" ref="AB23" ca="1">IF($B23="Branco",0,IF($B23="Manual",QCI.OutrosManual,IF($B23="SemiAuto",0,INDEX(ORÇAMENTO!$AB$15:$AB$55,MATCH($A23,ORÇAMENTO!$E$15:$E$55,0)))))</f>
        <v>0</v>
      </c>
      <c r="AD23" s="288" t="b">
        <f ca="1">AND($AA$3&gt;0,$AA$3&lt;1,$O23&gt;0,OR($B23="Automático",$B23="SemiAuto"),OR(QCI!$Z$3=QCI!$Z$7,QCI!$Z$3=QCI!$AA$7,QCI!$Z$3=QCI!$AB$7))</f>
        <v>0</v>
      </c>
      <c r="AE23" s="288">
        <f ca="1">IF(AND($AD23,$O23&gt;0,COUNTIF(OFFSET($AD23,1,0):$AD$24,TRUE)=0),CHOOSE(1+LOG(1+2*(QCI!$Z$3=QCI!$Z$7)+4*(QCI!$Z$3=QCI!$AA$7)+8*(QCI!$Z$3=QCI!$AB$7),2),0,$AA$24-ROUND(Import.CPMinPerc*$O$24,2),$AA$24-Import.CPMinAbsoluta,Import.Repasse-$Z$24),0)</f>
        <v>0</v>
      </c>
    </row>
    <row r="24" spans="1:31" ht="15" x14ac:dyDescent="0.2">
      <c r="B24" t="s">
        <v>829</v>
      </c>
      <c r="C24" t="s">
        <v>536</v>
      </c>
      <c r="D24" s="293"/>
      <c r="E24" s="294"/>
      <c r="F24" s="294"/>
      <c r="G24" s="294"/>
      <c r="H24" s="294"/>
      <c r="I24" s="294"/>
      <c r="J24" s="294"/>
      <c r="K24" s="777" t="s">
        <v>830</v>
      </c>
      <c r="L24" s="295">
        <f ca="1">SUM(L13:OFFSET(L24,-1,0))</f>
        <v>1061163.8400000001</v>
      </c>
      <c r="M24" s="296">
        <f ca="1">SUM(M13:OFFSET(M24,-1,0))</f>
        <v>3000</v>
      </c>
      <c r="N24" s="297">
        <f ca="1">SUM(N13:OFFSET(N24,-1,0))</f>
        <v>0</v>
      </c>
      <c r="O24" s="298">
        <f ca="1">SUM(O13:OFFSET(O24,-1,0))</f>
        <v>1064163.8400000001</v>
      </c>
      <c r="R24" s="299"/>
      <c r="T24" s="300"/>
      <c r="U24" s="301"/>
      <c r="V24" s="302"/>
      <c r="W24" s="303"/>
      <c r="X24" s="304"/>
      <c r="Z24" s="87">
        <f ca="1">SUMPRODUCT(ROUND(Z13:OFFSET(Z24,-1,0),2))</f>
        <v>1061163.8400000001</v>
      </c>
      <c r="AA24" s="87">
        <f ca="1">SUMPRODUCT(ROUND(AA13:OFFSET(AA24,-1,0),2))</f>
        <v>3000</v>
      </c>
      <c r="AB24" s="87">
        <f ca="1">SUM(AB13:OFFSET(AB24,-1,0))</f>
        <v>0</v>
      </c>
    </row>
    <row r="25" spans="1:31" x14ac:dyDescent="0.2">
      <c r="B25" t="s">
        <v>831</v>
      </c>
      <c r="C25" t="s">
        <v>536</v>
      </c>
      <c r="D25" s="305"/>
      <c r="E25" s="306"/>
      <c r="F25" s="306"/>
      <c r="G25" s="306"/>
      <c r="H25" s="306"/>
      <c r="I25" s="306"/>
      <c r="J25" s="306"/>
      <c r="K25" s="777"/>
      <c r="L25" s="307">
        <f ca="1">IF(ISERROR(L24/$O24),0,ROUND(L24/$O24,4))</f>
        <v>0.99719999999999998</v>
      </c>
      <c r="M25" s="308">
        <f ca="1">IF(ISERROR(M24/$O24),0,ROUND(M24/$O24,4))</f>
        <v>2.8E-3</v>
      </c>
      <c r="N25" s="309">
        <f ca="1">IF(ISERROR(N24/$O24),0,ROUND(N24/$O24,4))</f>
        <v>0</v>
      </c>
      <c r="O25" s="310">
        <f ca="1">IF(ISERROR(O24/$O24),0,ROUND(O24/$O24,4))</f>
        <v>1</v>
      </c>
      <c r="R25" s="311"/>
      <c r="T25" s="312"/>
      <c r="U25" s="313"/>
      <c r="V25" s="314"/>
      <c r="W25" s="315"/>
      <c r="X25" s="316"/>
    </row>
    <row r="27" spans="1:31" ht="14.25" x14ac:dyDescent="0.2">
      <c r="D27" s="134" t="s">
        <v>689</v>
      </c>
    </row>
    <row r="28" spans="1:31" ht="12.75" customHeight="1" x14ac:dyDescent="0.2">
      <c r="D28" s="720"/>
      <c r="E28" s="720"/>
      <c r="F28" s="720"/>
      <c r="G28" s="720"/>
      <c r="H28" s="720"/>
      <c r="I28" s="720"/>
      <c r="J28" s="720"/>
      <c r="K28" s="720"/>
      <c r="L28" s="720"/>
      <c r="M28" s="720"/>
      <c r="N28" s="720"/>
      <c r="O28" s="720"/>
    </row>
    <row r="29" spans="1:31" ht="12.75" customHeight="1" x14ac:dyDescent="0.2">
      <c r="D29" s="720"/>
      <c r="E29" s="720"/>
      <c r="F29" s="720"/>
      <c r="G29" s="720"/>
      <c r="H29" s="720"/>
      <c r="I29" s="720"/>
      <c r="J29" s="720"/>
      <c r="K29" s="720"/>
      <c r="L29" s="720"/>
      <c r="M29" s="720"/>
      <c r="N29" s="720"/>
      <c r="O29" s="720"/>
    </row>
    <row r="30" spans="1:31" ht="12.75" customHeight="1" x14ac:dyDescent="0.2">
      <c r="D30" s="720"/>
      <c r="E30" s="720"/>
      <c r="F30" s="720"/>
      <c r="G30" s="720"/>
      <c r="H30" s="720"/>
      <c r="I30" s="720"/>
      <c r="J30" s="720"/>
      <c r="K30" s="720"/>
      <c r="L30" s="720"/>
      <c r="M30" s="720"/>
      <c r="N30" s="720"/>
      <c r="O30" s="720"/>
    </row>
    <row r="33" spans="4:12" ht="15" x14ac:dyDescent="0.2">
      <c r="D33" s="722" t="str">
        <f>Import.Município</f>
        <v>Liberdade - MG</v>
      </c>
      <c r="E33" s="722"/>
      <c r="F33" s="722"/>
      <c r="I33" s="138"/>
      <c r="J33" s="138"/>
      <c r="K33" s="179"/>
      <c r="L33" s="179"/>
    </row>
    <row r="34" spans="4:12" x14ac:dyDescent="0.2">
      <c r="D34" s="9" t="s">
        <v>693</v>
      </c>
      <c r="I34" s="180" t="s">
        <v>832</v>
      </c>
      <c r="J34" s="180"/>
    </row>
    <row r="35" spans="4:12" x14ac:dyDescent="0.2">
      <c r="I35" s="76" t="str">
        <f>"Nome:" &amp;  " " &amp; DADOS!C28</f>
        <v>Nome: Lucas de Souza Garcia</v>
      </c>
    </row>
    <row r="36" spans="4:12" x14ac:dyDescent="0.2">
      <c r="D36" s="716">
        <f>DADOS!$C$25</f>
        <v>45880</v>
      </c>
      <c r="E36" s="716"/>
      <c r="F36" s="716"/>
      <c r="I36" s="76" t="str">
        <f>"Cargo:"  &amp; " " &amp; DADOS!C29</f>
        <v>Cargo: Prefeito</v>
      </c>
    </row>
    <row r="37" spans="4:12" x14ac:dyDescent="0.2">
      <c r="D37" s="139" t="s">
        <v>694</v>
      </c>
      <c r="E37" s="1"/>
      <c r="F37" s="1"/>
      <c r="K37" s="76"/>
      <c r="L37" s="77"/>
    </row>
  </sheetData>
  <sheetProtection algorithmName="SHA-512" hashValue="yP7XgPIHCeLwmceH8QBMKn/eVF5HRJVvljRkHuR5Zyix0Se1vkr0J8kcSiKLjIQUbZP9U8+TaFYopB59xzmN+A==" saltValue="wPE7XFQKu5gOc6udMteVAg==" spinCount="100000" sheet="1" objects="1" scenarios="1" autoFilter="0"/>
  <autoFilter ref="C13:C25"/>
  <mergeCells count="20">
    <mergeCell ref="D3:E3"/>
    <mergeCell ref="G3:I3"/>
    <mergeCell ref="J3:L3"/>
    <mergeCell ref="M3:O4"/>
    <mergeCell ref="D4:E4"/>
    <mergeCell ref="G4:I4"/>
    <mergeCell ref="J4:L4"/>
    <mergeCell ref="AD10:AE10"/>
    <mergeCell ref="K24:K25"/>
    <mergeCell ref="C7:C11"/>
    <mergeCell ref="K9:K10"/>
    <mergeCell ref="AD9:AE9"/>
    <mergeCell ref="D7:K7"/>
    <mergeCell ref="G9:H10"/>
    <mergeCell ref="D6:K6"/>
    <mergeCell ref="A10:A11"/>
    <mergeCell ref="Z10:AB10"/>
    <mergeCell ref="D36:F36"/>
    <mergeCell ref="D28:O30"/>
    <mergeCell ref="D33:F33"/>
  </mergeCells>
  <phoneticPr fontId="38" type="noConversion"/>
  <conditionalFormatting sqref="T12:V12">
    <cfRule type="expression" dxfId="123" priority="941" stopIfTrue="1">
      <formula>OR($B12="Automático",$B12="Branco")</formula>
    </cfRule>
  </conditionalFormatting>
  <conditionalFormatting sqref="L12">
    <cfRule type="expression" dxfId="122" priority="942" stopIfTrue="1">
      <formula>OR(L12&lt;0,AND(L$13="Contrapartida Financeira (R$)",$B12="T%",OR(L12&lt;Import.CPMinPerc,AND(L12&gt;Import.CPMaxPerc,Import.CPMaxPerc&gt;0))),AND(L$13="Contrapartida Financeira (R$)",$B12="TR$",L12&lt;Import.CPMinAbsoluta))</formula>
    </cfRule>
  </conditionalFormatting>
  <conditionalFormatting sqref="W12:X12">
    <cfRule type="expression" dxfId="121" priority="943" stopIfTrue="1">
      <formula>OR($B12="Automático",$B12="Branco",$V12&lt;&gt;"Calculado")</formula>
    </cfRule>
  </conditionalFormatting>
  <conditionalFormatting sqref="M25">
    <cfRule type="expression" dxfId="120" priority="945" stopIfTrue="1">
      <formula>AND($G$9&lt;&gt;"",OR($M$25&lt;Import.CPMinPerc,$M$25&gt;Import.CPMaxPerc))</formula>
    </cfRule>
  </conditionalFormatting>
  <conditionalFormatting sqref="M24">
    <cfRule type="expression" dxfId="119" priority="946" stopIfTrue="1">
      <formula>AND($G$9&lt;&gt;"",$M$24&lt;Import.CPMinAbsoluta)</formula>
    </cfRule>
  </conditionalFormatting>
  <conditionalFormatting sqref="L10:M10">
    <cfRule type="cellIs" dxfId="118" priority="947" stopIfTrue="1" operator="lessThan">
      <formula>0</formula>
    </cfRule>
  </conditionalFormatting>
  <conditionalFormatting sqref="G12">
    <cfRule type="cellIs" dxfId="117" priority="948" stopIfTrue="1" operator="equal">
      <formula>"(digite a descrição aqui)"</formula>
    </cfRule>
  </conditionalFormatting>
  <conditionalFormatting sqref="T14:V22">
    <cfRule type="expression" dxfId="116" priority="5" stopIfTrue="1">
      <formula>OR($B14="Automático",$B14="Branco")</formula>
    </cfRule>
  </conditionalFormatting>
  <conditionalFormatting sqref="L14:L22">
    <cfRule type="expression" dxfId="115" priority="6" stopIfTrue="1">
      <formula>OR(L14&lt;0,AND(L$13="Contrapartida Financeira (R$)",$B14="T%",OR(L14&lt;Import.CPMinPerc,AND(L14&gt;Import.CPMaxPerc,Import.CPMaxPerc&gt;0))),AND(L$13="Contrapartida Financeira (R$)",$B14="TR$",L14&lt;Import.CPMinAbsoluta))</formula>
    </cfRule>
  </conditionalFormatting>
  <conditionalFormatting sqref="W14:X22">
    <cfRule type="expression" dxfId="114" priority="7" stopIfTrue="1">
      <formula>OR($B14="Automático",$B14="Branco",$V14&lt;&gt;"Calculado")</formula>
    </cfRule>
  </conditionalFormatting>
  <conditionalFormatting sqref="G14:G22">
    <cfRule type="cellIs" dxfId="113" priority="8" stopIfTrue="1" operator="equal">
      <formula>"(digite a descrição aqui)"</formula>
    </cfRule>
  </conditionalFormatting>
  <conditionalFormatting sqref="T23:V23">
    <cfRule type="expression" dxfId="112" priority="1" stopIfTrue="1">
      <formula>OR($B23="Automático",$B23="Branco")</formula>
    </cfRule>
  </conditionalFormatting>
  <conditionalFormatting sqref="L23">
    <cfRule type="expression" dxfId="111" priority="2" stopIfTrue="1">
      <formula>OR(L23&lt;0,AND(L$13="Contrapartida Financeira (R$)",$B23="T%",OR(L23&lt;Import.CPMinPerc,AND(L23&gt;Import.CPMaxPerc,Import.CPMaxPerc&gt;0))),AND(L$13="Contrapartida Financeira (R$)",$B23="TR$",L23&lt;Import.CPMinAbsoluta))</formula>
    </cfRule>
  </conditionalFormatting>
  <conditionalFormatting sqref="W23:X23">
    <cfRule type="expression" dxfId="110" priority="3" stopIfTrue="1">
      <formula>OR($B23="Automático",$B23="Branco",$V23&lt;&gt;"Calculado")</formula>
    </cfRule>
  </conditionalFormatting>
  <conditionalFormatting sqref="G23">
    <cfRule type="cellIs" dxfId="109" priority="4" stopIfTrue="1" operator="equal">
      <formula>"(digite a descrição aqui)"</formula>
    </cfRule>
  </conditionalFormatting>
  <dataValidations count="9">
    <dataValidation type="decimal" operator="greaterThan" allowBlank="1" showErrorMessage="1" error="Digite apenas números decimais maiores do que 0." sqref="U12 U14:U23">
      <formula1>0</formula1>
      <formula2>0</formula2>
    </dataValidation>
    <dataValidation type="decimal" operator="greaterThan" allowBlank="1" showErrorMessage="1" errorTitle="Erro" error="Digite valores maiores do que 0." sqref="I12 I14:I23">
      <formula1>0</formula1>
      <formula2>0</formula2>
    </dataValidation>
    <dataValidation type="decimal" allowBlank="1" showInputMessage="1" showErrorMessage="1" errorTitle="Erro de valor" error="Digite somente valor de 0,00 ao valor do Investimento. A Somatória dos valores não deve ultrapassar o valor de Investimento." promptTitle="Contrapartida Financeira:" prompt="Digite o valor de Contrapartida Financeira para esta Meta." sqref="W12 W14:W23">
      <formula1>0</formula1>
      <formula2>QCI.MaxCPManual</formula2>
    </dataValidation>
    <dataValidation type="decimal" allowBlank="1" showInputMessage="1" showErrorMessage="1" errorTitle="Erro de valor" error="Digite somente valor de 0,00 ao valor do Investimento. A Somatória dos valores não deve ultrapassar o valor de Investimento." promptTitle="Contrapartida Física / Outros:" prompt="Digite o valor de Contrapartida Física / Outros para esta Meta." sqref="X12 X14:X23">
      <formula1>0</formula1>
      <formula2>QCI.MaxOUManual</formula2>
    </dataValidation>
    <dataValidation allowBlank="1" showInputMessage="1" showErrorMessage="1" prompt="Preencha somente se a meta não fizer parte do Orçamento desta Plan. Mult." sqref="R12 R14:R23"/>
    <dataValidation type="list" allowBlank="1" showInputMessage="1" showErrorMessage="1" errorTitle="Erro:" error="Selecione uma opção da lista." prompt="Selecione uma opção da lista." sqref="H12 H14:H23">
      <formula1>QCI.Lista.Situação</formula1>
    </dataValidation>
    <dataValidation type="list" allowBlank="1" showInputMessage="1" showErrorMessage="1" errorTitle="Erro:" error="Selecione uma opção da lista." prompt="Selecione uma opção da lista." sqref="F12 F14:F23">
      <formula1>QCI.SubItemInvestimento</formula1>
    </dataValidation>
    <dataValidation type="list" allowBlank="1" showInputMessage="1" showErrorMessage="1" errorTitle="Erro:" error="Selecione uma opção da lista." prompt="Selecione uma opção da lista." sqref="E12 E14:E23">
      <formula1>QCI.ItemInvestimento</formula1>
    </dataValidation>
    <dataValidation type="list" allowBlank="1" showInputMessage="1" showErrorMessage="1" errorTitle="Erro:" error="Selecione uma opção da lista." prompt="Selecione uma opção da lista." sqref="V12 V14:V23">
      <formula1>QCI.Lista.DivisãoInvest</formula1>
    </dataValidation>
  </dataValidations>
  <pageMargins left="0.78740157480314998" right="0.78740157480314998" top="0.78740157480314998" bottom="0.78740157480314998" header="0.59055118110236204" footer="0.59055118110236204"/>
  <pageSetup paperSize="9" scale="63" firstPageNumber="0" fitToHeight="0" orientation="landscape" horizontalDpi="300" verticalDpi="300" r:id="rId1"/>
  <headerFooter alignWithMargins="0">
    <oddHeader>&amp;L_&amp;C&amp;14I</oddHeader>
    <oddFooter>&amp;LPMv3.14&amp;R&amp;P / &amp;N</oddFooter>
  </headerFooter>
  <colBreaks count="1" manualBreakCount="1">
    <brk id="15"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1"/>
  <dimension ref="A1:AG41"/>
  <sheetViews>
    <sheetView showGridLines="0" zoomScaleNormal="100" zoomScaleSheetLayoutView="100" workbookViewId="0">
      <pane xSplit="4" ySplit="13" topLeftCell="E14" activePane="bottomRight" state="frozen"/>
      <selection pane="topRight" activeCell="E1" sqref="E1"/>
      <selection pane="bottomLeft" activeCell="A13" sqref="A13"/>
      <selection pane="bottomRight"/>
    </sheetView>
  </sheetViews>
  <sheetFormatPr defaultRowHeight="12.75" x14ac:dyDescent="0.2"/>
  <cols>
    <col min="1" max="1" width="3.5703125" customWidth="1"/>
    <col min="2" max="2" width="8.140625" customWidth="1"/>
    <col min="3" max="3" width="17" customWidth="1"/>
    <col min="4" max="4" width="19.85546875" customWidth="1"/>
    <col min="5" max="5" width="0.85546875" customWidth="1"/>
    <col min="6" max="6" width="5.5703125" hidden="1" customWidth="1"/>
    <col min="7" max="7" width="9.140625" hidden="1" customWidth="1"/>
    <col min="8" max="32" width="5.5703125" customWidth="1"/>
    <col min="33" max="33" width="8.5703125" hidden="1" customWidth="1"/>
    <col min="34" max="34" width="8.5703125" customWidth="1"/>
  </cols>
  <sheetData>
    <row r="1" spans="1:33" ht="19.5" hidden="1" customHeight="1" x14ac:dyDescent="0.2">
      <c r="A1" s="7" t="e">
        <f ca="1">IF(C1=0,"","F")</f>
        <v>#REF!</v>
      </c>
      <c r="B1" s="246" t="e">
        <f ca="1">OFFSET(B1,-1,0)+1</f>
        <v>#REF!</v>
      </c>
      <c r="C1" s="789" t="e">
        <f ca="1">IF(AUTOEVENTO="Manual",OFFSET(EVENTOS!$D$15,$B1-$B$15,0),IF(B1&lt;=MAX(CÁLCULO!$M$15:$M$55),VLOOKUP($B1,CÁLCULO!$M$15:$N$55,2,FALSE),0))</f>
        <v>#REF!</v>
      </c>
      <c r="D1" s="789"/>
      <c r="F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row>
    <row r="2" spans="1:33" ht="16.5" hidden="1" customHeight="1" x14ac:dyDescent="0.2">
      <c r="A2" s="7"/>
      <c r="B2" s="7"/>
      <c r="C2" s="12"/>
      <c r="D2" s="12"/>
      <c r="F2" s="437"/>
    </row>
    <row r="3" spans="1:33" ht="15.75" x14ac:dyDescent="0.25">
      <c r="H3" s="205" t="s">
        <v>833</v>
      </c>
      <c r="AD3" s="703" t="s">
        <v>644</v>
      </c>
      <c r="AE3" s="703"/>
      <c r="AF3" s="703"/>
    </row>
    <row r="4" spans="1:33" ht="15.75" x14ac:dyDescent="0.2">
      <c r="B4" s="81"/>
      <c r="C4" s="81"/>
      <c r="H4" s="82" t="str">
        <f>import.recurso</f>
        <v>OGU</v>
      </c>
      <c r="AD4" s="704" t="s">
        <v>647</v>
      </c>
      <c r="AE4" s="704"/>
      <c r="AF4" s="704"/>
    </row>
    <row r="6" spans="1:33" x14ac:dyDescent="0.2">
      <c r="B6" s="207" t="s">
        <v>650</v>
      </c>
      <c r="C6" s="262"/>
      <c r="D6" s="209" t="s">
        <v>707</v>
      </c>
      <c r="E6" s="4"/>
      <c r="H6" s="210" t="s">
        <v>788</v>
      </c>
      <c r="I6" s="185"/>
      <c r="J6" s="185"/>
      <c r="K6" s="185"/>
      <c r="L6" s="184"/>
      <c r="M6" s="184"/>
      <c r="N6" s="263"/>
      <c r="O6" s="207" t="s">
        <v>758</v>
      </c>
      <c r="P6" s="211"/>
      <c r="R6" s="185"/>
      <c r="S6" s="185"/>
      <c r="T6" s="185"/>
      <c r="U6" s="208"/>
      <c r="V6" s="207" t="str" cm="1">
        <f t="array" ref="V6">IF(TIPOORCAMENTO="Licitado","NOME DA EMPRESA","DESCRIÇÃO DO LOTE")</f>
        <v>DESCRIÇÃO DO LOTE</v>
      </c>
      <c r="W6" s="185"/>
      <c r="X6" s="185"/>
      <c r="Y6" s="185"/>
      <c r="AD6" s="4"/>
      <c r="AE6" s="791" t="str" cm="1">
        <f t="array" ref="AE6">IF(TIPOORCAMENTO="Licitado","Nº CTEF","")</f>
        <v/>
      </c>
      <c r="AF6" s="791"/>
    </row>
    <row r="7" spans="1:33" x14ac:dyDescent="0.2">
      <c r="B7" s="764">
        <f>Import.CR</f>
        <v>0</v>
      </c>
      <c r="C7" s="764"/>
      <c r="D7" s="213" t="str">
        <f>Import.TransfereGOV</f>
        <v>948148</v>
      </c>
      <c r="E7" s="41"/>
      <c r="H7" s="763" t="str">
        <f>Import.Proponente</f>
        <v>18.029.165/0001-51</v>
      </c>
      <c r="I7" s="763"/>
      <c r="J7" s="763"/>
      <c r="K7" s="763"/>
      <c r="L7" s="763"/>
      <c r="M7" s="763"/>
      <c r="N7" s="763"/>
      <c r="O7" s="764" t="str">
        <f>Import.Apelido</f>
        <v>Construção de ponte e pavimentação de estrada vicinal</v>
      </c>
      <c r="P7" s="764"/>
      <c r="Q7" s="764"/>
      <c r="R7" s="764"/>
      <c r="S7" s="764"/>
      <c r="T7" s="764"/>
      <c r="U7" s="764"/>
      <c r="V7" s="764" t="str" cm="1">
        <f t="array" ref="V7">IF(TIPOORCAMENTO="Licitado",Import.empresa,Import.DescLote)</f>
        <v>Infraestrutura</v>
      </c>
      <c r="W7" s="764"/>
      <c r="X7" s="764"/>
      <c r="Y7" s="764"/>
      <c r="Z7" s="764"/>
      <c r="AA7" s="764"/>
      <c r="AB7" s="764"/>
      <c r="AC7" s="764"/>
      <c r="AD7" s="764"/>
      <c r="AE7" s="792" t="str" cm="1">
        <f t="array" ref="AE7">IF(TIPOORCAMENTO="Licitado",Import.CTEF,"")</f>
        <v/>
      </c>
      <c r="AF7" s="792"/>
      <c r="AG7" s="264"/>
    </row>
    <row r="9" spans="1:33" ht="15.75" x14ac:dyDescent="0.25">
      <c r="A9" s="164">
        <v>0</v>
      </c>
      <c r="B9" s="265"/>
      <c r="C9" s="265"/>
      <c r="I9" s="266" t="s">
        <v>834</v>
      </c>
      <c r="J9" s="794">
        <v>1</v>
      </c>
      <c r="K9" s="794"/>
      <c r="M9" s="266" t="s">
        <v>799</v>
      </c>
      <c r="N9" s="795" t="str">
        <f ca="1">TEXT(IF(PLE.Medicao=1,Import.DataInicioObra,OFFSET($H$27,0,1+(PLE.Medicao-$I$28)*2-2)+1),"dd/mm/aaaa")&amp;" a "&amp;TEXT(OFFSET($H$27,0,1+(PLE.Medicao-$I$28)*2),"dd/mm/aaaa")</f>
        <v>00/01/1900 a 00/01/1900</v>
      </c>
      <c r="O9" s="795"/>
      <c r="P9" s="795"/>
      <c r="Q9" s="795"/>
      <c r="R9" s="795"/>
      <c r="S9" s="795"/>
      <c r="T9" s="795"/>
      <c r="U9" s="267"/>
      <c r="X9" s="266" t="s">
        <v>835</v>
      </c>
      <c r="Y9" s="793">
        <f ca="1">OFFSET($I$28,1+8*(ROUNDUP(($J$9-0)/((COLUMN($AG$14)-COLUMN($G$14)-1)/25*12),0)-1),ROUNDDOWN((($J$9-0)-OFFSET($I$28,8*(ROUNDUP(($J$9-0)/((COLUMN($AG$14)-COLUMN($G$14)-1)/25*12),0)-1),0))*(2+1/12),0))</f>
        <v>0</v>
      </c>
      <c r="Z9" s="793"/>
      <c r="AD9" s="266" t="s">
        <v>836</v>
      </c>
      <c r="AE9" s="793">
        <f ca="1">OFFSET($I$28,3+8*(ROUNDUP(($J$9-0)/((COLUMN($AG$14)-COLUMN($G$14)-1)/25*12),0)-1),ROUNDDOWN((($J$9-0)-OFFSET($I$28,8*(ROUNDUP(($J$9-0)/((COLUMN($AG$14)-COLUMN($G$14)-1)/25*12),0)-1),0))*(2+1/12),0))</f>
        <v>0</v>
      </c>
      <c r="AF9" s="793"/>
    </row>
    <row r="11" spans="1:33" ht="65.25" customHeight="1" x14ac:dyDescent="0.2">
      <c r="A11" s="249" t="s">
        <v>837</v>
      </c>
      <c r="C11" s="790" t="str" cm="1">
        <f t="array" ref="C11">IF(TIPOORCAMENTO="proposto","ALTERE O TIPO DE ORÇAMENTO NA ABA 'MENU' PARA LICITADO.",
 IF(ACOMPANHAMENTO="BM","FOI SELECIONADO NA ABA 'MENU' O ACOMPANHAMENTO POR BM.",
 IF(AND(PLE.Medicao=1,DADOS!$C$47=0),"PREENCHER A DATA DE INÍCIO DA OBRA, NA ABA DADOS",
 IF($Y$9=0,"PREENCHER A MEDIÇÃO "&amp;PLE.Medicao,
 IF($H$27&lt;&gt;"",UPPER($H$27),
 IF($S$36&lt;&gt;"",UPPER($S$36),""))))))</f>
        <v>ALTERE O TIPO DE ORÇAMENTO NA ABA 'MENU' PARA LICITADO.</v>
      </c>
      <c r="D11" s="790"/>
      <c r="F11" s="251" cm="1">
        <f t="array" aca="1" ref="F11" ca="1">IF(F$12&gt;CÁLCULO.NúmeroDeFrentes,"",OFFSET(CÁLCULO!$P$12,0,F$12))</f>
        <v>1</v>
      </c>
      <c r="H11" s="251" cm="1">
        <f t="array" aca="1" ref="H11" ca="1">IF(H$12&gt;CÁLCULO.NúmeroDeFrentes,"",OFFSET(CÁLCULO!$P$12,0,H$12))</f>
        <v>1</v>
      </c>
      <c r="I11" s="251" cm="1">
        <f t="array" aca="1" ref="I11" ca="1">IF(I$12&gt;CÁLCULO.NúmeroDeFrentes,"",OFFSET(CÁLCULO!$P$12,0,I$12))</f>
        <v>2</v>
      </c>
      <c r="J11" s="251" cm="1">
        <f t="array" aca="1" ref="J11" ca="1">IF(J$12&gt;CÁLCULO.NúmeroDeFrentes,"",OFFSET(CÁLCULO!$P$12,0,J$12))</f>
        <v>3</v>
      </c>
      <c r="K11" s="251" cm="1">
        <f t="array" aca="1" ref="K11" ca="1">IF(K$12&gt;CÁLCULO.NúmeroDeFrentes,"",OFFSET(CÁLCULO!$P$12,0,K$12))</f>
        <v>4</v>
      </c>
      <c r="L11" s="251" cm="1">
        <f t="array" aca="1" ref="L11" ca="1">IF(L$12&gt;CÁLCULO.NúmeroDeFrentes,"",OFFSET(CÁLCULO!$P$12,0,L$12))</f>
        <v>0</v>
      </c>
      <c r="M11" s="251" cm="1">
        <f t="array" aca="1" ref="M11" ca="1">IF(M$12&gt;CÁLCULO.NúmeroDeFrentes,"",OFFSET(CÁLCULO!$P$12,0,M$12))</f>
        <v>0</v>
      </c>
      <c r="N11" s="251" cm="1">
        <f t="array" aca="1" ref="N11" ca="1">IF(N$12&gt;CÁLCULO.NúmeroDeFrentes,"",OFFSET(CÁLCULO!$P$12,0,N$12))</f>
        <v>0</v>
      </c>
      <c r="O11" s="251" cm="1">
        <f t="array" aca="1" ref="O11" ca="1">IF(O$12&gt;CÁLCULO.NúmeroDeFrentes,"",OFFSET(CÁLCULO!$P$12,0,O$12))</f>
        <v>0</v>
      </c>
      <c r="P11" s="251" cm="1">
        <f t="array" aca="1" ref="P11" ca="1">IF(P$12&gt;CÁLCULO.NúmeroDeFrentes,"",OFFSET(CÁLCULO!$P$12,0,P$12))</f>
        <v>0</v>
      </c>
      <c r="Q11" s="251" cm="1">
        <f t="array" aca="1" ref="Q11" ca="1">IF(Q$12&gt;CÁLCULO.NúmeroDeFrentes,"",OFFSET(CÁLCULO!$P$12,0,Q$12))</f>
        <v>0</v>
      </c>
      <c r="R11" s="251" t="str" cm="1">
        <f t="array" aca="1" ref="R11" ca="1">IF(R$12&gt;CÁLCULO.NúmeroDeFrentes,"",OFFSET(CÁLCULO!$P$12,0,R$12))</f>
        <v/>
      </c>
      <c r="S11" s="251" t="str" cm="1">
        <f t="array" aca="1" ref="S11" ca="1">IF(S$12&gt;CÁLCULO.NúmeroDeFrentes,"",OFFSET(CÁLCULO!$P$12,0,S$12))</f>
        <v/>
      </c>
      <c r="T11" s="251" t="str" cm="1">
        <f t="array" aca="1" ref="T11" ca="1">IF(T$12&gt;CÁLCULO.NúmeroDeFrentes,"",OFFSET(CÁLCULO!$P$12,0,T$12))</f>
        <v/>
      </c>
      <c r="U11" s="251" t="str" cm="1">
        <f t="array" aca="1" ref="U11" ca="1">IF(U$12&gt;CÁLCULO.NúmeroDeFrentes,"",OFFSET(CÁLCULO!$P$12,0,U$12))</f>
        <v/>
      </c>
      <c r="V11" s="251" t="str" cm="1">
        <f t="array" aca="1" ref="V11" ca="1">IF(V$12&gt;CÁLCULO.NúmeroDeFrentes,"",OFFSET(CÁLCULO!$P$12,0,V$12))</f>
        <v/>
      </c>
      <c r="W11" s="251" t="str" cm="1">
        <f t="array" aca="1" ref="W11" ca="1">IF(W$12&gt;CÁLCULO.NúmeroDeFrentes,"",OFFSET(CÁLCULO!$P$12,0,W$12))</f>
        <v/>
      </c>
      <c r="X11" s="251" t="str" cm="1">
        <f t="array" aca="1" ref="X11" ca="1">IF(X$12&gt;CÁLCULO.NúmeroDeFrentes,"",OFFSET(CÁLCULO!$P$12,0,X$12))</f>
        <v/>
      </c>
      <c r="Y11" s="251" t="str" cm="1">
        <f t="array" aca="1" ref="Y11" ca="1">IF(Y$12&gt;CÁLCULO.NúmeroDeFrentes,"",OFFSET(CÁLCULO!$P$12,0,Y$12))</f>
        <v/>
      </c>
      <c r="Z11" s="251" t="str" cm="1">
        <f t="array" aca="1" ref="Z11" ca="1">IF(Z$12&gt;CÁLCULO.NúmeroDeFrentes,"",OFFSET(CÁLCULO!$P$12,0,Z$12))</f>
        <v/>
      </c>
      <c r="AA11" s="251" t="str" cm="1">
        <f t="array" aca="1" ref="AA11" ca="1">IF(AA$12&gt;CÁLCULO.NúmeroDeFrentes,"",OFFSET(CÁLCULO!$P$12,0,AA$12))</f>
        <v/>
      </c>
      <c r="AB11" s="251" t="str" cm="1">
        <f t="array" aca="1" ref="AB11" ca="1">IF(AB$12&gt;CÁLCULO.NúmeroDeFrentes,"",OFFSET(CÁLCULO!$P$12,0,AB$12))</f>
        <v/>
      </c>
      <c r="AC11" s="251" t="str" cm="1">
        <f t="array" aca="1" ref="AC11" ca="1">IF(AC$12&gt;CÁLCULO.NúmeroDeFrentes,"",OFFSET(CÁLCULO!$P$12,0,AC$12))</f>
        <v/>
      </c>
      <c r="AD11" s="251" t="str" cm="1">
        <f t="array" aca="1" ref="AD11" ca="1">IF(AD$12&gt;CÁLCULO.NúmeroDeFrentes,"",OFFSET(CÁLCULO!$P$12,0,AD$12))</f>
        <v/>
      </c>
      <c r="AE11" s="251" t="str" cm="1">
        <f t="array" aca="1" ref="AE11" ca="1">IF(AE$12&gt;CÁLCULO.NúmeroDeFrentes,"",OFFSET(CÁLCULO!$P$12,0,AE$12))</f>
        <v/>
      </c>
      <c r="AF11" s="251" t="str" cm="1">
        <f t="array" aca="1" ref="AF11" ca="1">IF(AF$12&gt;CÁLCULO.NúmeroDeFrentes,"",OFFSET(CÁLCULO!$P$12,0,AF$12))</f>
        <v/>
      </c>
    </row>
    <row r="12" spans="1:33" ht="12.75" customHeight="1" x14ac:dyDescent="0.2">
      <c r="A12" s="105" t="s">
        <v>660</v>
      </c>
      <c r="B12" s="755" t="s">
        <v>760</v>
      </c>
      <c r="C12" s="755" t="s">
        <v>778</v>
      </c>
      <c r="D12" s="755"/>
      <c r="F12" s="252">
        <f ca="1">OFFSET(F12,0,-1)+1</f>
        <v>1</v>
      </c>
      <c r="H12" s="252">
        <f ca="1">OFFSET(H12,0,-1)+1</f>
        <v>1</v>
      </c>
      <c r="I12" s="252">
        <f ca="1">OFFSET(I12,0,-1)+1</f>
        <v>2</v>
      </c>
      <c r="J12" s="252">
        <f t="shared" ref="J12:AF12" ca="1" si="0">OFFSET(J12,0,-1)+1</f>
        <v>3</v>
      </c>
      <c r="K12" s="252">
        <f t="shared" ca="1" si="0"/>
        <v>4</v>
      </c>
      <c r="L12" s="252">
        <f t="shared" ca="1" si="0"/>
        <v>5</v>
      </c>
      <c r="M12" s="252">
        <f t="shared" ca="1" si="0"/>
        <v>6</v>
      </c>
      <c r="N12" s="252">
        <f t="shared" ca="1" si="0"/>
        <v>7</v>
      </c>
      <c r="O12" s="252">
        <f t="shared" ca="1" si="0"/>
        <v>8</v>
      </c>
      <c r="P12" s="252">
        <f t="shared" ca="1" si="0"/>
        <v>9</v>
      </c>
      <c r="Q12" s="252">
        <f t="shared" ca="1" si="0"/>
        <v>10</v>
      </c>
      <c r="R12" s="252">
        <f t="shared" ca="1" si="0"/>
        <v>11</v>
      </c>
      <c r="S12" s="252">
        <f t="shared" ca="1" si="0"/>
        <v>12</v>
      </c>
      <c r="T12" s="252">
        <f t="shared" ca="1" si="0"/>
        <v>13</v>
      </c>
      <c r="U12" s="252">
        <f t="shared" ca="1" si="0"/>
        <v>14</v>
      </c>
      <c r="V12" s="252">
        <f t="shared" ca="1" si="0"/>
        <v>15</v>
      </c>
      <c r="W12" s="252">
        <f t="shared" ca="1" si="0"/>
        <v>16</v>
      </c>
      <c r="X12" s="252">
        <f t="shared" ca="1" si="0"/>
        <v>17</v>
      </c>
      <c r="Y12" s="252">
        <f t="shared" ca="1" si="0"/>
        <v>18</v>
      </c>
      <c r="Z12" s="252">
        <f t="shared" ca="1" si="0"/>
        <v>19</v>
      </c>
      <c r="AA12" s="252">
        <f t="shared" ca="1" si="0"/>
        <v>20</v>
      </c>
      <c r="AB12" s="252">
        <f t="shared" ca="1" si="0"/>
        <v>21</v>
      </c>
      <c r="AC12" s="252">
        <f t="shared" ca="1" si="0"/>
        <v>22</v>
      </c>
      <c r="AD12" s="252">
        <f t="shared" ca="1" si="0"/>
        <v>23</v>
      </c>
      <c r="AE12" s="252">
        <f t="shared" ca="1" si="0"/>
        <v>24</v>
      </c>
      <c r="AF12" s="252">
        <f t="shared" ca="1" si="0"/>
        <v>25</v>
      </c>
    </row>
    <row r="13" spans="1:33" x14ac:dyDescent="0.2">
      <c r="B13" s="755"/>
      <c r="C13" s="755"/>
      <c r="D13" s="755"/>
      <c r="F13" s="254"/>
      <c r="H13" s="254"/>
      <c r="I13" s="253"/>
      <c r="J13" s="253"/>
      <c r="K13" s="253"/>
      <c r="L13" s="253"/>
      <c r="M13" s="253"/>
      <c r="N13" s="253" t="s">
        <v>838</v>
      </c>
      <c r="O13" s="253"/>
      <c r="P13" s="253"/>
      <c r="Q13" s="253"/>
      <c r="R13" s="253"/>
      <c r="S13" s="253"/>
      <c r="T13" s="253"/>
      <c r="U13" s="253"/>
      <c r="V13" s="253"/>
      <c r="W13" s="253"/>
      <c r="X13" s="253"/>
      <c r="Y13" s="253"/>
      <c r="Z13" s="253"/>
      <c r="AA13" s="253"/>
      <c r="AB13" s="253"/>
      <c r="AC13" s="253"/>
      <c r="AD13" s="253"/>
      <c r="AE13" s="253"/>
      <c r="AF13" s="255"/>
    </row>
    <row r="14" spans="1:33" ht="3.95" customHeight="1" x14ac:dyDescent="0.2">
      <c r="A14" s="7" t="s">
        <v>536</v>
      </c>
    </row>
    <row r="15" spans="1:33" x14ac:dyDescent="0.2">
      <c r="A15" s="7" t="str">
        <f>IF(B15=0,"","F")</f>
        <v/>
      </c>
      <c r="B15" s="256">
        <f>EVENTOS!$C$15</f>
        <v>0</v>
      </c>
      <c r="C15" s="800" t="str">
        <f>EVENTOS!$D$15</f>
        <v/>
      </c>
      <c r="D15" s="800"/>
      <c r="F15" s="259"/>
      <c r="H15" s="259" t="str">
        <f>IF(AUTOEVENTO="MANUAL","A administração local será proporcional a execução dos demais eventos, independente de frentes de obra.","Para aplicação de Adm. Local é necessário definir os eventos manualmente.")</f>
        <v>Para aplicação de Adm. Local é necessário definir os eventos manualmente.</v>
      </c>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60"/>
    </row>
    <row r="16" spans="1:33" ht="19.5" customHeight="1" x14ac:dyDescent="0.2">
      <c r="A16" s="7" t="str">
        <f t="shared" ref="A16:A23" ca="1" si="1">IF(C16=0,"","F")</f>
        <v>F</v>
      </c>
      <c r="B16" s="246">
        <f t="shared" ref="B16:B23" ca="1" si="2">OFFSET(B16,-1,0)+1</f>
        <v>1</v>
      </c>
      <c r="C16" s="789" t="str">
        <f ca="1">IF(AUTOEVENTO="Manual",OFFSET(EVENTOS!$D$15,$B16-$B$15,0),IF(B16&lt;=MAX(CÁLCULO!$M$15:$M$55),VLOOKUP($B16,CÁLCULO!$M$15:$N$55,2,FALSE),0))</f>
        <v>ADMINISTRAÇÃO LOCAL</v>
      </c>
      <c r="D16" s="789"/>
      <c r="F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row>
    <row r="17" spans="1:32" ht="19.5" customHeight="1" x14ac:dyDescent="0.2">
      <c r="A17" s="7" t="str">
        <f t="shared" ca="1" si="1"/>
        <v>F</v>
      </c>
      <c r="B17" s="246">
        <f t="shared" ca="1" si="2"/>
        <v>2</v>
      </c>
      <c r="C17" s="789" t="str">
        <f ca="1">IF(AUTOEVENTO="Manual",OFFSET(EVENTOS!$D$15,$B17-$B$15,0),IF(B17&lt;=MAX(CÁLCULO!$M$15:$M$55),VLOOKUP($B17,CÁLCULO!$M$15:$N$55,2,FALSE),0))</f>
        <v>SERVIÇOS PLELIMINARES</v>
      </c>
      <c r="D17" s="789"/>
      <c r="F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row>
    <row r="18" spans="1:32" ht="19.5" customHeight="1" x14ac:dyDescent="0.2">
      <c r="A18" s="7" t="str">
        <f t="shared" ca="1" si="1"/>
        <v>F</v>
      </c>
      <c r="B18" s="246">
        <f t="shared" ca="1" si="2"/>
        <v>3</v>
      </c>
      <c r="C18" s="789" t="str">
        <f ca="1">IF(AUTOEVENTO="Manual",OFFSET(EVENTOS!$D$15,$B18-$B$15,0),IF(B18&lt;=MAX(CÁLCULO!$M$15:$M$55),VLOOKUP($B18,CÁLCULO!$M$15:$N$55,2,FALSE),0))</f>
        <v>TERRAPLENAGEM</v>
      </c>
      <c r="D18" s="789"/>
      <c r="F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row>
    <row r="19" spans="1:32" ht="19.5" customHeight="1" x14ac:dyDescent="0.2">
      <c r="A19" s="7" t="str">
        <f t="shared" ca="1" si="1"/>
        <v>F</v>
      </c>
      <c r="B19" s="246">
        <f t="shared" ca="1" si="2"/>
        <v>4</v>
      </c>
      <c r="C19" s="789" t="str">
        <f ca="1">IF(AUTOEVENTO="Manual",OFFSET(EVENTOS!$D$15,$B19-$B$15,0),IF(B19&lt;=MAX(CÁLCULO!$M$15:$M$55),VLOOKUP($B19,CÁLCULO!$M$15:$N$55,2,FALSE),0))</f>
        <v>INFRAESTRUTURA</v>
      </c>
      <c r="D19" s="789"/>
      <c r="F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row>
    <row r="20" spans="1:32" ht="19.5" customHeight="1" x14ac:dyDescent="0.2">
      <c r="A20" s="7" t="str">
        <f t="shared" ca="1" si="1"/>
        <v>F</v>
      </c>
      <c r="B20" s="246">
        <f t="shared" ca="1" si="2"/>
        <v>5</v>
      </c>
      <c r="C20" s="789" t="str">
        <f ca="1">IF(AUTOEVENTO="Manual",OFFSET(EVENTOS!$D$15,$B20-$B$15,0),IF(B20&lt;=MAX(CÁLCULO!$M$15:$M$55),VLOOKUP($B20,CÁLCULO!$M$15:$N$55,2,FALSE),0))</f>
        <v>MESOESTRUTURA</v>
      </c>
      <c r="D20" s="789"/>
      <c r="F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row>
    <row r="21" spans="1:32" ht="19.5" customHeight="1" x14ac:dyDescent="0.2">
      <c r="A21" s="7" t="str">
        <f t="shared" ca="1" si="1"/>
        <v>F</v>
      </c>
      <c r="B21" s="246">
        <f t="shared" ca="1" si="2"/>
        <v>6</v>
      </c>
      <c r="C21" s="789" t="str">
        <f ca="1">IF(AUTOEVENTO="Manual",OFFSET(EVENTOS!$D$15,$B21-$B$15,0),IF(B21&lt;=MAX(CÁLCULO!$M$15:$M$55),VLOOKUP($B21,CÁLCULO!$M$15:$N$55,2,FALSE),0))</f>
        <v>SUPERESTRUTURA</v>
      </c>
      <c r="D21" s="789"/>
      <c r="F21" s="247"/>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row>
    <row r="22" spans="1:32" ht="19.5" customHeight="1" x14ac:dyDescent="0.2">
      <c r="A22" s="7" t="str">
        <f t="shared" ca="1" si="1"/>
        <v>F</v>
      </c>
      <c r="B22" s="246">
        <f t="shared" ca="1" si="2"/>
        <v>7</v>
      </c>
      <c r="C22" s="789" t="str">
        <f ca="1">IF(AUTOEVENTO="Manual",OFFSET(EVENTOS!$D$15,$B22-$B$15,0),IF(B22&lt;=MAX(CÁLCULO!$M$15:$M$55),VLOOKUP($B22,CÁLCULO!$M$15:$N$55,2,FALSE),0))</f>
        <v>CALÇAMENTO</v>
      </c>
      <c r="D22" s="789"/>
      <c r="F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row>
    <row r="23" spans="1:32" ht="19.5" customHeight="1" x14ac:dyDescent="0.2">
      <c r="A23" s="7" t="str">
        <f t="shared" ca="1" si="1"/>
        <v>F</v>
      </c>
      <c r="B23" s="246">
        <f t="shared" ca="1" si="2"/>
        <v>8</v>
      </c>
      <c r="C23" s="789" t="str">
        <f ca="1">IF(AUTOEVENTO="Manual",OFFSET(EVENTOS!$D$15,$B23-$B$15,0),IF(B23&lt;=MAX(CÁLCULO!$M$15:$M$55),VLOOKUP($B23,CÁLCULO!$M$15:$N$55,2,FALSE),0))</f>
        <v>SERVIÇOS COMPLEMENTARES</v>
      </c>
      <c r="D23" s="789"/>
      <c r="F23" s="247"/>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row>
    <row r="24" spans="1:32" ht="4.5" customHeight="1" x14ac:dyDescent="0.2">
      <c r="A24" s="7" t="s">
        <v>536</v>
      </c>
      <c r="B24" s="617"/>
      <c r="C24" s="618"/>
      <c r="D24" s="418"/>
      <c r="F24" s="635"/>
      <c r="H24" s="617"/>
      <c r="I24" s="618"/>
      <c r="J24" s="618"/>
      <c r="K24" s="618"/>
      <c r="L24" s="618"/>
      <c r="M24" s="618"/>
      <c r="N24" s="618"/>
      <c r="O24" s="618"/>
      <c r="P24" s="618"/>
      <c r="Q24" s="618"/>
      <c r="R24" s="618"/>
      <c r="S24" s="618"/>
      <c r="T24" s="618"/>
      <c r="U24" s="618"/>
      <c r="V24" s="618"/>
      <c r="W24" s="618"/>
      <c r="X24" s="618"/>
      <c r="Y24" s="618"/>
      <c r="Z24" s="618"/>
      <c r="AA24" s="618"/>
      <c r="AB24" s="618"/>
      <c r="AC24" s="618"/>
      <c r="AD24" s="618"/>
      <c r="AE24" s="618"/>
      <c r="AF24" s="418"/>
    </row>
    <row r="25" spans="1:32" x14ac:dyDescent="0.2">
      <c r="A25" s="7" t="s">
        <v>536</v>
      </c>
    </row>
    <row r="26" spans="1:32" x14ac:dyDescent="0.2">
      <c r="A26" s="7" t="s">
        <v>536</v>
      </c>
      <c r="I26" s="801" t="s">
        <v>839</v>
      </c>
      <c r="J26" s="801"/>
      <c r="K26" s="801"/>
      <c r="L26" s="801"/>
      <c r="M26" s="801"/>
      <c r="N26" s="801"/>
      <c r="O26" s="801"/>
      <c r="P26" s="801"/>
      <c r="Q26" s="801"/>
      <c r="R26" s="801"/>
      <c r="S26" s="801"/>
      <c r="T26" s="801"/>
      <c r="U26" s="801"/>
      <c r="V26" s="801"/>
      <c r="W26" s="801"/>
      <c r="X26" s="801"/>
      <c r="Y26" s="801"/>
      <c r="Z26" s="801"/>
      <c r="AA26" s="801"/>
      <c r="AB26" s="801"/>
      <c r="AC26" s="801"/>
      <c r="AD26" s="801"/>
      <c r="AE26" s="801"/>
      <c r="AF26" s="801"/>
    </row>
    <row r="27" spans="1:32" x14ac:dyDescent="0.2">
      <c r="A27" s="7" t="s">
        <v>536</v>
      </c>
      <c r="H27" s="582" t="str">
        <f>IF(INDEX($I$27:$AG$27,MATCH(PLE.Medicao,$I$28:$AG$28,0))="","Preencher a data da medição "&amp;PLE.Medicao,"")</f>
        <v>Preencher a data da medição 1</v>
      </c>
      <c r="I27" s="799"/>
      <c r="J27" s="798"/>
      <c r="K27" s="798"/>
      <c r="L27" s="798"/>
      <c r="M27" s="798"/>
      <c r="N27" s="798"/>
      <c r="O27" s="798"/>
      <c r="P27" s="798"/>
      <c r="Q27" s="798"/>
      <c r="R27" s="798"/>
      <c r="S27" s="798"/>
      <c r="T27" s="798"/>
      <c r="U27" s="798"/>
      <c r="V27" s="798"/>
      <c r="W27" s="798"/>
      <c r="X27" s="798"/>
      <c r="Y27" s="798"/>
      <c r="Z27" s="798"/>
      <c r="AA27" s="798"/>
      <c r="AB27" s="798"/>
      <c r="AC27" s="798"/>
      <c r="AD27" s="798"/>
      <c r="AE27" s="798"/>
      <c r="AF27" s="802"/>
    </row>
    <row r="28" spans="1:32" x14ac:dyDescent="0.2">
      <c r="A28" s="7" t="s">
        <v>536</v>
      </c>
      <c r="D28" s="268" t="s">
        <v>840</v>
      </c>
      <c r="I28" s="796">
        <f>IF(PLE.Medicao&lt;=12,1,TRUNC((PLE.Medicao - 2)/11,0) * 11 + 1)</f>
        <v>1</v>
      </c>
      <c r="J28" s="796"/>
      <c r="K28" s="796">
        <f>I28+1</f>
        <v>2</v>
      </c>
      <c r="L28" s="796"/>
      <c r="M28" s="796">
        <f>K28+1</f>
        <v>3</v>
      </c>
      <c r="N28" s="796"/>
      <c r="O28" s="796">
        <f>M28+1</f>
        <v>4</v>
      </c>
      <c r="P28" s="796"/>
      <c r="Q28" s="796">
        <f>O28+1</f>
        <v>5</v>
      </c>
      <c r="R28" s="796"/>
      <c r="S28" s="796">
        <f>Q28+1</f>
        <v>6</v>
      </c>
      <c r="T28" s="796"/>
      <c r="U28" s="796">
        <f>S28+1</f>
        <v>7</v>
      </c>
      <c r="V28" s="796"/>
      <c r="W28" s="796">
        <f>U28+1</f>
        <v>8</v>
      </c>
      <c r="X28" s="796"/>
      <c r="Y28" s="796">
        <f>W28+1</f>
        <v>9</v>
      </c>
      <c r="Z28" s="796"/>
      <c r="AA28" s="796">
        <f>Y28+1</f>
        <v>10</v>
      </c>
      <c r="AB28" s="796"/>
      <c r="AC28" s="796">
        <f>AA28+1</f>
        <v>11</v>
      </c>
      <c r="AD28" s="796"/>
      <c r="AE28" s="796">
        <f>AC28+1</f>
        <v>12</v>
      </c>
      <c r="AF28" s="796"/>
    </row>
    <row r="29" spans="1:32" x14ac:dyDescent="0.2">
      <c r="A29" s="7" t="s">
        <v>536</v>
      </c>
      <c r="D29" s="785" t="s">
        <v>799</v>
      </c>
      <c r="H29" s="269" t="s">
        <v>781</v>
      </c>
      <c r="I29" s="803">
        <f ca="1">ROUND(I30,2)/ORÇAMENTO!$X$15</f>
        <v>0</v>
      </c>
      <c r="J29" s="803"/>
      <c r="K29" s="797">
        <f ca="1">ROUND(K30,2)/ORÇAMENTO!$X$15</f>
        <v>0</v>
      </c>
      <c r="L29" s="797"/>
      <c r="M29" s="797">
        <f ca="1">ROUND(M30,2)/ORÇAMENTO!$X$15</f>
        <v>0</v>
      </c>
      <c r="N29" s="797"/>
      <c r="O29" s="797">
        <f ca="1">ROUND(O30,2)/ORÇAMENTO!$X$15</f>
        <v>0</v>
      </c>
      <c r="P29" s="797"/>
      <c r="Q29" s="797">
        <f ca="1">ROUND(Q30,2)/ORÇAMENTO!$X$15</f>
        <v>0</v>
      </c>
      <c r="R29" s="797"/>
      <c r="S29" s="797">
        <f ca="1">ROUND(S30,2)/ORÇAMENTO!$X$15</f>
        <v>0</v>
      </c>
      <c r="T29" s="797"/>
      <c r="U29" s="797">
        <f ca="1">ROUND(U30,2)/ORÇAMENTO!$X$15</f>
        <v>0</v>
      </c>
      <c r="V29" s="797"/>
      <c r="W29" s="797">
        <f ca="1">ROUND(W30,2)/ORÇAMENTO!$X$15</f>
        <v>0</v>
      </c>
      <c r="X29" s="797"/>
      <c r="Y29" s="797">
        <f ca="1">ROUND(Y30,2)/ORÇAMENTO!$X$15</f>
        <v>0</v>
      </c>
      <c r="Z29" s="797"/>
      <c r="AA29" s="797">
        <f ca="1">ROUND(AA30,2)/ORÇAMENTO!$X$15</f>
        <v>0</v>
      </c>
      <c r="AB29" s="797"/>
      <c r="AC29" s="797">
        <f ca="1">ROUND(AC30,2)/ORÇAMENTO!$X$15</f>
        <v>0</v>
      </c>
      <c r="AD29" s="797"/>
      <c r="AE29" s="797">
        <f ca="1">ROUND(AE30,2)/ORÇAMENTO!$X$15</f>
        <v>0</v>
      </c>
      <c r="AF29" s="797"/>
    </row>
    <row r="30" spans="1:32" x14ac:dyDescent="0.2">
      <c r="A30" s="7" t="s">
        <v>536</v>
      </c>
      <c r="D30" s="785"/>
      <c r="H30" s="11" t="s">
        <v>782</v>
      </c>
      <c r="I30" s="783" cm="1">
        <f t="array" aca="1" ref="I30" ca="1">IF(I28=1,I32,ROUND(I32,2)-ROUND(SUMIF(CÁLCULO!$AX$15:$BH$55,"&lt;="&amp;PLE!I28-1,CÁLCULO!$AB$15:$AL$55)*IF(AdmLocal="Automática",(1+CÁLCULO.TotalAdmLocal/(ORÇAMENTO!$X$15-CÁLCULO.TotalAdmLocal)),1),2))</f>
        <v>0</v>
      </c>
      <c r="J30" s="783"/>
      <c r="K30" s="783">
        <f ca="1">ROUND(K32,2)-ROUND(I32,2)</f>
        <v>0</v>
      </c>
      <c r="L30" s="783"/>
      <c r="M30" s="783">
        <f t="shared" ref="M30" ca="1" si="3">ROUND(M32,2)-ROUND(K32,2)</f>
        <v>0</v>
      </c>
      <c r="N30" s="783"/>
      <c r="O30" s="783">
        <f t="shared" ref="O30" ca="1" si="4">ROUND(O32,2)-ROUND(M32,2)</f>
        <v>0</v>
      </c>
      <c r="P30" s="783"/>
      <c r="Q30" s="783">
        <f t="shared" ref="Q30" ca="1" si="5">ROUND(Q32,2)-ROUND(O32,2)</f>
        <v>0</v>
      </c>
      <c r="R30" s="783"/>
      <c r="S30" s="783">
        <f t="shared" ref="S30" ca="1" si="6">ROUND(S32,2)-ROUND(Q32,2)</f>
        <v>0</v>
      </c>
      <c r="T30" s="783"/>
      <c r="U30" s="783">
        <f t="shared" ref="U30" ca="1" si="7">ROUND(U32,2)-ROUND(S32,2)</f>
        <v>0</v>
      </c>
      <c r="V30" s="783"/>
      <c r="W30" s="783">
        <f t="shared" ref="W30" ca="1" si="8">ROUND(W32,2)-ROUND(U32,2)</f>
        <v>0</v>
      </c>
      <c r="X30" s="783"/>
      <c r="Y30" s="783">
        <f t="shared" ref="Y30" ca="1" si="9">ROUND(Y32,2)-ROUND(W32,2)</f>
        <v>0</v>
      </c>
      <c r="Z30" s="783"/>
      <c r="AA30" s="783">
        <f t="shared" ref="AA30" ca="1" si="10">ROUND(AA32,2)-ROUND(Y32,2)</f>
        <v>0</v>
      </c>
      <c r="AB30" s="783"/>
      <c r="AC30" s="783">
        <f t="shared" ref="AC30" ca="1" si="11">ROUND(AC32,2)-ROUND(AA32,2)</f>
        <v>0</v>
      </c>
      <c r="AD30" s="783"/>
      <c r="AE30" s="783">
        <f t="shared" ref="AE30" ca="1" si="12">ROUND(AE32,2)-ROUND(AC32,2)</f>
        <v>0</v>
      </c>
      <c r="AF30" s="783"/>
    </row>
    <row r="31" spans="1:32" x14ac:dyDescent="0.2">
      <c r="A31" s="7" t="s">
        <v>536</v>
      </c>
      <c r="D31" s="785" t="s">
        <v>803</v>
      </c>
      <c r="H31" s="269" t="s">
        <v>781</v>
      </c>
      <c r="I31" s="787">
        <f ca="1">ROUND(I32,2)/ORÇAMENTO!$X$15</f>
        <v>0</v>
      </c>
      <c r="J31" s="787"/>
      <c r="K31" s="784">
        <f ca="1">ROUND(K32,2)/ORÇAMENTO!$X$15</f>
        <v>0</v>
      </c>
      <c r="L31" s="784"/>
      <c r="M31" s="784">
        <f ca="1">ROUND(M32,2)/ORÇAMENTO!$X$15</f>
        <v>0</v>
      </c>
      <c r="N31" s="784"/>
      <c r="O31" s="784">
        <f ca="1">ROUND(O32,2)/ORÇAMENTO!$X$15</f>
        <v>0</v>
      </c>
      <c r="P31" s="784"/>
      <c r="Q31" s="784">
        <f ca="1">ROUND(Q32,2)/ORÇAMENTO!$X$15</f>
        <v>0</v>
      </c>
      <c r="R31" s="784"/>
      <c r="S31" s="784">
        <f ca="1">ROUND(S32,2)/ORÇAMENTO!$X$15</f>
        <v>0</v>
      </c>
      <c r="T31" s="784"/>
      <c r="U31" s="784">
        <f ca="1">ROUND(U32,2)/ORÇAMENTO!$X$15</f>
        <v>0</v>
      </c>
      <c r="V31" s="784"/>
      <c r="W31" s="784">
        <f ca="1">ROUND(W32,2)/ORÇAMENTO!$X$15</f>
        <v>0</v>
      </c>
      <c r="X31" s="784"/>
      <c r="Y31" s="784">
        <f ca="1">ROUND(Y32,2)/ORÇAMENTO!$X$15</f>
        <v>0</v>
      </c>
      <c r="Z31" s="784"/>
      <c r="AA31" s="784">
        <f ca="1">ROUND(AA32,2)/ORÇAMENTO!$X$15</f>
        <v>0</v>
      </c>
      <c r="AB31" s="784"/>
      <c r="AC31" s="784">
        <f ca="1">ROUND(AC32,2)/ORÇAMENTO!$X$15</f>
        <v>0</v>
      </c>
      <c r="AD31" s="784"/>
      <c r="AE31" s="784">
        <f ca="1">ROUND(AE32,2)/ORÇAMENTO!$X$15</f>
        <v>0</v>
      </c>
      <c r="AF31" s="784"/>
    </row>
    <row r="32" spans="1:32" x14ac:dyDescent="0.2">
      <c r="A32" s="7" t="s">
        <v>536</v>
      </c>
      <c r="D32" s="785"/>
      <c r="H32" s="11" t="s">
        <v>782</v>
      </c>
      <c r="I32" s="786" cm="1">
        <f t="array" aca="1" ref="I32" ca="1">SUMIF(CÁLCULO!$AX$15:$BH$55,"&lt;="&amp;PLE!I28,CÁLCULO!$AB$15:$AL$55)*IF(AdmLocal="Automática",(1+CÁLCULO.TotalAdmLocal/(ORÇAMENTO!$X$15-CÁLCULO.TotalAdmLocal)),1)</f>
        <v>0</v>
      </c>
      <c r="J32" s="786"/>
      <c r="K32" s="783" cm="1">
        <f t="array" aca="1" ref="K32" ca="1">SUMIF(CÁLCULO!$AX$15:$BH$55,"&lt;="&amp;PLE!K28,CÁLCULO!$AB$15:$AL$55)*IF(AdmLocal="Automática",(1+CÁLCULO.TotalAdmLocal/(ORÇAMENTO!$X$15-CÁLCULO.TotalAdmLocal)),1)</f>
        <v>0</v>
      </c>
      <c r="L32" s="783"/>
      <c r="M32" s="783" cm="1">
        <f t="array" aca="1" ref="M32" ca="1">SUMIF(CÁLCULO!$AX$15:$BH$55,"&lt;="&amp;PLE!M28,CÁLCULO!$AB$15:$AL$55)*IF(AdmLocal="Automática",(1+CÁLCULO.TotalAdmLocal/(ORÇAMENTO!$X$15-CÁLCULO.TotalAdmLocal)),1)</f>
        <v>0</v>
      </c>
      <c r="N32" s="783"/>
      <c r="O32" s="783" cm="1">
        <f t="array" aca="1" ref="O32" ca="1">SUMIF(CÁLCULO!$AX$15:$BH$55,"&lt;="&amp;PLE!O28,CÁLCULO!$AB$15:$AL$55)*IF(AdmLocal="Automática",(1+CÁLCULO.TotalAdmLocal/(ORÇAMENTO!$X$15-CÁLCULO.TotalAdmLocal)),1)</f>
        <v>0</v>
      </c>
      <c r="P32" s="783"/>
      <c r="Q32" s="783" cm="1">
        <f t="array" aca="1" ref="Q32" ca="1">SUMIF(CÁLCULO!$AX$15:$BH$55,"&lt;="&amp;PLE!Q28,CÁLCULO!$AB$15:$AL$55)*IF(AdmLocal="Automática",(1+CÁLCULO.TotalAdmLocal/(ORÇAMENTO!$X$15-CÁLCULO.TotalAdmLocal)),1)</f>
        <v>0</v>
      </c>
      <c r="R32" s="783"/>
      <c r="S32" s="783" cm="1">
        <f t="array" aca="1" ref="S32" ca="1">SUMIF(CÁLCULO!$AX$15:$BH$55,"&lt;="&amp;PLE!S28,CÁLCULO!$AB$15:$AL$55)*IF(AdmLocal="Automática",(1+CÁLCULO.TotalAdmLocal/(ORÇAMENTO!$X$15-CÁLCULO.TotalAdmLocal)),1)</f>
        <v>0</v>
      </c>
      <c r="T32" s="783"/>
      <c r="U32" s="783" cm="1">
        <f t="array" aca="1" ref="U32" ca="1">SUMIF(CÁLCULO!$AX$15:$BH$55,"&lt;="&amp;PLE!U28,CÁLCULO!$AB$15:$AL$55)*IF(AdmLocal="Automática",(1+CÁLCULO.TotalAdmLocal/(ORÇAMENTO!$X$15-CÁLCULO.TotalAdmLocal)),1)</f>
        <v>0</v>
      </c>
      <c r="V32" s="783"/>
      <c r="W32" s="783" cm="1">
        <f t="array" aca="1" ref="W32" ca="1">SUMIF(CÁLCULO!$AX$15:$BH$55,"&lt;="&amp;PLE!W28,CÁLCULO!$AB$15:$AL$55)*IF(AdmLocal="Automática",(1+CÁLCULO.TotalAdmLocal/(ORÇAMENTO!$X$15-CÁLCULO.TotalAdmLocal)),1)</f>
        <v>0</v>
      </c>
      <c r="X32" s="783"/>
      <c r="Y32" s="783" cm="1">
        <f t="array" aca="1" ref="Y32" ca="1">SUMIF(CÁLCULO!$AX$15:$BH$55,"&lt;="&amp;PLE!Y28,CÁLCULO!$AB$15:$AL$55)*IF(AdmLocal="Automática",(1+CÁLCULO.TotalAdmLocal/(ORÇAMENTO!$X$15-CÁLCULO.TotalAdmLocal)),1)</f>
        <v>0</v>
      </c>
      <c r="Z32" s="783"/>
      <c r="AA32" s="783" cm="1">
        <f t="array" aca="1" ref="AA32" ca="1">SUMIF(CÁLCULO!$AX$15:$BH$55,"&lt;="&amp;PLE!AA28,CÁLCULO!$AB$15:$AL$55)*IF(AdmLocal="Automática",(1+CÁLCULO.TotalAdmLocal/(ORÇAMENTO!$X$15-CÁLCULO.TotalAdmLocal)),1)</f>
        <v>0</v>
      </c>
      <c r="AB32" s="783"/>
      <c r="AC32" s="783" cm="1">
        <f t="array" aca="1" ref="AC32" ca="1">SUMIF(CÁLCULO!$AX$15:$BH$55,"&lt;="&amp;PLE!AC28,CÁLCULO!$AB$15:$AL$55)*IF(AdmLocal="Automática",(1+CÁLCULO.TotalAdmLocal/(ORÇAMENTO!$X$15-CÁLCULO.TotalAdmLocal)),1)</f>
        <v>0</v>
      </c>
      <c r="AD32" s="783"/>
      <c r="AE32" s="783" cm="1">
        <f t="array" aca="1" ref="AE32" ca="1">SUMIF(CÁLCULO!$AX$15:$BH$55,"&lt;="&amp;PLE!AE28,CÁLCULO!$AB$15:$AL$55)*IF(AdmLocal="Automática",(1+CÁLCULO.TotalAdmLocal/(ORÇAMENTO!$X$15-CÁLCULO.TotalAdmLocal)),1)</f>
        <v>0</v>
      </c>
      <c r="AF32" s="783"/>
    </row>
    <row r="33" spans="1:32" ht="12.75" customHeight="1" x14ac:dyDescent="0.2">
      <c r="A33" s="7"/>
      <c r="D33" s="551" t="s">
        <v>784</v>
      </c>
      <c r="H33" s="550" t="s">
        <v>781</v>
      </c>
      <c r="I33" s="743">
        <f ca="1">IF(OR(ACOMPANHAMENTO&lt;&gt;"PLE",I28&gt;PLE.Medicao),0,
   IF(AUTOEVENTO="Manual",
      IF(AdmLocal="Automática",I31,
         IF(Import.EventoAdmLocal="","",SUMIF(OFFSET($G$14,CRONOPLE!$A$8+1,1,1,OFFSET($AG$12,0,-1)),"&lt;="&amp;I28,OFFSET(EVENTOS!$G$14,CRONOPLE!$A$8+1,1,1,OFFSET($AG$12,0,-1)))/OFFSET(EVENTOS!$G$14,CRONOPLE!$A$8+1,-1))),
      IF(Import.EventoAdmLocal="","",SUMIF(OFFSET(CÁLCULO!$AW$15,CRONOPLE!$A$10,1,OFFSET(ORÇAMENTO!$D$15,CRONOPLE!$A$10,0),COLUMN(CÁLCULO!$BH$15)-COLUMN(CÁLCULO!$AW$15)-1),"&lt;="&amp;I28,OFFSET(CÁLCULO!$AA$15,CRONOPLE!$A$10,1,OFFSET(ORÇAMENTO!$D$15,CRONOPLE!$A$10,0),COLUMN(CÁLCULO!$AL$15)-COLUMN(CÁLCULO!$AA$15)-1))/OFFSET(ORÇAMENTO!$X$15,CRONOPLE!$A$10,0))))</f>
        <v>0</v>
      </c>
      <c r="J33" s="743"/>
      <c r="K33" s="743">
        <f ca="1">IF(OR(ACOMPANHAMENTO&lt;&gt;"PLE",K28&gt;PLE.Medicao),0,
   IF(AUTOEVENTO="Manual",
      IF(AdmLocal="Automática",K31,
         IF(Import.EventoAdmLocal="","",SUMIF(OFFSET($G$14,CRONOPLE!$A$8+1,1,1,OFFSET($AG$12,0,-1)),"&lt;="&amp;K28,OFFSET(EVENTOS!$G$14,CRONOPLE!$A$8+1,1,1,OFFSET($AG$12,0,-1)))/OFFSET(EVENTOS!$G$14,CRONOPLE!$A$8+1,-1))),
      IF(Import.EventoAdmLocal="","",SUMIF(OFFSET(CÁLCULO!$AW$15,CRONOPLE!$A$10,1,OFFSET(ORÇAMENTO!$D$15,CRONOPLE!$A$10,0),COLUMN(CÁLCULO!$BH$15)-COLUMN(CÁLCULO!$AW$15)-1),"&lt;="&amp;K28,OFFSET(CÁLCULO!$AA$15,CRONOPLE!$A$10,1,OFFSET(ORÇAMENTO!$D$15,CRONOPLE!$A$10,0),COLUMN(CÁLCULO!$AL$15)-COLUMN(CÁLCULO!$AA$15)-1))/OFFSET(ORÇAMENTO!$X$15,CRONOPLE!$A$10,0))))</f>
        <v>0</v>
      </c>
      <c r="L33" s="743"/>
      <c r="M33" s="743">
        <f ca="1">IF(OR(ACOMPANHAMENTO&lt;&gt;"PLE",M28&gt;PLE.Medicao),0,
   IF(AUTOEVENTO="Manual",
      IF(AdmLocal="Automática",M31,
         IF(Import.EventoAdmLocal="","",SUMIF(OFFSET($G$14,CRONOPLE!$A$8+1,1,1,OFFSET($AG$12,0,-1)),"&lt;="&amp;M28,OFFSET(EVENTOS!$G$14,CRONOPLE!$A$8+1,1,1,OFFSET($AG$12,0,-1)))/OFFSET(EVENTOS!$G$14,CRONOPLE!$A$8+1,-1))),
      IF(Import.EventoAdmLocal="","",SUMIF(OFFSET(CÁLCULO!$AW$15,CRONOPLE!$A$10,1,OFFSET(ORÇAMENTO!$D$15,CRONOPLE!$A$10,0),COLUMN(CÁLCULO!$BH$15)-COLUMN(CÁLCULO!$AW$15)-1),"&lt;="&amp;M28,OFFSET(CÁLCULO!$AA$15,CRONOPLE!$A$10,1,OFFSET(ORÇAMENTO!$D$15,CRONOPLE!$A$10,0),COLUMN(CÁLCULO!$AL$15)-COLUMN(CÁLCULO!$AA$15)-1))/OFFSET(ORÇAMENTO!$X$15,CRONOPLE!$A$10,0))))</f>
        <v>0</v>
      </c>
      <c r="N33" s="743"/>
      <c r="O33" s="743">
        <f ca="1">IF(OR(ACOMPANHAMENTO&lt;&gt;"PLE",O28&gt;PLE.Medicao),0,
   IF(AUTOEVENTO="Manual",
      IF(AdmLocal="Automática",O31,
         IF(Import.EventoAdmLocal="","",SUMIF(OFFSET($G$14,CRONOPLE!$A$8+1,1,1,OFFSET($AG$12,0,-1)),"&lt;="&amp;O28,OFFSET(EVENTOS!$G$14,CRONOPLE!$A$8+1,1,1,OFFSET($AG$12,0,-1)))/OFFSET(EVENTOS!$G$14,CRONOPLE!$A$8+1,-1))),
      IF(Import.EventoAdmLocal="","",SUMIF(OFFSET(CÁLCULO!$AW$15,CRONOPLE!$A$10,1,OFFSET(ORÇAMENTO!$D$15,CRONOPLE!$A$10,0),COLUMN(CÁLCULO!$BH$15)-COLUMN(CÁLCULO!$AW$15)-1),"&lt;="&amp;O28,OFFSET(CÁLCULO!$AA$15,CRONOPLE!$A$10,1,OFFSET(ORÇAMENTO!$D$15,CRONOPLE!$A$10,0),COLUMN(CÁLCULO!$AL$15)-COLUMN(CÁLCULO!$AA$15)-1))/OFFSET(ORÇAMENTO!$X$15,CRONOPLE!$A$10,0))))</f>
        <v>0</v>
      </c>
      <c r="P33" s="743"/>
      <c r="Q33" s="743">
        <f ca="1">IF(OR(ACOMPANHAMENTO&lt;&gt;"PLE",Q28&gt;PLE.Medicao),0,
   IF(AUTOEVENTO="Manual",
      IF(AdmLocal="Automática",Q31,
         IF(Import.EventoAdmLocal="","",SUMIF(OFFSET($G$14,CRONOPLE!$A$8+1,1,1,OFFSET($AG$12,0,-1)),"&lt;="&amp;Q28,OFFSET(EVENTOS!$G$14,CRONOPLE!$A$8+1,1,1,OFFSET($AG$12,0,-1)))/OFFSET(EVENTOS!$G$14,CRONOPLE!$A$8+1,-1))),
      IF(Import.EventoAdmLocal="","",SUMIF(OFFSET(CÁLCULO!$AW$15,CRONOPLE!$A$10,1,OFFSET(ORÇAMENTO!$D$15,CRONOPLE!$A$10,0),COLUMN(CÁLCULO!$BH$15)-COLUMN(CÁLCULO!$AW$15)-1),"&lt;="&amp;Q28,OFFSET(CÁLCULO!$AA$15,CRONOPLE!$A$10,1,OFFSET(ORÇAMENTO!$D$15,CRONOPLE!$A$10,0),COLUMN(CÁLCULO!$AL$15)-COLUMN(CÁLCULO!$AA$15)-1))/OFFSET(ORÇAMENTO!$X$15,CRONOPLE!$A$10,0))))</f>
        <v>0</v>
      </c>
      <c r="R33" s="743"/>
      <c r="S33" s="743">
        <f ca="1">IF(OR(ACOMPANHAMENTO&lt;&gt;"PLE",S28&gt;PLE.Medicao),0,
   IF(AUTOEVENTO="Manual",
      IF(AdmLocal="Automática",S31,
         IF(Import.EventoAdmLocal="","",SUMIF(OFFSET($G$14,CRONOPLE!$A$8+1,1,1,OFFSET($AG$12,0,-1)),"&lt;="&amp;S28,OFFSET(EVENTOS!$G$14,CRONOPLE!$A$8+1,1,1,OFFSET($AG$12,0,-1)))/OFFSET(EVENTOS!$G$14,CRONOPLE!$A$8+1,-1))),
      IF(Import.EventoAdmLocal="","",SUMIF(OFFSET(CÁLCULO!$AW$15,CRONOPLE!$A$10,1,OFFSET(ORÇAMENTO!$D$15,CRONOPLE!$A$10,0),COLUMN(CÁLCULO!$BH$15)-COLUMN(CÁLCULO!$AW$15)-1),"&lt;="&amp;S28,OFFSET(CÁLCULO!$AA$15,CRONOPLE!$A$10,1,OFFSET(ORÇAMENTO!$D$15,CRONOPLE!$A$10,0),COLUMN(CÁLCULO!$AL$15)-COLUMN(CÁLCULO!$AA$15)-1))/OFFSET(ORÇAMENTO!$X$15,CRONOPLE!$A$10,0))))</f>
        <v>0</v>
      </c>
      <c r="T33" s="743"/>
      <c r="U33" s="743">
        <f ca="1">IF(OR(ACOMPANHAMENTO&lt;&gt;"PLE",U28&gt;PLE.Medicao),0,
   IF(AUTOEVENTO="Manual",
      IF(AdmLocal="Automática",U31,
         IF(Import.EventoAdmLocal="","",SUMIF(OFFSET($G$14,CRONOPLE!$A$8+1,1,1,OFFSET($AG$12,0,-1)),"&lt;="&amp;U28,OFFSET(EVENTOS!$G$14,CRONOPLE!$A$8+1,1,1,OFFSET($AG$12,0,-1)))/OFFSET(EVENTOS!$G$14,CRONOPLE!$A$8+1,-1))),
      IF(Import.EventoAdmLocal="","",SUMIF(OFFSET(CÁLCULO!$AW$15,CRONOPLE!$A$10,1,OFFSET(ORÇAMENTO!$D$15,CRONOPLE!$A$10,0),COLUMN(CÁLCULO!$BH$15)-COLUMN(CÁLCULO!$AW$15)-1),"&lt;="&amp;U28,OFFSET(CÁLCULO!$AA$15,CRONOPLE!$A$10,1,OFFSET(ORÇAMENTO!$D$15,CRONOPLE!$A$10,0),COLUMN(CÁLCULO!$AL$15)-COLUMN(CÁLCULO!$AA$15)-1))/OFFSET(ORÇAMENTO!$X$15,CRONOPLE!$A$10,0))))</f>
        <v>0</v>
      </c>
      <c r="V33" s="743"/>
      <c r="W33" s="743">
        <f ca="1">IF(OR(ACOMPANHAMENTO&lt;&gt;"PLE",W28&gt;PLE.Medicao),0,
   IF(AUTOEVENTO="Manual",
      IF(AdmLocal="Automática",W31,
         IF(Import.EventoAdmLocal="","",SUMIF(OFFSET($G$14,CRONOPLE!$A$8+1,1,1,OFFSET($AG$12,0,-1)),"&lt;="&amp;W28,OFFSET(EVENTOS!$G$14,CRONOPLE!$A$8+1,1,1,OFFSET($AG$12,0,-1)))/OFFSET(EVENTOS!$G$14,CRONOPLE!$A$8+1,-1))),
      IF(Import.EventoAdmLocal="","",SUMIF(OFFSET(CÁLCULO!$AW$15,CRONOPLE!$A$10,1,OFFSET(ORÇAMENTO!$D$15,CRONOPLE!$A$10,0),COLUMN(CÁLCULO!$BH$15)-COLUMN(CÁLCULO!$AW$15)-1),"&lt;="&amp;W28,OFFSET(CÁLCULO!$AA$15,CRONOPLE!$A$10,1,OFFSET(ORÇAMENTO!$D$15,CRONOPLE!$A$10,0),COLUMN(CÁLCULO!$AL$15)-COLUMN(CÁLCULO!$AA$15)-1))/OFFSET(ORÇAMENTO!$X$15,CRONOPLE!$A$10,0))))</f>
        <v>0</v>
      </c>
      <c r="X33" s="743"/>
      <c r="Y33" s="743">
        <f ca="1">IF(OR(ACOMPANHAMENTO&lt;&gt;"PLE",Y28&gt;PLE.Medicao),0,
   IF(AUTOEVENTO="Manual",
      IF(AdmLocal="Automática",Y31,
         IF(Import.EventoAdmLocal="","",SUMIF(OFFSET($G$14,CRONOPLE!$A$8+1,1,1,OFFSET($AG$12,0,-1)),"&lt;="&amp;Y28,OFFSET(EVENTOS!$G$14,CRONOPLE!$A$8+1,1,1,OFFSET($AG$12,0,-1)))/OFFSET(EVENTOS!$G$14,CRONOPLE!$A$8+1,-1))),
      IF(Import.EventoAdmLocal="","",SUMIF(OFFSET(CÁLCULO!$AW$15,CRONOPLE!$A$10,1,OFFSET(ORÇAMENTO!$D$15,CRONOPLE!$A$10,0),COLUMN(CÁLCULO!$BH$15)-COLUMN(CÁLCULO!$AW$15)-1),"&lt;="&amp;Y28,OFFSET(CÁLCULO!$AA$15,CRONOPLE!$A$10,1,OFFSET(ORÇAMENTO!$D$15,CRONOPLE!$A$10,0),COLUMN(CÁLCULO!$AL$15)-COLUMN(CÁLCULO!$AA$15)-1))/OFFSET(ORÇAMENTO!$X$15,CRONOPLE!$A$10,0))))</f>
        <v>0</v>
      </c>
      <c r="Z33" s="743"/>
      <c r="AA33" s="743">
        <f ca="1">IF(OR(ACOMPANHAMENTO&lt;&gt;"PLE",AA28&gt;PLE.Medicao),0,
   IF(AUTOEVENTO="Manual",
      IF(AdmLocal="Automática",AA31,
         IF(Import.EventoAdmLocal="","",SUMIF(OFFSET($G$14,CRONOPLE!$A$8+1,1,1,OFFSET($AG$12,0,-1)),"&lt;="&amp;AA28,OFFSET(EVENTOS!$G$14,CRONOPLE!$A$8+1,1,1,OFFSET($AG$12,0,-1)))/OFFSET(EVENTOS!$G$14,CRONOPLE!$A$8+1,-1))),
      IF(Import.EventoAdmLocal="","",SUMIF(OFFSET(CÁLCULO!$AW$15,CRONOPLE!$A$10,1,OFFSET(ORÇAMENTO!$D$15,CRONOPLE!$A$10,0),COLUMN(CÁLCULO!$BH$15)-COLUMN(CÁLCULO!$AW$15)-1),"&lt;="&amp;AA28,OFFSET(CÁLCULO!$AA$15,CRONOPLE!$A$10,1,OFFSET(ORÇAMENTO!$D$15,CRONOPLE!$A$10,0),COLUMN(CÁLCULO!$AL$15)-COLUMN(CÁLCULO!$AA$15)-1))/OFFSET(ORÇAMENTO!$X$15,CRONOPLE!$A$10,0))))</f>
        <v>0</v>
      </c>
      <c r="AB33" s="743"/>
      <c r="AC33" s="743">
        <f ca="1">IF(OR(ACOMPANHAMENTO&lt;&gt;"PLE",AC28&gt;PLE.Medicao),0,
   IF(AUTOEVENTO="Manual",
      IF(AdmLocal="Automática",AC31,
         IF(Import.EventoAdmLocal="","",SUMIF(OFFSET($G$14,CRONOPLE!$A$8+1,1,1,OFFSET($AG$12,0,-1)),"&lt;="&amp;AC28,OFFSET(EVENTOS!$G$14,CRONOPLE!$A$8+1,1,1,OFFSET($AG$12,0,-1)))/OFFSET(EVENTOS!$G$14,CRONOPLE!$A$8+1,-1))),
      IF(Import.EventoAdmLocal="","",SUMIF(OFFSET(CÁLCULO!$AW$15,CRONOPLE!$A$10,1,OFFSET(ORÇAMENTO!$D$15,CRONOPLE!$A$10,0),COLUMN(CÁLCULO!$BH$15)-COLUMN(CÁLCULO!$AW$15)-1),"&lt;="&amp;AC28,OFFSET(CÁLCULO!$AA$15,CRONOPLE!$A$10,1,OFFSET(ORÇAMENTO!$D$15,CRONOPLE!$A$10,0),COLUMN(CÁLCULO!$AL$15)-COLUMN(CÁLCULO!$AA$15)-1))/OFFSET(ORÇAMENTO!$X$15,CRONOPLE!$A$10,0))))</f>
        <v>0</v>
      </c>
      <c r="AD33" s="743"/>
      <c r="AE33" s="743">
        <f ca="1">IF(OR(ACOMPANHAMENTO&lt;&gt;"PLE",AE28&gt;PLE.Medicao),0,
   IF(AUTOEVENTO="Manual",
      IF(AdmLocal="Automática",AE31,
         IF(Import.EventoAdmLocal="","",SUMIF(OFFSET($G$14,CRONOPLE!$A$8+1,1,1,OFFSET($AG$12,0,-1)),"&lt;="&amp;AE28,OFFSET(EVENTOS!$G$14,CRONOPLE!$A$8+1,1,1,OFFSET($AG$12,0,-1)))/OFFSET(EVENTOS!$G$14,CRONOPLE!$A$8+1,-1))),
      IF(Import.EventoAdmLocal="","",SUMIF(OFFSET(CÁLCULO!$AW$15,CRONOPLE!$A$10,1,OFFSET(ORÇAMENTO!$D$15,CRONOPLE!$A$10,0),COLUMN(CÁLCULO!$BH$15)-COLUMN(CÁLCULO!$AW$15)-1),"&lt;="&amp;AE28,OFFSET(CÁLCULO!$AA$15,CRONOPLE!$A$10,1,OFFSET(ORÇAMENTO!$D$15,CRONOPLE!$A$10,0),COLUMN(CÁLCULO!$AL$15)-COLUMN(CÁLCULO!$AA$15)-1))/OFFSET(ORÇAMENTO!$X$15,CRONOPLE!$A$10,0))))</f>
        <v>0</v>
      </c>
      <c r="AF33" s="743"/>
    </row>
    <row r="34" spans="1:32" ht="13.5" x14ac:dyDescent="0.25">
      <c r="A34" s="7" t="s">
        <v>536</v>
      </c>
      <c r="D34" s="522"/>
      <c r="H34" s="582" t="str">
        <f ca="1">IF(COUNTIF(I34:AG34,"%Adm&gt;%Global")&gt;0,"Verificar proporcionalidade da Administração Local","")</f>
        <v/>
      </c>
      <c r="I34" s="534" t="str">
        <f ca="1">IF(I33="","",IF(ROUND(I33,4)&gt;ROUND(I31,4),"%Adm&gt;%Global",""))</f>
        <v/>
      </c>
      <c r="J34" s="523"/>
      <c r="K34" s="534" t="str">
        <f t="shared" ref="K34" ca="1" si="13">IF(K33="","",IF(ROUND(K33,4)&gt;ROUND(K31,4),"%Adm&gt;%Global",""))</f>
        <v/>
      </c>
      <c r="L34" s="523"/>
      <c r="M34" s="534" t="str">
        <f t="shared" ref="M34" ca="1" si="14">IF(M33="","",IF(ROUND(M33,4)&gt;ROUND(M31,4),"%Adm&gt;%Global",""))</f>
        <v/>
      </c>
      <c r="N34" s="523"/>
      <c r="O34" s="534" t="str">
        <f t="shared" ref="O34" ca="1" si="15">IF(O33="","",IF(ROUND(O33,4)&gt;ROUND(O31,4),"%Adm&gt;%Global",""))</f>
        <v/>
      </c>
      <c r="P34" s="523"/>
      <c r="Q34" s="534" t="str">
        <f t="shared" ref="Q34" ca="1" si="16">IF(Q33="","",IF(ROUND(Q33,4)&gt;ROUND(Q31,4),"%Adm&gt;%Global",""))</f>
        <v/>
      </c>
      <c r="R34" s="523"/>
      <c r="S34" s="534" t="str">
        <f t="shared" ref="S34" ca="1" si="17">IF(S33="","",IF(ROUND(S33,4)&gt;ROUND(S31,4),"%Adm&gt;%Global",""))</f>
        <v/>
      </c>
      <c r="T34" s="523"/>
      <c r="U34" s="534" t="str">
        <f t="shared" ref="U34" ca="1" si="18">IF(U33="","",IF(ROUND(U33,4)&gt;ROUND(U31,4),"%Adm&gt;%Global",""))</f>
        <v/>
      </c>
      <c r="V34" s="523"/>
      <c r="W34" s="534" t="str">
        <f t="shared" ref="W34" ca="1" si="19">IF(W33="","",IF(ROUND(W33,4)&gt;ROUND(W31,4),"%Adm&gt;%Global",""))</f>
        <v/>
      </c>
      <c r="X34" s="523"/>
      <c r="Y34" s="534" t="str">
        <f t="shared" ref="Y34" ca="1" si="20">IF(Y33="","",IF(ROUND(Y33,4)&gt;ROUND(Y31,4),"%Adm&gt;%Global",""))</f>
        <v/>
      </c>
      <c r="Z34" s="523"/>
      <c r="AA34" s="534" t="str">
        <f t="shared" ref="AA34" ca="1" si="21">IF(AA33="","",IF(ROUND(AA33,4)&gt;ROUND(AA31,4),"%Adm&gt;%Global",""))</f>
        <v/>
      </c>
      <c r="AB34" s="523"/>
      <c r="AC34" s="534" t="str">
        <f t="shared" ref="AC34" ca="1" si="22">IF(AC33="","",IF(ROUND(AC33,4)&gt;ROUND(AC31,4),"%Adm&gt;%Global",""))</f>
        <v/>
      </c>
      <c r="AD34" s="523"/>
      <c r="AE34" s="534" t="str">
        <f t="shared" ref="AE34" ca="1" si="23">IF(AE33="","",IF(ROUND(AE33,4)&gt;ROUND(AE31,4),"%Adm&gt;%Global",""))</f>
        <v/>
      </c>
      <c r="AF34" s="523"/>
    </row>
    <row r="35" spans="1:32" ht="20.25" customHeight="1" x14ac:dyDescent="0.2">
      <c r="A35" s="7" t="s">
        <v>536</v>
      </c>
      <c r="I35" s="788"/>
      <c r="J35" s="788"/>
    </row>
    <row r="36" spans="1:32" ht="15" x14ac:dyDescent="0.25">
      <c r="A36" s="7" t="s">
        <v>536</v>
      </c>
      <c r="B36" s="722" t="str">
        <f>Import.Município</f>
        <v>Liberdade - MG</v>
      </c>
      <c r="C36" s="722"/>
      <c r="D36" s="722"/>
      <c r="S36" s="561" t="str">
        <f ca="1">IF(DADOS!$D$50&lt;&gt;"","Preencher os Dados do Responsável pela Fiscalização, na aba DADOS.","")</f>
        <v/>
      </c>
      <c r="U36" s="138"/>
      <c r="V36" s="138"/>
      <c r="W36" s="138"/>
      <c r="X36" s="138"/>
      <c r="Y36" s="179"/>
      <c r="Z36" s="179"/>
      <c r="AA36" s="179"/>
      <c r="AB36" s="179"/>
      <c r="AC36" s="179"/>
      <c r="AD36" s="179"/>
    </row>
    <row r="37" spans="1:32" x14ac:dyDescent="0.2">
      <c r="A37" s="7" t="s">
        <v>536</v>
      </c>
      <c r="B37" s="9" t="s">
        <v>693</v>
      </c>
      <c r="U37" s="180" t="s">
        <v>841</v>
      </c>
    </row>
    <row r="38" spans="1:32" x14ac:dyDescent="0.2">
      <c r="A38" s="7" t="s">
        <v>536</v>
      </c>
      <c r="I38" s="78"/>
      <c r="U38" s="76" t="s">
        <v>240</v>
      </c>
      <c r="W38" s="270" t="str">
        <f t="array" ref="W38:W41">Import.RespFiscalização</f>
        <v>Antônio Carlos Sampaio Alves</v>
      </c>
    </row>
    <row r="39" spans="1:32" x14ac:dyDescent="0.2">
      <c r="A39" s="7" t="s">
        <v>536</v>
      </c>
      <c r="B39" s="716">
        <f>DADOS!$C$48</f>
        <v>0</v>
      </c>
      <c r="C39" s="716"/>
      <c r="D39" s="716"/>
      <c r="I39" s="78"/>
      <c r="U39" s="76" t="s">
        <v>319</v>
      </c>
      <c r="W39" s="270" t="str">
        <v>Engenheiro Civil</v>
      </c>
    </row>
    <row r="40" spans="1:32" x14ac:dyDescent="0.2">
      <c r="A40" s="7" t="s">
        <v>536</v>
      </c>
      <c r="B40" s="139" t="s">
        <v>694</v>
      </c>
      <c r="C40" s="1"/>
      <c r="D40" s="1"/>
      <c r="I40" s="78"/>
      <c r="U40" s="76" t="s">
        <v>243</v>
      </c>
      <c r="W40" s="270" t="str">
        <v>214010-D</v>
      </c>
    </row>
    <row r="41" spans="1:32" x14ac:dyDescent="0.2">
      <c r="U41" s="76" t="s">
        <v>246</v>
      </c>
      <c r="W41" s="12" t="str">
        <v>MG 20254192207</v>
      </c>
    </row>
  </sheetData>
  <sheetProtection algorithmName="SHA-512" hashValue="Z7POGicEPO1fqEQPPXhtHK6DA1FJ3mGbyHW+15wtaJuuByN/nqrF8ElTeZF/bvb9p9yr/wVRfjTdnjpub7qTqA==" saltValue="/Iv8bsjpPzO3J/kxgUbvFA==" spinCount="100000" sheet="1" objects="1" scenarios="1" autoFilter="0"/>
  <autoFilter ref="A13:A40"/>
  <mergeCells count="115">
    <mergeCell ref="U32:V32"/>
    <mergeCell ref="Q32:R32"/>
    <mergeCell ref="M27:N27"/>
    <mergeCell ref="O30:P30"/>
    <mergeCell ref="M30:N30"/>
    <mergeCell ref="K30:L30"/>
    <mergeCell ref="I30:J30"/>
    <mergeCell ref="I28:J28"/>
    <mergeCell ref="I29:J29"/>
    <mergeCell ref="M28:N28"/>
    <mergeCell ref="Y29:Z29"/>
    <mergeCell ref="S27:T27"/>
    <mergeCell ref="U27:V27"/>
    <mergeCell ref="Q27:R27"/>
    <mergeCell ref="S29:T29"/>
    <mergeCell ref="U28:V28"/>
    <mergeCell ref="AE29:AF29"/>
    <mergeCell ref="AC33:AD33"/>
    <mergeCell ref="AE33:AF33"/>
    <mergeCell ref="S33:T33"/>
    <mergeCell ref="U33:V33"/>
    <mergeCell ref="W33:X33"/>
    <mergeCell ref="Y33:Z33"/>
    <mergeCell ref="AA33:AB33"/>
    <mergeCell ref="W31:X31"/>
    <mergeCell ref="S31:T31"/>
    <mergeCell ref="AC32:AD32"/>
    <mergeCell ref="AA31:AB31"/>
    <mergeCell ref="AE32:AF32"/>
    <mergeCell ref="AE31:AF31"/>
    <mergeCell ref="Y32:Z32"/>
    <mergeCell ref="AA32:AB32"/>
    <mergeCell ref="S32:T32"/>
    <mergeCell ref="W32:X32"/>
    <mergeCell ref="C15:D15"/>
    <mergeCell ref="W27:X27"/>
    <mergeCell ref="AC27:AD27"/>
    <mergeCell ref="Y28:Z28"/>
    <mergeCell ref="AA29:AB29"/>
    <mergeCell ref="Y30:Z30"/>
    <mergeCell ref="U30:V30"/>
    <mergeCell ref="C21:D21"/>
    <mergeCell ref="B12:B13"/>
    <mergeCell ref="C17:D17"/>
    <mergeCell ref="D29:D30"/>
    <mergeCell ref="C16:D16"/>
    <mergeCell ref="C18:D18"/>
    <mergeCell ref="C19:D19"/>
    <mergeCell ref="C20:D20"/>
    <mergeCell ref="O29:P29"/>
    <mergeCell ref="M29:N29"/>
    <mergeCell ref="K29:L29"/>
    <mergeCell ref="I26:AF26"/>
    <mergeCell ref="O27:P27"/>
    <mergeCell ref="AE27:AF27"/>
    <mergeCell ref="Y27:Z27"/>
    <mergeCell ref="Q29:R29"/>
    <mergeCell ref="AC28:AD28"/>
    <mergeCell ref="AE30:AF30"/>
    <mergeCell ref="O28:P28"/>
    <mergeCell ref="W29:X29"/>
    <mergeCell ref="U29:V29"/>
    <mergeCell ref="AC29:AD29"/>
    <mergeCell ref="AE28:AF28"/>
    <mergeCell ref="U31:V31"/>
    <mergeCell ref="Y31:Z31"/>
    <mergeCell ref="C22:D22"/>
    <mergeCell ref="AA27:AB27"/>
    <mergeCell ref="C23:D23"/>
    <mergeCell ref="W30:X30"/>
    <mergeCell ref="S28:T28"/>
    <mergeCell ref="Q28:R28"/>
    <mergeCell ref="K28:L28"/>
    <mergeCell ref="K27:L27"/>
    <mergeCell ref="I27:J27"/>
    <mergeCell ref="S30:T30"/>
    <mergeCell ref="Q30:R30"/>
    <mergeCell ref="W28:X28"/>
    <mergeCell ref="AC30:AD30"/>
    <mergeCell ref="AC31:AD31"/>
    <mergeCell ref="AA30:AB30"/>
    <mergeCell ref="AA28:AB28"/>
    <mergeCell ref="C1:D1"/>
    <mergeCell ref="C11:D11"/>
    <mergeCell ref="C12:D13"/>
    <mergeCell ref="AD3:AF3"/>
    <mergeCell ref="AD4:AF4"/>
    <mergeCell ref="AE6:AF6"/>
    <mergeCell ref="H7:N7"/>
    <mergeCell ref="O7:U7"/>
    <mergeCell ref="AE7:AF7"/>
    <mergeCell ref="V7:AD7"/>
    <mergeCell ref="Y9:Z9"/>
    <mergeCell ref="AE9:AF9"/>
    <mergeCell ref="J9:K9"/>
    <mergeCell ref="N9:T9"/>
    <mergeCell ref="B7:C7"/>
    <mergeCell ref="O33:P33"/>
    <mergeCell ref="Q33:R33"/>
    <mergeCell ref="O32:P32"/>
    <mergeCell ref="O31:P31"/>
    <mergeCell ref="Q31:R31"/>
    <mergeCell ref="B39:D39"/>
    <mergeCell ref="B36:D36"/>
    <mergeCell ref="D31:D32"/>
    <mergeCell ref="M31:N31"/>
    <mergeCell ref="M32:N32"/>
    <mergeCell ref="I32:J32"/>
    <mergeCell ref="K32:L32"/>
    <mergeCell ref="K31:L31"/>
    <mergeCell ref="I31:J31"/>
    <mergeCell ref="I35:J35"/>
    <mergeCell ref="I33:J33"/>
    <mergeCell ref="K33:L33"/>
    <mergeCell ref="M33:N33"/>
  </mergeCells>
  <phoneticPr fontId="38" type="noConversion"/>
  <conditionalFormatting sqref="F1:F2">
    <cfRule type="expression" dxfId="108" priority="2669" stopIfTrue="1">
      <formula>IF(OR(ACOMPANHAMENTO="BM",F$12&gt;CÁLCULO.NúmeroDeFrentes),TRUE,PLE.ValorDoEvento=0)</formula>
    </cfRule>
    <cfRule type="cellIs" dxfId="107" priority="2670" stopIfTrue="1" operator="equal">
      <formula>$J$9</formula>
    </cfRule>
  </conditionalFormatting>
  <conditionalFormatting sqref="I29:AF29">
    <cfRule type="expression" dxfId="106" priority="2671" stopIfTrue="1">
      <formula>I28=$J$9</formula>
    </cfRule>
  </conditionalFormatting>
  <conditionalFormatting sqref="I30:AF30">
    <cfRule type="expression" dxfId="105" priority="2672" stopIfTrue="1">
      <formula>I28=$J$9</formula>
    </cfRule>
  </conditionalFormatting>
  <conditionalFormatting sqref="I31:AF31">
    <cfRule type="expression" dxfId="104" priority="2673" stopIfTrue="1">
      <formula>I28=$J$9</formula>
    </cfRule>
  </conditionalFormatting>
  <conditionalFormatting sqref="I32:AF32">
    <cfRule type="expression" dxfId="103" priority="2674" stopIfTrue="1">
      <formula>I28=$J$9</formula>
    </cfRule>
  </conditionalFormatting>
  <conditionalFormatting sqref="I28:J28">
    <cfRule type="cellIs" dxfId="102" priority="2668" stopIfTrue="1" operator="notEqual">
      <formula>1</formula>
    </cfRule>
  </conditionalFormatting>
  <conditionalFormatting sqref="H1:AF1">
    <cfRule type="expression" dxfId="101" priority="2686" stopIfTrue="1">
      <formula>IF(OR(ACOMPANHAMENTO="BM",TIPOORCAMENTO="Proposto",H$12&gt;CÁLCULO.NúmeroDeFrentes),TRUE,PLE.ValorDoEvento=0)</formula>
    </cfRule>
    <cfRule type="cellIs" dxfId="100" priority="2687" stopIfTrue="1" operator="equal">
      <formula>$J$9</formula>
    </cfRule>
  </conditionalFormatting>
  <conditionalFormatting sqref="AE6:AE7">
    <cfRule type="expression" dxfId="99" priority="2675" stopIfTrue="1">
      <formula>TIPOORCAMENTO&lt;&gt;"Licitado"</formula>
    </cfRule>
  </conditionalFormatting>
  <conditionalFormatting sqref="N9:T9">
    <cfRule type="expression" dxfId="98" priority="2676" stopIfTrue="1">
      <formula>COLUMN(N9)&gt;COLUMN($AF$12)</formula>
    </cfRule>
    <cfRule type="expression" dxfId="97" priority="2677" stopIfTrue="1">
      <formula>$N$9="DIGITE A DATA DA MEDIÇÃO"</formula>
    </cfRule>
  </conditionalFormatting>
  <conditionalFormatting sqref="I9:M9 U9:AF9">
    <cfRule type="expression" dxfId="96" priority="2678" stopIfTrue="1">
      <formula>COLUMN(I9)&gt;COLUMN($AF$12)</formula>
    </cfRule>
  </conditionalFormatting>
  <conditionalFormatting sqref="K29:AF32">
    <cfRule type="expression" dxfId="95" priority="1684" stopIfTrue="1">
      <formula>I$31=100%</formula>
    </cfRule>
  </conditionalFormatting>
  <conditionalFormatting sqref="J34 L34 N34 P34 R34 T34 V34 X34 Z34 AB34 AD34 AF34">
    <cfRule type="expression" dxfId="94" priority="14395" stopIfTrue="1">
      <formula>J29=$J$9</formula>
    </cfRule>
  </conditionalFormatting>
  <conditionalFormatting sqref="K33:AF33">
    <cfRule type="expression" dxfId="93" priority="1683">
      <formula>OFFSET(K33,-2,-2)=1</formula>
    </cfRule>
  </conditionalFormatting>
  <conditionalFormatting sqref="I33:AF33">
    <cfRule type="expression" dxfId="92" priority="1682">
      <formula>ROUND(I33,4)&gt;ROUND(I31,4)</formula>
    </cfRule>
  </conditionalFormatting>
  <conditionalFormatting sqref="N13">
    <cfRule type="expression" dxfId="91" priority="1681">
      <formula>$Y$9=0</formula>
    </cfRule>
  </conditionalFormatting>
  <conditionalFormatting sqref="F16:F23">
    <cfRule type="expression" dxfId="90" priority="21" stopIfTrue="1">
      <formula>IF(OR(ACOMPANHAMENTO="BM",F$12&gt;CÁLCULO.NúmeroDeFrentes),TRUE,PLE.ValorDoEvento=0)</formula>
    </cfRule>
    <cfRule type="cellIs" dxfId="89" priority="22" stopIfTrue="1" operator="equal">
      <formula>$J$9</formula>
    </cfRule>
  </conditionalFormatting>
  <conditionalFormatting sqref="H16:AF23">
    <cfRule type="expression" dxfId="88" priority="23" stopIfTrue="1">
      <formula>IF(OR(ACOMPANHAMENTO="BM",TIPOORCAMENTO="Proposto",H$12&gt;CÁLCULO.NúmeroDeFrentes),TRUE,PLE.ValorDoEvento=0)</formula>
    </cfRule>
    <cfRule type="cellIs" dxfId="87" priority="24" stopIfTrue="1" operator="equal">
      <formula>$J$9</formula>
    </cfRule>
  </conditionalFormatting>
  <dataValidations count="3">
    <dataValidation type="whole" operator="greaterThan" allowBlank="1" showErrorMessage="1" sqref="I3:AC4 J9:K9 F1:F4 F16:F23">
      <formula1>0</formula1>
      <formula2>0</formula2>
    </dataValidation>
    <dataValidation allowBlank="1" showInputMessage="1" showErrorMessage="1" prompt="Digite a data de medição abaixo dos eventos." sqref="N9:T9">
      <formula1>0</formula1>
      <formula2>0</formula2>
    </dataValidation>
    <dataValidation type="whole" operator="equal" allowBlank="1" showErrorMessage="1" errorTitle="Errp de entrada" error="Preencha somente com o número da medição atual." sqref="H1:AF1 H16:AF23">
      <formula1>PLE.Medicao</formula1>
    </dataValidation>
  </dataValidations>
  <printOptions horizontalCentered="1"/>
  <pageMargins left="0.78740157480314998" right="0.78740157480314998" top="0.78740157480314998" bottom="0.78740157480314998" header="0.59055118110236204" footer="0.59055118110236204"/>
  <pageSetup paperSize="9" scale="69" firstPageNumber="0" orientation="landscape" r:id="rId1"/>
  <headerFooter alignWithMargins="0">
    <oddHeader>&amp;C&amp;14I</oddHeader>
    <oddFooter>&amp;LPMv3.14&amp;R&amp;P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6" r:id="rId4" name="Botão de rotação 275">
              <controlPr defaultSize="0" print="0" autoFill="0" autoLine="0" autoPict="0">
                <anchor moveWithCells="1" sizeWithCells="1">
                  <from>
                    <xdr:col>11</xdr:col>
                    <xdr:colOff>0</xdr:colOff>
                    <xdr:row>8</xdr:row>
                    <xdr:rowOff>9525</xdr:rowOff>
                  </from>
                  <to>
                    <xdr:col>11</xdr:col>
                    <xdr:colOff>219075</xdr:colOff>
                    <xdr:row>9</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3">
    <pageSetUpPr fitToPage="1"/>
  </sheetPr>
  <dimension ref="A1:AO70"/>
  <sheetViews>
    <sheetView showGridLines="0" zoomScaleNormal="100" zoomScaleSheetLayoutView="90" workbookViewId="0">
      <pane xSplit="7" ySplit="15" topLeftCell="H16" activePane="bottomRight" state="frozen"/>
      <selection pane="topRight" activeCell="H1" sqref="H1"/>
      <selection pane="bottomLeft" activeCell="C16" sqref="C16"/>
      <selection pane="bottomRight"/>
    </sheetView>
  </sheetViews>
  <sheetFormatPr defaultRowHeight="12.75" x14ac:dyDescent="0.2"/>
  <cols>
    <col min="1" max="2" width="6.5703125" hidden="1" customWidth="1"/>
    <col min="3" max="3" width="3.5703125" customWidth="1"/>
    <col min="4" max="4" width="10.5703125" customWidth="1"/>
    <col min="5" max="5" width="65.5703125" customWidth="1"/>
    <col min="6" max="6" width="7.5703125" customWidth="1"/>
    <col min="7" max="7" width="11.5703125" customWidth="1"/>
    <col min="8" max="8" width="14.5703125" customWidth="1"/>
    <col min="9" max="9" width="18.5703125" customWidth="1"/>
    <col min="10" max="12" width="11.5703125" customWidth="1"/>
    <col min="13" max="15" width="18.5703125" customWidth="1"/>
    <col min="17" max="18" width="11.5703125" hidden="1" customWidth="1"/>
    <col min="19" max="19" width="9.140625" hidden="1" customWidth="1"/>
    <col min="20" max="20" width="10.5703125" hidden="1" customWidth="1"/>
    <col min="21" max="21" width="65.5703125" hidden="1" customWidth="1"/>
    <col min="22" max="22" width="7.5703125" hidden="1" customWidth="1"/>
    <col min="23" max="23" width="11.5703125" hidden="1" customWidth="1"/>
    <col min="24" max="24" width="14.5703125" hidden="1" customWidth="1"/>
    <col min="25" max="25" width="18.5703125" hidden="1" customWidth="1"/>
    <col min="26" max="26" width="25.5703125" hidden="1" customWidth="1"/>
    <col min="27" max="27" width="9.140625" hidden="1" customWidth="1"/>
    <col min="28" max="39" width="11.5703125" customWidth="1"/>
    <col min="40" max="40" width="10.42578125" customWidth="1"/>
    <col min="41" max="41" width="9.140625" hidden="1" customWidth="1"/>
  </cols>
  <sheetData>
    <row r="1" spans="1:41" ht="15.75" x14ac:dyDescent="0.2">
      <c r="E1" s="317" t="str">
        <f>IF(CAIXA.Modo,"BA - Boletim de Aferição","BM - Boletim de Medição")</f>
        <v>BM - Boletim de Medição</v>
      </c>
      <c r="G1" s="318"/>
      <c r="J1" s="318"/>
      <c r="K1" s="318"/>
      <c r="L1" s="318"/>
      <c r="M1" s="318"/>
      <c r="N1" s="318"/>
      <c r="O1" s="51" t="s">
        <v>644</v>
      </c>
    </row>
    <row r="2" spans="1:41" ht="15" x14ac:dyDescent="0.2">
      <c r="A2" s="319" t="s">
        <v>842</v>
      </c>
      <c r="B2" s="2"/>
      <c r="E2" s="320" t="str" cm="1">
        <f t="array" aca="1" ref="E2" ca="1">IF(Import.RegimeExecução="(SELECIONAR)","Selecione o Regime de Execução na Aba Dados",Import.RegimeExecução&amp;" - "&amp;import.recurso)</f>
        <v>Selecione o Regime de Execução na Aba Dados</v>
      </c>
      <c r="O2" s="11" t="s">
        <v>647</v>
      </c>
    </row>
    <row r="3" spans="1:41" x14ac:dyDescent="0.2">
      <c r="A3" s="815" t="b">
        <v>0</v>
      </c>
      <c r="B3" s="815"/>
      <c r="E3" s="85"/>
    </row>
    <row r="4" spans="1:41" x14ac:dyDescent="0.2">
      <c r="D4" s="699" t="s">
        <v>652</v>
      </c>
      <c r="E4" s="699"/>
      <c r="F4" s="710" t="s">
        <v>650</v>
      </c>
      <c r="G4" s="710"/>
      <c r="H4" s="710"/>
      <c r="I4" s="144" t="s">
        <v>707</v>
      </c>
      <c r="J4" s="699" t="s">
        <v>708</v>
      </c>
      <c r="K4" s="699"/>
      <c r="L4" s="699"/>
      <c r="M4" s="699"/>
      <c r="N4" s="699"/>
      <c r="O4" s="146" t="s">
        <v>843</v>
      </c>
    </row>
    <row r="5" spans="1:41" ht="12.75" customHeight="1" x14ac:dyDescent="0.2">
      <c r="A5" t="s">
        <v>844</v>
      </c>
      <c r="D5" s="702" t="str">
        <f>Import.Proponente</f>
        <v>18.029.165/0001-51</v>
      </c>
      <c r="E5" s="702"/>
      <c r="F5" s="715">
        <f>Import.CR</f>
        <v>0</v>
      </c>
      <c r="G5" s="715"/>
      <c r="H5" s="715"/>
      <c r="I5" s="321" t="str">
        <f>Import.TransfereGOV</f>
        <v>948148</v>
      </c>
      <c r="J5" s="702" t="str">
        <f>Import.Apelido</f>
        <v>Construção de ponte e pavimentação de estrada vicinal</v>
      </c>
      <c r="K5" s="702"/>
      <c r="L5" s="702"/>
      <c r="M5" s="702"/>
      <c r="N5" s="702"/>
      <c r="O5" s="322">
        <f>Import.DataInicioObra</f>
        <v>0</v>
      </c>
      <c r="AO5" s="323" t="s">
        <v>845</v>
      </c>
    </row>
    <row r="6" spans="1:41" ht="5.0999999999999996" customHeight="1" x14ac:dyDescent="0.2">
      <c r="D6" s="92"/>
      <c r="E6" s="93"/>
      <c r="F6" s="92"/>
      <c r="G6" s="92"/>
      <c r="H6" s="92"/>
      <c r="I6" s="92"/>
      <c r="J6" s="92"/>
      <c r="K6" s="92"/>
      <c r="L6" s="92"/>
      <c r="M6" s="92"/>
      <c r="N6" s="92"/>
      <c r="O6" s="92"/>
      <c r="AO6" s="324"/>
    </row>
    <row r="7" spans="1:41" ht="12.75" customHeight="1" x14ac:dyDescent="0.2">
      <c r="A7" t="str" cm="1">
        <f t="array" aca="1" ref="A7" ca="1">RegimeExecucao</f>
        <v>Unitário</v>
      </c>
      <c r="D7" s="86" t="s">
        <v>846</v>
      </c>
      <c r="E7" s="86" t="s">
        <v>847</v>
      </c>
      <c r="F7" s="699" t="s">
        <v>848</v>
      </c>
      <c r="G7" s="699"/>
      <c r="H7" s="699"/>
      <c r="I7" s="699" t="str" cm="1">
        <f t="array" ref="I7">IF(TIPOORCAMENTO="Licitado","REGIME DE EXECUÇÃO","MUNICÍPIO / UF")</f>
        <v>MUNICÍPIO / UF</v>
      </c>
      <c r="J7" s="699"/>
      <c r="K7" s="699"/>
      <c r="L7" s="699"/>
      <c r="M7" s="699" t="s">
        <v>849</v>
      </c>
      <c r="N7" s="699"/>
      <c r="O7" s="86" t="s">
        <v>850</v>
      </c>
      <c r="AO7" s="274" cm="1">
        <f t="array" aca="1" ref="AO7" ca="1">BM.MEDAcumulado</f>
        <v>0</v>
      </c>
    </row>
    <row r="8" spans="1:41" ht="12.75" customHeight="1" x14ac:dyDescent="0.2">
      <c r="A8" s="319" t="s">
        <v>851</v>
      </c>
      <c r="B8" s="2"/>
      <c r="C8" s="692" t="s">
        <v>655</v>
      </c>
      <c r="D8" s="325">
        <f>Import.CTEF</f>
        <v>0</v>
      </c>
      <c r="E8" s="55">
        <f>Import.empresa</f>
        <v>0</v>
      </c>
      <c r="F8" s="702">
        <f>Import.CNPJ</f>
        <v>0</v>
      </c>
      <c r="G8" s="702"/>
      <c r="H8" s="702"/>
      <c r="I8" s="702" t="str" cm="1">
        <f t="array" ref="I8">IF(TIPOORCAMENTO="Licitado",Import.RegimeExecução,Import.Município)</f>
        <v>Liberdade - MG</v>
      </c>
      <c r="J8" s="702"/>
      <c r="K8" s="702"/>
      <c r="L8" s="702"/>
      <c r="M8" s="702" t="str" cm="1">
        <f t="array" aca="1" ref="M8" ca="1">TEXT(IF(BM.medicao=1,Import.DataInicioObra,OFFSET($AB$12,0,BM.medicao-1-$AB$13)+1),"dd/mm/aaaa")&amp;" a "&amp;TEXT(OFFSET($AB$12,0,BM.medicao-$AB$13),"dd/mm/aaaa")</f>
        <v>00/01/1900 a 00/01/1900</v>
      </c>
      <c r="N8" s="702"/>
      <c r="O8" s="421">
        <v>1</v>
      </c>
    </row>
    <row r="9" spans="1:41" ht="12.75" customHeight="1" x14ac:dyDescent="0.2">
      <c r="A9" s="558" t="b">
        <v>1</v>
      </c>
      <c r="B9" s="4"/>
      <c r="C9" s="692"/>
    </row>
    <row r="10" spans="1:41" ht="13.35" customHeight="1" x14ac:dyDescent="0.2">
      <c r="A10" s="409" t="s">
        <v>852</v>
      </c>
      <c r="B10" s="410"/>
      <c r="C10" s="692"/>
      <c r="E10" s="555"/>
      <c r="F10" s="814" t="str" cm="1">
        <f t="array" ref="F10">IF(ACOMPANHAMENTO="PLE","Foi selecionado na aba 'MENU' o acompanhamento por PLE.",
  IF(TIPOORCAMENTO="Proposto","Altere na aba 'MENU' o tipo de orçamento para 'Licitado'.",
  IF(Import.RegimeExecução="(SELECIONAR)",UPPER($E$2),
  IF(AND(BM.medicao=1,DADOS!$C$47=0),"PREENCHER A DATA DE INÍCIO DA OBRA, NA ABA DADOS",
  IF($N$15=0,"PREENCHER A MEDIÇÃO "&amp;BM.medicao,
  IF($AB$10&lt;&gt;"",UPPER($AB$10),
  IF($J$65&lt;&gt;"",UPPER($J$65),
 "")))))))</f>
        <v>Foi selecionado na aba 'MENU' o acompanhamento por PLE.</v>
      </c>
      <c r="G10" s="814"/>
      <c r="H10" s="814"/>
      <c r="I10" s="814"/>
      <c r="O10" s="557" t="str">
        <f ca="1">"Realizado Acumulado: "&amp;TEXT(P10,"0,00%")</f>
        <v>Realizado Acumulado: 0,00%</v>
      </c>
      <c r="P10" s="560">
        <f ca="1">ROUND($O$15/($I$15+10^-12),4)</f>
        <v>0</v>
      </c>
      <c r="AB10" s="570" t="str">
        <f ca="1">IF(INDEX($AB$12:$AN$12,MATCH($O$8,$AB$13:$AN$13,0))=0,"Preencher a data da medição "&amp;$O$8,"")</f>
        <v>Preencher a data da medição 1</v>
      </c>
    </row>
    <row r="11" spans="1:41" ht="15" customHeight="1" x14ac:dyDescent="0.25">
      <c r="A11" s="559">
        <f ca="1">OFFSET(CRONO!$F$13,CRONO!$F$52,0)</f>
        <v>0</v>
      </c>
      <c r="B11" s="417"/>
      <c r="C11" s="692"/>
      <c r="E11" s="555"/>
      <c r="F11" s="814"/>
      <c r="G11" s="814"/>
      <c r="H11" s="814"/>
      <c r="I11" s="814"/>
      <c r="N11" s="556"/>
      <c r="O11" s="557" t="str">
        <f ca="1">IF(ISERROR(P11),"","Administração Local Acumulada: "&amp;TEXT(P11,"0,00%"))</f>
        <v/>
      </c>
      <c r="P11" s="560" t="e">
        <f ca="1">OFFSET($O$15,$A$11,0)/OFFSET($I$15,$A$11,0)</f>
        <v>#DIV/0!</v>
      </c>
      <c r="T11" s="813" t="s">
        <v>853</v>
      </c>
      <c r="U11" s="813"/>
      <c r="Z11" s="4"/>
      <c r="AB11" s="801" t="s">
        <v>854</v>
      </c>
      <c r="AC11" s="801"/>
      <c r="AD11" s="801"/>
      <c r="AE11" s="801"/>
      <c r="AF11" s="801"/>
      <c r="AG11" s="801"/>
      <c r="AH11" s="801"/>
      <c r="AI11" s="801"/>
      <c r="AJ11" s="801"/>
      <c r="AK11" s="801"/>
      <c r="AL11" s="801"/>
      <c r="AM11" s="801"/>
    </row>
    <row r="12" spans="1:41" ht="15" customHeight="1" x14ac:dyDescent="0.25">
      <c r="C12" s="692"/>
      <c r="E12" s="83" t="s">
        <v>855</v>
      </c>
      <c r="J12" s="704" t="str" cm="1">
        <f t="array" aca="1" ref="J12" ca="1">"Evolução Física "&amp;CHOOSE(MATCH(RegimeExecucao,{"Unitário","Global"},0),"(Qtde.)","(%)")</f>
        <v>Evolução Física (Qtde.)</v>
      </c>
      <c r="K12" s="704"/>
      <c r="L12" s="704"/>
      <c r="M12" s="704" t="s">
        <v>856</v>
      </c>
      <c r="N12" s="704"/>
      <c r="O12" s="704"/>
      <c r="Q12" s="704" t="str" cm="1">
        <f t="array" aca="1" ref="Q12" ca="1">"Aferido (CAIXA) "&amp;CHOOSE(MATCH(RegimeExecucao,{"Unitário","Global"},0),"(Qtde.)","(%)")</f>
        <v>Aferido (CAIXA) (Qtde.)</v>
      </c>
      <c r="R12" s="704"/>
      <c r="T12" s="326" t="s">
        <v>857</v>
      </c>
      <c r="U12" s="179"/>
      <c r="V12" s="179"/>
      <c r="W12" s="179"/>
      <c r="X12" s="179"/>
      <c r="Y12" s="179"/>
      <c r="Z12" s="41"/>
      <c r="AB12" s="327"/>
      <c r="AC12" s="328"/>
      <c r="AD12" s="328"/>
      <c r="AE12" s="328"/>
      <c r="AF12" s="328"/>
      <c r="AG12" s="328"/>
      <c r="AH12" s="328"/>
      <c r="AI12" s="328"/>
      <c r="AJ12" s="328"/>
      <c r="AK12" s="328"/>
      <c r="AL12" s="328"/>
      <c r="AM12" s="329"/>
    </row>
    <row r="13" spans="1:41" ht="45" customHeight="1" x14ac:dyDescent="0.2">
      <c r="A13" s="106" t="s">
        <v>726</v>
      </c>
      <c r="B13" s="106" t="s">
        <v>725</v>
      </c>
      <c r="C13" s="105" t="s">
        <v>660</v>
      </c>
      <c r="D13" s="291" t="s">
        <v>735</v>
      </c>
      <c r="E13" s="291" t="s">
        <v>118</v>
      </c>
      <c r="F13" s="330" t="s">
        <v>738</v>
      </c>
      <c r="G13" s="291" t="s">
        <v>712</v>
      </c>
      <c r="H13" s="291" t="s">
        <v>739</v>
      </c>
      <c r="I13" s="291" t="s">
        <v>740</v>
      </c>
      <c r="J13" s="291" t="s">
        <v>858</v>
      </c>
      <c r="K13" s="291" t="s">
        <v>859</v>
      </c>
      <c r="L13" s="291" t="s">
        <v>860</v>
      </c>
      <c r="M13" s="291" t="s">
        <v>858</v>
      </c>
      <c r="N13" s="291" t="s">
        <v>859</v>
      </c>
      <c r="O13" s="291" t="s">
        <v>860</v>
      </c>
      <c r="Q13" s="291" t="s">
        <v>858</v>
      </c>
      <c r="R13" s="291" t="s">
        <v>860</v>
      </c>
      <c r="T13" s="291" t="s">
        <v>735</v>
      </c>
      <c r="U13" s="291" t="s">
        <v>118</v>
      </c>
      <c r="V13" s="330" t="str" cm="1">
        <f t="array" aca="1" ref="V13" ca="1">IF(RegimeExecucao="Unitário","Unidade","")</f>
        <v>Unidade</v>
      </c>
      <c r="W13" s="291" t="str" cm="1">
        <f t="array" aca="1" ref="W13" ca="1">CHOOSE(MATCH(RegimeExecucao,{"Unitário","Global"},0),"Quant. Glosada (unid)","Percentual Glosado (%)")</f>
        <v>Quant. Glosada (unid)</v>
      </c>
      <c r="X13" s="291" t="str" cm="1">
        <f t="array" aca="1" ref="X13" ca="1">CHOOSE(MATCH(RegimeExecucao,{"Unitário","Global"},0),"Preço Unitário (R$)","Valor Total do Item (R$)")</f>
        <v>Preço Unitário (R$)</v>
      </c>
      <c r="Y13" s="291" t="s">
        <v>861</v>
      </c>
      <c r="Z13" s="291" t="s">
        <v>862</v>
      </c>
      <c r="AA13" s="111"/>
      <c r="AB13" s="331" cm="1">
        <f t="array" aca="1" ref="AB13" ca="1">IF(BM.medicao&lt;=12,1,TRUNC((BM.medicao - 2)/11,0) * 11 + 1)</f>
        <v>1</v>
      </c>
      <c r="AC13" s="331">
        <f ca="1">OFFSET(AC13,0,-1)+1</f>
        <v>2</v>
      </c>
      <c r="AD13" s="331">
        <f t="shared" ref="AD13:AM13" ca="1" si="0">OFFSET(AD13,0,-1)+1</f>
        <v>3</v>
      </c>
      <c r="AE13" s="331">
        <f t="shared" ca="1" si="0"/>
        <v>4</v>
      </c>
      <c r="AF13" s="331">
        <f t="shared" ca="1" si="0"/>
        <v>5</v>
      </c>
      <c r="AG13" s="331">
        <f t="shared" ca="1" si="0"/>
        <v>6</v>
      </c>
      <c r="AH13" s="331">
        <f t="shared" ca="1" si="0"/>
        <v>7</v>
      </c>
      <c r="AI13" s="331">
        <f t="shared" ca="1" si="0"/>
        <v>8</v>
      </c>
      <c r="AJ13" s="331">
        <f t="shared" ca="1" si="0"/>
        <v>9</v>
      </c>
      <c r="AK13" s="331">
        <f t="shared" ca="1" si="0"/>
        <v>10</v>
      </c>
      <c r="AL13" s="331">
        <f t="shared" ca="1" si="0"/>
        <v>11</v>
      </c>
      <c r="AM13" s="331">
        <f t="shared" ca="1" si="0"/>
        <v>12</v>
      </c>
      <c r="AO13" s="106" t="s">
        <v>863</v>
      </c>
    </row>
    <row r="14" spans="1:41" hidden="1" x14ac:dyDescent="0.2">
      <c r="A14" t="str">
        <f ca="1">ORÇAMENTO!C14</f>
        <v>S</v>
      </c>
      <c r="B14">
        <f ca="1">ORÇAMENTO!D14</f>
        <v>0</v>
      </c>
      <c r="C14" s="113" t="str">
        <f ca="1">IF(OR($I14&gt;0,$A14=1,$A14=2,$A14=3,$A14=4),"F","")</f>
        <v/>
      </c>
      <c r="D14" s="116" t="str">
        <f ca="1">ORÇAMENTO!O14</f>
        <v>-</v>
      </c>
      <c r="E14" s="162" t="str">
        <f ca="1">ORÇAMENTO.Descricao</f>
        <v>(Sem Código)</v>
      </c>
      <c r="F14" s="163" t="str" cm="1">
        <f t="array" aca="1" ref="F14" ca="1">IF(RegimeExecucao="Global","",ORÇAMENTO.Unidade)</f>
        <v>-</v>
      </c>
      <c r="G14" s="121" cm="1">
        <f t="array" aca="1" ref="G14" ca="1">IF(RegimeExecucao="Global","",ORÇAMENTO!T14)</f>
        <v>0</v>
      </c>
      <c r="H14" s="121" cm="1">
        <f t="array" aca="1" ref="H14" ca="1">IF(RegimeExecucao="Global","",ORÇAMENTO!W14)</f>
        <v>0</v>
      </c>
      <c r="I14" s="124">
        <f ca="1">ORÇAMENTO!X14</f>
        <v>0</v>
      </c>
      <c r="J14" s="332" cm="1">
        <f t="array" aca="1" ref="J14" ca="1">IF($A14="S",IF(CAIXA.Modo,BM.AFAnterior,BM.MEDAnterior),IF(AND(RegimeExecucao="Global",$I14&gt;0,COUNTIF($AB$13:$AM$13,BM.medicao-1)&gt;0),M14/$I14*100,0))</f>
        <v>0</v>
      </c>
      <c r="K14" s="121">
        <f ca="1">L14-J14</f>
        <v>0</v>
      </c>
      <c r="L14" s="333" cm="1">
        <f t="array" aca="1" ref="L14" ca="1">IF($A14="S",IF(CAIXA.Modo,BM.AFAcumulado,BM.MEDAcumulado),IF(AND(RegimeExecucao="Global",$I14&gt;0,COUNTIF($AB$13:$AM$13,BM.medicao)&gt;0),O14/$I14*100,0))</f>
        <v>0</v>
      </c>
      <c r="M14" s="334" cm="1">
        <f t="array" aca="1" ref="M14" ca="1">IF($A14="S",VTOTALBM,IF($A14=0,0,ROUND(SomaAgrupBM,15-13*ORÇAMENTO!$AF$11)))</f>
        <v>0</v>
      </c>
      <c r="N14" s="335">
        <f ca="1">O14-M14</f>
        <v>0</v>
      </c>
      <c r="O14" s="124" cm="1">
        <f t="array" aca="1" ref="O14" ca="1">IF($A14="S",VTOTALBM,IF($A14=0,0,ROUND(SomaAgrupBM,15-13*ORÇAMENTO!$AF$11)))</f>
        <v>0</v>
      </c>
      <c r="Q14" s="336"/>
      <c r="R14" s="337"/>
      <c r="T14" s="116" t="str">
        <f ca="1">IF($W14&gt;0,$D14,"")</f>
        <v/>
      </c>
      <c r="U14" s="162" t="str">
        <f ca="1">IF($W14&gt;0,$E14,"")</f>
        <v/>
      </c>
      <c r="V14" s="163" t="str" cm="1">
        <f t="array" aca="1" ref="V14" ca="1">IF(AND($W14&gt;0,RegimeExecucao="Unitário"),$F14,"")</f>
        <v/>
      </c>
      <c r="W14" s="453" cm="1">
        <f t="array" aca="1" ref="W14" ca="1">IF($Y14&gt;0,CHOOSE(MATCH(RegimeExecucao,{"Unitário","Global"},0),IF($A14="S",$Y14/$X14,""),($Y14/$X14)*100),0)</f>
        <v>0</v>
      </c>
      <c r="X14" s="338" t="str" cm="1">
        <f t="array" aca="1" ref="X14" ca="1">IF($Y14&gt;0,CHOOSE(MATCH(RegimeExecucao,{"Unitário","Global"},0),IF($A14="S",ROUND($H14,ORÇAMENTO!$AF$10),""),ROUND($I14,ORÇAMENTO!$AF$11)),"")</f>
        <v/>
      </c>
      <c r="Y14" s="338">
        <f ca="1">AO14-O14</f>
        <v>0</v>
      </c>
      <c r="Z14" s="472"/>
      <c r="AB14" s="336"/>
      <c r="AC14" s="436"/>
      <c r="AD14" s="436"/>
      <c r="AE14" s="436"/>
      <c r="AF14" s="436"/>
      <c r="AG14" s="436"/>
      <c r="AH14" s="436"/>
      <c r="AI14" s="436"/>
      <c r="AJ14" s="436"/>
      <c r="AK14" s="436"/>
      <c r="AL14" s="436"/>
      <c r="AM14" s="337"/>
      <c r="AO14" cm="1">
        <f t="array" aca="1" ref="AO14" ca="1">IF($A14="S",IF(BM!$I14=0,0,CHOOSE(MATCH(RegimeExecucao,{"Global","Unitário"},0),ROUND(ROUND(BM.MEDAcumulado,15-13*BM!$A$9)/100*BM!$I14,15-13*ORÇAMENTO!$AF$11),ROUND(ROUND(BM.MEDAcumulado,15-13*BM!$A$9)*ROUND(BM!$H14,15-13*ORÇAMENTO!$AF$10),15-13*ORÇAMENTO!$AF$11))),IF($A14=0,0,ROUND(SomaAgrupBM,15-13*ORÇAMENTO!$AF$11)))</f>
        <v>0</v>
      </c>
    </row>
    <row r="15" spans="1:41" x14ac:dyDescent="0.2">
      <c r="C15" s="113" t="s">
        <v>536</v>
      </c>
      <c r="D15" s="812" t="str">
        <f>"Objeto do CTEF: "&amp;Import.DescLote</f>
        <v>Objeto do CTEF: Infraestrutura</v>
      </c>
      <c r="E15" s="812"/>
      <c r="F15" s="454"/>
      <c r="G15" s="455"/>
      <c r="H15" s="455" t="s">
        <v>864</v>
      </c>
      <c r="I15" s="456" cm="1">
        <f t="array" ref="I15">IF(OR(ACOMPANHAMENTO="PLE",TIPOORCAMENTO="Proposto"),0,ORÇAMENTO!$X$15)</f>
        <v>0</v>
      </c>
      <c r="J15" s="339" cm="1">
        <f t="array" aca="1" ref="J15" ca="1">IF(M$15=0,0,IF(RegimeExecucao="Global",M$15/$I$15*100,0))</f>
        <v>0</v>
      </c>
      <c r="K15" s="339">
        <f ca="1">L15-J15</f>
        <v>0</v>
      </c>
      <c r="L15" s="339" cm="1">
        <f t="array" aca="1" ref="L15" ca="1">IF(O$15=0,0,IF(RegimeExecucao="Global",O$15/$I$15*100,0))</f>
        <v>0</v>
      </c>
      <c r="M15" s="340" cm="1">
        <f t="array" aca="1" ref="M15" ca="1">IF(OR(ACOMPANHAMENTO="PLE",TIPOORCAMENTO="Proposto"),0,SUMIF(OFFSET($A15,1,0):$A$55,"S",OFFSET(M15,1,0):M$55))</f>
        <v>0</v>
      </c>
      <c r="N15" s="340">
        <f ca="1">O15-M15</f>
        <v>0</v>
      </c>
      <c r="O15" s="340" cm="1">
        <f t="array" aca="1" ref="O15" ca="1">IF(OR(ACOMPANHAMENTO="PLE",TIPOORCAMENTO="Proposto"),0,SUMIF(OFFSET($A15,1,0):$A$55,"S",OFFSET(O15,1,0):O$55))</f>
        <v>0</v>
      </c>
      <c r="Q15" s="341"/>
      <c r="R15" s="341"/>
      <c r="T15" s="342"/>
      <c r="U15" s="343"/>
      <c r="V15" s="343"/>
      <c r="W15" s="343"/>
      <c r="X15" s="343"/>
      <c r="Y15" s="343"/>
      <c r="Z15" s="344"/>
      <c r="AB15" s="808" t="str" cm="1">
        <f t="array" aca="1" ref="AB15" ca="1">"Preencher abaixo com a "&amp;CHOOSE(MATCH(RegimeExecucao,{"Unitário","Global"},0),"QUANTIDADE","PORCENTAGEM")&amp;" executada no PERÍODO"</f>
        <v>Preencher abaixo com a QUANTIDADE executada no PERÍODO</v>
      </c>
      <c r="AC15" s="808"/>
      <c r="AD15" s="808"/>
      <c r="AE15" s="808"/>
      <c r="AF15" s="808"/>
      <c r="AG15" s="808"/>
      <c r="AH15" s="808"/>
      <c r="AI15" s="808"/>
      <c r="AJ15" s="808"/>
      <c r="AK15" s="808"/>
      <c r="AL15" s="808"/>
      <c r="AM15" s="808"/>
    </row>
    <row r="16" spans="1:41" x14ac:dyDescent="0.2">
      <c r="A16">
        <f ca="1">ORÇAMENTO!C16</f>
        <v>1</v>
      </c>
      <c r="B16">
        <f ca="1">ORÇAMENTO!D16</f>
        <v>39</v>
      </c>
      <c r="C16" s="113" t="str">
        <f t="shared" ref="C16:C54" ca="1" si="1">IF(OR($I16&gt;0,$A16=1,$A16=2,$A16=3,$A16=4),"F","")</f>
        <v>F</v>
      </c>
      <c r="D16" s="116" t="str">
        <f ca="1">ORÇAMENTO!O16</f>
        <v>1.</v>
      </c>
      <c r="E16" s="162" t="str">
        <f t="shared" ref="E16:E54" si="2">ORÇAMENTO.Descricao</f>
        <v>CONSTRUÇÃO DE PONTE E PAVIMENTAÇÃO DE ESTRADA VICINAL</v>
      </c>
      <c r="F16" s="163" t="str" cm="1">
        <f t="array" aca="1" ref="F16" ca="1">IF(RegimeExecucao="Global","",ORÇAMENTO.Unidade)</f>
        <v>-</v>
      </c>
      <c r="G16" s="121" cm="1">
        <f t="array" aca="1" ref="G16" ca="1">IF(RegimeExecucao="Global","",ORÇAMENTO!T16)</f>
        <v>0</v>
      </c>
      <c r="H16" s="121" cm="1">
        <f t="array" aca="1" ref="H16" ca="1">IF(RegimeExecucao="Global","",ORÇAMENTO!W16)</f>
        <v>0</v>
      </c>
      <c r="I16" s="124">
        <f ca="1">ORÇAMENTO!X16</f>
        <v>1064163.8400000001</v>
      </c>
      <c r="J16" s="332" cm="1">
        <f t="array" aca="1" ref="J16" ca="1">IF($A16="S",IF(CAIXA.Modo,BM.AFAnterior,BM.MEDAnterior),IF(AND(RegimeExecucao="Global",$I16&gt;0,COUNTIF($AB$13:$AM$13,BM.medicao-1)&gt;0),M16/$I16*100,0))</f>
        <v>0</v>
      </c>
      <c r="K16" s="121">
        <f t="shared" ref="K16:K54" ca="1" si="3">L16-J16</f>
        <v>0</v>
      </c>
      <c r="L16" s="333" cm="1">
        <f t="array" aca="1" ref="L16" ca="1">IF($A16="S",IF(CAIXA.Modo,BM.AFAcumulado,BM.MEDAcumulado),IF(AND(RegimeExecucao="Global",$I16&gt;0,COUNTIF($AB$13:$AM$13,BM.medicao)&gt;0),O16/$I16*100,0))</f>
        <v>0</v>
      </c>
      <c r="M16" s="334" cm="1">
        <f t="array" aca="1" ref="M16" ca="1">IF($A16="S",VTOTALBM,IF($A16=0,0,ROUND(SomaAgrupBM,15-13*ORÇAMENTO!$AF$11)))</f>
        <v>0</v>
      </c>
      <c r="N16" s="335">
        <f t="shared" ref="N16:N54" ca="1" si="4">O16-M16</f>
        <v>0</v>
      </c>
      <c r="O16" s="124" cm="1">
        <f t="array" aca="1" ref="O16" ca="1">IF($A16="S",VTOTALBM,IF($A16=0,0,ROUND(SomaAgrupBM,15-13*ORÇAMENTO!$AF$11)))</f>
        <v>0</v>
      </c>
      <c r="Q16" s="336"/>
      <c r="R16" s="337"/>
      <c r="T16" s="116" t="str">
        <f t="shared" ref="T16:T54" ca="1" si="5">IF($W16&gt;0,$D16,"")</f>
        <v/>
      </c>
      <c r="U16" s="162" t="str">
        <f t="shared" ref="U16:U54" ca="1" si="6">IF($W16&gt;0,$E16,"")</f>
        <v/>
      </c>
      <c r="V16" s="163" t="str" cm="1">
        <f t="array" aca="1" ref="V16" ca="1">IF(AND($W16&gt;0,RegimeExecucao="Unitário"),$F16,"")</f>
        <v/>
      </c>
      <c r="W16" s="453" cm="1">
        <f t="array" aca="1" ref="W16" ca="1">IF($Y16&gt;0,CHOOSE(MATCH(RegimeExecucao,{"Unitário","Global"},0),IF($A16="S",$Y16/$X16,""),($Y16/$X16)*100),0)</f>
        <v>0</v>
      </c>
      <c r="X16" s="338" t="str" cm="1">
        <f t="array" aca="1" ref="X16" ca="1">IF($Y16&gt;0,CHOOSE(MATCH(RegimeExecucao,{"Unitário","Global"},0),IF($A16="S",ROUND($H16,ORÇAMENTO!$AF$10),""),ROUND($I16,ORÇAMENTO!$AF$11)),"")</f>
        <v/>
      </c>
      <c r="Y16" s="338">
        <f t="shared" ref="Y16:Y54" ca="1" si="7">AO16-O16</f>
        <v>0</v>
      </c>
      <c r="Z16" s="472"/>
      <c r="AB16" s="336"/>
      <c r="AC16" s="436"/>
      <c r="AD16" s="436"/>
      <c r="AE16" s="436"/>
      <c r="AF16" s="436"/>
      <c r="AG16" s="436"/>
      <c r="AH16" s="436"/>
      <c r="AI16" s="436"/>
      <c r="AJ16" s="436"/>
      <c r="AK16" s="436"/>
      <c r="AL16" s="436"/>
      <c r="AM16" s="337"/>
      <c r="AO16" cm="1">
        <f t="array" aca="1" ref="AO16" ca="1">IF($A16="S",IF(BM!$I16=0,0,CHOOSE(MATCH(RegimeExecucao,{"Global","Unitário"},0),ROUND(ROUND(BM.MEDAcumulado,15-13*BM!$A$9)/100*BM!$I16,15-13*ORÇAMENTO!$AF$11),ROUND(ROUND(BM.MEDAcumulado,15-13*BM!$A$9)*ROUND(BM!$H16,15-13*ORÇAMENTO!$AF$10),15-13*ORÇAMENTO!$AF$11))),IF($A16=0,0,ROUND(SomaAgrupBM,15-13*ORÇAMENTO!$AF$11)))</f>
        <v>0</v>
      </c>
    </row>
    <row r="17" spans="1:41" x14ac:dyDescent="0.2">
      <c r="A17">
        <f ca="1">ORÇAMENTO!C17</f>
        <v>2</v>
      </c>
      <c r="B17">
        <f ca="1">ORÇAMENTO!D17</f>
        <v>3</v>
      </c>
      <c r="C17" s="113" t="str">
        <f t="shared" ca="1" si="1"/>
        <v>F</v>
      </c>
      <c r="D17" s="116" t="str">
        <f ca="1">ORÇAMENTO!O17</f>
        <v>1.1.</v>
      </c>
      <c r="E17" s="162" t="str">
        <f t="shared" si="2"/>
        <v>ADMINISTRAÇÃO LOCAL</v>
      </c>
      <c r="F17" s="163" t="str" cm="1">
        <f t="array" aca="1" ref="F17" ca="1">IF(RegimeExecucao="Global","",ORÇAMENTO.Unidade)</f>
        <v>-</v>
      </c>
      <c r="G17" s="121" cm="1">
        <f t="array" aca="1" ref="G17" ca="1">IF(RegimeExecucao="Global","",ORÇAMENTO!T17)</f>
        <v>0</v>
      </c>
      <c r="H17" s="121" cm="1">
        <f t="array" aca="1" ref="H17" ca="1">IF(RegimeExecucao="Global","",ORÇAMENTO!W17)</f>
        <v>0</v>
      </c>
      <c r="I17" s="124">
        <f ca="1">ORÇAMENTO!X17</f>
        <v>129474.24000000001</v>
      </c>
      <c r="J17" s="332" cm="1">
        <f t="array" aca="1" ref="J17" ca="1">IF($A17="S",IF(CAIXA.Modo,BM.AFAnterior,BM.MEDAnterior),IF(AND(RegimeExecucao="Global",$I17&gt;0,COUNTIF($AB$13:$AM$13,BM.medicao-1)&gt;0),M17/$I17*100,0))</f>
        <v>0</v>
      </c>
      <c r="K17" s="121">
        <f t="shared" ca="1" si="3"/>
        <v>0</v>
      </c>
      <c r="L17" s="333" cm="1">
        <f t="array" aca="1" ref="L17" ca="1">IF($A17="S",IF(CAIXA.Modo,BM.AFAcumulado,BM.MEDAcumulado),IF(AND(RegimeExecucao="Global",$I17&gt;0,COUNTIF($AB$13:$AM$13,BM.medicao)&gt;0),O17/$I17*100,0))</f>
        <v>0</v>
      </c>
      <c r="M17" s="334" cm="1">
        <f t="array" aca="1" ref="M17" ca="1">IF($A17="S",VTOTALBM,IF($A17=0,0,ROUND(SomaAgrupBM,15-13*ORÇAMENTO!$AF$11)))</f>
        <v>0</v>
      </c>
      <c r="N17" s="335">
        <f t="shared" ca="1" si="4"/>
        <v>0</v>
      </c>
      <c r="O17" s="124" cm="1">
        <f t="array" aca="1" ref="O17" ca="1">IF($A17="S",VTOTALBM,IF($A17=0,0,ROUND(SomaAgrupBM,15-13*ORÇAMENTO!$AF$11)))</f>
        <v>0</v>
      </c>
      <c r="Q17" s="336"/>
      <c r="R17" s="337"/>
      <c r="T17" s="116" t="str">
        <f t="shared" ca="1" si="5"/>
        <v/>
      </c>
      <c r="U17" s="162" t="str">
        <f t="shared" ca="1" si="6"/>
        <v/>
      </c>
      <c r="V17" s="163" t="str" cm="1">
        <f t="array" aca="1" ref="V17" ca="1">IF(AND($W17&gt;0,RegimeExecucao="Unitário"),$F17,"")</f>
        <v/>
      </c>
      <c r="W17" s="453" cm="1">
        <f t="array" aca="1" ref="W17" ca="1">IF($Y17&gt;0,CHOOSE(MATCH(RegimeExecucao,{"Unitário","Global"},0),IF($A17="S",$Y17/$X17,""),($Y17/$X17)*100),0)</f>
        <v>0</v>
      </c>
      <c r="X17" s="338" t="str" cm="1">
        <f t="array" aca="1" ref="X17" ca="1">IF($Y17&gt;0,CHOOSE(MATCH(RegimeExecucao,{"Unitário","Global"},0),IF($A17="S",ROUND($H17,ORÇAMENTO!$AF$10),""),ROUND($I17,ORÇAMENTO!$AF$11)),"")</f>
        <v/>
      </c>
      <c r="Y17" s="338">
        <f t="shared" ca="1" si="7"/>
        <v>0</v>
      </c>
      <c r="Z17" s="472"/>
      <c r="AB17" s="336"/>
      <c r="AC17" s="436"/>
      <c r="AD17" s="436"/>
      <c r="AE17" s="436"/>
      <c r="AF17" s="436"/>
      <c r="AG17" s="436"/>
      <c r="AH17" s="436"/>
      <c r="AI17" s="436"/>
      <c r="AJ17" s="436"/>
      <c r="AK17" s="436"/>
      <c r="AL17" s="436"/>
      <c r="AM17" s="337"/>
      <c r="AO17" cm="1">
        <f t="array" aca="1" ref="AO17" ca="1">IF($A17="S",IF(BM!$I17=0,0,CHOOSE(MATCH(RegimeExecucao,{"Global","Unitário"},0),ROUND(ROUND(BM.MEDAcumulado,15-13*BM!$A$9)/100*BM!$I17,15-13*ORÇAMENTO!$AF$11),ROUND(ROUND(BM.MEDAcumulado,15-13*BM!$A$9)*ROUND(BM!$H17,15-13*ORÇAMENTO!$AF$10),15-13*ORÇAMENTO!$AF$11))),IF($A17=0,0,ROUND(SomaAgrupBM,15-13*ORÇAMENTO!$AF$11)))</f>
        <v>0</v>
      </c>
    </row>
    <row r="18" spans="1:41" ht="25.5" x14ac:dyDescent="0.2">
      <c r="A18" t="str">
        <f ca="1">ORÇAMENTO!C18</f>
        <v>S</v>
      </c>
      <c r="B18">
        <f ca="1">ORÇAMENTO!D18</f>
        <v>0</v>
      </c>
      <c r="C18" s="113" t="str">
        <f t="shared" ca="1" si="1"/>
        <v>F</v>
      </c>
      <c r="D18" s="116" t="str">
        <f ca="1">ORÇAMENTO!O18</f>
        <v>1.1.1.</v>
      </c>
      <c r="E18" s="162" t="str">
        <f t="shared" si="2"/>
        <v>ENGENHEIRO CIVIL DE OBRA PLENO COM ENCARGOS COMPLEMENTARES</v>
      </c>
      <c r="F18" s="163" t="str" cm="1">
        <f t="array" aca="1" ref="F18" ca="1">IF(RegimeExecucao="Global","",ORÇAMENTO.Unidade)</f>
        <v>H</v>
      </c>
      <c r="G18" s="121" cm="1">
        <f t="array" aca="1" ref="G18" ca="1">IF(RegimeExecucao="Global","",ORÇAMENTO!T18)</f>
        <v>360</v>
      </c>
      <c r="H18" s="121" cm="1">
        <f t="array" aca="1" ref="H18" ca="1">IF(RegimeExecucao="Global","",ORÇAMENTO!W18)</f>
        <v>139.94</v>
      </c>
      <c r="I18" s="124">
        <f ca="1">ORÇAMENTO!X18</f>
        <v>50378.400000000001</v>
      </c>
      <c r="J18" s="332" cm="1">
        <f t="array" aca="1" ref="J18" ca="1">IF($A18="S",IF(CAIXA.Modo,BM.AFAnterior,BM.MEDAnterior),IF(AND(RegimeExecucao="Global",$I18&gt;0,COUNTIF($AB$13:$AM$13,BM.medicao-1)&gt;0),M18/$I18*100,0))</f>
        <v>0</v>
      </c>
      <c r="K18" s="121">
        <f t="shared" ca="1" si="3"/>
        <v>0</v>
      </c>
      <c r="L18" s="333" cm="1">
        <f t="array" aca="1" ref="L18" ca="1">IF($A18="S",IF(CAIXA.Modo,BM.AFAcumulado,BM.MEDAcumulado),IF(AND(RegimeExecucao="Global",$I18&gt;0,COUNTIF($AB$13:$AM$13,BM.medicao)&gt;0),O18/$I18*100,0))</f>
        <v>0</v>
      </c>
      <c r="M18" s="334" cm="1">
        <f t="array" aca="1" ref="M18" ca="1">IF($A18="S",VTOTALBM,IF($A18=0,0,ROUND(SomaAgrupBM,15-13*ORÇAMENTO!$AF$11)))</f>
        <v>0</v>
      </c>
      <c r="N18" s="335">
        <f t="shared" ca="1" si="4"/>
        <v>0</v>
      </c>
      <c r="O18" s="124" cm="1">
        <f t="array" aca="1" ref="O18" ca="1">IF($A18="S",VTOTALBM,IF($A18=0,0,ROUND(SomaAgrupBM,15-13*ORÇAMENTO!$AF$11)))</f>
        <v>0</v>
      </c>
      <c r="Q18" s="336"/>
      <c r="R18" s="337"/>
      <c r="T18" s="116" t="str">
        <f t="shared" ca="1" si="5"/>
        <v/>
      </c>
      <c r="U18" s="162" t="str">
        <f t="shared" ca="1" si="6"/>
        <v/>
      </c>
      <c r="V18" s="163" t="str" cm="1">
        <f t="array" aca="1" ref="V18" ca="1">IF(AND($W18&gt;0,RegimeExecucao="Unitário"),$F18,"")</f>
        <v/>
      </c>
      <c r="W18" s="453" cm="1">
        <f t="array" aca="1" ref="W18" ca="1">IF($Y18&gt;0,CHOOSE(MATCH(RegimeExecucao,{"Unitário","Global"},0),IF($A18="S",$Y18/$X18,""),($Y18/$X18)*100),0)</f>
        <v>0</v>
      </c>
      <c r="X18" s="338" t="str" cm="1">
        <f t="array" aca="1" ref="X18" ca="1">IF($Y18&gt;0,CHOOSE(MATCH(RegimeExecucao,{"Unitário","Global"},0),IF($A18="S",ROUND($H18,ORÇAMENTO!$AF$10),""),ROUND($I18,ORÇAMENTO!$AF$11)),"")</f>
        <v/>
      </c>
      <c r="Y18" s="338">
        <f t="shared" ca="1" si="7"/>
        <v>0</v>
      </c>
      <c r="Z18" s="472"/>
      <c r="AB18" s="336"/>
      <c r="AC18" s="436"/>
      <c r="AD18" s="436"/>
      <c r="AE18" s="436"/>
      <c r="AF18" s="436"/>
      <c r="AG18" s="436"/>
      <c r="AH18" s="436"/>
      <c r="AI18" s="436"/>
      <c r="AJ18" s="436"/>
      <c r="AK18" s="436"/>
      <c r="AL18" s="436"/>
      <c r="AM18" s="337"/>
      <c r="AO18" cm="1">
        <f t="array" aca="1" ref="AO18" ca="1">IF($A18="S",IF(BM!$I18=0,0,CHOOSE(MATCH(RegimeExecucao,{"Global","Unitário"},0),ROUND(ROUND(BM.MEDAcumulado,15-13*BM!$A$9)/100*BM!$I18,15-13*ORÇAMENTO!$AF$11),ROUND(ROUND(BM.MEDAcumulado,15-13*BM!$A$9)*ROUND(BM!$H18,15-13*ORÇAMENTO!$AF$10),15-13*ORÇAMENTO!$AF$11))),IF($A18=0,0,ROUND(SomaAgrupBM,15-13*ORÇAMENTO!$AF$11)))</f>
        <v>0</v>
      </c>
    </row>
    <row r="19" spans="1:41" x14ac:dyDescent="0.2">
      <c r="A19" t="str">
        <f ca="1">ORÇAMENTO!C19</f>
        <v>S</v>
      </c>
      <c r="B19">
        <f ca="1">ORÇAMENTO!D19</f>
        <v>0</v>
      </c>
      <c r="C19" s="113" t="str">
        <f ca="1">IF(OR($I19&gt;0,$A19=1,$A19=2,$A19=3,$A19=4),"F","")</f>
        <v>F</v>
      </c>
      <c r="D19" s="116" t="str">
        <f ca="1">ORÇAMENTO!O19</f>
        <v>1.1.2.</v>
      </c>
      <c r="E19" s="162" t="str">
        <f>ORÇAMENTO.Descricao</f>
        <v>MESTRE DE OBRAS COM ENCARGOS COMPLEMENTARES</v>
      </c>
      <c r="F19" s="163" t="str" cm="1">
        <f t="array" aca="1" ref="F19" ca="1">IF(RegimeExecucao="Global","",ORÇAMENTO.Unidade)</f>
        <v>MÊS</v>
      </c>
      <c r="G19" s="121" cm="1">
        <f t="array" aca="1" ref="G19" ca="1">IF(RegimeExecucao="Global","",ORÇAMENTO!T19)</f>
        <v>4</v>
      </c>
      <c r="H19" s="121" cm="1">
        <f t="array" aca="1" ref="H19" ca="1">IF(RegimeExecucao="Global","",ORÇAMENTO!W19)</f>
        <v>19773.96</v>
      </c>
      <c r="I19" s="124">
        <f ca="1">ORÇAMENTO!X19</f>
        <v>79095.839999999997</v>
      </c>
      <c r="J19" s="332" cm="1">
        <f t="array" aca="1" ref="J19" ca="1">IF($A19="S",IF(CAIXA.Modo,BM.AFAnterior,BM.MEDAnterior),IF(AND(RegimeExecucao="Global",$I19&gt;0,COUNTIF($AB$13:$AM$13,BM.medicao-1)&gt;0),M19/$I19*100,0))</f>
        <v>0</v>
      </c>
      <c r="K19" s="121">
        <f ca="1">L19-J19</f>
        <v>0</v>
      </c>
      <c r="L19" s="333" cm="1">
        <f t="array" aca="1" ref="L19" ca="1">IF($A19="S",IF(CAIXA.Modo,BM.AFAcumulado,BM.MEDAcumulado),IF(AND(RegimeExecucao="Global",$I19&gt;0,COUNTIF($AB$13:$AM$13,BM.medicao)&gt;0),O19/$I19*100,0))</f>
        <v>0</v>
      </c>
      <c r="M19" s="334" cm="1">
        <f t="array" aca="1" ref="M19" ca="1">IF($A19="S",VTOTALBM,IF($A19=0,0,ROUND(SomaAgrupBM,15-13*ORÇAMENTO!$AF$11)))</f>
        <v>0</v>
      </c>
      <c r="N19" s="335">
        <f ca="1">O19-M19</f>
        <v>0</v>
      </c>
      <c r="O19" s="124" cm="1">
        <f t="array" aca="1" ref="O19" ca="1">IF($A19="S",VTOTALBM,IF($A19=0,0,ROUND(SomaAgrupBM,15-13*ORÇAMENTO!$AF$11)))</f>
        <v>0</v>
      </c>
      <c r="Q19" s="336"/>
      <c r="R19" s="337"/>
      <c r="T19" s="116" t="str">
        <f ca="1">IF($W19&gt;0,$D19,"")</f>
        <v/>
      </c>
      <c r="U19" s="162" t="str">
        <f ca="1">IF($W19&gt;0,$E19,"")</f>
        <v/>
      </c>
      <c r="V19" s="163" t="str" cm="1">
        <f t="array" aca="1" ref="V19" ca="1">IF(AND($W19&gt;0,RegimeExecucao="Unitário"),$F19,"")</f>
        <v/>
      </c>
      <c r="W19" s="453" cm="1">
        <f t="array" aca="1" ref="W19" ca="1">IF($Y19&gt;0,CHOOSE(MATCH(RegimeExecucao,{"Unitário","Global"},0),IF($A19="S",$Y19/$X19,""),($Y19/$X19)*100),0)</f>
        <v>0</v>
      </c>
      <c r="X19" s="338" t="str" cm="1">
        <f t="array" aca="1" ref="X19" ca="1">IF($Y19&gt;0,CHOOSE(MATCH(RegimeExecucao,{"Unitário","Global"},0),IF($A19="S",ROUND($H19,ORÇAMENTO!$AF$10),""),ROUND($I19,ORÇAMENTO!$AF$11)),"")</f>
        <v/>
      </c>
      <c r="Y19" s="338">
        <f ca="1">AO19-O19</f>
        <v>0</v>
      </c>
      <c r="Z19" s="472"/>
      <c r="AB19" s="336"/>
      <c r="AC19" s="436"/>
      <c r="AD19" s="436"/>
      <c r="AE19" s="436"/>
      <c r="AF19" s="436"/>
      <c r="AG19" s="436"/>
      <c r="AH19" s="436"/>
      <c r="AI19" s="436"/>
      <c r="AJ19" s="436"/>
      <c r="AK19" s="436"/>
      <c r="AL19" s="436"/>
      <c r="AM19" s="337"/>
      <c r="AO19" cm="1">
        <f t="array" aca="1" ref="AO19" ca="1">IF($A19="S",IF(BM!$I19=0,0,CHOOSE(MATCH(RegimeExecucao,{"Global","Unitário"},0),ROUND(ROUND(BM.MEDAcumulado,15-13*BM!$A$9)/100*BM!$I19,15-13*ORÇAMENTO!$AF$11),ROUND(ROUND(BM.MEDAcumulado,15-13*BM!$A$9)*ROUND(BM!$H19,15-13*ORÇAMENTO!$AF$10),15-13*ORÇAMENTO!$AF$11))),IF($A19=0,0,ROUND(SomaAgrupBM,15-13*ORÇAMENTO!$AF$11)))</f>
        <v>0</v>
      </c>
    </row>
    <row r="20" spans="1:41" x14ac:dyDescent="0.2">
      <c r="A20">
        <f ca="1">ORÇAMENTO!C20</f>
        <v>2</v>
      </c>
      <c r="B20">
        <f ca="1">ORÇAMENTO!D20</f>
        <v>7</v>
      </c>
      <c r="C20" s="113" t="str">
        <f t="shared" ca="1" si="1"/>
        <v>F</v>
      </c>
      <c r="D20" s="116" t="str">
        <f ca="1">ORÇAMENTO!O20</f>
        <v>1.2.</v>
      </c>
      <c r="E20" s="162" t="str">
        <f t="shared" si="2"/>
        <v>SERVIÇOS PLELIMINARES</v>
      </c>
      <c r="F20" s="163" t="str" cm="1">
        <f t="array" aca="1" ref="F20" ca="1">IF(RegimeExecucao="Global","",ORÇAMENTO.Unidade)</f>
        <v>-</v>
      </c>
      <c r="G20" s="121" cm="1">
        <f t="array" aca="1" ref="G20" ca="1">IF(RegimeExecucao="Global","",ORÇAMENTO!T20)</f>
        <v>0</v>
      </c>
      <c r="H20" s="121" cm="1">
        <f t="array" aca="1" ref="H20" ca="1">IF(RegimeExecucao="Global","",ORÇAMENTO!W20)</f>
        <v>0</v>
      </c>
      <c r="I20" s="124">
        <f ca="1">ORÇAMENTO!X20</f>
        <v>41038.410000000003</v>
      </c>
      <c r="J20" s="332" cm="1">
        <f t="array" aca="1" ref="J20" ca="1">IF($A20="S",IF(CAIXA.Modo,BM.AFAnterior,BM.MEDAnterior),IF(AND(RegimeExecucao="Global",$I20&gt;0,COUNTIF($AB$13:$AM$13,BM.medicao-1)&gt;0),M20/$I20*100,0))</f>
        <v>0</v>
      </c>
      <c r="K20" s="121">
        <f t="shared" ca="1" si="3"/>
        <v>0</v>
      </c>
      <c r="L20" s="333" cm="1">
        <f t="array" aca="1" ref="L20" ca="1">IF($A20="S",IF(CAIXA.Modo,BM.AFAcumulado,BM.MEDAcumulado),IF(AND(RegimeExecucao="Global",$I20&gt;0,COUNTIF($AB$13:$AM$13,BM.medicao)&gt;0),O20/$I20*100,0))</f>
        <v>0</v>
      </c>
      <c r="M20" s="334" cm="1">
        <f t="array" aca="1" ref="M20" ca="1">IF($A20="S",VTOTALBM,IF($A20=0,0,ROUND(SomaAgrupBM,15-13*ORÇAMENTO!$AF$11)))</f>
        <v>0</v>
      </c>
      <c r="N20" s="335">
        <f t="shared" ca="1" si="4"/>
        <v>0</v>
      </c>
      <c r="O20" s="124" cm="1">
        <f t="array" aca="1" ref="O20" ca="1">IF($A20="S",VTOTALBM,IF($A20=0,0,ROUND(SomaAgrupBM,15-13*ORÇAMENTO!$AF$11)))</f>
        <v>0</v>
      </c>
      <c r="Q20" s="336"/>
      <c r="R20" s="337"/>
      <c r="T20" s="116" t="str">
        <f t="shared" ca="1" si="5"/>
        <v/>
      </c>
      <c r="U20" s="162" t="str">
        <f t="shared" ca="1" si="6"/>
        <v/>
      </c>
      <c r="V20" s="163" t="str" cm="1">
        <f t="array" aca="1" ref="V20" ca="1">IF(AND($W20&gt;0,RegimeExecucao="Unitário"),$F20,"")</f>
        <v/>
      </c>
      <c r="W20" s="453" cm="1">
        <f t="array" aca="1" ref="W20" ca="1">IF($Y20&gt;0,CHOOSE(MATCH(RegimeExecucao,{"Unitário","Global"},0),IF($A20="S",$Y20/$X20,""),($Y20/$X20)*100),0)</f>
        <v>0</v>
      </c>
      <c r="X20" s="338" t="str" cm="1">
        <f t="array" aca="1" ref="X20" ca="1">IF($Y20&gt;0,CHOOSE(MATCH(RegimeExecucao,{"Unitário","Global"},0),IF($A20="S",ROUND($H20,ORÇAMENTO!$AF$10),""),ROUND($I20,ORÇAMENTO!$AF$11)),"")</f>
        <v/>
      </c>
      <c r="Y20" s="338">
        <f t="shared" ca="1" si="7"/>
        <v>0</v>
      </c>
      <c r="Z20" s="472"/>
      <c r="AB20" s="336"/>
      <c r="AC20" s="436"/>
      <c r="AD20" s="436"/>
      <c r="AE20" s="436"/>
      <c r="AF20" s="436"/>
      <c r="AG20" s="436"/>
      <c r="AH20" s="436"/>
      <c r="AI20" s="436"/>
      <c r="AJ20" s="436"/>
      <c r="AK20" s="436"/>
      <c r="AL20" s="436"/>
      <c r="AM20" s="337"/>
      <c r="AO20" cm="1">
        <f t="array" aca="1" ref="AO20" ca="1">IF($A20="S",IF(BM!$I20=0,0,CHOOSE(MATCH(RegimeExecucao,{"Global","Unitário"},0),ROUND(ROUND(BM.MEDAcumulado,15-13*BM!$A$9)/100*BM!$I20,15-13*ORÇAMENTO!$AF$11),ROUND(ROUND(BM.MEDAcumulado,15-13*BM!$A$9)*ROUND(BM!$H20,15-13*ORÇAMENTO!$AF$10),15-13*ORÇAMENTO!$AF$11))),IF($A20=0,0,ROUND(SomaAgrupBM,15-13*ORÇAMENTO!$AF$11)))</f>
        <v>0</v>
      </c>
    </row>
    <row r="21" spans="1:41" ht="38.25" x14ac:dyDescent="0.2">
      <c r="A21" t="str">
        <f ca="1">ORÇAMENTO!C21</f>
        <v>S</v>
      </c>
      <c r="B21">
        <f ca="1">ORÇAMENTO!D21</f>
        <v>0</v>
      </c>
      <c r="C21" s="113" t="str">
        <f t="shared" ca="1" si="1"/>
        <v>F</v>
      </c>
      <c r="D21" s="116" t="str">
        <f ca="1">ORÇAMENTO!O21</f>
        <v>1.2.1.</v>
      </c>
      <c r="E21" s="162" t="str">
        <f t="shared" si="2"/>
        <v>FORNECIMENTO E INSTALAÇÃO DE PLACA DE OBRA COM CHAPA GALVANIZADA E ESTRUTURA DE MADEIRA.
 AF_03/2022_PS)</v>
      </c>
      <c r="F21" s="163" t="str" cm="1">
        <f t="array" aca="1" ref="F21" ca="1">IF(RegimeExecucao="Global","",ORÇAMENTO.Unidade)</f>
        <v>M2</v>
      </c>
      <c r="G21" s="121" cm="1">
        <f t="array" aca="1" ref="G21" ca="1">IF(RegimeExecucao="Global","",ORÇAMENTO!T21)</f>
        <v>4.5</v>
      </c>
      <c r="H21" s="121" cm="1">
        <f t="array" aca="1" ref="H21" ca="1">IF(RegimeExecucao="Global","",ORÇAMENTO!W21)</f>
        <v>521.86</v>
      </c>
      <c r="I21" s="124">
        <f ca="1">ORÇAMENTO!X21</f>
        <v>2348.37</v>
      </c>
      <c r="J21" s="332" cm="1">
        <f t="array" aca="1" ref="J21" ca="1">IF($A21="S",IF(CAIXA.Modo,BM.AFAnterior,BM.MEDAnterior),IF(AND(RegimeExecucao="Global",$I21&gt;0,COUNTIF($AB$13:$AM$13,BM.medicao-1)&gt;0),M21/$I21*100,0))</f>
        <v>0</v>
      </c>
      <c r="K21" s="121">
        <f t="shared" ca="1" si="3"/>
        <v>0</v>
      </c>
      <c r="L21" s="333" cm="1">
        <f t="array" aca="1" ref="L21" ca="1">IF($A21="S",IF(CAIXA.Modo,BM.AFAcumulado,BM.MEDAcumulado),IF(AND(RegimeExecucao="Global",$I21&gt;0,COUNTIF($AB$13:$AM$13,BM.medicao)&gt;0),O21/$I21*100,0))</f>
        <v>0</v>
      </c>
      <c r="M21" s="334" cm="1">
        <f t="array" aca="1" ref="M21" ca="1">IF($A21="S",VTOTALBM,IF($A21=0,0,ROUND(SomaAgrupBM,15-13*ORÇAMENTO!$AF$11)))</f>
        <v>0</v>
      </c>
      <c r="N21" s="335">
        <f t="shared" ca="1" si="4"/>
        <v>0</v>
      </c>
      <c r="O21" s="124" cm="1">
        <f t="array" aca="1" ref="O21" ca="1">IF($A21="S",VTOTALBM,IF($A21=0,0,ROUND(SomaAgrupBM,15-13*ORÇAMENTO!$AF$11)))</f>
        <v>0</v>
      </c>
      <c r="Q21" s="336"/>
      <c r="R21" s="337"/>
      <c r="T21" s="116" t="str">
        <f t="shared" ca="1" si="5"/>
        <v/>
      </c>
      <c r="U21" s="162" t="str">
        <f t="shared" ca="1" si="6"/>
        <v/>
      </c>
      <c r="V21" s="163" t="str" cm="1">
        <f t="array" aca="1" ref="V21" ca="1">IF(AND($W21&gt;0,RegimeExecucao="Unitário"),$F21,"")</f>
        <v/>
      </c>
      <c r="W21" s="453" cm="1">
        <f t="array" aca="1" ref="W21" ca="1">IF($Y21&gt;0,CHOOSE(MATCH(RegimeExecucao,{"Unitário","Global"},0),IF($A21="S",$Y21/$X21,""),($Y21/$X21)*100),0)</f>
        <v>0</v>
      </c>
      <c r="X21" s="338" t="str" cm="1">
        <f t="array" aca="1" ref="X21" ca="1">IF($Y21&gt;0,CHOOSE(MATCH(RegimeExecucao,{"Unitário","Global"},0),IF($A21="S",ROUND($H21,ORÇAMENTO!$AF$10),""),ROUND($I21,ORÇAMENTO!$AF$11)),"")</f>
        <v/>
      </c>
      <c r="Y21" s="338">
        <f t="shared" ca="1" si="7"/>
        <v>0</v>
      </c>
      <c r="Z21" s="472"/>
      <c r="AB21" s="336"/>
      <c r="AC21" s="436"/>
      <c r="AD21" s="436"/>
      <c r="AE21" s="436"/>
      <c r="AF21" s="436"/>
      <c r="AG21" s="436"/>
      <c r="AH21" s="436"/>
      <c r="AI21" s="436"/>
      <c r="AJ21" s="436"/>
      <c r="AK21" s="436"/>
      <c r="AL21" s="436"/>
      <c r="AM21" s="337"/>
      <c r="AO21" cm="1">
        <f t="array" aca="1" ref="AO21" ca="1">IF($A21="S",IF(BM!$I21=0,0,CHOOSE(MATCH(RegimeExecucao,{"Global","Unitário"},0),ROUND(ROUND(BM.MEDAcumulado,15-13*BM!$A$9)/100*BM!$I21,15-13*ORÇAMENTO!$AF$11),ROUND(ROUND(BM.MEDAcumulado,15-13*BM!$A$9)*ROUND(BM!$H21,15-13*ORÇAMENTO!$AF$10),15-13*ORÇAMENTO!$AF$11))),IF($A21=0,0,ROUND(SomaAgrupBM,15-13*ORÇAMENTO!$AF$11)))</f>
        <v>0</v>
      </c>
    </row>
    <row r="22" spans="1:41" ht="102" x14ac:dyDescent="0.2">
      <c r="A22" t="str">
        <f ca="1">ORÇAMENTO!C22</f>
        <v>S</v>
      </c>
      <c r="B22">
        <f ca="1">ORÇAMENTO!D22</f>
        <v>0</v>
      </c>
      <c r="C22" s="113" t="str">
        <f t="shared" ca="1" si="1"/>
        <v>F</v>
      </c>
      <c r="D22" s="116" t="str">
        <f ca="1">ORÇAMENTO!O22</f>
        <v>1.2.2.</v>
      </c>
      <c r="E22" s="162" t="str">
        <f t="shared" si="2"/>
        <v>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v>
      </c>
      <c r="F22" s="163" t="str" cm="1">
        <f t="array" aca="1" ref="F22" ca="1">IF(RegimeExecucao="Global","",ORÇAMENTO.Unidade)</f>
        <v>MÊS</v>
      </c>
      <c r="G22" s="121" cm="1">
        <f t="array" aca="1" ref="G22" ca="1">IF(RegimeExecucao="Global","",ORÇAMENTO!T22)</f>
        <v>4</v>
      </c>
      <c r="H22" s="121" cm="1">
        <f t="array" aca="1" ref="H22" ca="1">IF(RegimeExecucao="Global","",ORÇAMENTO!W22)</f>
        <v>1689.15</v>
      </c>
      <c r="I22" s="124">
        <f ca="1">ORÇAMENTO!X22</f>
        <v>6756.6</v>
      </c>
      <c r="J22" s="332" cm="1">
        <f t="array" aca="1" ref="J22" ca="1">IF($A22="S",IF(CAIXA.Modo,BM.AFAnterior,BM.MEDAnterior),IF(AND(RegimeExecucao="Global",$I22&gt;0,COUNTIF($AB$13:$AM$13,BM.medicao-1)&gt;0),M22/$I22*100,0))</f>
        <v>0</v>
      </c>
      <c r="K22" s="121">
        <f t="shared" ca="1" si="3"/>
        <v>0</v>
      </c>
      <c r="L22" s="333" cm="1">
        <f t="array" aca="1" ref="L22" ca="1">IF($A22="S",IF(CAIXA.Modo,BM.AFAcumulado,BM.MEDAcumulado),IF(AND(RegimeExecucao="Global",$I22&gt;0,COUNTIF($AB$13:$AM$13,BM.medicao)&gt;0),O22/$I22*100,0))</f>
        <v>0</v>
      </c>
      <c r="M22" s="334" cm="1">
        <f t="array" aca="1" ref="M22" ca="1">IF($A22="S",VTOTALBM,IF($A22=0,0,ROUND(SomaAgrupBM,15-13*ORÇAMENTO!$AF$11)))</f>
        <v>0</v>
      </c>
      <c r="N22" s="335">
        <f t="shared" ca="1" si="4"/>
        <v>0</v>
      </c>
      <c r="O22" s="124" cm="1">
        <f t="array" aca="1" ref="O22" ca="1">IF($A22="S",VTOTALBM,IF($A22=0,0,ROUND(SomaAgrupBM,15-13*ORÇAMENTO!$AF$11)))</f>
        <v>0</v>
      </c>
      <c r="Q22" s="336"/>
      <c r="R22" s="337"/>
      <c r="T22" s="116" t="str">
        <f t="shared" ca="1" si="5"/>
        <v/>
      </c>
      <c r="U22" s="162" t="str">
        <f t="shared" ca="1" si="6"/>
        <v/>
      </c>
      <c r="V22" s="163" t="str" cm="1">
        <f t="array" aca="1" ref="V22" ca="1">IF(AND($W22&gt;0,RegimeExecucao="Unitário"),$F22,"")</f>
        <v/>
      </c>
      <c r="W22" s="453" cm="1">
        <f t="array" aca="1" ref="W22" ca="1">IF($Y22&gt;0,CHOOSE(MATCH(RegimeExecucao,{"Unitário","Global"},0),IF($A22="S",$Y22/$X22,""),($Y22/$X22)*100),0)</f>
        <v>0</v>
      </c>
      <c r="X22" s="338" t="str" cm="1">
        <f t="array" aca="1" ref="X22" ca="1">IF($Y22&gt;0,CHOOSE(MATCH(RegimeExecucao,{"Unitário","Global"},0),IF($A22="S",ROUND($H22,ORÇAMENTO!$AF$10),""),ROUND($I22,ORÇAMENTO!$AF$11)),"")</f>
        <v/>
      </c>
      <c r="Y22" s="338">
        <f t="shared" ca="1" si="7"/>
        <v>0</v>
      </c>
      <c r="Z22" s="472"/>
      <c r="AB22" s="336"/>
      <c r="AC22" s="436"/>
      <c r="AD22" s="436"/>
      <c r="AE22" s="436"/>
      <c r="AF22" s="436"/>
      <c r="AG22" s="436"/>
      <c r="AH22" s="436"/>
      <c r="AI22" s="436"/>
      <c r="AJ22" s="436"/>
      <c r="AK22" s="436"/>
      <c r="AL22" s="436"/>
      <c r="AM22" s="337"/>
      <c r="AO22" cm="1">
        <f t="array" aca="1" ref="AO22" ca="1">IF($A22="S",IF(BM!$I22=0,0,CHOOSE(MATCH(RegimeExecucao,{"Global","Unitário"},0),ROUND(ROUND(BM.MEDAcumulado,15-13*BM!$A$9)/100*BM!$I22,15-13*ORÇAMENTO!$AF$11),ROUND(ROUND(BM.MEDAcumulado,15-13*BM!$A$9)*ROUND(BM!$H22,15-13*ORÇAMENTO!$AF$10),15-13*ORÇAMENTO!$AF$11))),IF($A22=0,0,ROUND(SomaAgrupBM,15-13*ORÇAMENTO!$AF$11)))</f>
        <v>0</v>
      </c>
    </row>
    <row r="23" spans="1:41" x14ac:dyDescent="0.2">
      <c r="A23" t="str">
        <f ca="1">ORÇAMENTO!C23</f>
        <v>S</v>
      </c>
      <c r="B23">
        <f ca="1">ORÇAMENTO!D23</f>
        <v>0</v>
      </c>
      <c r="C23" s="113" t="str">
        <f t="shared" ca="1" si="1"/>
        <v>F</v>
      </c>
      <c r="D23" s="116" t="str">
        <f ca="1">ORÇAMENTO!O23</f>
        <v>1.2.3.</v>
      </c>
      <c r="E23" s="162" t="str">
        <f t="shared" si="2"/>
        <v>PROJETO EXECUTIVO DE ESTRUTURA METÁLICA</v>
      </c>
      <c r="F23" s="163" t="str" cm="1">
        <f t="array" aca="1" ref="F23" ca="1">IF(RegimeExecucao="Global","",ORÇAMENTO.Unidade)</f>
        <v>PR A1</v>
      </c>
      <c r="G23" s="121" cm="1">
        <f t="array" aca="1" ref="G23" ca="1">IF(RegimeExecucao="Global","",ORÇAMENTO!T23)</f>
        <v>5</v>
      </c>
      <c r="H23" s="121" cm="1">
        <f t="array" aca="1" ref="H23" ca="1">IF(RegimeExecucao="Global","",ORÇAMENTO!W23)</f>
        <v>2231.2600000000002</v>
      </c>
      <c r="I23" s="124">
        <f ca="1">ORÇAMENTO!X23</f>
        <v>11156.3</v>
      </c>
      <c r="J23" s="332" cm="1">
        <f t="array" aca="1" ref="J23" ca="1">IF($A23="S",IF(CAIXA.Modo,BM.AFAnterior,BM.MEDAnterior),IF(AND(RegimeExecucao="Global",$I23&gt;0,COUNTIF($AB$13:$AM$13,BM.medicao-1)&gt;0),M23/$I23*100,0))</f>
        <v>0</v>
      </c>
      <c r="K23" s="121">
        <f t="shared" ca="1" si="3"/>
        <v>0</v>
      </c>
      <c r="L23" s="333" cm="1">
        <f t="array" aca="1" ref="L23" ca="1">IF($A23="S",IF(CAIXA.Modo,BM.AFAcumulado,BM.MEDAcumulado),IF(AND(RegimeExecucao="Global",$I23&gt;0,COUNTIF($AB$13:$AM$13,BM.medicao)&gt;0),O23/$I23*100,0))</f>
        <v>0</v>
      </c>
      <c r="M23" s="334" cm="1">
        <f t="array" aca="1" ref="M23" ca="1">IF($A23="S",VTOTALBM,IF($A23=0,0,ROUND(SomaAgrupBM,15-13*ORÇAMENTO!$AF$11)))</f>
        <v>0</v>
      </c>
      <c r="N23" s="335">
        <f t="shared" ca="1" si="4"/>
        <v>0</v>
      </c>
      <c r="O23" s="124" cm="1">
        <f t="array" aca="1" ref="O23" ca="1">IF($A23="S",VTOTALBM,IF($A23=0,0,ROUND(SomaAgrupBM,15-13*ORÇAMENTO!$AF$11)))</f>
        <v>0</v>
      </c>
      <c r="Q23" s="336"/>
      <c r="R23" s="337"/>
      <c r="T23" s="116" t="str">
        <f t="shared" ca="1" si="5"/>
        <v/>
      </c>
      <c r="U23" s="162" t="str">
        <f t="shared" ca="1" si="6"/>
        <v/>
      </c>
      <c r="V23" s="163" t="str" cm="1">
        <f t="array" aca="1" ref="V23" ca="1">IF(AND($W23&gt;0,RegimeExecucao="Unitário"),$F23,"")</f>
        <v/>
      </c>
      <c r="W23" s="453" cm="1">
        <f t="array" aca="1" ref="W23" ca="1">IF($Y23&gt;0,CHOOSE(MATCH(RegimeExecucao,{"Unitário","Global"},0),IF($A23="S",$Y23/$X23,""),($Y23/$X23)*100),0)</f>
        <v>0</v>
      </c>
      <c r="X23" s="338" t="str" cm="1">
        <f t="array" aca="1" ref="X23" ca="1">IF($Y23&gt;0,CHOOSE(MATCH(RegimeExecucao,{"Unitário","Global"},0),IF($A23="S",ROUND($H23,ORÇAMENTO!$AF$10),""),ROUND($I23,ORÇAMENTO!$AF$11)),"")</f>
        <v/>
      </c>
      <c r="Y23" s="338">
        <f t="shared" ca="1" si="7"/>
        <v>0</v>
      </c>
      <c r="Z23" s="472"/>
      <c r="AB23" s="336"/>
      <c r="AC23" s="436"/>
      <c r="AD23" s="436"/>
      <c r="AE23" s="436"/>
      <c r="AF23" s="436"/>
      <c r="AG23" s="436"/>
      <c r="AH23" s="436"/>
      <c r="AI23" s="436"/>
      <c r="AJ23" s="436"/>
      <c r="AK23" s="436"/>
      <c r="AL23" s="436"/>
      <c r="AM23" s="337"/>
      <c r="AO23" cm="1">
        <f t="array" aca="1" ref="AO23" ca="1">IF($A23="S",IF(BM!$I23=0,0,CHOOSE(MATCH(RegimeExecucao,{"Global","Unitário"},0),ROUND(ROUND(BM.MEDAcumulado,15-13*BM!$A$9)/100*BM!$I23,15-13*ORÇAMENTO!$AF$11),ROUND(ROUND(BM.MEDAcumulado,15-13*BM!$A$9)*ROUND(BM!$H23,15-13*ORÇAMENTO!$AF$10),15-13*ORÇAMENTO!$AF$11))),IF($A23=0,0,ROUND(SomaAgrupBM,15-13*ORÇAMENTO!$AF$11)))</f>
        <v>0</v>
      </c>
    </row>
    <row r="24" spans="1:41" x14ac:dyDescent="0.2">
      <c r="A24" t="str">
        <f ca="1">ORÇAMENTO!C24</f>
        <v>S</v>
      </c>
      <c r="B24">
        <f ca="1">ORÇAMENTO!D24</f>
        <v>0</v>
      </c>
      <c r="C24" s="113" t="str">
        <f t="shared" ca="1" si="1"/>
        <v>F</v>
      </c>
      <c r="D24" s="116" t="str">
        <f ca="1">ORÇAMENTO!O24</f>
        <v>1.2.4.</v>
      </c>
      <c r="E24" s="162" t="str">
        <f t="shared" si="2"/>
        <v>PROJETO EXECUTIVO DE GEOTECNIA</v>
      </c>
      <c r="F24" s="163" t="str" cm="1">
        <f t="array" aca="1" ref="F24" ca="1">IF(RegimeExecucao="Global","",ORÇAMENTO.Unidade)</f>
        <v>PR A1</v>
      </c>
      <c r="G24" s="121" cm="1">
        <f t="array" aca="1" ref="G24" ca="1">IF(RegimeExecucao="Global","",ORÇAMENTO!T24)</f>
        <v>2</v>
      </c>
      <c r="H24" s="121" cm="1">
        <f t="array" aca="1" ref="H24" ca="1">IF(RegimeExecucao="Global","",ORÇAMENTO!W24)</f>
        <v>1199.47</v>
      </c>
      <c r="I24" s="124">
        <f ca="1">ORÇAMENTO!X24</f>
        <v>2398.94</v>
      </c>
      <c r="J24" s="332" cm="1">
        <f t="array" aca="1" ref="J24" ca="1">IF($A24="S",IF(CAIXA.Modo,BM.AFAnterior,BM.MEDAnterior),IF(AND(RegimeExecucao="Global",$I24&gt;0,COUNTIF($AB$13:$AM$13,BM.medicao-1)&gt;0),M24/$I24*100,0))</f>
        <v>0</v>
      </c>
      <c r="K24" s="121">
        <f t="shared" ca="1" si="3"/>
        <v>0</v>
      </c>
      <c r="L24" s="333" cm="1">
        <f t="array" aca="1" ref="L24" ca="1">IF($A24="S",IF(CAIXA.Modo,BM.AFAcumulado,BM.MEDAcumulado),IF(AND(RegimeExecucao="Global",$I24&gt;0,COUNTIF($AB$13:$AM$13,BM.medicao)&gt;0),O24/$I24*100,0))</f>
        <v>0</v>
      </c>
      <c r="M24" s="334" cm="1">
        <f t="array" aca="1" ref="M24" ca="1">IF($A24="S",VTOTALBM,IF($A24=0,0,ROUND(SomaAgrupBM,15-13*ORÇAMENTO!$AF$11)))</f>
        <v>0</v>
      </c>
      <c r="N24" s="335">
        <f t="shared" ca="1" si="4"/>
        <v>0</v>
      </c>
      <c r="O24" s="124" cm="1">
        <f t="array" aca="1" ref="O24" ca="1">IF($A24="S",VTOTALBM,IF($A24=0,0,ROUND(SomaAgrupBM,15-13*ORÇAMENTO!$AF$11)))</f>
        <v>0</v>
      </c>
      <c r="Q24" s="336"/>
      <c r="R24" s="337"/>
      <c r="T24" s="116" t="str">
        <f t="shared" ca="1" si="5"/>
        <v/>
      </c>
      <c r="U24" s="162" t="str">
        <f t="shared" ca="1" si="6"/>
        <v/>
      </c>
      <c r="V24" s="163" t="str" cm="1">
        <f t="array" aca="1" ref="V24" ca="1">IF(AND($W24&gt;0,RegimeExecucao="Unitário"),$F24,"")</f>
        <v/>
      </c>
      <c r="W24" s="453" cm="1">
        <f t="array" aca="1" ref="W24" ca="1">IF($Y24&gt;0,CHOOSE(MATCH(RegimeExecucao,{"Unitário","Global"},0),IF($A24="S",$Y24/$X24,""),($Y24/$X24)*100),0)</f>
        <v>0</v>
      </c>
      <c r="X24" s="338" t="str" cm="1">
        <f t="array" aca="1" ref="X24" ca="1">IF($Y24&gt;0,CHOOSE(MATCH(RegimeExecucao,{"Unitário","Global"},0),IF($A24="S",ROUND($H24,ORÇAMENTO!$AF$10),""),ROUND($I24,ORÇAMENTO!$AF$11)),"")</f>
        <v/>
      </c>
      <c r="Y24" s="338">
        <f t="shared" ca="1" si="7"/>
        <v>0</v>
      </c>
      <c r="Z24" s="472"/>
      <c r="AB24" s="336"/>
      <c r="AC24" s="436"/>
      <c r="AD24" s="436"/>
      <c r="AE24" s="436"/>
      <c r="AF24" s="436"/>
      <c r="AG24" s="436"/>
      <c r="AH24" s="436"/>
      <c r="AI24" s="436"/>
      <c r="AJ24" s="436"/>
      <c r="AK24" s="436"/>
      <c r="AL24" s="436"/>
      <c r="AM24" s="337"/>
      <c r="AO24" cm="1">
        <f t="array" aca="1" ref="AO24" ca="1">IF($A24="S",IF(BM!$I24=0,0,CHOOSE(MATCH(RegimeExecucao,{"Global","Unitário"},0),ROUND(ROUND(BM.MEDAcumulado,15-13*BM!$A$9)/100*BM!$I24,15-13*ORÇAMENTO!$AF$11),ROUND(ROUND(BM.MEDAcumulado,15-13*BM!$A$9)*ROUND(BM!$H24,15-13*ORÇAMENTO!$AF$10),15-13*ORÇAMENTO!$AF$11))),IF($A24=0,0,ROUND(SomaAgrupBM,15-13*ORÇAMENTO!$AF$11)))</f>
        <v>0</v>
      </c>
    </row>
    <row r="25" spans="1:41" ht="38.25" x14ac:dyDescent="0.2">
      <c r="A25" t="str">
        <f ca="1">ORÇAMENTO!C25</f>
        <v>S</v>
      </c>
      <c r="B25">
        <f ca="1">ORÇAMENTO!D25</f>
        <v>0</v>
      </c>
      <c r="C25" s="113" t="str">
        <f ca="1">IF(OR($I25&gt;0,$A25=1,$A25=2,$A25=3,$A25=4),"F","")</f>
        <v>F</v>
      </c>
      <c r="D25" s="116" t="str">
        <f ca="1">ORÇAMENTO!O25</f>
        <v>1.2.5.</v>
      </c>
      <c r="E25" s="162" t="str">
        <f>ORÇAMENTO.Descricao</f>
        <v>GRUPO DE SOLDAGEM COM GERADOR A DIESEL 60 CV PARA SOLDA ELÉTRICA, SOBRE 04 RODAS, COM MOTOR 4
 CILINDROS 600 A - CHI DIURNO. AF_02/2016</v>
      </c>
      <c r="F25" s="163" t="str" cm="1">
        <f t="array" aca="1" ref="F25" ca="1">IF(RegimeExecucao="Global","",ORÇAMENTO.Unidade)</f>
        <v>H</v>
      </c>
      <c r="G25" s="121" cm="1">
        <f t="array" aca="1" ref="G25" ca="1">IF(RegimeExecucao="Global","",ORÇAMENTO!T25)</f>
        <v>320</v>
      </c>
      <c r="H25" s="121" cm="1">
        <f t="array" aca="1" ref="H25" ca="1">IF(RegimeExecucao="Global","",ORÇAMENTO!W25)</f>
        <v>50.71</v>
      </c>
      <c r="I25" s="124">
        <f ca="1">ORÇAMENTO!X25</f>
        <v>16227.2</v>
      </c>
      <c r="J25" s="332" cm="1">
        <f t="array" aca="1" ref="J25" ca="1">IF($A25="S",IF(CAIXA.Modo,BM.AFAnterior,BM.MEDAnterior),IF(AND(RegimeExecucao="Global",$I25&gt;0,COUNTIF($AB$13:$AM$13,BM.medicao-1)&gt;0),M25/$I25*100,0))</f>
        <v>0</v>
      </c>
      <c r="K25" s="121">
        <f ca="1">L25-J25</f>
        <v>0</v>
      </c>
      <c r="L25" s="333" cm="1">
        <f t="array" aca="1" ref="L25" ca="1">IF($A25="S",IF(CAIXA.Modo,BM.AFAcumulado,BM.MEDAcumulado),IF(AND(RegimeExecucao="Global",$I25&gt;0,COUNTIF($AB$13:$AM$13,BM.medicao)&gt;0),O25/$I25*100,0))</f>
        <v>0</v>
      </c>
      <c r="M25" s="334" cm="1">
        <f t="array" aca="1" ref="M25" ca="1">IF($A25="S",VTOTALBM,IF($A25=0,0,ROUND(SomaAgrupBM,15-13*ORÇAMENTO!$AF$11)))</f>
        <v>0</v>
      </c>
      <c r="N25" s="335">
        <f ca="1">O25-M25</f>
        <v>0</v>
      </c>
      <c r="O25" s="124" cm="1">
        <f t="array" aca="1" ref="O25" ca="1">IF($A25="S",VTOTALBM,IF($A25=0,0,ROUND(SomaAgrupBM,15-13*ORÇAMENTO!$AF$11)))</f>
        <v>0</v>
      </c>
      <c r="Q25" s="336"/>
      <c r="R25" s="337"/>
      <c r="T25" s="116" t="str">
        <f ca="1">IF($W25&gt;0,$D25,"")</f>
        <v/>
      </c>
      <c r="U25" s="162" t="str">
        <f ca="1">IF($W25&gt;0,$E25,"")</f>
        <v/>
      </c>
      <c r="V25" s="163" t="str" cm="1">
        <f t="array" aca="1" ref="V25" ca="1">IF(AND($W25&gt;0,RegimeExecucao="Unitário"),$F25,"")</f>
        <v/>
      </c>
      <c r="W25" s="453" cm="1">
        <f t="array" aca="1" ref="W25" ca="1">IF($Y25&gt;0,CHOOSE(MATCH(RegimeExecucao,{"Unitário","Global"},0),IF($A25="S",$Y25/$X25,""),($Y25/$X25)*100),0)</f>
        <v>0</v>
      </c>
      <c r="X25" s="338" t="str" cm="1">
        <f t="array" aca="1" ref="X25" ca="1">IF($Y25&gt;0,CHOOSE(MATCH(RegimeExecucao,{"Unitário","Global"},0),IF($A25="S",ROUND($H25,ORÇAMENTO!$AF$10),""),ROUND($I25,ORÇAMENTO!$AF$11)),"")</f>
        <v/>
      </c>
      <c r="Y25" s="338">
        <f ca="1">AO25-O25</f>
        <v>0</v>
      </c>
      <c r="Z25" s="472"/>
      <c r="AB25" s="336"/>
      <c r="AC25" s="436"/>
      <c r="AD25" s="436"/>
      <c r="AE25" s="436"/>
      <c r="AF25" s="436"/>
      <c r="AG25" s="436"/>
      <c r="AH25" s="436"/>
      <c r="AI25" s="436"/>
      <c r="AJ25" s="436"/>
      <c r="AK25" s="436"/>
      <c r="AL25" s="436"/>
      <c r="AM25" s="337"/>
      <c r="AO25" cm="1">
        <f t="array" aca="1" ref="AO25" ca="1">IF($A25="S",IF(BM!$I25=0,0,CHOOSE(MATCH(RegimeExecucao,{"Global","Unitário"},0),ROUND(ROUND(BM.MEDAcumulado,15-13*BM!$A$9)/100*BM!$I25,15-13*ORÇAMENTO!$AF$11),ROUND(ROUND(BM.MEDAcumulado,15-13*BM!$A$9)*ROUND(BM!$H25,15-13*ORÇAMENTO!$AF$10),15-13*ORÇAMENTO!$AF$11))),IF($A25=0,0,ROUND(SomaAgrupBM,15-13*ORÇAMENTO!$AF$11)))</f>
        <v>0</v>
      </c>
    </row>
    <row r="26" spans="1:41" ht="38.25" x14ac:dyDescent="0.2">
      <c r="A26" t="str">
        <f ca="1">ORÇAMENTO!C26</f>
        <v>S</v>
      </c>
      <c r="B26">
        <f ca="1">ORÇAMENTO!D26</f>
        <v>0</v>
      </c>
      <c r="C26" s="113" t="str">
        <f ca="1">IF(OR($I26&gt;0,$A26=1,$A26=2,$A26=3,$A26=4),"F","")</f>
        <v>F</v>
      </c>
      <c r="D26" s="116" t="str">
        <f ca="1">ORÇAMENTO!O26</f>
        <v>1.2.6.</v>
      </c>
      <c r="E26" s="162" t="str">
        <f>ORÇAMENTO.Descricao</f>
        <v>LOCAÇÃO TOPOGRÁFICA DE VINTE UM (21) ATÉ CINQUENTA (50)
 PONTOS REFERENCIAIS, INCLUSIVE ESTACA (PIQUETE) DE
 MARCAÇÃO</v>
      </c>
      <c r="F26" s="163" t="str" cm="1">
        <f t="array" aca="1" ref="F26" ca="1">IF(RegimeExecucao="Global","",ORÇAMENTO.Unidade)</f>
        <v>UNIDADES</v>
      </c>
      <c r="G26" s="121" cm="1">
        <f t="array" aca="1" ref="G26" ca="1">IF(RegimeExecucao="Global","",ORÇAMENTO!T26)</f>
        <v>30</v>
      </c>
      <c r="H26" s="121" cm="1">
        <f t="array" aca="1" ref="H26" ca="1">IF(RegimeExecucao="Global","",ORÇAMENTO!W26)</f>
        <v>71.7</v>
      </c>
      <c r="I26" s="124">
        <f ca="1">ORÇAMENTO!X26</f>
        <v>2151</v>
      </c>
      <c r="J26" s="332" cm="1">
        <f t="array" aca="1" ref="J26" ca="1">IF($A26="S",IF(CAIXA.Modo,BM.AFAnterior,BM.MEDAnterior),IF(AND(RegimeExecucao="Global",$I26&gt;0,COUNTIF($AB$13:$AM$13,BM.medicao-1)&gt;0),M26/$I26*100,0))</f>
        <v>0</v>
      </c>
      <c r="K26" s="121">
        <f ca="1">L26-J26</f>
        <v>0</v>
      </c>
      <c r="L26" s="333" cm="1">
        <f t="array" aca="1" ref="L26" ca="1">IF($A26="S",IF(CAIXA.Modo,BM.AFAcumulado,BM.MEDAcumulado),IF(AND(RegimeExecucao="Global",$I26&gt;0,COUNTIF($AB$13:$AM$13,BM.medicao)&gt;0),O26/$I26*100,0))</f>
        <v>0</v>
      </c>
      <c r="M26" s="334" cm="1">
        <f t="array" aca="1" ref="M26" ca="1">IF($A26="S",VTOTALBM,IF($A26=0,0,ROUND(SomaAgrupBM,15-13*ORÇAMENTO!$AF$11)))</f>
        <v>0</v>
      </c>
      <c r="N26" s="335">
        <f ca="1">O26-M26</f>
        <v>0</v>
      </c>
      <c r="O26" s="124" cm="1">
        <f t="array" aca="1" ref="O26" ca="1">IF($A26="S",VTOTALBM,IF($A26=0,0,ROUND(SomaAgrupBM,15-13*ORÇAMENTO!$AF$11)))</f>
        <v>0</v>
      </c>
      <c r="Q26" s="336"/>
      <c r="R26" s="337"/>
      <c r="T26" s="116" t="str">
        <f ca="1">IF($W26&gt;0,$D26,"")</f>
        <v/>
      </c>
      <c r="U26" s="162" t="str">
        <f ca="1">IF($W26&gt;0,$E26,"")</f>
        <v/>
      </c>
      <c r="V26" s="163" t="str" cm="1">
        <f t="array" aca="1" ref="V26" ca="1">IF(AND($W26&gt;0,RegimeExecucao="Unitário"),$F26,"")</f>
        <v/>
      </c>
      <c r="W26" s="453" cm="1">
        <f t="array" aca="1" ref="W26" ca="1">IF($Y26&gt;0,CHOOSE(MATCH(RegimeExecucao,{"Unitário","Global"},0),IF($A26="S",$Y26/$X26,""),($Y26/$X26)*100),0)</f>
        <v>0</v>
      </c>
      <c r="X26" s="338" t="str" cm="1">
        <f t="array" aca="1" ref="X26" ca="1">IF($Y26&gt;0,CHOOSE(MATCH(RegimeExecucao,{"Unitário","Global"},0),IF($A26="S",ROUND($H26,ORÇAMENTO!$AF$10),""),ROUND($I26,ORÇAMENTO!$AF$11)),"")</f>
        <v/>
      </c>
      <c r="Y26" s="338">
        <f ca="1">AO26-O26</f>
        <v>0</v>
      </c>
      <c r="Z26" s="472"/>
      <c r="AB26" s="336"/>
      <c r="AC26" s="436"/>
      <c r="AD26" s="436"/>
      <c r="AE26" s="436"/>
      <c r="AF26" s="436"/>
      <c r="AG26" s="436"/>
      <c r="AH26" s="436"/>
      <c r="AI26" s="436"/>
      <c r="AJ26" s="436"/>
      <c r="AK26" s="436"/>
      <c r="AL26" s="436"/>
      <c r="AM26" s="337"/>
      <c r="AO26" cm="1">
        <f t="array" aca="1" ref="AO26" ca="1">IF($A26="S",IF(BM!$I26=0,0,CHOOSE(MATCH(RegimeExecucao,{"Global","Unitário"},0),ROUND(ROUND(BM.MEDAcumulado,15-13*BM!$A$9)/100*BM!$I26,15-13*ORÇAMENTO!$AF$11),ROUND(ROUND(BM.MEDAcumulado,15-13*BM!$A$9)*ROUND(BM!$H26,15-13*ORÇAMENTO!$AF$10),15-13*ORÇAMENTO!$AF$11))),IF($A26=0,0,ROUND(SomaAgrupBM,15-13*ORÇAMENTO!$AF$11)))</f>
        <v>0</v>
      </c>
    </row>
    <row r="27" spans="1:41" x14ac:dyDescent="0.2">
      <c r="A27">
        <f ca="1">ORÇAMENTO!C27</f>
        <v>2</v>
      </c>
      <c r="B27">
        <f ca="1">ORÇAMENTO!D27</f>
        <v>3</v>
      </c>
      <c r="C27" s="113" t="str">
        <f t="shared" ca="1" si="1"/>
        <v>F</v>
      </c>
      <c r="D27" s="116" t="str">
        <f ca="1">ORÇAMENTO!O27</f>
        <v>1.3.</v>
      </c>
      <c r="E27" s="162" t="str">
        <f t="shared" si="2"/>
        <v>TERRAPLENAGEM</v>
      </c>
      <c r="F27" s="163" t="str" cm="1">
        <f t="array" aca="1" ref="F27" ca="1">IF(RegimeExecucao="Global","",ORÇAMENTO.Unidade)</f>
        <v>-</v>
      </c>
      <c r="G27" s="121" cm="1">
        <f t="array" aca="1" ref="G27" ca="1">IF(RegimeExecucao="Global","",ORÇAMENTO!T27)</f>
        <v>0</v>
      </c>
      <c r="H27" s="121" cm="1">
        <f t="array" aca="1" ref="H27" ca="1">IF(RegimeExecucao="Global","",ORÇAMENTO!W27)</f>
        <v>0</v>
      </c>
      <c r="I27" s="124">
        <f ca="1">ORÇAMENTO!X27</f>
        <v>7697.01</v>
      </c>
      <c r="J27" s="332" cm="1">
        <f t="array" aca="1" ref="J27" ca="1">IF($A27="S",IF(CAIXA.Modo,BM.AFAnterior,BM.MEDAnterior),IF(AND(RegimeExecucao="Global",$I27&gt;0,COUNTIF($AB$13:$AM$13,BM.medicao-1)&gt;0),M27/$I27*100,0))</f>
        <v>0</v>
      </c>
      <c r="K27" s="121">
        <f t="shared" ca="1" si="3"/>
        <v>0</v>
      </c>
      <c r="L27" s="333" cm="1">
        <f t="array" aca="1" ref="L27" ca="1">IF($A27="S",IF(CAIXA.Modo,BM.AFAcumulado,BM.MEDAcumulado),IF(AND(RegimeExecucao="Global",$I27&gt;0,COUNTIF($AB$13:$AM$13,BM.medicao)&gt;0),O27/$I27*100,0))</f>
        <v>0</v>
      </c>
      <c r="M27" s="334" cm="1">
        <f t="array" aca="1" ref="M27" ca="1">IF($A27="S",VTOTALBM,IF($A27=0,0,ROUND(SomaAgrupBM,15-13*ORÇAMENTO!$AF$11)))</f>
        <v>0</v>
      </c>
      <c r="N27" s="335">
        <f t="shared" ca="1" si="4"/>
        <v>0</v>
      </c>
      <c r="O27" s="124" cm="1">
        <f t="array" aca="1" ref="O27" ca="1">IF($A27="S",VTOTALBM,IF($A27=0,0,ROUND(SomaAgrupBM,15-13*ORÇAMENTO!$AF$11)))</f>
        <v>0</v>
      </c>
      <c r="Q27" s="336"/>
      <c r="R27" s="337"/>
      <c r="T27" s="116" t="str">
        <f t="shared" ca="1" si="5"/>
        <v/>
      </c>
      <c r="U27" s="162" t="str">
        <f t="shared" ca="1" si="6"/>
        <v/>
      </c>
      <c r="V27" s="163" t="str" cm="1">
        <f t="array" aca="1" ref="V27" ca="1">IF(AND($W27&gt;0,RegimeExecucao="Unitário"),$F27,"")</f>
        <v/>
      </c>
      <c r="W27" s="453" cm="1">
        <f t="array" aca="1" ref="W27" ca="1">IF($Y27&gt;0,CHOOSE(MATCH(RegimeExecucao,{"Unitário","Global"},0),IF($A27="S",$Y27/$X27,""),($Y27/$X27)*100),0)</f>
        <v>0</v>
      </c>
      <c r="X27" s="338" t="str" cm="1">
        <f t="array" aca="1" ref="X27" ca="1">IF($Y27&gt;0,CHOOSE(MATCH(RegimeExecucao,{"Unitário","Global"},0),IF($A27="S",ROUND($H27,ORÇAMENTO!$AF$10),""),ROUND($I27,ORÇAMENTO!$AF$11)),"")</f>
        <v/>
      </c>
      <c r="Y27" s="338">
        <f t="shared" ca="1" si="7"/>
        <v>0</v>
      </c>
      <c r="Z27" s="472"/>
      <c r="AB27" s="336"/>
      <c r="AC27" s="436"/>
      <c r="AD27" s="436"/>
      <c r="AE27" s="436"/>
      <c r="AF27" s="436"/>
      <c r="AG27" s="436"/>
      <c r="AH27" s="436"/>
      <c r="AI27" s="436"/>
      <c r="AJ27" s="436"/>
      <c r="AK27" s="436"/>
      <c r="AL27" s="436"/>
      <c r="AM27" s="337"/>
      <c r="AO27" cm="1">
        <f t="array" aca="1" ref="AO27" ca="1">IF($A27="S",IF(BM!$I27=0,0,CHOOSE(MATCH(RegimeExecucao,{"Global","Unitário"},0),ROUND(ROUND(BM.MEDAcumulado,15-13*BM!$A$9)/100*BM!$I27,15-13*ORÇAMENTO!$AF$11),ROUND(ROUND(BM.MEDAcumulado,15-13*BM!$A$9)*ROUND(BM!$H27,15-13*ORÇAMENTO!$AF$10),15-13*ORÇAMENTO!$AF$11))),IF($A27=0,0,ROUND(SomaAgrupBM,15-13*ORÇAMENTO!$AF$11)))</f>
        <v>0</v>
      </c>
    </row>
    <row r="28" spans="1:41" ht="25.5" x14ac:dyDescent="0.2">
      <c r="A28" t="str">
        <f ca="1">ORÇAMENTO!C28</f>
        <v>S</v>
      </c>
      <c r="B28">
        <f ca="1">ORÇAMENTO!D28</f>
        <v>0</v>
      </c>
      <c r="C28" s="113" t="str">
        <f t="shared" ca="1" si="1"/>
        <v>F</v>
      </c>
      <c r="D28" s="116" t="str">
        <f ca="1">ORÇAMENTO!O28</f>
        <v>1.3.1.</v>
      </c>
      <c r="E28" s="162" t="str">
        <f t="shared" si="2"/>
        <v>TRANSPORTE COM CAMINHÃO BASCULANTE DE 10 M³, EM VIA URBANA EM LEITO NATURAL (UNIDADE: M3XKM). AF_07/2020</v>
      </c>
      <c r="F28" s="163" t="str" cm="1">
        <f t="array" aca="1" ref="F28" ca="1">IF(RegimeExecucao="Global","",ORÇAMENTO.Unidade)</f>
        <v>M3XKM</v>
      </c>
      <c r="G28" s="121" cm="1">
        <f t="array" aca="1" ref="G28" ca="1">IF(RegimeExecucao="Global","",ORÇAMENTO!T28)</f>
        <v>1238.95</v>
      </c>
      <c r="H28" s="121" cm="1">
        <f t="array" aca="1" ref="H28" ca="1">IF(RegimeExecucao="Global","",ORÇAMENTO!W28)</f>
        <v>3.27</v>
      </c>
      <c r="I28" s="124">
        <f ca="1">ORÇAMENTO!X28</f>
        <v>4051.37</v>
      </c>
      <c r="J28" s="332" cm="1">
        <f t="array" aca="1" ref="J28" ca="1">IF($A28="S",IF(CAIXA.Modo,BM.AFAnterior,BM.MEDAnterior),IF(AND(RegimeExecucao="Global",$I28&gt;0,COUNTIF($AB$13:$AM$13,BM.medicao-1)&gt;0),M28/$I28*100,0))</f>
        <v>0</v>
      </c>
      <c r="K28" s="121">
        <f t="shared" ca="1" si="3"/>
        <v>0</v>
      </c>
      <c r="L28" s="333" cm="1">
        <f t="array" aca="1" ref="L28" ca="1">IF($A28="S",IF(CAIXA.Modo,BM.AFAcumulado,BM.MEDAcumulado),IF(AND(RegimeExecucao="Global",$I28&gt;0,COUNTIF($AB$13:$AM$13,BM.medicao)&gt;0),O28/$I28*100,0))</f>
        <v>0</v>
      </c>
      <c r="M28" s="334" cm="1">
        <f t="array" aca="1" ref="M28" ca="1">IF($A28="S",VTOTALBM,IF($A28=0,0,ROUND(SomaAgrupBM,15-13*ORÇAMENTO!$AF$11)))</f>
        <v>0</v>
      </c>
      <c r="N28" s="335">
        <f t="shared" ca="1" si="4"/>
        <v>0</v>
      </c>
      <c r="O28" s="124" cm="1">
        <f t="array" aca="1" ref="O28" ca="1">IF($A28="S",VTOTALBM,IF($A28=0,0,ROUND(SomaAgrupBM,15-13*ORÇAMENTO!$AF$11)))</f>
        <v>0</v>
      </c>
      <c r="Q28" s="336"/>
      <c r="R28" s="337"/>
      <c r="T28" s="116" t="str">
        <f t="shared" ca="1" si="5"/>
        <v/>
      </c>
      <c r="U28" s="162" t="str">
        <f t="shared" ca="1" si="6"/>
        <v/>
      </c>
      <c r="V28" s="163" t="str" cm="1">
        <f t="array" aca="1" ref="V28" ca="1">IF(AND($W28&gt;0,RegimeExecucao="Unitário"),$F28,"")</f>
        <v/>
      </c>
      <c r="W28" s="453" cm="1">
        <f t="array" aca="1" ref="W28" ca="1">IF($Y28&gt;0,CHOOSE(MATCH(RegimeExecucao,{"Unitário","Global"},0),IF($A28="S",$Y28/$X28,""),($Y28/$X28)*100),0)</f>
        <v>0</v>
      </c>
      <c r="X28" s="338" t="str" cm="1">
        <f t="array" aca="1" ref="X28" ca="1">IF($Y28&gt;0,CHOOSE(MATCH(RegimeExecucao,{"Unitário","Global"},0),IF($A28="S",ROUND($H28,ORÇAMENTO!$AF$10),""),ROUND($I28,ORÇAMENTO!$AF$11)),"")</f>
        <v/>
      </c>
      <c r="Y28" s="338">
        <f t="shared" ca="1" si="7"/>
        <v>0</v>
      </c>
      <c r="Z28" s="472"/>
      <c r="AB28" s="336"/>
      <c r="AC28" s="436"/>
      <c r="AD28" s="436"/>
      <c r="AE28" s="436"/>
      <c r="AF28" s="436"/>
      <c r="AG28" s="436"/>
      <c r="AH28" s="436"/>
      <c r="AI28" s="436"/>
      <c r="AJ28" s="436"/>
      <c r="AK28" s="436"/>
      <c r="AL28" s="436"/>
      <c r="AM28" s="337"/>
      <c r="AO28" cm="1">
        <f t="array" aca="1" ref="AO28" ca="1">IF($A28="S",IF(BM!$I28=0,0,CHOOSE(MATCH(RegimeExecucao,{"Global","Unitário"},0),ROUND(ROUND(BM.MEDAcumulado,15-13*BM!$A$9)/100*BM!$I28,15-13*ORÇAMENTO!$AF$11),ROUND(ROUND(BM.MEDAcumulado,15-13*BM!$A$9)*ROUND(BM!$H28,15-13*ORÇAMENTO!$AF$10),15-13*ORÇAMENTO!$AF$11))),IF($A28=0,0,ROUND(SomaAgrupBM,15-13*ORÇAMENTO!$AF$11)))</f>
        <v>0</v>
      </c>
    </row>
    <row r="29" spans="1:41" ht="38.25" x14ac:dyDescent="0.2">
      <c r="A29" t="str">
        <f ca="1">ORÇAMENTO!C29</f>
        <v>S</v>
      </c>
      <c r="B29">
        <f ca="1">ORÇAMENTO!D29</f>
        <v>0</v>
      </c>
      <c r="C29" s="113" t="str">
        <f t="shared" ca="1" si="1"/>
        <v>F</v>
      </c>
      <c r="D29" s="116" t="str">
        <f ca="1">ORÇAMENTO!O29</f>
        <v>1.3.2.</v>
      </c>
      <c r="E29" s="162" t="str">
        <f t="shared" si="2"/>
        <v>Escavação, carga e transporte de material de 2ª categoria-DMT de 1.200 a 1.400m - caminho de serviço em leito natural com escavadeira e caminhão basculante de 14m³</v>
      </c>
      <c r="F29" s="163" t="str" cm="1">
        <f t="array" aca="1" ref="F29" ca="1">IF(RegimeExecucao="Global","",ORÇAMENTO.Unidade)</f>
        <v>M3</v>
      </c>
      <c r="G29" s="121" cm="1">
        <f t="array" aca="1" ref="G29" ca="1">IF(RegimeExecucao="Global","",ORÇAMENTO!T29)</f>
        <v>309.74</v>
      </c>
      <c r="H29" s="121" cm="1">
        <f t="array" aca="1" ref="H29" ca="1">IF(RegimeExecucao="Global","",ORÇAMENTO!W29)</f>
        <v>11.77</v>
      </c>
      <c r="I29" s="124">
        <f ca="1">ORÇAMENTO!X29</f>
        <v>3645.64</v>
      </c>
      <c r="J29" s="332" cm="1">
        <f t="array" aca="1" ref="J29" ca="1">IF($A29="S",IF(CAIXA.Modo,BM.AFAnterior,BM.MEDAnterior),IF(AND(RegimeExecucao="Global",$I29&gt;0,COUNTIF($AB$13:$AM$13,BM.medicao-1)&gt;0),M29/$I29*100,0))</f>
        <v>0</v>
      </c>
      <c r="K29" s="121">
        <f t="shared" ca="1" si="3"/>
        <v>0</v>
      </c>
      <c r="L29" s="333" cm="1">
        <f t="array" aca="1" ref="L29" ca="1">IF($A29="S",IF(CAIXA.Modo,BM.AFAcumulado,BM.MEDAcumulado),IF(AND(RegimeExecucao="Global",$I29&gt;0,COUNTIF($AB$13:$AM$13,BM.medicao)&gt;0),O29/$I29*100,0))</f>
        <v>0</v>
      </c>
      <c r="M29" s="334" cm="1">
        <f t="array" aca="1" ref="M29" ca="1">IF($A29="S",VTOTALBM,IF($A29=0,0,ROUND(SomaAgrupBM,15-13*ORÇAMENTO!$AF$11)))</f>
        <v>0</v>
      </c>
      <c r="N29" s="335">
        <f t="shared" ca="1" si="4"/>
        <v>0</v>
      </c>
      <c r="O29" s="124" cm="1">
        <f t="array" aca="1" ref="O29" ca="1">IF($A29="S",VTOTALBM,IF($A29=0,0,ROUND(SomaAgrupBM,15-13*ORÇAMENTO!$AF$11)))</f>
        <v>0</v>
      </c>
      <c r="Q29" s="336"/>
      <c r="R29" s="337"/>
      <c r="T29" s="116" t="str">
        <f t="shared" ca="1" si="5"/>
        <v/>
      </c>
      <c r="U29" s="162" t="str">
        <f t="shared" ca="1" si="6"/>
        <v/>
      </c>
      <c r="V29" s="163" t="str" cm="1">
        <f t="array" aca="1" ref="V29" ca="1">IF(AND($W29&gt;0,RegimeExecucao="Unitário"),$F29,"")</f>
        <v/>
      </c>
      <c r="W29" s="453" cm="1">
        <f t="array" aca="1" ref="W29" ca="1">IF($Y29&gt;0,CHOOSE(MATCH(RegimeExecucao,{"Unitário","Global"},0),IF($A29="S",$Y29/$X29,""),($Y29/$X29)*100),0)</f>
        <v>0</v>
      </c>
      <c r="X29" s="338" t="str" cm="1">
        <f t="array" aca="1" ref="X29" ca="1">IF($Y29&gt;0,CHOOSE(MATCH(RegimeExecucao,{"Unitário","Global"},0),IF($A29="S",ROUND($H29,ORÇAMENTO!$AF$10),""),ROUND($I29,ORÇAMENTO!$AF$11)),"")</f>
        <v/>
      </c>
      <c r="Y29" s="338">
        <f t="shared" ca="1" si="7"/>
        <v>0</v>
      </c>
      <c r="Z29" s="472"/>
      <c r="AB29" s="336"/>
      <c r="AC29" s="436"/>
      <c r="AD29" s="436"/>
      <c r="AE29" s="436"/>
      <c r="AF29" s="436"/>
      <c r="AG29" s="436"/>
      <c r="AH29" s="436"/>
      <c r="AI29" s="436"/>
      <c r="AJ29" s="436"/>
      <c r="AK29" s="436"/>
      <c r="AL29" s="436"/>
      <c r="AM29" s="337"/>
      <c r="AO29" cm="1">
        <f t="array" aca="1" ref="AO29" ca="1">IF($A29="S",IF(BM!$I29=0,0,CHOOSE(MATCH(RegimeExecucao,{"Global","Unitário"},0),ROUND(ROUND(BM.MEDAcumulado,15-13*BM!$A$9)/100*BM!$I29,15-13*ORÇAMENTO!$AF$11),ROUND(ROUND(BM.MEDAcumulado,15-13*BM!$A$9)*ROUND(BM!$H29,15-13*ORÇAMENTO!$AF$10),15-13*ORÇAMENTO!$AF$11))),IF($A29=0,0,ROUND(SomaAgrupBM,15-13*ORÇAMENTO!$AF$11)))</f>
        <v>0</v>
      </c>
    </row>
    <row r="30" spans="1:41" x14ac:dyDescent="0.2">
      <c r="A30">
        <f ca="1">ORÇAMENTO!C30</f>
        <v>2</v>
      </c>
      <c r="B30">
        <f ca="1">ORÇAMENTO!D30</f>
        <v>3</v>
      </c>
      <c r="C30" s="113" t="str">
        <f t="shared" ca="1" si="1"/>
        <v>F</v>
      </c>
      <c r="D30" s="116" t="str">
        <f ca="1">ORÇAMENTO!O30</f>
        <v>1.4.</v>
      </c>
      <c r="E30" s="162" t="str">
        <f t="shared" si="2"/>
        <v>INFRAESTRUTURA</v>
      </c>
      <c r="F30" s="163" t="str" cm="1">
        <f t="array" aca="1" ref="F30" ca="1">IF(RegimeExecucao="Global","",ORÇAMENTO.Unidade)</f>
        <v>-</v>
      </c>
      <c r="G30" s="121" cm="1">
        <f t="array" aca="1" ref="G30" ca="1">IF(RegimeExecucao="Global","",ORÇAMENTO!T30)</f>
        <v>0</v>
      </c>
      <c r="H30" s="121" cm="1">
        <f t="array" aca="1" ref="H30" ca="1">IF(RegimeExecucao="Global","",ORÇAMENTO!W30)</f>
        <v>0</v>
      </c>
      <c r="I30" s="124">
        <f ca="1">ORÇAMENTO!X30</f>
        <v>54577.58</v>
      </c>
      <c r="J30" s="332" cm="1">
        <f t="array" aca="1" ref="J30" ca="1">IF($A30="S",IF(CAIXA.Modo,BM.AFAnterior,BM.MEDAnterior),IF(AND(RegimeExecucao="Global",$I30&gt;0,COUNTIF($AB$13:$AM$13,BM.medicao-1)&gt;0),M30/$I30*100,0))</f>
        <v>0</v>
      </c>
      <c r="K30" s="121">
        <f t="shared" ca="1" si="3"/>
        <v>0</v>
      </c>
      <c r="L30" s="333" cm="1">
        <f t="array" aca="1" ref="L30" ca="1">IF($A30="S",IF(CAIXA.Modo,BM.AFAcumulado,BM.MEDAcumulado),IF(AND(RegimeExecucao="Global",$I30&gt;0,COUNTIF($AB$13:$AM$13,BM.medicao)&gt;0),O30/$I30*100,0))</f>
        <v>0</v>
      </c>
      <c r="M30" s="334" cm="1">
        <f t="array" aca="1" ref="M30" ca="1">IF($A30="S",VTOTALBM,IF($A30=0,0,ROUND(SomaAgrupBM,15-13*ORÇAMENTO!$AF$11)))</f>
        <v>0</v>
      </c>
      <c r="N30" s="335">
        <f t="shared" ca="1" si="4"/>
        <v>0</v>
      </c>
      <c r="O30" s="124" cm="1">
        <f t="array" aca="1" ref="O30" ca="1">IF($A30="S",VTOTALBM,IF($A30=0,0,ROUND(SomaAgrupBM,15-13*ORÇAMENTO!$AF$11)))</f>
        <v>0</v>
      </c>
      <c r="Q30" s="336"/>
      <c r="R30" s="337"/>
      <c r="T30" s="116" t="str">
        <f t="shared" ca="1" si="5"/>
        <v/>
      </c>
      <c r="U30" s="162" t="str">
        <f t="shared" ca="1" si="6"/>
        <v/>
      </c>
      <c r="V30" s="163" t="str" cm="1">
        <f t="array" aca="1" ref="V30" ca="1">IF(AND($W30&gt;0,RegimeExecucao="Unitário"),$F30,"")</f>
        <v/>
      </c>
      <c r="W30" s="453" cm="1">
        <f t="array" aca="1" ref="W30" ca="1">IF($Y30&gt;0,CHOOSE(MATCH(RegimeExecucao,{"Unitário","Global"},0),IF($A30="S",$Y30/$X30,""),($Y30/$X30)*100),0)</f>
        <v>0</v>
      </c>
      <c r="X30" s="338" t="str" cm="1">
        <f t="array" aca="1" ref="X30" ca="1">IF($Y30&gt;0,CHOOSE(MATCH(RegimeExecucao,{"Unitário","Global"},0),IF($A30="S",ROUND($H30,ORÇAMENTO!$AF$10),""),ROUND($I30,ORÇAMENTO!$AF$11)),"")</f>
        <v/>
      </c>
      <c r="Y30" s="338">
        <f t="shared" ca="1" si="7"/>
        <v>0</v>
      </c>
      <c r="Z30" s="472"/>
      <c r="AB30" s="336"/>
      <c r="AC30" s="436"/>
      <c r="AD30" s="436"/>
      <c r="AE30" s="436"/>
      <c r="AF30" s="436"/>
      <c r="AG30" s="436"/>
      <c r="AH30" s="436"/>
      <c r="AI30" s="436"/>
      <c r="AJ30" s="436"/>
      <c r="AK30" s="436"/>
      <c r="AL30" s="436"/>
      <c r="AM30" s="337"/>
      <c r="AO30" cm="1">
        <f t="array" aca="1" ref="AO30" ca="1">IF($A30="S",IF(BM!$I30=0,0,CHOOSE(MATCH(RegimeExecucao,{"Global","Unitário"},0),ROUND(ROUND(BM.MEDAcumulado,15-13*BM!$A$9)/100*BM!$I30,15-13*ORÇAMENTO!$AF$11),ROUND(ROUND(BM.MEDAcumulado,15-13*BM!$A$9)*ROUND(BM!$H30,15-13*ORÇAMENTO!$AF$10),15-13*ORÇAMENTO!$AF$11))),IF($A30=0,0,ROUND(SomaAgrupBM,15-13*ORÇAMENTO!$AF$11)))</f>
        <v>0</v>
      </c>
    </row>
    <row r="31" spans="1:41" ht="38.25" x14ac:dyDescent="0.2">
      <c r="A31" t="str">
        <f ca="1">ORÇAMENTO!C31</f>
        <v>S</v>
      </c>
      <c r="B31">
        <f ca="1">ORÇAMENTO!D31</f>
        <v>0</v>
      </c>
      <c r="C31" s="113" t="str">
        <f t="shared" ca="1" si="1"/>
        <v>F</v>
      </c>
      <c r="D31" s="116" t="str">
        <f ca="1">ORÇAMENTO!O31</f>
        <v>1.4.1.</v>
      </c>
      <c r="E31" s="162" t="str">
        <f t="shared" si="2"/>
        <v>ESTACA HÉLICE CONTÍNUA, DIÂMETRO DE 50 CM, INCLUSO CONCRETO FCK=30MPA E ARMADURA MÍNIMA (EXCLUSIVE BOMBEAMENTO, MOBILIZAÇÃO E DESMOBILIZAÇÃO). AF_12/2019</v>
      </c>
      <c r="F31" s="163" t="str" cm="1">
        <f t="array" aca="1" ref="F31" ca="1">IF(RegimeExecucao="Global","",ORÇAMENTO.Unidade)</f>
        <v>M</v>
      </c>
      <c r="G31" s="121" cm="1">
        <f t="array" aca="1" ref="G31" ca="1">IF(RegimeExecucao="Global","",ORÇAMENTO!T31)</f>
        <v>180</v>
      </c>
      <c r="H31" s="121" cm="1">
        <f t="array" aca="1" ref="H31" ca="1">IF(RegimeExecucao="Global","",ORÇAMENTO!W31)</f>
        <v>288.77999999999997</v>
      </c>
      <c r="I31" s="124">
        <f ca="1">ORÇAMENTO!X31</f>
        <v>51980.4</v>
      </c>
      <c r="J31" s="332" cm="1">
        <f t="array" aca="1" ref="J31" ca="1">IF($A31="S",IF(CAIXA.Modo,BM.AFAnterior,BM.MEDAnterior),IF(AND(RegimeExecucao="Global",$I31&gt;0,COUNTIF($AB$13:$AM$13,BM.medicao-1)&gt;0),M31/$I31*100,0))</f>
        <v>0</v>
      </c>
      <c r="K31" s="121">
        <f t="shared" ca="1" si="3"/>
        <v>0</v>
      </c>
      <c r="L31" s="333" cm="1">
        <f t="array" aca="1" ref="L31" ca="1">IF($A31="S",IF(CAIXA.Modo,BM.AFAcumulado,BM.MEDAcumulado),IF(AND(RegimeExecucao="Global",$I31&gt;0,COUNTIF($AB$13:$AM$13,BM.medicao)&gt;0),O31/$I31*100,0))</f>
        <v>0</v>
      </c>
      <c r="M31" s="334" cm="1">
        <f t="array" aca="1" ref="M31" ca="1">IF($A31="S",VTOTALBM,IF($A31=0,0,ROUND(SomaAgrupBM,15-13*ORÇAMENTO!$AF$11)))</f>
        <v>0</v>
      </c>
      <c r="N31" s="335">
        <f t="shared" ca="1" si="4"/>
        <v>0</v>
      </c>
      <c r="O31" s="124" cm="1">
        <f t="array" aca="1" ref="O31" ca="1">IF($A31="S",VTOTALBM,IF($A31=0,0,ROUND(SomaAgrupBM,15-13*ORÇAMENTO!$AF$11)))</f>
        <v>0</v>
      </c>
      <c r="Q31" s="336"/>
      <c r="R31" s="337"/>
      <c r="T31" s="116" t="str">
        <f t="shared" ca="1" si="5"/>
        <v/>
      </c>
      <c r="U31" s="162" t="str">
        <f t="shared" ca="1" si="6"/>
        <v/>
      </c>
      <c r="V31" s="163" t="str" cm="1">
        <f t="array" aca="1" ref="V31" ca="1">IF(AND($W31&gt;0,RegimeExecucao="Unitário"),$F31,"")</f>
        <v/>
      </c>
      <c r="W31" s="453" cm="1">
        <f t="array" aca="1" ref="W31" ca="1">IF($Y31&gt;0,CHOOSE(MATCH(RegimeExecucao,{"Unitário","Global"},0),IF($A31="S",$Y31/$X31,""),($Y31/$X31)*100),0)</f>
        <v>0</v>
      </c>
      <c r="X31" s="338" t="str" cm="1">
        <f t="array" aca="1" ref="X31" ca="1">IF($Y31&gt;0,CHOOSE(MATCH(RegimeExecucao,{"Unitário","Global"},0),IF($A31="S",ROUND($H31,ORÇAMENTO!$AF$10),""),ROUND($I31,ORÇAMENTO!$AF$11)),"")</f>
        <v/>
      </c>
      <c r="Y31" s="338">
        <f t="shared" ca="1" si="7"/>
        <v>0</v>
      </c>
      <c r="Z31" s="472"/>
      <c r="AB31" s="336"/>
      <c r="AC31" s="436"/>
      <c r="AD31" s="436"/>
      <c r="AE31" s="436"/>
      <c r="AF31" s="436"/>
      <c r="AG31" s="436"/>
      <c r="AH31" s="436"/>
      <c r="AI31" s="436"/>
      <c r="AJ31" s="436"/>
      <c r="AK31" s="436"/>
      <c r="AL31" s="436"/>
      <c r="AM31" s="337"/>
      <c r="AO31" cm="1">
        <f t="array" aca="1" ref="AO31" ca="1">IF($A31="S",IF(BM!$I31=0,0,CHOOSE(MATCH(RegimeExecucao,{"Global","Unitário"},0),ROUND(ROUND(BM.MEDAcumulado,15-13*BM!$A$9)/100*BM!$I31,15-13*ORÇAMENTO!$AF$11),ROUND(ROUND(BM.MEDAcumulado,15-13*BM!$A$9)*ROUND(BM!$H31,15-13*ORÇAMENTO!$AF$10),15-13*ORÇAMENTO!$AF$11))),IF($A31=0,0,ROUND(SomaAgrupBM,15-13*ORÇAMENTO!$AF$11)))</f>
        <v>0</v>
      </c>
    </row>
    <row r="32" spans="1:41" ht="38.25" x14ac:dyDescent="0.2">
      <c r="A32" t="str">
        <f ca="1">ORÇAMENTO!C32</f>
        <v>S</v>
      </c>
      <c r="B32">
        <f ca="1">ORÇAMENTO!D32</f>
        <v>0</v>
      </c>
      <c r="C32" s="113" t="str">
        <f t="shared" ca="1" si="1"/>
        <v>F</v>
      </c>
      <c r="D32" s="116" t="str">
        <f ca="1">ORÇAMENTO!O32</f>
        <v>1.4.2.</v>
      </c>
      <c r="E32" s="162" t="str">
        <f t="shared" si="2"/>
        <v>LANÇAMENTO DE CONCRETO EM FUNDAÇÃO OU LASTRO,
 INCLUSIVE TRANSPORTE ATÉ O LOCAL DE APLICAÇÃO,
 EXCLUSIVE APLICAÇÃO</v>
      </c>
      <c r="F32" s="163" t="str" cm="1">
        <f t="array" aca="1" ref="F32" ca="1">IF(RegimeExecucao="Global","",ORÇAMENTO.Unidade)</f>
        <v>M3</v>
      </c>
      <c r="G32" s="121" cm="1">
        <f t="array" aca="1" ref="G32" ca="1">IF(RegimeExecucao="Global","",ORÇAMENTO!T32)</f>
        <v>31.42</v>
      </c>
      <c r="H32" s="121" cm="1">
        <f t="array" aca="1" ref="H32" ca="1">IF(RegimeExecucao="Global","",ORÇAMENTO!W32)</f>
        <v>82.66</v>
      </c>
      <c r="I32" s="124">
        <f ca="1">ORÇAMENTO!X32</f>
        <v>2597.1799999999998</v>
      </c>
      <c r="J32" s="332" cm="1">
        <f t="array" aca="1" ref="J32" ca="1">IF($A32="S",IF(CAIXA.Modo,BM.AFAnterior,BM.MEDAnterior),IF(AND(RegimeExecucao="Global",$I32&gt;0,COUNTIF($AB$13:$AM$13,BM.medicao-1)&gt;0),M32/$I32*100,0))</f>
        <v>0</v>
      </c>
      <c r="K32" s="121">
        <f t="shared" ca="1" si="3"/>
        <v>0</v>
      </c>
      <c r="L32" s="333" cm="1">
        <f t="array" aca="1" ref="L32" ca="1">IF($A32="S",IF(CAIXA.Modo,BM.AFAcumulado,BM.MEDAcumulado),IF(AND(RegimeExecucao="Global",$I32&gt;0,COUNTIF($AB$13:$AM$13,BM.medicao)&gt;0),O32/$I32*100,0))</f>
        <v>0</v>
      </c>
      <c r="M32" s="334" cm="1">
        <f t="array" aca="1" ref="M32" ca="1">IF($A32="S",VTOTALBM,IF($A32=0,0,ROUND(SomaAgrupBM,15-13*ORÇAMENTO!$AF$11)))</f>
        <v>0</v>
      </c>
      <c r="N32" s="335">
        <f t="shared" ca="1" si="4"/>
        <v>0</v>
      </c>
      <c r="O32" s="124" cm="1">
        <f t="array" aca="1" ref="O32" ca="1">IF($A32="S",VTOTALBM,IF($A32=0,0,ROUND(SomaAgrupBM,15-13*ORÇAMENTO!$AF$11)))</f>
        <v>0</v>
      </c>
      <c r="Q32" s="336"/>
      <c r="R32" s="337"/>
      <c r="T32" s="116" t="str">
        <f t="shared" ca="1" si="5"/>
        <v/>
      </c>
      <c r="U32" s="162" t="str">
        <f t="shared" ca="1" si="6"/>
        <v/>
      </c>
      <c r="V32" s="163" t="str" cm="1">
        <f t="array" aca="1" ref="V32" ca="1">IF(AND($W32&gt;0,RegimeExecucao="Unitário"),$F32,"")</f>
        <v/>
      </c>
      <c r="W32" s="453" cm="1">
        <f t="array" aca="1" ref="W32" ca="1">IF($Y32&gt;0,CHOOSE(MATCH(RegimeExecucao,{"Unitário","Global"},0),IF($A32="S",$Y32/$X32,""),($Y32/$X32)*100),0)</f>
        <v>0</v>
      </c>
      <c r="X32" s="338" t="str" cm="1">
        <f t="array" aca="1" ref="X32" ca="1">IF($Y32&gt;0,CHOOSE(MATCH(RegimeExecucao,{"Unitário","Global"},0),IF($A32="S",ROUND($H32,ORÇAMENTO!$AF$10),""),ROUND($I32,ORÇAMENTO!$AF$11)),"")</f>
        <v/>
      </c>
      <c r="Y32" s="338">
        <f t="shared" ca="1" si="7"/>
        <v>0</v>
      </c>
      <c r="Z32" s="472"/>
      <c r="AB32" s="336"/>
      <c r="AC32" s="436"/>
      <c r="AD32" s="436"/>
      <c r="AE32" s="436"/>
      <c r="AF32" s="436"/>
      <c r="AG32" s="436"/>
      <c r="AH32" s="436"/>
      <c r="AI32" s="436"/>
      <c r="AJ32" s="436"/>
      <c r="AK32" s="436"/>
      <c r="AL32" s="436"/>
      <c r="AM32" s="337"/>
      <c r="AO32" cm="1">
        <f t="array" aca="1" ref="AO32" ca="1">IF($A32="S",IF(BM!$I32=0,0,CHOOSE(MATCH(RegimeExecucao,{"Global","Unitário"},0),ROUND(ROUND(BM.MEDAcumulado,15-13*BM!$A$9)/100*BM!$I32,15-13*ORÇAMENTO!$AF$11),ROUND(ROUND(BM.MEDAcumulado,15-13*BM!$A$9)*ROUND(BM!$H32,15-13*ORÇAMENTO!$AF$10),15-13*ORÇAMENTO!$AF$11))),IF($A32=0,0,ROUND(SomaAgrupBM,15-13*ORÇAMENTO!$AF$11)))</f>
        <v>0</v>
      </c>
    </row>
    <row r="33" spans="1:41" x14ac:dyDescent="0.2">
      <c r="A33">
        <f ca="1">ORÇAMENTO!C33</f>
        <v>2</v>
      </c>
      <c r="B33">
        <f ca="1">ORÇAMENTO!D33</f>
        <v>5</v>
      </c>
      <c r="C33" s="113" t="str">
        <f t="shared" ca="1" si="1"/>
        <v>F</v>
      </c>
      <c r="D33" s="116" t="str">
        <f ca="1">ORÇAMENTO!O33</f>
        <v>1.5.</v>
      </c>
      <c r="E33" s="162" t="str">
        <f t="shared" si="2"/>
        <v>MESOESTRUTURA</v>
      </c>
      <c r="F33" s="163" t="str" cm="1">
        <f t="array" aca="1" ref="F33" ca="1">IF(RegimeExecucao="Global","",ORÇAMENTO.Unidade)</f>
        <v>-</v>
      </c>
      <c r="G33" s="121" cm="1">
        <f t="array" aca="1" ref="G33" ca="1">IF(RegimeExecucao="Global","",ORÇAMENTO!T33)</f>
        <v>0</v>
      </c>
      <c r="H33" s="121" cm="1">
        <f t="array" aca="1" ref="H33" ca="1">IF(RegimeExecucao="Global","",ORÇAMENTO!W33)</f>
        <v>0</v>
      </c>
      <c r="I33" s="124">
        <f ca="1">ORÇAMENTO!X33</f>
        <v>142403.25</v>
      </c>
      <c r="J33" s="332" cm="1">
        <f t="array" aca="1" ref="J33" ca="1">IF($A33="S",IF(CAIXA.Modo,BM.AFAnterior,BM.MEDAnterior),IF(AND(RegimeExecucao="Global",$I33&gt;0,COUNTIF($AB$13:$AM$13,BM.medicao-1)&gt;0),M33/$I33*100,0))</f>
        <v>0</v>
      </c>
      <c r="K33" s="121">
        <f t="shared" ca="1" si="3"/>
        <v>0</v>
      </c>
      <c r="L33" s="333" cm="1">
        <f t="array" aca="1" ref="L33" ca="1">IF($A33="S",IF(CAIXA.Modo,BM.AFAcumulado,BM.MEDAcumulado),IF(AND(RegimeExecucao="Global",$I33&gt;0,COUNTIF($AB$13:$AM$13,BM.medicao)&gt;0),O33/$I33*100,0))</f>
        <v>0</v>
      </c>
      <c r="M33" s="334" cm="1">
        <f t="array" aca="1" ref="M33" ca="1">IF($A33="S",VTOTALBM,IF($A33=0,0,ROUND(SomaAgrupBM,15-13*ORÇAMENTO!$AF$11)))</f>
        <v>0</v>
      </c>
      <c r="N33" s="335">
        <f t="shared" ca="1" si="4"/>
        <v>0</v>
      </c>
      <c r="O33" s="124" cm="1">
        <f t="array" aca="1" ref="O33" ca="1">IF($A33="S",VTOTALBM,IF($A33=0,0,ROUND(SomaAgrupBM,15-13*ORÇAMENTO!$AF$11)))</f>
        <v>0</v>
      </c>
      <c r="Q33" s="336"/>
      <c r="R33" s="337"/>
      <c r="T33" s="116" t="str">
        <f t="shared" ca="1" si="5"/>
        <v/>
      </c>
      <c r="U33" s="162" t="str">
        <f t="shared" ca="1" si="6"/>
        <v/>
      </c>
      <c r="V33" s="163" t="str" cm="1">
        <f t="array" aca="1" ref="V33" ca="1">IF(AND($W33&gt;0,RegimeExecucao="Unitário"),$F33,"")</f>
        <v/>
      </c>
      <c r="W33" s="453" cm="1">
        <f t="array" aca="1" ref="W33" ca="1">IF($Y33&gt;0,CHOOSE(MATCH(RegimeExecucao,{"Unitário","Global"},0),IF($A33="S",$Y33/$X33,""),($Y33/$X33)*100),0)</f>
        <v>0</v>
      </c>
      <c r="X33" s="338" t="str" cm="1">
        <f t="array" aca="1" ref="X33" ca="1">IF($Y33&gt;0,CHOOSE(MATCH(RegimeExecucao,{"Unitário","Global"},0),IF($A33="S",ROUND($H33,ORÇAMENTO!$AF$10),""),ROUND($I33,ORÇAMENTO!$AF$11)),"")</f>
        <v/>
      </c>
      <c r="Y33" s="338">
        <f t="shared" ca="1" si="7"/>
        <v>0</v>
      </c>
      <c r="Z33" s="472"/>
      <c r="AB33" s="336"/>
      <c r="AC33" s="436"/>
      <c r="AD33" s="436"/>
      <c r="AE33" s="436"/>
      <c r="AF33" s="436"/>
      <c r="AG33" s="436"/>
      <c r="AH33" s="436"/>
      <c r="AI33" s="436"/>
      <c r="AJ33" s="436"/>
      <c r="AK33" s="436"/>
      <c r="AL33" s="436"/>
      <c r="AM33" s="337"/>
      <c r="AO33" cm="1">
        <f t="array" aca="1" ref="AO33" ca="1">IF($A33="S",IF(BM!$I33=0,0,CHOOSE(MATCH(RegimeExecucao,{"Global","Unitário"},0),ROUND(ROUND(BM.MEDAcumulado,15-13*BM!$A$9)/100*BM!$I33,15-13*ORÇAMENTO!$AF$11),ROUND(ROUND(BM.MEDAcumulado,15-13*BM!$A$9)*ROUND(BM!$H33,15-13*ORÇAMENTO!$AF$10),15-13*ORÇAMENTO!$AF$11))),IF($A33=0,0,ROUND(SomaAgrupBM,15-13*ORÇAMENTO!$AF$11)))</f>
        <v>0</v>
      </c>
    </row>
    <row r="34" spans="1:41" ht="38.25" x14ac:dyDescent="0.2">
      <c r="A34" t="str">
        <f ca="1">ORÇAMENTO!C34</f>
        <v>S</v>
      </c>
      <c r="B34">
        <f ca="1">ORÇAMENTO!D34</f>
        <v>0</v>
      </c>
      <c r="C34" s="113" t="str">
        <f t="shared" ca="1" si="1"/>
        <v>F</v>
      </c>
      <c r="D34" s="116" t="str">
        <f ca="1">ORÇAMENTO!O34</f>
        <v>1.5.1.</v>
      </c>
      <c r="E34" s="162" t="str">
        <f t="shared" si="2"/>
        <v>FABRICAÇÃO, MONTAGEM E DESMONTAGEM DE FÔRMA PARA BLOCO DE COROAMENTO, EM MADEIRA SERRADA,
 E=25 MM, 2 UTILIZAÇÕES. AF_01/2024</v>
      </c>
      <c r="F34" s="163" t="str" cm="1">
        <f t="array" aca="1" ref="F34" ca="1">IF(RegimeExecucao="Global","",ORÇAMENTO.Unidade)</f>
        <v>M2</v>
      </c>
      <c r="G34" s="121" cm="1">
        <f t="array" aca="1" ref="G34" ca="1">IF(RegimeExecucao="Global","",ORÇAMENTO!T34)</f>
        <v>146.32</v>
      </c>
      <c r="H34" s="121" cm="1">
        <f t="array" aca="1" ref="H34" ca="1">IF(RegimeExecucao="Global","",ORÇAMENTO!W34)</f>
        <v>117.5</v>
      </c>
      <c r="I34" s="124">
        <f ca="1">ORÇAMENTO!X34</f>
        <v>17192.599999999999</v>
      </c>
      <c r="J34" s="332" cm="1">
        <f t="array" aca="1" ref="J34" ca="1">IF($A34="S",IF(CAIXA.Modo,BM.AFAnterior,BM.MEDAnterior),IF(AND(RegimeExecucao="Global",$I34&gt;0,COUNTIF($AB$13:$AM$13,BM.medicao-1)&gt;0),M34/$I34*100,0))</f>
        <v>0</v>
      </c>
      <c r="K34" s="121">
        <f t="shared" ca="1" si="3"/>
        <v>0</v>
      </c>
      <c r="L34" s="333" cm="1">
        <f t="array" aca="1" ref="L34" ca="1">IF($A34="S",IF(CAIXA.Modo,BM.AFAcumulado,BM.MEDAcumulado),IF(AND(RegimeExecucao="Global",$I34&gt;0,COUNTIF($AB$13:$AM$13,BM.medicao)&gt;0),O34/$I34*100,0))</f>
        <v>0</v>
      </c>
      <c r="M34" s="334" cm="1">
        <f t="array" aca="1" ref="M34" ca="1">IF($A34="S",VTOTALBM,IF($A34=0,0,ROUND(SomaAgrupBM,15-13*ORÇAMENTO!$AF$11)))</f>
        <v>0</v>
      </c>
      <c r="N34" s="335">
        <f t="shared" ca="1" si="4"/>
        <v>0</v>
      </c>
      <c r="O34" s="124" cm="1">
        <f t="array" aca="1" ref="O34" ca="1">IF($A34="S",VTOTALBM,IF($A34=0,0,ROUND(SomaAgrupBM,15-13*ORÇAMENTO!$AF$11)))</f>
        <v>0</v>
      </c>
      <c r="Q34" s="336"/>
      <c r="R34" s="337"/>
      <c r="T34" s="116" t="str">
        <f t="shared" ca="1" si="5"/>
        <v/>
      </c>
      <c r="U34" s="162" t="str">
        <f t="shared" ca="1" si="6"/>
        <v/>
      </c>
      <c r="V34" s="163" t="str" cm="1">
        <f t="array" aca="1" ref="V34" ca="1">IF(AND($W34&gt;0,RegimeExecucao="Unitário"),$F34,"")</f>
        <v/>
      </c>
      <c r="W34" s="453" cm="1">
        <f t="array" aca="1" ref="W34" ca="1">IF($Y34&gt;0,CHOOSE(MATCH(RegimeExecucao,{"Unitário","Global"},0),IF($A34="S",$Y34/$X34,""),($Y34/$X34)*100),0)</f>
        <v>0</v>
      </c>
      <c r="X34" s="338" t="str" cm="1">
        <f t="array" aca="1" ref="X34" ca="1">IF($Y34&gt;0,CHOOSE(MATCH(RegimeExecucao,{"Unitário","Global"},0),IF($A34="S",ROUND($H34,ORÇAMENTO!$AF$10),""),ROUND($I34,ORÇAMENTO!$AF$11)),"")</f>
        <v/>
      </c>
      <c r="Y34" s="338">
        <f t="shared" ca="1" si="7"/>
        <v>0</v>
      </c>
      <c r="Z34" s="472"/>
      <c r="AB34" s="336"/>
      <c r="AC34" s="436"/>
      <c r="AD34" s="436"/>
      <c r="AE34" s="436"/>
      <c r="AF34" s="436"/>
      <c r="AG34" s="436"/>
      <c r="AH34" s="436"/>
      <c r="AI34" s="436"/>
      <c r="AJ34" s="436"/>
      <c r="AK34" s="436"/>
      <c r="AL34" s="436"/>
      <c r="AM34" s="337"/>
      <c r="AO34" cm="1">
        <f t="array" aca="1" ref="AO34" ca="1">IF($A34="S",IF(BM!$I34=0,0,CHOOSE(MATCH(RegimeExecucao,{"Global","Unitário"},0),ROUND(ROUND(BM.MEDAcumulado,15-13*BM!$A$9)/100*BM!$I34,15-13*ORÇAMENTO!$AF$11),ROUND(ROUND(BM.MEDAcumulado,15-13*BM!$A$9)*ROUND(BM!$H34,15-13*ORÇAMENTO!$AF$10),15-13*ORÇAMENTO!$AF$11))),IF($A34=0,0,ROUND(SomaAgrupBM,15-13*ORÇAMENTO!$AF$11)))</f>
        <v>0</v>
      </c>
    </row>
    <row r="35" spans="1:41" ht="38.25" x14ac:dyDescent="0.2">
      <c r="A35" t="str">
        <f ca="1">ORÇAMENTO!C35</f>
        <v>S</v>
      </c>
      <c r="B35">
        <f ca="1">ORÇAMENTO!D35</f>
        <v>0</v>
      </c>
      <c r="C35" s="113" t="str">
        <f t="shared" ca="1" si="1"/>
        <v>F</v>
      </c>
      <c r="D35" s="116" t="str">
        <f ca="1">ORÇAMENTO!O35</f>
        <v>1.5.2.</v>
      </c>
      <c r="E35" s="162" t="str">
        <f t="shared" si="2"/>
        <v>FORNECIMENTO DE CONCRETO ESTRUTURAL, USINADO
 BOMBEADO, COM FCK 25MPA, INCLUSIVE LANÇAMENTO,
 ADENSAMENTO E ACABAMENTO (FUNDAÇÃO)</v>
      </c>
      <c r="F35" s="163" t="str" cm="1">
        <f t="array" aca="1" ref="F35" ca="1">IF(RegimeExecucao="Global","",ORÇAMENTO.Unidade)</f>
        <v>M3</v>
      </c>
      <c r="G35" s="121" cm="1">
        <f t="array" aca="1" ref="G35" ca="1">IF(RegimeExecucao="Global","",ORÇAMENTO!T35)</f>
        <v>40.99</v>
      </c>
      <c r="H35" s="121" cm="1">
        <f t="array" aca="1" ref="H35" ca="1">IF(RegimeExecucao="Global","",ORÇAMENTO!W35)</f>
        <v>738.5</v>
      </c>
      <c r="I35" s="124">
        <f ca="1">ORÇAMENTO!X35</f>
        <v>30271.119999999999</v>
      </c>
      <c r="J35" s="332" cm="1">
        <f t="array" aca="1" ref="J35" ca="1">IF($A35="S",IF(CAIXA.Modo,BM.AFAnterior,BM.MEDAnterior),IF(AND(RegimeExecucao="Global",$I35&gt;0,COUNTIF($AB$13:$AM$13,BM.medicao-1)&gt;0),M35/$I35*100,0))</f>
        <v>0</v>
      </c>
      <c r="K35" s="121">
        <f t="shared" ca="1" si="3"/>
        <v>0</v>
      </c>
      <c r="L35" s="333" cm="1">
        <f t="array" aca="1" ref="L35" ca="1">IF($A35="S",IF(CAIXA.Modo,BM.AFAcumulado,BM.MEDAcumulado),IF(AND(RegimeExecucao="Global",$I35&gt;0,COUNTIF($AB$13:$AM$13,BM.medicao)&gt;0),O35/$I35*100,0))</f>
        <v>0</v>
      </c>
      <c r="M35" s="334" cm="1">
        <f t="array" aca="1" ref="M35" ca="1">IF($A35="S",VTOTALBM,IF($A35=0,0,ROUND(SomaAgrupBM,15-13*ORÇAMENTO!$AF$11)))</f>
        <v>0</v>
      </c>
      <c r="N35" s="335">
        <f t="shared" ca="1" si="4"/>
        <v>0</v>
      </c>
      <c r="O35" s="124" cm="1">
        <f t="array" aca="1" ref="O35" ca="1">IF($A35="S",VTOTALBM,IF($A35=0,0,ROUND(SomaAgrupBM,15-13*ORÇAMENTO!$AF$11)))</f>
        <v>0</v>
      </c>
      <c r="Q35" s="336"/>
      <c r="R35" s="337"/>
      <c r="T35" s="116" t="str">
        <f t="shared" ca="1" si="5"/>
        <v/>
      </c>
      <c r="U35" s="162" t="str">
        <f t="shared" ca="1" si="6"/>
        <v/>
      </c>
      <c r="V35" s="163" t="str" cm="1">
        <f t="array" aca="1" ref="V35" ca="1">IF(AND($W35&gt;0,RegimeExecucao="Unitário"),$F35,"")</f>
        <v/>
      </c>
      <c r="W35" s="453" cm="1">
        <f t="array" aca="1" ref="W35" ca="1">IF($Y35&gt;0,CHOOSE(MATCH(RegimeExecucao,{"Unitário","Global"},0),IF($A35="S",$Y35/$X35,""),($Y35/$X35)*100),0)</f>
        <v>0</v>
      </c>
      <c r="X35" s="338" t="str" cm="1">
        <f t="array" aca="1" ref="X35" ca="1">IF($Y35&gt;0,CHOOSE(MATCH(RegimeExecucao,{"Unitário","Global"},0),IF($A35="S",ROUND($H35,ORÇAMENTO!$AF$10),""),ROUND($I35,ORÇAMENTO!$AF$11)),"")</f>
        <v/>
      </c>
      <c r="Y35" s="338">
        <f t="shared" ca="1" si="7"/>
        <v>0</v>
      </c>
      <c r="Z35" s="472"/>
      <c r="AB35" s="336"/>
      <c r="AC35" s="436"/>
      <c r="AD35" s="436"/>
      <c r="AE35" s="436"/>
      <c r="AF35" s="436"/>
      <c r="AG35" s="436"/>
      <c r="AH35" s="436"/>
      <c r="AI35" s="436"/>
      <c r="AJ35" s="436"/>
      <c r="AK35" s="436"/>
      <c r="AL35" s="436"/>
      <c r="AM35" s="337"/>
      <c r="AO35" cm="1">
        <f t="array" aca="1" ref="AO35" ca="1">IF($A35="S",IF(BM!$I35=0,0,CHOOSE(MATCH(RegimeExecucao,{"Global","Unitário"},0),ROUND(ROUND(BM.MEDAcumulado,15-13*BM!$A$9)/100*BM!$I35,15-13*ORÇAMENTO!$AF$11),ROUND(ROUND(BM.MEDAcumulado,15-13*BM!$A$9)*ROUND(BM!$H35,15-13*ORÇAMENTO!$AF$10),15-13*ORÇAMENTO!$AF$11))),IF($A35=0,0,ROUND(SomaAgrupBM,15-13*ORÇAMENTO!$AF$11)))</f>
        <v>0</v>
      </c>
    </row>
    <row r="36" spans="1:41" ht="25.5" x14ac:dyDescent="0.2">
      <c r="A36" t="str">
        <f ca="1">ORÇAMENTO!C36</f>
        <v>S</v>
      </c>
      <c r="B36">
        <f ca="1">ORÇAMENTO!D36</f>
        <v>0</v>
      </c>
      <c r="C36" s="113" t="str">
        <f t="shared" ca="1" si="1"/>
        <v>F</v>
      </c>
      <c r="D36" s="116" t="str">
        <f ca="1">ORÇAMENTO!O36</f>
        <v>1.5.3.</v>
      </c>
      <c r="E36" s="162" t="str">
        <f t="shared" si="2"/>
        <v>CORTE, DOBRA E MONTAGEM DE AÇO CA-50, DIÂMETRO (6,3MM A
 12,5MM), INCLUSIVE ESPAÇADOR</v>
      </c>
      <c r="F36" s="163" t="str" cm="1">
        <f t="array" aca="1" ref="F36" ca="1">IF(RegimeExecucao="Global","",ORÇAMENTO.Unidade)</f>
        <v>kg</v>
      </c>
      <c r="G36" s="121" cm="1">
        <f t="array" aca="1" ref="G36" ca="1">IF(RegimeExecucao="Global","",ORÇAMENTO!T36)</f>
        <v>3689.1</v>
      </c>
      <c r="H36" s="121" cm="1">
        <f t="array" aca="1" ref="H36" ca="1">IF(RegimeExecucao="Global","",ORÇAMENTO!W36)</f>
        <v>14.7</v>
      </c>
      <c r="I36" s="124">
        <f ca="1">ORÇAMENTO!X36</f>
        <v>54229.77</v>
      </c>
      <c r="J36" s="332" cm="1">
        <f t="array" aca="1" ref="J36" ca="1">IF($A36="S",IF(CAIXA.Modo,BM.AFAnterior,BM.MEDAnterior),IF(AND(RegimeExecucao="Global",$I36&gt;0,COUNTIF($AB$13:$AM$13,BM.medicao-1)&gt;0),M36/$I36*100,0))</f>
        <v>0</v>
      </c>
      <c r="K36" s="121">
        <f t="shared" ca="1" si="3"/>
        <v>0</v>
      </c>
      <c r="L36" s="333" cm="1">
        <f t="array" aca="1" ref="L36" ca="1">IF($A36="S",IF(CAIXA.Modo,BM.AFAcumulado,BM.MEDAcumulado),IF(AND(RegimeExecucao="Global",$I36&gt;0,COUNTIF($AB$13:$AM$13,BM.medicao)&gt;0),O36/$I36*100,0))</f>
        <v>0</v>
      </c>
      <c r="M36" s="334" cm="1">
        <f t="array" aca="1" ref="M36" ca="1">IF($A36="S",VTOTALBM,IF($A36=0,0,ROUND(SomaAgrupBM,15-13*ORÇAMENTO!$AF$11)))</f>
        <v>0</v>
      </c>
      <c r="N36" s="335">
        <f t="shared" ca="1" si="4"/>
        <v>0</v>
      </c>
      <c r="O36" s="124" cm="1">
        <f t="array" aca="1" ref="O36" ca="1">IF($A36="S",VTOTALBM,IF($A36=0,0,ROUND(SomaAgrupBM,15-13*ORÇAMENTO!$AF$11)))</f>
        <v>0</v>
      </c>
      <c r="Q36" s="336"/>
      <c r="R36" s="337"/>
      <c r="T36" s="116" t="str">
        <f t="shared" ca="1" si="5"/>
        <v/>
      </c>
      <c r="U36" s="162" t="str">
        <f t="shared" ca="1" si="6"/>
        <v/>
      </c>
      <c r="V36" s="163" t="str" cm="1">
        <f t="array" aca="1" ref="V36" ca="1">IF(AND($W36&gt;0,RegimeExecucao="Unitário"),$F36,"")</f>
        <v/>
      </c>
      <c r="W36" s="453" cm="1">
        <f t="array" aca="1" ref="W36" ca="1">IF($Y36&gt;0,CHOOSE(MATCH(RegimeExecucao,{"Unitário","Global"},0),IF($A36="S",$Y36/$X36,""),($Y36/$X36)*100),0)</f>
        <v>0</v>
      </c>
      <c r="X36" s="338" t="str" cm="1">
        <f t="array" aca="1" ref="X36" ca="1">IF($Y36&gt;0,CHOOSE(MATCH(RegimeExecucao,{"Unitário","Global"},0),IF($A36="S",ROUND($H36,ORÇAMENTO!$AF$10),""),ROUND($I36,ORÇAMENTO!$AF$11)),"")</f>
        <v/>
      </c>
      <c r="Y36" s="338">
        <f t="shared" ca="1" si="7"/>
        <v>0</v>
      </c>
      <c r="Z36" s="472"/>
      <c r="AB36" s="336"/>
      <c r="AC36" s="436"/>
      <c r="AD36" s="436"/>
      <c r="AE36" s="436"/>
      <c r="AF36" s="436"/>
      <c r="AG36" s="436"/>
      <c r="AH36" s="436"/>
      <c r="AI36" s="436"/>
      <c r="AJ36" s="436"/>
      <c r="AK36" s="436"/>
      <c r="AL36" s="436"/>
      <c r="AM36" s="337"/>
      <c r="AO36" cm="1">
        <f t="array" aca="1" ref="AO36" ca="1">IF($A36="S",IF(BM!$I36=0,0,CHOOSE(MATCH(RegimeExecucao,{"Global","Unitário"},0),ROUND(ROUND(BM.MEDAcumulado,15-13*BM!$A$9)/100*BM!$I36,15-13*ORÇAMENTO!$AF$11),ROUND(ROUND(BM.MEDAcumulado,15-13*BM!$A$9)*ROUND(BM!$H36,15-13*ORÇAMENTO!$AF$10),15-13*ORÇAMENTO!$AF$11))),IF($A36=0,0,ROUND(SomaAgrupBM,15-13*ORÇAMENTO!$AF$11)))</f>
        <v>0</v>
      </c>
    </row>
    <row r="37" spans="1:41" ht="25.5" x14ac:dyDescent="0.2">
      <c r="A37" t="str">
        <f ca="1">ORÇAMENTO!C37</f>
        <v>S</v>
      </c>
      <c r="B37">
        <f ca="1">ORÇAMENTO!D37</f>
        <v>0</v>
      </c>
      <c r="C37" s="113" t="str">
        <f t="shared" ca="1" si="1"/>
        <v>F</v>
      </c>
      <c r="D37" s="116" t="str">
        <f ca="1">ORÇAMENTO!O37</f>
        <v>1.5.4.</v>
      </c>
      <c r="E37" s="162" t="str">
        <f t="shared" si="2"/>
        <v>Contenção em areia-cimento ensacada com mistura de areia com 8% de cimento, confecção e assentamento</v>
      </c>
      <c r="F37" s="163" t="str" cm="1">
        <f t="array" aca="1" ref="F37" ca="1">IF(RegimeExecucao="Global","",ORÇAMENTO.Unidade)</f>
        <v>M3</v>
      </c>
      <c r="G37" s="121" cm="1">
        <f t="array" aca="1" ref="G37" ca="1">IF(RegimeExecucao="Global","",ORÇAMENTO!T37)</f>
        <v>78</v>
      </c>
      <c r="H37" s="121" cm="1">
        <f t="array" aca="1" ref="H37" ca="1">IF(RegimeExecucao="Global","",ORÇAMENTO!W37)</f>
        <v>521.91999999999996</v>
      </c>
      <c r="I37" s="124">
        <f ca="1">ORÇAMENTO!X37</f>
        <v>40709.760000000002</v>
      </c>
      <c r="J37" s="332" cm="1">
        <f t="array" aca="1" ref="J37" ca="1">IF($A37="S",IF(CAIXA.Modo,BM.AFAnterior,BM.MEDAnterior),IF(AND(RegimeExecucao="Global",$I37&gt;0,COUNTIF($AB$13:$AM$13,BM.medicao-1)&gt;0),M37/$I37*100,0))</f>
        <v>0</v>
      </c>
      <c r="K37" s="121">
        <f t="shared" ca="1" si="3"/>
        <v>0</v>
      </c>
      <c r="L37" s="333" cm="1">
        <f t="array" aca="1" ref="L37" ca="1">IF($A37="S",IF(CAIXA.Modo,BM.AFAcumulado,BM.MEDAcumulado),IF(AND(RegimeExecucao="Global",$I37&gt;0,COUNTIF($AB$13:$AM$13,BM.medicao)&gt;0),O37/$I37*100,0))</f>
        <v>0</v>
      </c>
      <c r="M37" s="334" cm="1">
        <f t="array" aca="1" ref="M37" ca="1">IF($A37="S",VTOTALBM,IF($A37=0,0,ROUND(SomaAgrupBM,15-13*ORÇAMENTO!$AF$11)))</f>
        <v>0</v>
      </c>
      <c r="N37" s="335">
        <f t="shared" ca="1" si="4"/>
        <v>0</v>
      </c>
      <c r="O37" s="124" cm="1">
        <f t="array" aca="1" ref="O37" ca="1">IF($A37="S",VTOTALBM,IF($A37=0,0,ROUND(SomaAgrupBM,15-13*ORÇAMENTO!$AF$11)))</f>
        <v>0</v>
      </c>
      <c r="Q37" s="336"/>
      <c r="R37" s="337"/>
      <c r="T37" s="116" t="str">
        <f t="shared" ca="1" si="5"/>
        <v/>
      </c>
      <c r="U37" s="162" t="str">
        <f t="shared" ca="1" si="6"/>
        <v/>
      </c>
      <c r="V37" s="163" t="str" cm="1">
        <f t="array" aca="1" ref="V37" ca="1">IF(AND($W37&gt;0,RegimeExecucao="Unitário"),$F37,"")</f>
        <v/>
      </c>
      <c r="W37" s="453" cm="1">
        <f t="array" aca="1" ref="W37" ca="1">IF($Y37&gt;0,CHOOSE(MATCH(RegimeExecucao,{"Unitário","Global"},0),IF($A37="S",$Y37/$X37,""),($Y37/$X37)*100),0)</f>
        <v>0</v>
      </c>
      <c r="X37" s="338" t="str" cm="1">
        <f t="array" aca="1" ref="X37" ca="1">IF($Y37&gt;0,CHOOSE(MATCH(RegimeExecucao,{"Unitário","Global"},0),IF($A37="S",ROUND($H37,ORÇAMENTO!$AF$10),""),ROUND($I37,ORÇAMENTO!$AF$11)),"")</f>
        <v/>
      </c>
      <c r="Y37" s="338">
        <f t="shared" ca="1" si="7"/>
        <v>0</v>
      </c>
      <c r="Z37" s="472"/>
      <c r="AB37" s="336"/>
      <c r="AC37" s="436"/>
      <c r="AD37" s="436"/>
      <c r="AE37" s="436"/>
      <c r="AF37" s="436"/>
      <c r="AG37" s="436"/>
      <c r="AH37" s="436"/>
      <c r="AI37" s="436"/>
      <c r="AJ37" s="436"/>
      <c r="AK37" s="436"/>
      <c r="AL37" s="436"/>
      <c r="AM37" s="337"/>
      <c r="AO37" cm="1">
        <f t="array" aca="1" ref="AO37" ca="1">IF($A37="S",IF(BM!$I37=0,0,CHOOSE(MATCH(RegimeExecucao,{"Global","Unitário"},0),ROUND(ROUND(BM.MEDAcumulado,15-13*BM!$A$9)/100*BM!$I37,15-13*ORÇAMENTO!$AF$11),ROUND(ROUND(BM.MEDAcumulado,15-13*BM!$A$9)*ROUND(BM!$H37,15-13*ORÇAMENTO!$AF$10),15-13*ORÇAMENTO!$AF$11))),IF($A37=0,0,ROUND(SomaAgrupBM,15-13*ORÇAMENTO!$AF$11)))</f>
        <v>0</v>
      </c>
    </row>
    <row r="38" spans="1:41" x14ac:dyDescent="0.2">
      <c r="A38">
        <f ca="1">ORÇAMENTO!C38</f>
        <v>2</v>
      </c>
      <c r="B38">
        <f ca="1">ORÇAMENTO!D38</f>
        <v>10</v>
      </c>
      <c r="C38" s="113" t="str">
        <f t="shared" ca="1" si="1"/>
        <v>F</v>
      </c>
      <c r="D38" s="116" t="str">
        <f ca="1">ORÇAMENTO!O38</f>
        <v>1.6.</v>
      </c>
      <c r="E38" s="162" t="str">
        <f t="shared" si="2"/>
        <v>SUPERESTRUTURA</v>
      </c>
      <c r="F38" s="163" t="str" cm="1">
        <f t="array" aca="1" ref="F38" ca="1">IF(RegimeExecucao="Global","",ORÇAMENTO.Unidade)</f>
        <v>-</v>
      </c>
      <c r="G38" s="121" cm="1">
        <f t="array" aca="1" ref="G38" ca="1">IF(RegimeExecucao="Global","",ORÇAMENTO!T38)</f>
        <v>0</v>
      </c>
      <c r="H38" s="121" cm="1">
        <f t="array" aca="1" ref="H38" ca="1">IF(RegimeExecucao="Global","",ORÇAMENTO!W38)</f>
        <v>0</v>
      </c>
      <c r="I38" s="124">
        <f ca="1">ORÇAMENTO!X38</f>
        <v>468010.88</v>
      </c>
      <c r="J38" s="332" cm="1">
        <f t="array" aca="1" ref="J38" ca="1">IF($A38="S",IF(CAIXA.Modo,BM.AFAnterior,BM.MEDAnterior),IF(AND(RegimeExecucao="Global",$I38&gt;0,COUNTIF($AB$13:$AM$13,BM.medicao-1)&gt;0),M38/$I38*100,0))</f>
        <v>0</v>
      </c>
      <c r="K38" s="121">
        <f t="shared" ca="1" si="3"/>
        <v>0</v>
      </c>
      <c r="L38" s="333" cm="1">
        <f t="array" aca="1" ref="L38" ca="1">IF($A38="S",IF(CAIXA.Modo,BM.AFAcumulado,BM.MEDAcumulado),IF(AND(RegimeExecucao="Global",$I38&gt;0,COUNTIF($AB$13:$AM$13,BM.medicao)&gt;0),O38/$I38*100,0))</f>
        <v>0</v>
      </c>
      <c r="M38" s="334" cm="1">
        <f t="array" aca="1" ref="M38" ca="1">IF($A38="S",VTOTALBM,IF($A38=0,0,ROUND(SomaAgrupBM,15-13*ORÇAMENTO!$AF$11)))</f>
        <v>0</v>
      </c>
      <c r="N38" s="335">
        <f t="shared" ca="1" si="4"/>
        <v>0</v>
      </c>
      <c r="O38" s="124" cm="1">
        <f t="array" aca="1" ref="O38" ca="1">IF($A38="S",VTOTALBM,IF($A38=0,0,ROUND(SomaAgrupBM,15-13*ORÇAMENTO!$AF$11)))</f>
        <v>0</v>
      </c>
      <c r="Q38" s="336"/>
      <c r="R38" s="337"/>
      <c r="T38" s="116" t="str">
        <f t="shared" ca="1" si="5"/>
        <v/>
      </c>
      <c r="U38" s="162" t="str">
        <f t="shared" ca="1" si="6"/>
        <v/>
      </c>
      <c r="V38" s="163" t="str" cm="1">
        <f t="array" aca="1" ref="V38" ca="1">IF(AND($W38&gt;0,RegimeExecucao="Unitário"),$F38,"")</f>
        <v/>
      </c>
      <c r="W38" s="453" cm="1">
        <f t="array" aca="1" ref="W38" ca="1">IF($Y38&gt;0,CHOOSE(MATCH(RegimeExecucao,{"Unitário","Global"},0),IF($A38="S",$Y38/$X38,""),($Y38/$X38)*100),0)</f>
        <v>0</v>
      </c>
      <c r="X38" s="338" t="str" cm="1">
        <f t="array" aca="1" ref="X38" ca="1">IF($Y38&gt;0,CHOOSE(MATCH(RegimeExecucao,{"Unitário","Global"},0),IF($A38="S",ROUND($H38,ORÇAMENTO!$AF$10),""),ROUND($I38,ORÇAMENTO!$AF$11)),"")</f>
        <v/>
      </c>
      <c r="Y38" s="338">
        <f t="shared" ca="1" si="7"/>
        <v>0</v>
      </c>
      <c r="Z38" s="472"/>
      <c r="AB38" s="336"/>
      <c r="AC38" s="436"/>
      <c r="AD38" s="436"/>
      <c r="AE38" s="436"/>
      <c r="AF38" s="436"/>
      <c r="AG38" s="436"/>
      <c r="AH38" s="436"/>
      <c r="AI38" s="436"/>
      <c r="AJ38" s="436"/>
      <c r="AK38" s="436"/>
      <c r="AL38" s="436"/>
      <c r="AM38" s="337"/>
      <c r="AO38" cm="1">
        <f t="array" aca="1" ref="AO38" ca="1">IF($A38="S",IF(BM!$I38=0,0,CHOOSE(MATCH(RegimeExecucao,{"Global","Unitário"},0),ROUND(ROUND(BM.MEDAcumulado,15-13*BM!$A$9)/100*BM!$I38,15-13*ORÇAMENTO!$AF$11),ROUND(ROUND(BM.MEDAcumulado,15-13*BM!$A$9)*ROUND(BM!$H38,15-13*ORÇAMENTO!$AF$10),15-13*ORÇAMENTO!$AF$11))),IF($A38=0,0,ROUND(SomaAgrupBM,15-13*ORÇAMENTO!$AF$11)))</f>
        <v>0</v>
      </c>
    </row>
    <row r="39" spans="1:41" ht="51" x14ac:dyDescent="0.2">
      <c r="A39" t="str">
        <f ca="1">ORÇAMENTO!C39</f>
        <v>S</v>
      </c>
      <c r="B39">
        <f ca="1">ORÇAMENTO!D39</f>
        <v>0</v>
      </c>
      <c r="C39" s="113" t="str">
        <f t="shared" ca="1" si="1"/>
        <v>F</v>
      </c>
      <c r="D39" s="116" t="str">
        <f ca="1">ORÇAMENTO!O39</f>
        <v>1.6.1.</v>
      </c>
      <c r="E39" s="162" t="str">
        <f t="shared" si="2"/>
        <v>FORNECIMENTO DE ESTRUTURA METÁLICA EM PERFIL LAMINADO
 , INCLUSIVE FABRICAÇÃO, TRANSPORTE, MONTAGEM E
 APLICAÇÃO DE FUNDO PREPARADOR ANTICORROSIVO EM
 SUPERFÍCIE METÁLICA, UMA (1) DEMÃO</v>
      </c>
      <c r="F39" s="163" t="str" cm="1">
        <f t="array" aca="1" ref="F39" ca="1">IF(RegimeExecucao="Global","",ORÇAMENTO.Unidade)</f>
        <v>kg</v>
      </c>
      <c r="G39" s="121" cm="1">
        <f t="array" aca="1" ref="G39" ca="1">IF(RegimeExecucao="Global","",ORÇAMENTO!T39)</f>
        <v>12960</v>
      </c>
      <c r="H39" s="121" cm="1">
        <f t="array" aca="1" ref="H39" ca="1">IF(RegimeExecucao="Global","",ORÇAMENTO!W39)</f>
        <v>26.06</v>
      </c>
      <c r="I39" s="124">
        <f ca="1">ORÇAMENTO!X39</f>
        <v>337737.6</v>
      </c>
      <c r="J39" s="332" cm="1">
        <f t="array" aca="1" ref="J39" ca="1">IF($A39="S",IF(CAIXA.Modo,BM.AFAnterior,BM.MEDAnterior),IF(AND(RegimeExecucao="Global",$I39&gt;0,COUNTIF($AB$13:$AM$13,BM.medicao-1)&gt;0),M39/$I39*100,0))</f>
        <v>0</v>
      </c>
      <c r="K39" s="121">
        <f t="shared" ca="1" si="3"/>
        <v>0</v>
      </c>
      <c r="L39" s="333" cm="1">
        <f t="array" aca="1" ref="L39" ca="1">IF($A39="S",IF(CAIXA.Modo,BM.AFAcumulado,BM.MEDAcumulado),IF(AND(RegimeExecucao="Global",$I39&gt;0,COUNTIF($AB$13:$AM$13,BM.medicao)&gt;0),O39/$I39*100,0))</f>
        <v>0</v>
      </c>
      <c r="M39" s="334" cm="1">
        <f t="array" aca="1" ref="M39" ca="1">IF($A39="S",VTOTALBM,IF($A39=0,0,ROUND(SomaAgrupBM,15-13*ORÇAMENTO!$AF$11)))</f>
        <v>0</v>
      </c>
      <c r="N39" s="335">
        <f t="shared" ca="1" si="4"/>
        <v>0</v>
      </c>
      <c r="O39" s="124" cm="1">
        <f t="array" aca="1" ref="O39" ca="1">IF($A39="S",VTOTALBM,IF($A39=0,0,ROUND(SomaAgrupBM,15-13*ORÇAMENTO!$AF$11)))</f>
        <v>0</v>
      </c>
      <c r="Q39" s="336"/>
      <c r="R39" s="337"/>
      <c r="T39" s="116" t="str">
        <f t="shared" ca="1" si="5"/>
        <v/>
      </c>
      <c r="U39" s="162" t="str">
        <f t="shared" ca="1" si="6"/>
        <v/>
      </c>
      <c r="V39" s="163" t="str" cm="1">
        <f t="array" aca="1" ref="V39" ca="1">IF(AND($W39&gt;0,RegimeExecucao="Unitário"),$F39,"")</f>
        <v/>
      </c>
      <c r="W39" s="453" cm="1">
        <f t="array" aca="1" ref="W39" ca="1">IF($Y39&gt;0,CHOOSE(MATCH(RegimeExecucao,{"Unitário","Global"},0),IF($A39="S",$Y39/$X39,""),($Y39/$X39)*100),0)</f>
        <v>0</v>
      </c>
      <c r="X39" s="338" t="str" cm="1">
        <f t="array" aca="1" ref="X39" ca="1">IF($Y39&gt;0,CHOOSE(MATCH(RegimeExecucao,{"Unitário","Global"},0),IF($A39="S",ROUND($H39,ORÇAMENTO!$AF$10),""),ROUND($I39,ORÇAMENTO!$AF$11)),"")</f>
        <v/>
      </c>
      <c r="Y39" s="338">
        <f t="shared" ca="1" si="7"/>
        <v>0</v>
      </c>
      <c r="Z39" s="472"/>
      <c r="AB39" s="336"/>
      <c r="AC39" s="436"/>
      <c r="AD39" s="436"/>
      <c r="AE39" s="436"/>
      <c r="AF39" s="436"/>
      <c r="AG39" s="436"/>
      <c r="AH39" s="436"/>
      <c r="AI39" s="436"/>
      <c r="AJ39" s="436"/>
      <c r="AK39" s="436"/>
      <c r="AL39" s="436"/>
      <c r="AM39" s="337"/>
      <c r="AO39" cm="1">
        <f t="array" aca="1" ref="AO39" ca="1">IF($A39="S",IF(BM!$I39=0,0,CHOOSE(MATCH(RegimeExecucao,{"Global","Unitário"},0),ROUND(ROUND(BM.MEDAcumulado,15-13*BM!$A$9)/100*BM!$I39,15-13*ORÇAMENTO!$AF$11),ROUND(ROUND(BM.MEDAcumulado,15-13*BM!$A$9)*ROUND(BM!$H39,15-13*ORÇAMENTO!$AF$10),15-13*ORÇAMENTO!$AF$11))),IF($A39=0,0,ROUND(SomaAgrupBM,15-13*ORÇAMENTO!$AF$11)))</f>
        <v>0</v>
      </c>
    </row>
    <row r="40" spans="1:41" ht="25.5" x14ac:dyDescent="0.2">
      <c r="A40" t="str">
        <f ca="1">ORÇAMENTO!C40</f>
        <v>S</v>
      </c>
      <c r="B40">
        <f ca="1">ORÇAMENTO!D40</f>
        <v>0</v>
      </c>
      <c r="C40" s="113" t="str">
        <f t="shared" ca="1" si="1"/>
        <v>F</v>
      </c>
      <c r="D40" s="116" t="str">
        <f ca="1">ORÇAMENTO!O40</f>
        <v>1.6.2.</v>
      </c>
      <c r="E40" s="162" t="str">
        <f t="shared" si="2"/>
        <v>PINTURA EPÓXI EM SUPERFÍCIES DE AÇO CARBONO, DUAS (2)
 DEMÃOS, COM APLICAÇÃO MANUAL</v>
      </c>
      <c r="F40" s="163" t="str" cm="1">
        <f t="array" aca="1" ref="F40" ca="1">IF(RegimeExecucao="Global","",ORÇAMENTO.Unidade)</f>
        <v>M2</v>
      </c>
      <c r="G40" s="121" cm="1">
        <f t="array" aca="1" ref="G40" ca="1">IF(RegimeExecucao="Global","",ORÇAMENTO!T40)</f>
        <v>388.8</v>
      </c>
      <c r="H40" s="121" cm="1">
        <f t="array" aca="1" ref="H40" ca="1">IF(RegimeExecucao="Global","",ORÇAMENTO!W40)</f>
        <v>29.67</v>
      </c>
      <c r="I40" s="124">
        <f ca="1">ORÇAMENTO!X40</f>
        <v>11535.7</v>
      </c>
      <c r="J40" s="332" cm="1">
        <f t="array" aca="1" ref="J40" ca="1">IF($A40="S",IF(CAIXA.Modo,BM.AFAnterior,BM.MEDAnterior),IF(AND(RegimeExecucao="Global",$I40&gt;0,COUNTIF($AB$13:$AM$13,BM.medicao-1)&gt;0),M40/$I40*100,0))</f>
        <v>0</v>
      </c>
      <c r="K40" s="121">
        <f t="shared" ca="1" si="3"/>
        <v>0</v>
      </c>
      <c r="L40" s="333" cm="1">
        <f t="array" aca="1" ref="L40" ca="1">IF($A40="S",IF(CAIXA.Modo,BM.AFAcumulado,BM.MEDAcumulado),IF(AND(RegimeExecucao="Global",$I40&gt;0,COUNTIF($AB$13:$AM$13,BM.medicao)&gt;0),O40/$I40*100,0))</f>
        <v>0</v>
      </c>
      <c r="M40" s="334" cm="1">
        <f t="array" aca="1" ref="M40" ca="1">IF($A40="S",VTOTALBM,IF($A40=0,0,ROUND(SomaAgrupBM,15-13*ORÇAMENTO!$AF$11)))</f>
        <v>0</v>
      </c>
      <c r="N40" s="335">
        <f t="shared" ca="1" si="4"/>
        <v>0</v>
      </c>
      <c r="O40" s="124" cm="1">
        <f t="array" aca="1" ref="O40" ca="1">IF($A40="S",VTOTALBM,IF($A40=0,0,ROUND(SomaAgrupBM,15-13*ORÇAMENTO!$AF$11)))</f>
        <v>0</v>
      </c>
      <c r="Q40" s="336"/>
      <c r="R40" s="337"/>
      <c r="T40" s="116" t="str">
        <f t="shared" ca="1" si="5"/>
        <v/>
      </c>
      <c r="U40" s="162" t="str">
        <f t="shared" ca="1" si="6"/>
        <v/>
      </c>
      <c r="V40" s="163" t="str" cm="1">
        <f t="array" aca="1" ref="V40" ca="1">IF(AND($W40&gt;0,RegimeExecucao="Unitário"),$F40,"")</f>
        <v/>
      </c>
      <c r="W40" s="453" cm="1">
        <f t="array" aca="1" ref="W40" ca="1">IF($Y40&gt;0,CHOOSE(MATCH(RegimeExecucao,{"Unitário","Global"},0),IF($A40="S",$Y40/$X40,""),($Y40/$X40)*100),0)</f>
        <v>0</v>
      </c>
      <c r="X40" s="338" t="str" cm="1">
        <f t="array" aca="1" ref="X40" ca="1">IF($Y40&gt;0,CHOOSE(MATCH(RegimeExecucao,{"Unitário","Global"},0),IF($A40="S",ROUND($H40,ORÇAMENTO!$AF$10),""),ROUND($I40,ORÇAMENTO!$AF$11)),"")</f>
        <v/>
      </c>
      <c r="Y40" s="338">
        <f t="shared" ca="1" si="7"/>
        <v>0</v>
      </c>
      <c r="Z40" s="472"/>
      <c r="AB40" s="336"/>
      <c r="AC40" s="436"/>
      <c r="AD40" s="436"/>
      <c r="AE40" s="436"/>
      <c r="AF40" s="436"/>
      <c r="AG40" s="436"/>
      <c r="AH40" s="436"/>
      <c r="AI40" s="436"/>
      <c r="AJ40" s="436"/>
      <c r="AK40" s="436"/>
      <c r="AL40" s="436"/>
      <c r="AM40" s="337"/>
      <c r="AO40" cm="1">
        <f t="array" aca="1" ref="AO40" ca="1">IF($A40="S",IF(BM!$I40=0,0,CHOOSE(MATCH(RegimeExecucao,{"Global","Unitário"},0),ROUND(ROUND(BM.MEDAcumulado,15-13*BM!$A$9)/100*BM!$I40,15-13*ORÇAMENTO!$AF$11),ROUND(ROUND(BM.MEDAcumulado,15-13*BM!$A$9)*ROUND(BM!$H40,15-13*ORÇAMENTO!$AF$10),15-13*ORÇAMENTO!$AF$11))),IF($A40=0,0,ROUND(SomaAgrupBM,15-13*ORÇAMENTO!$AF$11)))</f>
        <v>0</v>
      </c>
    </row>
    <row r="41" spans="1:41" ht="25.5" x14ac:dyDescent="0.2">
      <c r="A41" t="str">
        <f ca="1">ORÇAMENTO!C41</f>
        <v>S</v>
      </c>
      <c r="B41">
        <f ca="1">ORÇAMENTO!D41</f>
        <v>0</v>
      </c>
      <c r="C41" s="113" t="str">
        <f t="shared" ca="1" si="1"/>
        <v>F</v>
      </c>
      <c r="D41" s="116" t="str">
        <f ca="1">ORÇAMENTO!O41</f>
        <v>1.6.3.</v>
      </c>
      <c r="E41" s="162" t="str">
        <f t="shared" si="2"/>
        <v>Aparelho de apoio de neoprene fretado para estruturas moldadas no local -fornecimento e instalação</v>
      </c>
      <c r="F41" s="163" t="str" cm="1">
        <f t="array" aca="1" ref="F41" ca="1">IF(RegimeExecucao="Global","",ORÇAMENTO.Unidade)</f>
        <v>DM3</v>
      </c>
      <c r="G41" s="121" cm="1">
        <f t="array" aca="1" ref="G41" ca="1">IF(RegimeExecucao="Global","",ORÇAMENTO!T41)</f>
        <v>9.3000000000000007</v>
      </c>
      <c r="H41" s="121" cm="1">
        <f t="array" aca="1" ref="H41" ca="1">IF(RegimeExecucao="Global","",ORÇAMENTO!W41)</f>
        <v>150.28</v>
      </c>
      <c r="I41" s="124">
        <f ca="1">ORÇAMENTO!X41</f>
        <v>1397.6</v>
      </c>
      <c r="J41" s="332" cm="1">
        <f t="array" aca="1" ref="J41" ca="1">IF($A41="S",IF(CAIXA.Modo,BM.AFAnterior,BM.MEDAnterior),IF(AND(RegimeExecucao="Global",$I41&gt;0,COUNTIF($AB$13:$AM$13,BM.medicao-1)&gt;0),M41/$I41*100,0))</f>
        <v>0</v>
      </c>
      <c r="K41" s="121">
        <f t="shared" ca="1" si="3"/>
        <v>0</v>
      </c>
      <c r="L41" s="333" cm="1">
        <f t="array" aca="1" ref="L41" ca="1">IF($A41="S",IF(CAIXA.Modo,BM.AFAcumulado,BM.MEDAcumulado),IF(AND(RegimeExecucao="Global",$I41&gt;0,COUNTIF($AB$13:$AM$13,BM.medicao)&gt;0),O41/$I41*100,0))</f>
        <v>0</v>
      </c>
      <c r="M41" s="334" cm="1">
        <f t="array" aca="1" ref="M41" ca="1">IF($A41="S",VTOTALBM,IF($A41=0,0,ROUND(SomaAgrupBM,15-13*ORÇAMENTO!$AF$11)))</f>
        <v>0</v>
      </c>
      <c r="N41" s="335">
        <f t="shared" ca="1" si="4"/>
        <v>0</v>
      </c>
      <c r="O41" s="124" cm="1">
        <f t="array" aca="1" ref="O41" ca="1">IF($A41="S",VTOTALBM,IF($A41=0,0,ROUND(SomaAgrupBM,15-13*ORÇAMENTO!$AF$11)))</f>
        <v>0</v>
      </c>
      <c r="Q41" s="336"/>
      <c r="R41" s="337"/>
      <c r="T41" s="116" t="str">
        <f t="shared" ca="1" si="5"/>
        <v/>
      </c>
      <c r="U41" s="162" t="str">
        <f t="shared" ca="1" si="6"/>
        <v/>
      </c>
      <c r="V41" s="163" t="str" cm="1">
        <f t="array" aca="1" ref="V41" ca="1">IF(AND($W41&gt;0,RegimeExecucao="Unitário"),$F41,"")</f>
        <v/>
      </c>
      <c r="W41" s="453" cm="1">
        <f t="array" aca="1" ref="W41" ca="1">IF($Y41&gt;0,CHOOSE(MATCH(RegimeExecucao,{"Unitário","Global"},0),IF($A41="S",$Y41/$X41,""),($Y41/$X41)*100),0)</f>
        <v>0</v>
      </c>
      <c r="X41" s="338" t="str" cm="1">
        <f t="array" aca="1" ref="X41" ca="1">IF($Y41&gt;0,CHOOSE(MATCH(RegimeExecucao,{"Unitário","Global"},0),IF($A41="S",ROUND($H41,ORÇAMENTO!$AF$10),""),ROUND($I41,ORÇAMENTO!$AF$11)),"")</f>
        <v/>
      </c>
      <c r="Y41" s="338">
        <f t="shared" ca="1" si="7"/>
        <v>0</v>
      </c>
      <c r="Z41" s="472"/>
      <c r="AB41" s="336"/>
      <c r="AC41" s="436"/>
      <c r="AD41" s="436"/>
      <c r="AE41" s="436"/>
      <c r="AF41" s="436"/>
      <c r="AG41" s="436"/>
      <c r="AH41" s="436"/>
      <c r="AI41" s="436"/>
      <c r="AJ41" s="436"/>
      <c r="AK41" s="436"/>
      <c r="AL41" s="436"/>
      <c r="AM41" s="337"/>
      <c r="AO41" cm="1">
        <f t="array" aca="1" ref="AO41" ca="1">IF($A41="S",IF(BM!$I41=0,0,CHOOSE(MATCH(RegimeExecucao,{"Global","Unitário"},0),ROUND(ROUND(BM.MEDAcumulado,15-13*BM!$A$9)/100*BM!$I41,15-13*ORÇAMENTO!$AF$11),ROUND(ROUND(BM.MEDAcumulado,15-13*BM!$A$9)*ROUND(BM!$H41,15-13*ORÇAMENTO!$AF$10),15-13*ORÇAMENTO!$AF$11))),IF($A41=0,0,ROUND(SomaAgrupBM,15-13*ORÇAMENTO!$AF$11)))</f>
        <v>0</v>
      </c>
    </row>
    <row r="42" spans="1:41" x14ac:dyDescent="0.2">
      <c r="A42" t="str">
        <f ca="1">ORÇAMENTO!C42</f>
        <v>S</v>
      </c>
      <c r="B42">
        <f ca="1">ORÇAMENTO!D42</f>
        <v>0</v>
      </c>
      <c r="C42" s="113" t="str">
        <f t="shared" ca="1" si="1"/>
        <v>F</v>
      </c>
      <c r="D42" s="116" t="str">
        <f ca="1">ORÇAMENTO!O42</f>
        <v>1.6.4.</v>
      </c>
      <c r="E42" s="162" t="str">
        <f t="shared" si="2"/>
        <v>Steel deck em aço galvanizado ASTM A653 grau 40</v>
      </c>
      <c r="F42" s="163" t="str" cm="1">
        <f t="array" aca="1" ref="F42" ca="1">IF(RegimeExecucao="Global","",ORÇAMENTO.Unidade)</f>
        <v>M2</v>
      </c>
      <c r="G42" s="121" cm="1">
        <f t="array" aca="1" ref="G42" ca="1">IF(RegimeExecucao="Global","",ORÇAMENTO!T42)</f>
        <v>90</v>
      </c>
      <c r="H42" s="121" cm="1">
        <f t="array" aca="1" ref="H42" ca="1">IF(RegimeExecucao="Global","",ORÇAMENTO!W42)</f>
        <v>148.08000000000001</v>
      </c>
      <c r="I42" s="124">
        <f ca="1">ORÇAMENTO!X42</f>
        <v>13327.2</v>
      </c>
      <c r="J42" s="332" cm="1">
        <f t="array" aca="1" ref="J42" ca="1">IF($A42="S",IF(CAIXA.Modo,BM.AFAnterior,BM.MEDAnterior),IF(AND(RegimeExecucao="Global",$I42&gt;0,COUNTIF($AB$13:$AM$13,BM.medicao-1)&gt;0),M42/$I42*100,0))</f>
        <v>0</v>
      </c>
      <c r="K42" s="121">
        <f t="shared" ca="1" si="3"/>
        <v>0</v>
      </c>
      <c r="L42" s="333" cm="1">
        <f t="array" aca="1" ref="L42" ca="1">IF($A42="S",IF(CAIXA.Modo,BM.AFAcumulado,BM.MEDAcumulado),IF(AND(RegimeExecucao="Global",$I42&gt;0,COUNTIF($AB$13:$AM$13,BM.medicao)&gt;0),O42/$I42*100,0))</f>
        <v>0</v>
      </c>
      <c r="M42" s="334" cm="1">
        <f t="array" aca="1" ref="M42" ca="1">IF($A42="S",VTOTALBM,IF($A42=0,0,ROUND(SomaAgrupBM,15-13*ORÇAMENTO!$AF$11)))</f>
        <v>0</v>
      </c>
      <c r="N42" s="335">
        <f t="shared" ca="1" si="4"/>
        <v>0</v>
      </c>
      <c r="O42" s="124" cm="1">
        <f t="array" aca="1" ref="O42" ca="1">IF($A42="S",VTOTALBM,IF($A42=0,0,ROUND(SomaAgrupBM,15-13*ORÇAMENTO!$AF$11)))</f>
        <v>0</v>
      </c>
      <c r="Q42" s="336"/>
      <c r="R42" s="337"/>
      <c r="T42" s="116" t="str">
        <f t="shared" ca="1" si="5"/>
        <v/>
      </c>
      <c r="U42" s="162" t="str">
        <f t="shared" ca="1" si="6"/>
        <v/>
      </c>
      <c r="V42" s="163" t="str" cm="1">
        <f t="array" aca="1" ref="V42" ca="1">IF(AND($W42&gt;0,RegimeExecucao="Unitário"),$F42,"")</f>
        <v/>
      </c>
      <c r="W42" s="453" cm="1">
        <f t="array" aca="1" ref="W42" ca="1">IF($Y42&gt;0,CHOOSE(MATCH(RegimeExecucao,{"Unitário","Global"},0),IF($A42="S",$Y42/$X42,""),($Y42/$X42)*100),0)</f>
        <v>0</v>
      </c>
      <c r="X42" s="338" t="str" cm="1">
        <f t="array" aca="1" ref="X42" ca="1">IF($Y42&gt;0,CHOOSE(MATCH(RegimeExecucao,{"Unitário","Global"},0),IF($A42="S",ROUND($H42,ORÇAMENTO!$AF$10),""),ROUND($I42,ORÇAMENTO!$AF$11)),"")</f>
        <v/>
      </c>
      <c r="Y42" s="338">
        <f t="shared" ca="1" si="7"/>
        <v>0</v>
      </c>
      <c r="Z42" s="472"/>
      <c r="AB42" s="336"/>
      <c r="AC42" s="436"/>
      <c r="AD42" s="436"/>
      <c r="AE42" s="436"/>
      <c r="AF42" s="436"/>
      <c r="AG42" s="436"/>
      <c r="AH42" s="436"/>
      <c r="AI42" s="436"/>
      <c r="AJ42" s="436"/>
      <c r="AK42" s="436"/>
      <c r="AL42" s="436"/>
      <c r="AM42" s="337"/>
      <c r="AO42" cm="1">
        <f t="array" aca="1" ref="AO42" ca="1">IF($A42="S",IF(BM!$I42=0,0,CHOOSE(MATCH(RegimeExecucao,{"Global","Unitário"},0),ROUND(ROUND(BM.MEDAcumulado,15-13*BM!$A$9)/100*BM!$I42,15-13*ORÇAMENTO!$AF$11),ROUND(ROUND(BM.MEDAcumulado,15-13*BM!$A$9)*ROUND(BM!$H42,15-13*ORÇAMENTO!$AF$10),15-13*ORÇAMENTO!$AF$11))),IF($A42=0,0,ROUND(SomaAgrupBM,15-13*ORÇAMENTO!$AF$11)))</f>
        <v>0</v>
      </c>
    </row>
    <row r="43" spans="1:41" ht="25.5" x14ac:dyDescent="0.2">
      <c r="A43" t="str">
        <f ca="1">ORÇAMENTO!C43</f>
        <v>S</v>
      </c>
      <c r="B43">
        <f ca="1">ORÇAMENTO!D43</f>
        <v>0</v>
      </c>
      <c r="C43" s="113" t="str">
        <f t="shared" ca="1" si="1"/>
        <v>F</v>
      </c>
      <c r="D43" s="116" t="str">
        <f ca="1">ORÇAMENTO!O43</f>
        <v>1.6.5.</v>
      </c>
      <c r="E43" s="162" t="str">
        <f t="shared" si="2"/>
        <v>Placa de aço de apoio para protensão externa em reforço de vigade OAE-confecção e instalação</v>
      </c>
      <c r="F43" s="163" t="str" cm="1">
        <f t="array" aca="1" ref="F43" ca="1">IF(RegimeExecucao="Global","",ORÇAMENTO.Unidade)</f>
        <v>-</v>
      </c>
      <c r="G43" s="121" cm="1">
        <f t="array" aca="1" ref="G43" ca="1">IF(RegimeExecucao="Global","",ORÇAMENTO!T43)</f>
        <v>8</v>
      </c>
      <c r="H43" s="121" cm="1">
        <f t="array" aca="1" ref="H43" ca="1">IF(RegimeExecucao="Global","",ORÇAMENTO!W43)</f>
        <v>5717.79</v>
      </c>
      <c r="I43" s="124">
        <f ca="1">ORÇAMENTO!X43</f>
        <v>45742.32</v>
      </c>
      <c r="J43" s="332" cm="1">
        <f t="array" aca="1" ref="J43" ca="1">IF($A43="S",IF(CAIXA.Modo,BM.AFAnterior,BM.MEDAnterior),IF(AND(RegimeExecucao="Global",$I43&gt;0,COUNTIF($AB$13:$AM$13,BM.medicao-1)&gt;0),M43/$I43*100,0))</f>
        <v>0</v>
      </c>
      <c r="K43" s="121">
        <f t="shared" ca="1" si="3"/>
        <v>0</v>
      </c>
      <c r="L43" s="333" cm="1">
        <f t="array" aca="1" ref="L43" ca="1">IF($A43="S",IF(CAIXA.Modo,BM.AFAcumulado,BM.MEDAcumulado),IF(AND(RegimeExecucao="Global",$I43&gt;0,COUNTIF($AB$13:$AM$13,BM.medicao)&gt;0),O43/$I43*100,0))</f>
        <v>0</v>
      </c>
      <c r="M43" s="334" cm="1">
        <f t="array" aca="1" ref="M43" ca="1">IF($A43="S",VTOTALBM,IF($A43=0,0,ROUND(SomaAgrupBM,15-13*ORÇAMENTO!$AF$11)))</f>
        <v>0</v>
      </c>
      <c r="N43" s="335">
        <f t="shared" ca="1" si="4"/>
        <v>0</v>
      </c>
      <c r="O43" s="124" cm="1">
        <f t="array" aca="1" ref="O43" ca="1">IF($A43="S",VTOTALBM,IF($A43=0,0,ROUND(SomaAgrupBM,15-13*ORÇAMENTO!$AF$11)))</f>
        <v>0</v>
      </c>
      <c r="Q43" s="336"/>
      <c r="R43" s="337"/>
      <c r="T43" s="116" t="str">
        <f t="shared" ca="1" si="5"/>
        <v/>
      </c>
      <c r="U43" s="162" t="str">
        <f t="shared" ca="1" si="6"/>
        <v/>
      </c>
      <c r="V43" s="163" t="str" cm="1">
        <f t="array" aca="1" ref="V43" ca="1">IF(AND($W43&gt;0,RegimeExecucao="Unitário"),$F43,"")</f>
        <v/>
      </c>
      <c r="W43" s="453" cm="1">
        <f t="array" aca="1" ref="W43" ca="1">IF($Y43&gt;0,CHOOSE(MATCH(RegimeExecucao,{"Unitário","Global"},0),IF($A43="S",$Y43/$X43,""),($Y43/$X43)*100),0)</f>
        <v>0</v>
      </c>
      <c r="X43" s="338" t="str" cm="1">
        <f t="array" aca="1" ref="X43" ca="1">IF($Y43&gt;0,CHOOSE(MATCH(RegimeExecucao,{"Unitário","Global"},0),IF($A43="S",ROUND($H43,ORÇAMENTO!$AF$10),""),ROUND($I43,ORÇAMENTO!$AF$11)),"")</f>
        <v/>
      </c>
      <c r="Y43" s="338">
        <f t="shared" ca="1" si="7"/>
        <v>0</v>
      </c>
      <c r="Z43" s="472"/>
      <c r="AB43" s="336"/>
      <c r="AC43" s="436"/>
      <c r="AD43" s="436"/>
      <c r="AE43" s="436"/>
      <c r="AF43" s="436"/>
      <c r="AG43" s="436"/>
      <c r="AH43" s="436"/>
      <c r="AI43" s="436"/>
      <c r="AJ43" s="436"/>
      <c r="AK43" s="436"/>
      <c r="AL43" s="436"/>
      <c r="AM43" s="337"/>
      <c r="AO43" cm="1">
        <f t="array" aca="1" ref="AO43" ca="1">IF($A43="S",IF(BM!$I43=0,0,CHOOSE(MATCH(RegimeExecucao,{"Global","Unitário"},0),ROUND(ROUND(BM.MEDAcumulado,15-13*BM!$A$9)/100*BM!$I43,15-13*ORÇAMENTO!$AF$11),ROUND(ROUND(BM.MEDAcumulado,15-13*BM!$A$9)*ROUND(BM!$H43,15-13*ORÇAMENTO!$AF$10),15-13*ORÇAMENTO!$AF$11))),IF($A43=0,0,ROUND(SomaAgrupBM,15-13*ORÇAMENTO!$AF$11)))</f>
        <v>0</v>
      </c>
    </row>
    <row r="44" spans="1:41" ht="38.25" x14ac:dyDescent="0.2">
      <c r="A44" t="str">
        <f ca="1">ORÇAMENTO!C44</f>
        <v>S</v>
      </c>
      <c r="B44">
        <f ca="1">ORÇAMENTO!D44</f>
        <v>0</v>
      </c>
      <c r="C44" s="113" t="str">
        <f t="shared" ca="1" si="1"/>
        <v>F</v>
      </c>
      <c r="D44" s="116" t="str">
        <f ca="1">ORÇAMENTO!O44</f>
        <v>1.6.6.</v>
      </c>
      <c r="E44" s="162" t="str">
        <f t="shared" si="2"/>
        <v xml:space="preserve"> FORNECIMENTO DE CONCRETO ESTRUTURAL, USINADO
 BOMBEADO, AUTO-ADENSÁVEL, COM FCK 40MPA, INCLUSIVE
 LANÇAMENTO E ACABAMENTO</v>
      </c>
      <c r="F44" s="163" t="str" cm="1">
        <f t="array" aca="1" ref="F44" ca="1">IF(RegimeExecucao="Global","",ORÇAMENTO.Unidade)</f>
        <v>M3</v>
      </c>
      <c r="G44" s="121" cm="1">
        <f t="array" aca="1" ref="G44" ca="1">IF(RegimeExecucao="Global","",ORÇAMENTO!T44)</f>
        <v>18</v>
      </c>
      <c r="H44" s="121" cm="1">
        <f t="array" aca="1" ref="H44" ca="1">IF(RegimeExecucao="Global","",ORÇAMENTO!W44)</f>
        <v>864.07</v>
      </c>
      <c r="I44" s="124">
        <f ca="1">ORÇAMENTO!X44</f>
        <v>15553.26</v>
      </c>
      <c r="J44" s="332" cm="1">
        <f t="array" aca="1" ref="J44" ca="1">IF($A44="S",IF(CAIXA.Modo,BM.AFAnterior,BM.MEDAnterior),IF(AND(RegimeExecucao="Global",$I44&gt;0,COUNTIF($AB$13:$AM$13,BM.medicao-1)&gt;0),M44/$I44*100,0))</f>
        <v>0</v>
      </c>
      <c r="K44" s="121">
        <f t="shared" ca="1" si="3"/>
        <v>0</v>
      </c>
      <c r="L44" s="333" cm="1">
        <f t="array" aca="1" ref="L44" ca="1">IF($A44="S",IF(CAIXA.Modo,BM.AFAcumulado,BM.MEDAcumulado),IF(AND(RegimeExecucao="Global",$I44&gt;0,COUNTIF($AB$13:$AM$13,BM.medicao)&gt;0),O44/$I44*100,0))</f>
        <v>0</v>
      </c>
      <c r="M44" s="334" cm="1">
        <f t="array" aca="1" ref="M44" ca="1">IF($A44="S",VTOTALBM,IF($A44=0,0,ROUND(SomaAgrupBM,15-13*ORÇAMENTO!$AF$11)))</f>
        <v>0</v>
      </c>
      <c r="N44" s="335">
        <f t="shared" ca="1" si="4"/>
        <v>0</v>
      </c>
      <c r="O44" s="124" cm="1">
        <f t="array" aca="1" ref="O44" ca="1">IF($A44="S",VTOTALBM,IF($A44=0,0,ROUND(SomaAgrupBM,15-13*ORÇAMENTO!$AF$11)))</f>
        <v>0</v>
      </c>
      <c r="Q44" s="336"/>
      <c r="R44" s="337"/>
      <c r="T44" s="116" t="str">
        <f t="shared" ca="1" si="5"/>
        <v/>
      </c>
      <c r="U44" s="162" t="str">
        <f t="shared" ca="1" si="6"/>
        <v/>
      </c>
      <c r="V44" s="163" t="str" cm="1">
        <f t="array" aca="1" ref="V44" ca="1">IF(AND($W44&gt;0,RegimeExecucao="Unitário"),$F44,"")</f>
        <v/>
      </c>
      <c r="W44" s="453" cm="1">
        <f t="array" aca="1" ref="W44" ca="1">IF($Y44&gt;0,CHOOSE(MATCH(RegimeExecucao,{"Unitário","Global"},0),IF($A44="S",$Y44/$X44,""),($Y44/$X44)*100),0)</f>
        <v>0</v>
      </c>
      <c r="X44" s="338" t="str" cm="1">
        <f t="array" aca="1" ref="X44" ca="1">IF($Y44&gt;0,CHOOSE(MATCH(RegimeExecucao,{"Unitário","Global"},0),IF($A44="S",ROUND($H44,ORÇAMENTO!$AF$10),""),ROUND($I44,ORÇAMENTO!$AF$11)),"")</f>
        <v/>
      </c>
      <c r="Y44" s="338">
        <f t="shared" ca="1" si="7"/>
        <v>0</v>
      </c>
      <c r="Z44" s="472"/>
      <c r="AB44" s="336"/>
      <c r="AC44" s="436"/>
      <c r="AD44" s="436"/>
      <c r="AE44" s="436"/>
      <c r="AF44" s="436"/>
      <c r="AG44" s="436"/>
      <c r="AH44" s="436"/>
      <c r="AI44" s="436"/>
      <c r="AJ44" s="436"/>
      <c r="AK44" s="436"/>
      <c r="AL44" s="436"/>
      <c r="AM44" s="337"/>
      <c r="AO44" cm="1">
        <f t="array" aca="1" ref="AO44" ca="1">IF($A44="S",IF(BM!$I44=0,0,CHOOSE(MATCH(RegimeExecucao,{"Global","Unitário"},0),ROUND(ROUND(BM.MEDAcumulado,15-13*BM!$A$9)/100*BM!$I44,15-13*ORÇAMENTO!$AF$11),ROUND(ROUND(BM.MEDAcumulado,15-13*BM!$A$9)*ROUND(BM!$H44,15-13*ORÇAMENTO!$AF$10),15-13*ORÇAMENTO!$AF$11))),IF($A44=0,0,ROUND(SomaAgrupBM,15-13*ORÇAMENTO!$AF$11)))</f>
        <v>0</v>
      </c>
    </row>
    <row r="45" spans="1:41" ht="25.5" x14ac:dyDescent="0.2">
      <c r="A45" t="str">
        <f ca="1">ORÇAMENTO!C45</f>
        <v>S</v>
      </c>
      <c r="B45">
        <f ca="1">ORÇAMENTO!D45</f>
        <v>0</v>
      </c>
      <c r="C45" s="113" t="str">
        <f t="shared" ca="1" si="1"/>
        <v>F</v>
      </c>
      <c r="D45" s="116" t="str">
        <f ca="1">ORÇAMENTO!O45</f>
        <v>1.6.7.</v>
      </c>
      <c r="E45" s="162" t="str">
        <f t="shared" si="2"/>
        <v>CORTE, DOBRA E MONTAGEM DE AÇO CA-50, DIÂMETRO (6,3MM A
 12,5MM), INCLUSIVE ESPAÇADOR</v>
      </c>
      <c r="F45" s="163" t="str" cm="1">
        <f t="array" aca="1" ref="F45" ca="1">IF(RegimeExecucao="Global","",ORÇAMENTO.Unidade)</f>
        <v>kg</v>
      </c>
      <c r="G45" s="121" cm="1">
        <f t="array" aca="1" ref="G45" ca="1">IF(RegimeExecucao="Global","",ORÇAMENTO!T45)</f>
        <v>1620</v>
      </c>
      <c r="H45" s="121" cm="1">
        <f t="array" aca="1" ref="H45" ca="1">IF(RegimeExecucao="Global","",ORÇAMENTO!W45)</f>
        <v>14.7</v>
      </c>
      <c r="I45" s="124">
        <f ca="1">ORÇAMENTO!X45</f>
        <v>23814</v>
      </c>
      <c r="J45" s="332" cm="1">
        <f t="array" aca="1" ref="J45" ca="1">IF($A45="S",IF(CAIXA.Modo,BM.AFAnterior,BM.MEDAnterior),IF(AND(RegimeExecucao="Global",$I45&gt;0,COUNTIF($AB$13:$AM$13,BM.medicao-1)&gt;0),M45/$I45*100,0))</f>
        <v>0</v>
      </c>
      <c r="K45" s="121">
        <f t="shared" ca="1" si="3"/>
        <v>0</v>
      </c>
      <c r="L45" s="333" cm="1">
        <f t="array" aca="1" ref="L45" ca="1">IF($A45="S",IF(CAIXA.Modo,BM.AFAcumulado,BM.MEDAcumulado),IF(AND(RegimeExecucao="Global",$I45&gt;0,COUNTIF($AB$13:$AM$13,BM.medicao)&gt;0),O45/$I45*100,0))</f>
        <v>0</v>
      </c>
      <c r="M45" s="334" cm="1">
        <f t="array" aca="1" ref="M45" ca="1">IF($A45="S",VTOTALBM,IF($A45=0,0,ROUND(SomaAgrupBM,15-13*ORÇAMENTO!$AF$11)))</f>
        <v>0</v>
      </c>
      <c r="N45" s="335">
        <f t="shared" ca="1" si="4"/>
        <v>0</v>
      </c>
      <c r="O45" s="124" cm="1">
        <f t="array" aca="1" ref="O45" ca="1">IF($A45="S",VTOTALBM,IF($A45=0,0,ROUND(SomaAgrupBM,15-13*ORÇAMENTO!$AF$11)))</f>
        <v>0</v>
      </c>
      <c r="Q45" s="336"/>
      <c r="R45" s="337"/>
      <c r="T45" s="116" t="str">
        <f t="shared" ca="1" si="5"/>
        <v/>
      </c>
      <c r="U45" s="162" t="str">
        <f t="shared" ca="1" si="6"/>
        <v/>
      </c>
      <c r="V45" s="163" t="str" cm="1">
        <f t="array" aca="1" ref="V45" ca="1">IF(AND($W45&gt;0,RegimeExecucao="Unitário"),$F45,"")</f>
        <v/>
      </c>
      <c r="W45" s="453" cm="1">
        <f t="array" aca="1" ref="W45" ca="1">IF($Y45&gt;0,CHOOSE(MATCH(RegimeExecucao,{"Unitário","Global"},0),IF($A45="S",$Y45/$X45,""),($Y45/$X45)*100),0)</f>
        <v>0</v>
      </c>
      <c r="X45" s="338" t="str" cm="1">
        <f t="array" aca="1" ref="X45" ca="1">IF($Y45&gt;0,CHOOSE(MATCH(RegimeExecucao,{"Unitário","Global"},0),IF($A45="S",ROUND($H45,ORÇAMENTO!$AF$10),""),ROUND($I45,ORÇAMENTO!$AF$11)),"")</f>
        <v/>
      </c>
      <c r="Y45" s="338">
        <f t="shared" ca="1" si="7"/>
        <v>0</v>
      </c>
      <c r="Z45" s="472"/>
      <c r="AB45" s="336"/>
      <c r="AC45" s="436"/>
      <c r="AD45" s="436"/>
      <c r="AE45" s="436"/>
      <c r="AF45" s="436"/>
      <c r="AG45" s="436"/>
      <c r="AH45" s="436"/>
      <c r="AI45" s="436"/>
      <c r="AJ45" s="436"/>
      <c r="AK45" s="436"/>
      <c r="AL45" s="436"/>
      <c r="AM45" s="337"/>
      <c r="AO45" cm="1">
        <f t="array" aca="1" ref="AO45" ca="1">IF($A45="S",IF(BM!$I45=0,0,CHOOSE(MATCH(RegimeExecucao,{"Global","Unitário"},0),ROUND(ROUND(BM.MEDAcumulado,15-13*BM!$A$9)/100*BM!$I45,15-13*ORÇAMENTO!$AF$11),ROUND(ROUND(BM.MEDAcumulado,15-13*BM!$A$9)*ROUND(BM!$H45,15-13*ORÇAMENTO!$AF$10),15-13*ORÇAMENTO!$AF$11))),IF($A45=0,0,ROUND(SomaAgrupBM,15-13*ORÇAMENTO!$AF$11)))</f>
        <v>0</v>
      </c>
    </row>
    <row r="46" spans="1:41" x14ac:dyDescent="0.2">
      <c r="A46" t="str">
        <f ca="1">ORÇAMENTO!C46</f>
        <v>S</v>
      </c>
      <c r="B46">
        <f ca="1">ORÇAMENTO!D46</f>
        <v>0</v>
      </c>
      <c r="C46" s="113" t="str">
        <f ca="1">IF(OR($I46&gt;0,$A46=1,$A46=2,$A46=3,$A46=4),"F","")</f>
        <v>F</v>
      </c>
      <c r="D46" s="116" t="str">
        <f ca="1">ORÇAMENTO!O46</f>
        <v>1.6.8.</v>
      </c>
      <c r="E46" s="162" t="str">
        <f>ORÇAMENTO.Descricao</f>
        <v>Guarda-corpo de concreto fabricação areia e brita comerciais</v>
      </c>
      <c r="F46" s="163" t="str" cm="1">
        <f t="array" aca="1" ref="F46" ca="1">IF(RegimeExecucao="Global","",ORÇAMENTO.Unidade)</f>
        <v>M</v>
      </c>
      <c r="G46" s="121" cm="1">
        <f t="array" aca="1" ref="G46" ca="1">IF(RegimeExecucao="Global","",ORÇAMENTO!T46)</f>
        <v>40</v>
      </c>
      <c r="H46" s="121" cm="1">
        <f t="array" aca="1" ref="H46" ca="1">IF(RegimeExecucao="Global","",ORÇAMENTO!W46)</f>
        <v>102.98</v>
      </c>
      <c r="I46" s="124">
        <f ca="1">ORÇAMENTO!X46</f>
        <v>4119.2</v>
      </c>
      <c r="J46" s="332" cm="1">
        <f t="array" aca="1" ref="J46" ca="1">IF($A46="S",IF(CAIXA.Modo,BM.AFAnterior,BM.MEDAnterior),IF(AND(RegimeExecucao="Global",$I46&gt;0,COUNTIF($AB$13:$AM$13,BM.medicao-1)&gt;0),M46/$I46*100,0))</f>
        <v>0</v>
      </c>
      <c r="K46" s="121">
        <f ca="1">L46-J46</f>
        <v>0</v>
      </c>
      <c r="L46" s="333" cm="1">
        <f t="array" aca="1" ref="L46" ca="1">IF($A46="S",IF(CAIXA.Modo,BM.AFAcumulado,BM.MEDAcumulado),IF(AND(RegimeExecucao="Global",$I46&gt;0,COUNTIF($AB$13:$AM$13,BM.medicao)&gt;0),O46/$I46*100,0))</f>
        <v>0</v>
      </c>
      <c r="M46" s="334" cm="1">
        <f t="array" aca="1" ref="M46" ca="1">IF($A46="S",VTOTALBM,IF($A46=0,0,ROUND(SomaAgrupBM,15-13*ORÇAMENTO!$AF$11)))</f>
        <v>0</v>
      </c>
      <c r="N46" s="335">
        <f ca="1">O46-M46</f>
        <v>0</v>
      </c>
      <c r="O46" s="124" cm="1">
        <f t="array" aca="1" ref="O46" ca="1">IF($A46="S",VTOTALBM,IF($A46=0,0,ROUND(SomaAgrupBM,15-13*ORÇAMENTO!$AF$11)))</f>
        <v>0</v>
      </c>
      <c r="Q46" s="336"/>
      <c r="R46" s="337"/>
      <c r="T46" s="116" t="str">
        <f ca="1">IF($W46&gt;0,$D46,"")</f>
        <v/>
      </c>
      <c r="U46" s="162" t="str">
        <f ca="1">IF($W46&gt;0,$E46,"")</f>
        <v/>
      </c>
      <c r="V46" s="163" t="str" cm="1">
        <f t="array" aca="1" ref="V46" ca="1">IF(AND($W46&gt;0,RegimeExecucao="Unitário"),$F46,"")</f>
        <v/>
      </c>
      <c r="W46" s="453" cm="1">
        <f t="array" aca="1" ref="W46" ca="1">IF($Y46&gt;0,CHOOSE(MATCH(RegimeExecucao,{"Unitário","Global"},0),IF($A46="S",$Y46/$X46,""),($Y46/$X46)*100),0)</f>
        <v>0</v>
      </c>
      <c r="X46" s="338" t="str" cm="1">
        <f t="array" aca="1" ref="X46" ca="1">IF($Y46&gt;0,CHOOSE(MATCH(RegimeExecucao,{"Unitário","Global"},0),IF($A46="S",ROUND($H46,ORÇAMENTO!$AF$10),""),ROUND($I46,ORÇAMENTO!$AF$11)),"")</f>
        <v/>
      </c>
      <c r="Y46" s="338">
        <f ca="1">AO46-O46</f>
        <v>0</v>
      </c>
      <c r="Z46" s="472"/>
      <c r="AB46" s="336"/>
      <c r="AC46" s="436"/>
      <c r="AD46" s="436"/>
      <c r="AE46" s="436"/>
      <c r="AF46" s="436"/>
      <c r="AG46" s="436"/>
      <c r="AH46" s="436"/>
      <c r="AI46" s="436"/>
      <c r="AJ46" s="436"/>
      <c r="AK46" s="436"/>
      <c r="AL46" s="436"/>
      <c r="AM46" s="337"/>
      <c r="AO46" cm="1">
        <f t="array" aca="1" ref="AO46" ca="1">IF($A46="S",IF(BM!$I46=0,0,CHOOSE(MATCH(RegimeExecucao,{"Global","Unitário"},0),ROUND(ROUND(BM.MEDAcumulado,15-13*BM!$A$9)/100*BM!$I46,15-13*ORÇAMENTO!$AF$11),ROUND(ROUND(BM.MEDAcumulado,15-13*BM!$A$9)*ROUND(BM!$H46,15-13*ORÇAMENTO!$AF$10),15-13*ORÇAMENTO!$AF$11))),IF($A46=0,0,ROUND(SomaAgrupBM,15-13*ORÇAMENTO!$AF$11)))</f>
        <v>0</v>
      </c>
    </row>
    <row r="47" spans="1:41" ht="25.5" x14ac:dyDescent="0.2">
      <c r="A47" t="str">
        <f ca="1">ORÇAMENTO!C47</f>
        <v>S</v>
      </c>
      <c r="B47">
        <f ca="1">ORÇAMENTO!D47</f>
        <v>0</v>
      </c>
      <c r="C47" s="113" t="str">
        <f ca="1">IF(OR($I47&gt;0,$A47=1,$A47=2,$A47=3,$A47=4),"F","")</f>
        <v>F</v>
      </c>
      <c r="D47" s="116" t="str">
        <f ca="1">ORÇAMENTO!O47</f>
        <v>1.6.9.</v>
      </c>
      <c r="E47" s="162" t="str">
        <f>ORÇAMENTO.Descricao</f>
        <v>LANÇAMENTO DE VIGA PARA PONTE, EXCLUSIVE FORNECIMENTO
 , DESCARGA E TRANSPORTE - PROJETO PADRÃO SEINFRA-MG</v>
      </c>
      <c r="F47" s="163" t="str" cm="1">
        <f t="array" aca="1" ref="F47" ca="1">IF(RegimeExecucao="Global","",ORÇAMENTO.Unidade)</f>
        <v>kg</v>
      </c>
      <c r="G47" s="121" cm="1">
        <f t="array" aca="1" ref="G47" ca="1">IF(RegimeExecucao="Global","",ORÇAMENTO!T47)</f>
        <v>8800</v>
      </c>
      <c r="H47" s="121" cm="1">
        <f t="array" aca="1" ref="H47" ca="1">IF(RegimeExecucao="Global","",ORÇAMENTO!W47)</f>
        <v>1.68</v>
      </c>
      <c r="I47" s="124">
        <f ca="1">ORÇAMENTO!X47</f>
        <v>14784</v>
      </c>
      <c r="J47" s="332" cm="1">
        <f t="array" aca="1" ref="J47" ca="1">IF($A47="S",IF(CAIXA.Modo,BM.AFAnterior,BM.MEDAnterior),IF(AND(RegimeExecucao="Global",$I47&gt;0,COUNTIF($AB$13:$AM$13,BM.medicao-1)&gt;0),M47/$I47*100,0))</f>
        <v>0</v>
      </c>
      <c r="K47" s="121">
        <f ca="1">L47-J47</f>
        <v>0</v>
      </c>
      <c r="L47" s="333" cm="1">
        <f t="array" aca="1" ref="L47" ca="1">IF($A47="S",IF(CAIXA.Modo,BM.AFAcumulado,BM.MEDAcumulado),IF(AND(RegimeExecucao="Global",$I47&gt;0,COUNTIF($AB$13:$AM$13,BM.medicao)&gt;0),O47/$I47*100,0))</f>
        <v>0</v>
      </c>
      <c r="M47" s="334" cm="1">
        <f t="array" aca="1" ref="M47" ca="1">IF($A47="S",VTOTALBM,IF($A47=0,0,ROUND(SomaAgrupBM,15-13*ORÇAMENTO!$AF$11)))</f>
        <v>0</v>
      </c>
      <c r="N47" s="335">
        <f ca="1">O47-M47</f>
        <v>0</v>
      </c>
      <c r="O47" s="124" cm="1">
        <f t="array" aca="1" ref="O47" ca="1">IF($A47="S",VTOTALBM,IF($A47=0,0,ROUND(SomaAgrupBM,15-13*ORÇAMENTO!$AF$11)))</f>
        <v>0</v>
      </c>
      <c r="Q47" s="336"/>
      <c r="R47" s="337"/>
      <c r="T47" s="116" t="str">
        <f ca="1">IF($W47&gt;0,$D47,"")</f>
        <v/>
      </c>
      <c r="U47" s="162" t="str">
        <f ca="1">IF($W47&gt;0,$E47,"")</f>
        <v/>
      </c>
      <c r="V47" s="163" t="str" cm="1">
        <f t="array" aca="1" ref="V47" ca="1">IF(AND($W47&gt;0,RegimeExecucao="Unitário"),$F47,"")</f>
        <v/>
      </c>
      <c r="W47" s="453" cm="1">
        <f t="array" aca="1" ref="W47" ca="1">IF($Y47&gt;0,CHOOSE(MATCH(RegimeExecucao,{"Unitário","Global"},0),IF($A47="S",$Y47/$X47,""),($Y47/$X47)*100),0)</f>
        <v>0</v>
      </c>
      <c r="X47" s="338" t="str" cm="1">
        <f t="array" aca="1" ref="X47" ca="1">IF($Y47&gt;0,CHOOSE(MATCH(RegimeExecucao,{"Unitário","Global"},0),IF($A47="S",ROUND($H47,ORÇAMENTO!$AF$10),""),ROUND($I47,ORÇAMENTO!$AF$11)),"")</f>
        <v/>
      </c>
      <c r="Y47" s="338">
        <f ca="1">AO47-O47</f>
        <v>0</v>
      </c>
      <c r="Z47" s="472"/>
      <c r="AB47" s="336"/>
      <c r="AC47" s="436"/>
      <c r="AD47" s="436"/>
      <c r="AE47" s="436"/>
      <c r="AF47" s="436"/>
      <c r="AG47" s="436"/>
      <c r="AH47" s="436"/>
      <c r="AI47" s="436"/>
      <c r="AJ47" s="436"/>
      <c r="AK47" s="436"/>
      <c r="AL47" s="436"/>
      <c r="AM47" s="337"/>
      <c r="AO47" cm="1">
        <f t="array" aca="1" ref="AO47" ca="1">IF($A47="S",IF(BM!$I47=0,0,CHOOSE(MATCH(RegimeExecucao,{"Global","Unitário"},0),ROUND(ROUND(BM.MEDAcumulado,15-13*BM!$A$9)/100*BM!$I47,15-13*ORÇAMENTO!$AF$11),ROUND(ROUND(BM.MEDAcumulado,15-13*BM!$A$9)*ROUND(BM!$H47,15-13*ORÇAMENTO!$AF$10),15-13*ORÇAMENTO!$AF$11))),IF($A47=0,0,ROUND(SomaAgrupBM,15-13*ORÇAMENTO!$AF$11)))</f>
        <v>0</v>
      </c>
    </row>
    <row r="48" spans="1:41" x14ac:dyDescent="0.2">
      <c r="A48">
        <f ca="1">ORÇAMENTO!C48</f>
        <v>2</v>
      </c>
      <c r="B48">
        <f ca="1">ORÇAMENTO!D48</f>
        <v>5</v>
      </c>
      <c r="C48" s="113" t="str">
        <f t="shared" ca="1" si="1"/>
        <v>F</v>
      </c>
      <c r="D48" s="116" t="str">
        <f ca="1">ORÇAMENTO!O48</f>
        <v>1.7.</v>
      </c>
      <c r="E48" s="162" t="str">
        <f t="shared" si="2"/>
        <v>CALÇAMENTO</v>
      </c>
      <c r="F48" s="163" t="str" cm="1">
        <f t="array" aca="1" ref="F48" ca="1">IF(RegimeExecucao="Global","",ORÇAMENTO.Unidade)</f>
        <v>-</v>
      </c>
      <c r="G48" s="121" cm="1">
        <f t="array" aca="1" ref="G48" ca="1">IF(RegimeExecucao="Global","",ORÇAMENTO!T48)</f>
        <v>0</v>
      </c>
      <c r="H48" s="121" cm="1">
        <f t="array" aca="1" ref="H48" ca="1">IF(RegimeExecucao="Global","",ORÇAMENTO!W48)</f>
        <v>0</v>
      </c>
      <c r="I48" s="124">
        <f ca="1">ORÇAMENTO!X48</f>
        <v>215352</v>
      </c>
      <c r="J48" s="332" cm="1">
        <f t="array" aca="1" ref="J48" ca="1">IF($A48="S",IF(CAIXA.Modo,BM.AFAnterior,BM.MEDAnterior),IF(AND(RegimeExecucao="Global",$I48&gt;0,COUNTIF($AB$13:$AM$13,BM.medicao-1)&gt;0),M48/$I48*100,0))</f>
        <v>0</v>
      </c>
      <c r="K48" s="121">
        <f t="shared" ca="1" si="3"/>
        <v>0</v>
      </c>
      <c r="L48" s="333" cm="1">
        <f t="array" aca="1" ref="L48" ca="1">IF($A48="S",IF(CAIXA.Modo,BM.AFAcumulado,BM.MEDAcumulado),IF(AND(RegimeExecucao="Global",$I48&gt;0,COUNTIF($AB$13:$AM$13,BM.medicao)&gt;0),O48/$I48*100,0))</f>
        <v>0</v>
      </c>
      <c r="M48" s="334" cm="1">
        <f t="array" aca="1" ref="M48" ca="1">IF($A48="S",VTOTALBM,IF($A48=0,0,ROUND(SomaAgrupBM,15-13*ORÇAMENTO!$AF$11)))</f>
        <v>0</v>
      </c>
      <c r="N48" s="335">
        <f t="shared" ca="1" si="4"/>
        <v>0</v>
      </c>
      <c r="O48" s="124" cm="1">
        <f t="array" aca="1" ref="O48" ca="1">IF($A48="S",VTOTALBM,IF($A48=0,0,ROUND(SomaAgrupBM,15-13*ORÇAMENTO!$AF$11)))</f>
        <v>0</v>
      </c>
      <c r="Q48" s="336"/>
      <c r="R48" s="337"/>
      <c r="T48" s="116" t="str">
        <f t="shared" ca="1" si="5"/>
        <v/>
      </c>
      <c r="U48" s="162" t="str">
        <f t="shared" ca="1" si="6"/>
        <v/>
      </c>
      <c r="V48" s="163" t="str" cm="1">
        <f t="array" aca="1" ref="V48" ca="1">IF(AND($W48&gt;0,RegimeExecucao="Unitário"),$F48,"")</f>
        <v/>
      </c>
      <c r="W48" s="453" cm="1">
        <f t="array" aca="1" ref="W48" ca="1">IF($Y48&gt;0,CHOOSE(MATCH(RegimeExecucao,{"Unitário","Global"},0),IF($A48="S",$Y48/$X48,""),($Y48/$X48)*100),0)</f>
        <v>0</v>
      </c>
      <c r="X48" s="338" t="str" cm="1">
        <f t="array" aca="1" ref="X48" ca="1">IF($Y48&gt;0,CHOOSE(MATCH(RegimeExecucao,{"Unitário","Global"},0),IF($A48="S",ROUND($H48,ORÇAMENTO!$AF$10),""),ROUND($I48,ORÇAMENTO!$AF$11)),"")</f>
        <v/>
      </c>
      <c r="Y48" s="338">
        <f t="shared" ca="1" si="7"/>
        <v>0</v>
      </c>
      <c r="Z48" s="472"/>
      <c r="AB48" s="336"/>
      <c r="AC48" s="436"/>
      <c r="AD48" s="436"/>
      <c r="AE48" s="436"/>
      <c r="AF48" s="436"/>
      <c r="AG48" s="436"/>
      <c r="AH48" s="436"/>
      <c r="AI48" s="436"/>
      <c r="AJ48" s="436"/>
      <c r="AK48" s="436"/>
      <c r="AL48" s="436"/>
      <c r="AM48" s="337"/>
      <c r="AO48" cm="1">
        <f t="array" aca="1" ref="AO48" ca="1">IF($A48="S",IF(BM!$I48=0,0,CHOOSE(MATCH(RegimeExecucao,{"Global","Unitário"},0),ROUND(ROUND(BM.MEDAcumulado,15-13*BM!$A$9)/100*BM!$I48,15-13*ORÇAMENTO!$AF$11),ROUND(ROUND(BM.MEDAcumulado,15-13*BM!$A$9)*ROUND(BM!$H48,15-13*ORÇAMENTO!$AF$10),15-13*ORÇAMENTO!$AF$11))),IF($A48=0,0,ROUND(SomaAgrupBM,15-13*ORÇAMENTO!$AF$11)))</f>
        <v>0</v>
      </c>
    </row>
    <row r="49" spans="1:41" ht="38.25" x14ac:dyDescent="0.2">
      <c r="A49" t="str">
        <f ca="1">ORÇAMENTO!C49</f>
        <v>S</v>
      </c>
      <c r="B49">
        <f ca="1">ORÇAMENTO!D49</f>
        <v>0</v>
      </c>
      <c r="C49" s="113" t="str">
        <f t="shared" ca="1" si="1"/>
        <v>F</v>
      </c>
      <c r="D49" s="116" t="str">
        <f ca="1">ORÇAMENTO!O49</f>
        <v>1.7.1.</v>
      </c>
      <c r="E49" s="162" t="str">
        <f t="shared" si="2"/>
        <v>REGULARIZAÇÃO E COMPACTAÇÃO DE SUBLEITO DE SOLO PREDOMINANTEMENTE ARGILOSO, PARA OBRAS DE CONSTRUÇÃO DE PAVIMENTOS. AF_09/2024</v>
      </c>
      <c r="F49" s="163" t="str" cm="1">
        <f t="array" aca="1" ref="F49" ca="1">IF(RegimeExecucao="Global","",ORÇAMENTO.Unidade)</f>
        <v>M2</v>
      </c>
      <c r="G49" s="121" cm="1">
        <f t="array" aca="1" ref="G49" ca="1">IF(RegimeExecucao="Global","",ORÇAMENTO!T49)</f>
        <v>2038.52</v>
      </c>
      <c r="H49" s="121" cm="1">
        <f t="array" aca="1" ref="H49" ca="1">IF(RegimeExecucao="Global","",ORÇAMENTO!W49)</f>
        <v>2.94</v>
      </c>
      <c r="I49" s="124">
        <f ca="1">ORÇAMENTO!X49</f>
        <v>5993.25</v>
      </c>
      <c r="J49" s="332" cm="1">
        <f t="array" aca="1" ref="J49" ca="1">IF($A49="S",IF(CAIXA.Modo,BM.AFAnterior,BM.MEDAnterior),IF(AND(RegimeExecucao="Global",$I49&gt;0,COUNTIF($AB$13:$AM$13,BM.medicao-1)&gt;0),M49/$I49*100,0))</f>
        <v>0</v>
      </c>
      <c r="K49" s="121">
        <f t="shared" ca="1" si="3"/>
        <v>0</v>
      </c>
      <c r="L49" s="333" cm="1">
        <f t="array" aca="1" ref="L49" ca="1">IF($A49="S",IF(CAIXA.Modo,BM.AFAcumulado,BM.MEDAcumulado),IF(AND(RegimeExecucao="Global",$I49&gt;0,COUNTIF($AB$13:$AM$13,BM.medicao)&gt;0),O49/$I49*100,0))</f>
        <v>0</v>
      </c>
      <c r="M49" s="334" cm="1">
        <f t="array" aca="1" ref="M49" ca="1">IF($A49="S",VTOTALBM,IF($A49=0,0,ROUND(SomaAgrupBM,15-13*ORÇAMENTO!$AF$11)))</f>
        <v>0</v>
      </c>
      <c r="N49" s="335">
        <f t="shared" ca="1" si="4"/>
        <v>0</v>
      </c>
      <c r="O49" s="124" cm="1">
        <f t="array" aca="1" ref="O49" ca="1">IF($A49="S",VTOTALBM,IF($A49=0,0,ROUND(SomaAgrupBM,15-13*ORÇAMENTO!$AF$11)))</f>
        <v>0</v>
      </c>
      <c r="Q49" s="336"/>
      <c r="R49" s="337"/>
      <c r="T49" s="116" t="str">
        <f t="shared" ca="1" si="5"/>
        <v/>
      </c>
      <c r="U49" s="162" t="str">
        <f t="shared" ca="1" si="6"/>
        <v/>
      </c>
      <c r="V49" s="163" t="str" cm="1">
        <f t="array" aca="1" ref="V49" ca="1">IF(AND($W49&gt;0,RegimeExecucao="Unitário"),$F49,"")</f>
        <v/>
      </c>
      <c r="W49" s="453" cm="1">
        <f t="array" aca="1" ref="W49" ca="1">IF($Y49&gt;0,CHOOSE(MATCH(RegimeExecucao,{"Unitário","Global"},0),IF($A49="S",$Y49/$X49,""),($Y49/$X49)*100),0)</f>
        <v>0</v>
      </c>
      <c r="X49" s="338" t="str" cm="1">
        <f t="array" aca="1" ref="X49" ca="1">IF($Y49&gt;0,CHOOSE(MATCH(RegimeExecucao,{"Unitário","Global"},0),IF($A49="S",ROUND($H49,ORÇAMENTO!$AF$10),""),ROUND($I49,ORÇAMENTO!$AF$11)),"")</f>
        <v/>
      </c>
      <c r="Y49" s="338">
        <f t="shared" ca="1" si="7"/>
        <v>0</v>
      </c>
      <c r="Z49" s="472"/>
      <c r="AB49" s="336"/>
      <c r="AC49" s="436"/>
      <c r="AD49" s="436"/>
      <c r="AE49" s="436"/>
      <c r="AF49" s="436"/>
      <c r="AG49" s="436"/>
      <c r="AH49" s="436"/>
      <c r="AI49" s="436"/>
      <c r="AJ49" s="436"/>
      <c r="AK49" s="436"/>
      <c r="AL49" s="436"/>
      <c r="AM49" s="337"/>
      <c r="AO49" cm="1">
        <f t="array" aca="1" ref="AO49" ca="1">IF($A49="S",IF(BM!$I49=0,0,CHOOSE(MATCH(RegimeExecucao,{"Global","Unitário"},0),ROUND(ROUND(BM.MEDAcumulado,15-13*BM!$A$9)/100*BM!$I49,15-13*ORÇAMENTO!$AF$11),ROUND(ROUND(BM.MEDAcumulado,15-13*BM!$A$9)*ROUND(BM!$H49,15-13*ORÇAMENTO!$AF$10),15-13*ORÇAMENTO!$AF$11))),IF($A49=0,0,ROUND(SomaAgrupBM,15-13*ORÇAMENTO!$AF$11)))</f>
        <v>0</v>
      </c>
    </row>
    <row r="50" spans="1:41" ht="51" x14ac:dyDescent="0.2">
      <c r="A50" t="str">
        <f ca="1">ORÇAMENTO!C50</f>
        <v>S</v>
      </c>
      <c r="B50">
        <f ca="1">ORÇAMENTO!D50</f>
        <v>0</v>
      </c>
      <c r="C50" s="113" t="str">
        <f t="shared" ca="1" si="1"/>
        <v>F</v>
      </c>
      <c r="D50" s="116" t="str">
        <f ca="1">ORÇAMENTO!O50</f>
        <v>1.7.2.</v>
      </c>
      <c r="E50" s="162" t="str">
        <f t="shared" si="2"/>
        <v>GUIA (MEIO-FIO) E SARJETA CONJUGADOS DE CONCRETO, MOLDADA IN LOCO EM TRECHO CURVO COM EXTRUSORA, 45 CM BASE (15 CM BASE DA GUIA + 30 CM BASE DA SARJETA) X 22 CM ALTURA. AF_01/2024</v>
      </c>
      <c r="F50" s="163" t="str" cm="1">
        <f t="array" aca="1" ref="F50" ca="1">IF(RegimeExecucao="Global","",ORÇAMENTO.Unidade)</f>
        <v>M</v>
      </c>
      <c r="G50" s="121" cm="1">
        <f t="array" aca="1" ref="G50" ca="1">IF(RegimeExecucao="Global","",ORÇAMENTO!T50)</f>
        <v>641.41999999999996</v>
      </c>
      <c r="H50" s="121" cm="1">
        <f t="array" aca="1" ref="H50" ca="1">IF(RegimeExecucao="Global","",ORÇAMENTO!W50)</f>
        <v>69.040000000000006</v>
      </c>
      <c r="I50" s="124">
        <f ca="1">ORÇAMENTO!X50</f>
        <v>44283.64</v>
      </c>
      <c r="J50" s="332" cm="1">
        <f t="array" aca="1" ref="J50" ca="1">IF($A50="S",IF(CAIXA.Modo,BM.AFAnterior,BM.MEDAnterior),IF(AND(RegimeExecucao="Global",$I50&gt;0,COUNTIF($AB$13:$AM$13,BM.medicao-1)&gt;0),M50/$I50*100,0))</f>
        <v>0</v>
      </c>
      <c r="K50" s="121">
        <f t="shared" ca="1" si="3"/>
        <v>0</v>
      </c>
      <c r="L50" s="333" cm="1">
        <f t="array" aca="1" ref="L50" ca="1">IF($A50="S",IF(CAIXA.Modo,BM.AFAcumulado,BM.MEDAcumulado),IF(AND(RegimeExecucao="Global",$I50&gt;0,COUNTIF($AB$13:$AM$13,BM.medicao)&gt;0),O50/$I50*100,0))</f>
        <v>0</v>
      </c>
      <c r="M50" s="334" cm="1">
        <f t="array" aca="1" ref="M50" ca="1">IF($A50="S",VTOTALBM,IF($A50=0,0,ROUND(SomaAgrupBM,15-13*ORÇAMENTO!$AF$11)))</f>
        <v>0</v>
      </c>
      <c r="N50" s="335">
        <f t="shared" ca="1" si="4"/>
        <v>0</v>
      </c>
      <c r="O50" s="124" cm="1">
        <f t="array" aca="1" ref="O50" ca="1">IF($A50="S",VTOTALBM,IF($A50=0,0,ROUND(SomaAgrupBM,15-13*ORÇAMENTO!$AF$11)))</f>
        <v>0</v>
      </c>
      <c r="Q50" s="336"/>
      <c r="R50" s="337"/>
      <c r="T50" s="116" t="str">
        <f t="shared" ca="1" si="5"/>
        <v/>
      </c>
      <c r="U50" s="162" t="str">
        <f t="shared" ca="1" si="6"/>
        <v/>
      </c>
      <c r="V50" s="163" t="str" cm="1">
        <f t="array" aca="1" ref="V50" ca="1">IF(AND($W50&gt;0,RegimeExecucao="Unitário"),$F50,"")</f>
        <v/>
      </c>
      <c r="W50" s="453" cm="1">
        <f t="array" aca="1" ref="W50" ca="1">IF($Y50&gt;0,CHOOSE(MATCH(RegimeExecucao,{"Unitário","Global"},0),IF($A50="S",$Y50/$X50,""),($Y50/$X50)*100),0)</f>
        <v>0</v>
      </c>
      <c r="X50" s="338" t="str" cm="1">
        <f t="array" aca="1" ref="X50" ca="1">IF($Y50&gt;0,CHOOSE(MATCH(RegimeExecucao,{"Unitário","Global"},0),IF($A50="S",ROUND($H50,ORÇAMENTO!$AF$10),""),ROUND($I50,ORÇAMENTO!$AF$11)),"")</f>
        <v/>
      </c>
      <c r="Y50" s="338">
        <f t="shared" ca="1" si="7"/>
        <v>0</v>
      </c>
      <c r="Z50" s="472"/>
      <c r="AB50" s="336"/>
      <c r="AC50" s="436"/>
      <c r="AD50" s="436"/>
      <c r="AE50" s="436"/>
      <c r="AF50" s="436"/>
      <c r="AG50" s="436"/>
      <c r="AH50" s="436"/>
      <c r="AI50" s="436"/>
      <c r="AJ50" s="436"/>
      <c r="AK50" s="436"/>
      <c r="AL50" s="436"/>
      <c r="AM50" s="337"/>
      <c r="AO50" cm="1">
        <f t="array" aca="1" ref="AO50" ca="1">IF($A50="S",IF(BM!$I50=0,0,CHOOSE(MATCH(RegimeExecucao,{"Global","Unitário"},0),ROUND(ROUND(BM.MEDAcumulado,15-13*BM!$A$9)/100*BM!$I50,15-13*ORÇAMENTO!$AF$11),ROUND(ROUND(BM.MEDAcumulado,15-13*BM!$A$9)*ROUND(BM!$H50,15-13*ORÇAMENTO!$AF$10),15-13*ORÇAMENTO!$AF$11))),IF($A50=0,0,ROUND(SomaAgrupBM,15-13*ORÇAMENTO!$AF$11)))</f>
        <v>0</v>
      </c>
    </row>
    <row r="51" spans="1:41" ht="25.5" x14ac:dyDescent="0.2">
      <c r="A51" t="str">
        <f ca="1">ORÇAMENTO!C51</f>
        <v>S</v>
      </c>
      <c r="B51">
        <f ca="1">ORÇAMENTO!D51</f>
        <v>0</v>
      </c>
      <c r="C51" s="113" t="str">
        <f t="shared" ca="1" si="1"/>
        <v>F</v>
      </c>
      <c r="D51" s="116" t="str">
        <f ca="1">ORÇAMENTO!O51</f>
        <v>1.7.3.</v>
      </c>
      <c r="E51" s="162" t="str">
        <f t="shared" si="2"/>
        <v>EXECUÇÃO DE PAVIMENTO EM PISO INTERTRAVADO, COM BLOCO 16 FACES DE 22 X 11 CM, ESPESSURA 8 CM. AF_10/2022</v>
      </c>
      <c r="F51" s="163" t="str" cm="1">
        <f t="array" aca="1" ref="F51" ca="1">IF(RegimeExecucao="Global","",ORÇAMENTO.Unidade)</f>
        <v>M2</v>
      </c>
      <c r="G51" s="121" cm="1">
        <f t="array" aca="1" ref="G51" ca="1">IF(RegimeExecucao="Global","",ORÇAMENTO!T51)</f>
        <v>1685.74</v>
      </c>
      <c r="H51" s="121" cm="1">
        <f t="array" aca="1" ref="H51" ca="1">IF(RegimeExecucao="Global","",ORÇAMENTO!W51)</f>
        <v>93.31</v>
      </c>
      <c r="I51" s="124">
        <f ca="1">ORÇAMENTO!X51</f>
        <v>157296.4</v>
      </c>
      <c r="J51" s="332" cm="1">
        <f t="array" aca="1" ref="J51" ca="1">IF($A51="S",IF(CAIXA.Modo,BM.AFAnterior,BM.MEDAnterior),IF(AND(RegimeExecucao="Global",$I51&gt;0,COUNTIF($AB$13:$AM$13,BM.medicao-1)&gt;0),M51/$I51*100,0))</f>
        <v>0</v>
      </c>
      <c r="K51" s="121">
        <f t="shared" ca="1" si="3"/>
        <v>0</v>
      </c>
      <c r="L51" s="333" cm="1">
        <f t="array" aca="1" ref="L51" ca="1">IF($A51="S",IF(CAIXA.Modo,BM.AFAcumulado,BM.MEDAcumulado),IF(AND(RegimeExecucao="Global",$I51&gt;0,COUNTIF($AB$13:$AM$13,BM.medicao)&gt;0),O51/$I51*100,0))</f>
        <v>0</v>
      </c>
      <c r="M51" s="334" cm="1">
        <f t="array" aca="1" ref="M51" ca="1">IF($A51="S",VTOTALBM,IF($A51=0,0,ROUND(SomaAgrupBM,15-13*ORÇAMENTO!$AF$11)))</f>
        <v>0</v>
      </c>
      <c r="N51" s="335">
        <f t="shared" ca="1" si="4"/>
        <v>0</v>
      </c>
      <c r="O51" s="124" cm="1">
        <f t="array" aca="1" ref="O51" ca="1">IF($A51="S",VTOTALBM,IF($A51=0,0,ROUND(SomaAgrupBM,15-13*ORÇAMENTO!$AF$11)))</f>
        <v>0</v>
      </c>
      <c r="Q51" s="336"/>
      <c r="R51" s="337"/>
      <c r="T51" s="116" t="str">
        <f t="shared" ca="1" si="5"/>
        <v/>
      </c>
      <c r="U51" s="162" t="str">
        <f t="shared" ca="1" si="6"/>
        <v/>
      </c>
      <c r="V51" s="163" t="str" cm="1">
        <f t="array" aca="1" ref="V51" ca="1">IF(AND($W51&gt;0,RegimeExecucao="Unitário"),$F51,"")</f>
        <v/>
      </c>
      <c r="W51" s="453" cm="1">
        <f t="array" aca="1" ref="W51" ca="1">IF($Y51&gt;0,CHOOSE(MATCH(RegimeExecucao,{"Unitário","Global"},0),IF($A51="S",$Y51/$X51,""),($Y51/$X51)*100),0)</f>
        <v>0</v>
      </c>
      <c r="X51" s="338" t="str" cm="1">
        <f t="array" aca="1" ref="X51" ca="1">IF($Y51&gt;0,CHOOSE(MATCH(RegimeExecucao,{"Unitário","Global"},0),IF($A51="S",ROUND($H51,ORÇAMENTO!$AF$10),""),ROUND($I51,ORÇAMENTO!$AF$11)),"")</f>
        <v/>
      </c>
      <c r="Y51" s="338">
        <f t="shared" ca="1" si="7"/>
        <v>0</v>
      </c>
      <c r="Z51" s="472"/>
      <c r="AB51" s="336"/>
      <c r="AC51" s="436"/>
      <c r="AD51" s="436"/>
      <c r="AE51" s="436"/>
      <c r="AF51" s="436"/>
      <c r="AG51" s="436"/>
      <c r="AH51" s="436"/>
      <c r="AI51" s="436"/>
      <c r="AJ51" s="436"/>
      <c r="AK51" s="436"/>
      <c r="AL51" s="436"/>
      <c r="AM51" s="337"/>
      <c r="AO51" cm="1">
        <f t="array" aca="1" ref="AO51" ca="1">IF($A51="S",IF(BM!$I51=0,0,CHOOSE(MATCH(RegimeExecucao,{"Global","Unitário"},0),ROUND(ROUND(BM.MEDAcumulado,15-13*BM!$A$9)/100*BM!$I51,15-13*ORÇAMENTO!$AF$11),ROUND(ROUND(BM.MEDAcumulado,15-13*BM!$A$9)*ROUND(BM!$H51,15-13*ORÇAMENTO!$AF$10),15-13*ORÇAMENTO!$AF$11))),IF($A51=0,0,ROUND(SomaAgrupBM,15-13*ORÇAMENTO!$AF$11)))</f>
        <v>0</v>
      </c>
    </row>
    <row r="52" spans="1:41" ht="38.25" x14ac:dyDescent="0.2">
      <c r="A52" t="str">
        <f ca="1">ORÇAMENTO!C52</f>
        <v>S</v>
      </c>
      <c r="B52">
        <f ca="1">ORÇAMENTO!D52</f>
        <v>0</v>
      </c>
      <c r="C52" s="113" t="str">
        <f t="shared" ca="1" si="1"/>
        <v>F</v>
      </c>
      <c r="D52" s="116" t="str">
        <f ca="1">ORÇAMENTO!O52</f>
        <v>1.7.4.</v>
      </c>
      <c r="E52" s="162" t="str">
        <f t="shared" si="2"/>
        <v>TRANSPORTE COM CAMINHÃO BASCULANTE DE 10 M³, EM VIA URBANA EM REVESTIMENTO PRIMÁRIO (UNIDADE:
 M3XKM). AF_07/2020</v>
      </c>
      <c r="F52" s="163" t="str" cm="1">
        <f t="array" aca="1" ref="F52" ca="1">IF(RegimeExecucao="Global","",ORÇAMENTO.Unidade)</f>
        <v>M3XKM</v>
      </c>
      <c r="G52" s="121" cm="1">
        <f t="array" aca="1" ref="G52" ca="1">IF(RegimeExecucao="Global","",ORÇAMENTO!T52)</f>
        <v>2778.11</v>
      </c>
      <c r="H52" s="121" cm="1">
        <f t="array" aca="1" ref="H52" ca="1">IF(RegimeExecucao="Global","",ORÇAMENTO!W52)</f>
        <v>2.8</v>
      </c>
      <c r="I52" s="124">
        <f ca="1">ORÇAMENTO!X52</f>
        <v>7778.71</v>
      </c>
      <c r="J52" s="332" cm="1">
        <f t="array" aca="1" ref="J52" ca="1">IF($A52="S",IF(CAIXA.Modo,BM.AFAnterior,BM.MEDAnterior),IF(AND(RegimeExecucao="Global",$I52&gt;0,COUNTIF($AB$13:$AM$13,BM.medicao-1)&gt;0),M52/$I52*100,0))</f>
        <v>0</v>
      </c>
      <c r="K52" s="121">
        <f t="shared" ca="1" si="3"/>
        <v>0</v>
      </c>
      <c r="L52" s="333" cm="1">
        <f t="array" aca="1" ref="L52" ca="1">IF($A52="S",IF(CAIXA.Modo,BM.AFAcumulado,BM.MEDAcumulado),IF(AND(RegimeExecucao="Global",$I52&gt;0,COUNTIF($AB$13:$AM$13,BM.medicao)&gt;0),O52/$I52*100,0))</f>
        <v>0</v>
      </c>
      <c r="M52" s="334" cm="1">
        <f t="array" aca="1" ref="M52" ca="1">IF($A52="S",VTOTALBM,IF($A52=0,0,ROUND(SomaAgrupBM,15-13*ORÇAMENTO!$AF$11)))</f>
        <v>0</v>
      </c>
      <c r="N52" s="335">
        <f t="shared" ca="1" si="4"/>
        <v>0</v>
      </c>
      <c r="O52" s="124" cm="1">
        <f t="array" aca="1" ref="O52" ca="1">IF($A52="S",VTOTALBM,IF($A52=0,0,ROUND(SomaAgrupBM,15-13*ORÇAMENTO!$AF$11)))</f>
        <v>0</v>
      </c>
      <c r="Q52" s="336"/>
      <c r="R52" s="337"/>
      <c r="T52" s="116" t="str">
        <f t="shared" ca="1" si="5"/>
        <v/>
      </c>
      <c r="U52" s="162" t="str">
        <f t="shared" ca="1" si="6"/>
        <v/>
      </c>
      <c r="V52" s="163" t="str" cm="1">
        <f t="array" aca="1" ref="V52" ca="1">IF(AND($W52&gt;0,RegimeExecucao="Unitário"),$F52,"")</f>
        <v/>
      </c>
      <c r="W52" s="453" cm="1">
        <f t="array" aca="1" ref="W52" ca="1">IF($Y52&gt;0,CHOOSE(MATCH(RegimeExecucao,{"Unitário","Global"},0),IF($A52="S",$Y52/$X52,""),($Y52/$X52)*100),0)</f>
        <v>0</v>
      </c>
      <c r="X52" s="338" t="str" cm="1">
        <f t="array" aca="1" ref="X52" ca="1">IF($Y52&gt;0,CHOOSE(MATCH(RegimeExecucao,{"Unitário","Global"},0),IF($A52="S",ROUND($H52,ORÇAMENTO!$AF$10),""),ROUND($I52,ORÇAMENTO!$AF$11)),"")</f>
        <v/>
      </c>
      <c r="Y52" s="338">
        <f t="shared" ca="1" si="7"/>
        <v>0</v>
      </c>
      <c r="Z52" s="472"/>
      <c r="AB52" s="336"/>
      <c r="AC52" s="436"/>
      <c r="AD52" s="436"/>
      <c r="AE52" s="436"/>
      <c r="AF52" s="436"/>
      <c r="AG52" s="436"/>
      <c r="AH52" s="436"/>
      <c r="AI52" s="436"/>
      <c r="AJ52" s="436"/>
      <c r="AK52" s="436"/>
      <c r="AL52" s="436"/>
      <c r="AM52" s="337"/>
      <c r="AO52" cm="1">
        <f t="array" aca="1" ref="AO52" ca="1">IF($A52="S",IF(BM!$I52=0,0,CHOOSE(MATCH(RegimeExecucao,{"Global","Unitário"},0),ROUND(ROUND(BM.MEDAcumulado,15-13*BM!$A$9)/100*BM!$I52,15-13*ORÇAMENTO!$AF$11),ROUND(ROUND(BM.MEDAcumulado,15-13*BM!$A$9)*ROUND(BM!$H52,15-13*ORÇAMENTO!$AF$10),15-13*ORÇAMENTO!$AF$11))),IF($A52=0,0,ROUND(SomaAgrupBM,15-13*ORÇAMENTO!$AF$11)))</f>
        <v>0</v>
      </c>
    </row>
    <row r="53" spans="1:41" x14ac:dyDescent="0.2">
      <c r="A53">
        <f ca="1">ORÇAMENTO!C53</f>
        <v>2</v>
      </c>
      <c r="B53">
        <f ca="1">ORÇAMENTO!D53</f>
        <v>2</v>
      </c>
      <c r="C53" s="113" t="str">
        <f t="shared" ca="1" si="1"/>
        <v>F</v>
      </c>
      <c r="D53" s="116" t="str">
        <f ca="1">ORÇAMENTO!O53</f>
        <v>1.8.</v>
      </c>
      <c r="E53" s="162" t="str">
        <f t="shared" si="2"/>
        <v>SERVIÇOS COMPLEMENTARES</v>
      </c>
      <c r="F53" s="163" t="str" cm="1">
        <f t="array" aca="1" ref="F53" ca="1">IF(RegimeExecucao="Global","",ORÇAMENTO.Unidade)</f>
        <v>-</v>
      </c>
      <c r="G53" s="121" cm="1">
        <f t="array" aca="1" ref="G53" ca="1">IF(RegimeExecucao="Global","",ORÇAMENTO!T53)</f>
        <v>0</v>
      </c>
      <c r="H53" s="121" cm="1">
        <f t="array" aca="1" ref="H53" ca="1">IF(RegimeExecucao="Global","",ORÇAMENTO!W53)</f>
        <v>0</v>
      </c>
      <c r="I53" s="124">
        <f ca="1">ORÇAMENTO!X53</f>
        <v>5610.47</v>
      </c>
      <c r="J53" s="332" cm="1">
        <f t="array" aca="1" ref="J53" ca="1">IF($A53="S",IF(CAIXA.Modo,BM.AFAnterior,BM.MEDAnterior),IF(AND(RegimeExecucao="Global",$I53&gt;0,COUNTIF($AB$13:$AM$13,BM.medicao-1)&gt;0),M53/$I53*100,0))</f>
        <v>0</v>
      </c>
      <c r="K53" s="121">
        <f t="shared" ca="1" si="3"/>
        <v>0</v>
      </c>
      <c r="L53" s="333" cm="1">
        <f t="array" aca="1" ref="L53" ca="1">IF($A53="S",IF(CAIXA.Modo,BM.AFAcumulado,BM.MEDAcumulado),IF(AND(RegimeExecucao="Global",$I53&gt;0,COUNTIF($AB$13:$AM$13,BM.medicao)&gt;0),O53/$I53*100,0))</f>
        <v>0</v>
      </c>
      <c r="M53" s="334" cm="1">
        <f t="array" aca="1" ref="M53" ca="1">IF($A53="S",VTOTALBM,IF($A53=0,0,ROUND(SomaAgrupBM,15-13*ORÇAMENTO!$AF$11)))</f>
        <v>0</v>
      </c>
      <c r="N53" s="335">
        <f t="shared" ca="1" si="4"/>
        <v>0</v>
      </c>
      <c r="O53" s="124" cm="1">
        <f t="array" aca="1" ref="O53" ca="1">IF($A53="S",VTOTALBM,IF($A53=0,0,ROUND(SomaAgrupBM,15-13*ORÇAMENTO!$AF$11)))</f>
        <v>0</v>
      </c>
      <c r="Q53" s="336"/>
      <c r="R53" s="337"/>
      <c r="T53" s="116" t="str">
        <f t="shared" ca="1" si="5"/>
        <v/>
      </c>
      <c r="U53" s="162" t="str">
        <f t="shared" ca="1" si="6"/>
        <v/>
      </c>
      <c r="V53" s="163" t="str" cm="1">
        <f t="array" aca="1" ref="V53" ca="1">IF(AND($W53&gt;0,RegimeExecucao="Unitário"),$F53,"")</f>
        <v/>
      </c>
      <c r="W53" s="453" cm="1">
        <f t="array" aca="1" ref="W53" ca="1">IF($Y53&gt;0,CHOOSE(MATCH(RegimeExecucao,{"Unitário","Global"},0),IF($A53="S",$Y53/$X53,""),($Y53/$X53)*100),0)</f>
        <v>0</v>
      </c>
      <c r="X53" s="338" t="str" cm="1">
        <f t="array" aca="1" ref="X53" ca="1">IF($Y53&gt;0,CHOOSE(MATCH(RegimeExecucao,{"Unitário","Global"},0),IF($A53="S",ROUND($H53,ORÇAMENTO!$AF$10),""),ROUND($I53,ORÇAMENTO!$AF$11)),"")</f>
        <v/>
      </c>
      <c r="Y53" s="338">
        <f t="shared" ca="1" si="7"/>
        <v>0</v>
      </c>
      <c r="Z53" s="472"/>
      <c r="AB53" s="336"/>
      <c r="AC53" s="436"/>
      <c r="AD53" s="436"/>
      <c r="AE53" s="436"/>
      <c r="AF53" s="436"/>
      <c r="AG53" s="436"/>
      <c r="AH53" s="436"/>
      <c r="AI53" s="436"/>
      <c r="AJ53" s="436"/>
      <c r="AK53" s="436"/>
      <c r="AL53" s="436"/>
      <c r="AM53" s="337"/>
      <c r="AO53" cm="1">
        <f t="array" aca="1" ref="AO53" ca="1">IF($A53="S",IF(BM!$I53=0,0,CHOOSE(MATCH(RegimeExecucao,{"Global","Unitário"},0),ROUND(ROUND(BM.MEDAcumulado,15-13*BM!$A$9)/100*BM!$I53,15-13*ORÇAMENTO!$AF$11),ROUND(ROUND(BM.MEDAcumulado,15-13*BM!$A$9)*ROUND(BM!$H53,15-13*ORÇAMENTO!$AF$10),15-13*ORÇAMENTO!$AF$11))),IF($A53=0,0,ROUND(SomaAgrupBM,15-13*ORÇAMENTO!$AF$11)))</f>
        <v>0</v>
      </c>
    </row>
    <row r="54" spans="1:41" x14ac:dyDescent="0.2">
      <c r="A54" t="str">
        <f ca="1">ORÇAMENTO!C54</f>
        <v>S</v>
      </c>
      <c r="B54">
        <f ca="1">ORÇAMENTO!D54</f>
        <v>0</v>
      </c>
      <c r="C54" s="113" t="str">
        <f t="shared" ca="1" si="1"/>
        <v>F</v>
      </c>
      <c r="D54" s="116" t="str">
        <f ca="1">ORÇAMENTO!O54</f>
        <v>1.8.1.</v>
      </c>
      <c r="E54" s="162" t="str">
        <f t="shared" si="2"/>
        <v>LIMPEZA FINAL PARA ENTREGA DA OBRA</v>
      </c>
      <c r="F54" s="163" t="str" cm="1">
        <f t="array" aca="1" ref="F54" ca="1">IF(RegimeExecucao="Global","",ORÇAMENTO.Unidade)</f>
        <v>M2</v>
      </c>
      <c r="G54" s="121" cm="1">
        <f t="array" aca="1" ref="G54" ca="1">IF(RegimeExecucao="Global","",ORÇAMENTO!T54)</f>
        <v>653.14</v>
      </c>
      <c r="H54" s="121" cm="1">
        <f t="array" aca="1" ref="H54" ca="1">IF(RegimeExecucao="Global","",ORÇAMENTO!W54)</f>
        <v>8.59</v>
      </c>
      <c r="I54" s="124">
        <f ca="1">ORÇAMENTO!X54</f>
        <v>5610.47</v>
      </c>
      <c r="J54" s="332" cm="1">
        <f t="array" aca="1" ref="J54" ca="1">IF($A54="S",IF(CAIXA.Modo,BM.AFAnterior,BM.MEDAnterior),IF(AND(RegimeExecucao="Global",$I54&gt;0,COUNTIF($AB$13:$AM$13,BM.medicao-1)&gt;0),M54/$I54*100,0))</f>
        <v>0</v>
      </c>
      <c r="K54" s="121">
        <f t="shared" ca="1" si="3"/>
        <v>0</v>
      </c>
      <c r="L54" s="333" cm="1">
        <f t="array" aca="1" ref="L54" ca="1">IF($A54="S",IF(CAIXA.Modo,BM.AFAcumulado,BM.MEDAcumulado),IF(AND(RegimeExecucao="Global",$I54&gt;0,COUNTIF($AB$13:$AM$13,BM.medicao)&gt;0),O54/$I54*100,0))</f>
        <v>0</v>
      </c>
      <c r="M54" s="334" cm="1">
        <f t="array" aca="1" ref="M54" ca="1">IF($A54="S",VTOTALBM,IF($A54=0,0,ROUND(SomaAgrupBM,15-13*ORÇAMENTO!$AF$11)))</f>
        <v>0</v>
      </c>
      <c r="N54" s="335">
        <f t="shared" ca="1" si="4"/>
        <v>0</v>
      </c>
      <c r="O54" s="124" cm="1">
        <f t="array" aca="1" ref="O54" ca="1">IF($A54="S",VTOTALBM,IF($A54=0,0,ROUND(SomaAgrupBM,15-13*ORÇAMENTO!$AF$11)))</f>
        <v>0</v>
      </c>
      <c r="Q54" s="336"/>
      <c r="R54" s="337"/>
      <c r="T54" s="116" t="str">
        <f t="shared" ca="1" si="5"/>
        <v/>
      </c>
      <c r="U54" s="162" t="str">
        <f t="shared" ca="1" si="6"/>
        <v/>
      </c>
      <c r="V54" s="163" t="str" cm="1">
        <f t="array" aca="1" ref="V54" ca="1">IF(AND($W54&gt;0,RegimeExecucao="Unitário"),$F54,"")</f>
        <v/>
      </c>
      <c r="W54" s="453" cm="1">
        <f t="array" aca="1" ref="W54" ca="1">IF($Y54&gt;0,CHOOSE(MATCH(RegimeExecucao,{"Unitário","Global"},0),IF($A54="S",$Y54/$X54,""),($Y54/$X54)*100),0)</f>
        <v>0</v>
      </c>
      <c r="X54" s="338" t="str" cm="1">
        <f t="array" aca="1" ref="X54" ca="1">IF($Y54&gt;0,CHOOSE(MATCH(RegimeExecucao,{"Unitário","Global"},0),IF($A54="S",ROUND($H54,ORÇAMENTO!$AF$10),""),ROUND($I54,ORÇAMENTO!$AF$11)),"")</f>
        <v/>
      </c>
      <c r="Y54" s="338">
        <f t="shared" ca="1" si="7"/>
        <v>0</v>
      </c>
      <c r="Z54" s="472"/>
      <c r="AB54" s="336"/>
      <c r="AC54" s="436"/>
      <c r="AD54" s="436"/>
      <c r="AE54" s="436"/>
      <c r="AF54" s="436"/>
      <c r="AG54" s="436"/>
      <c r="AH54" s="436"/>
      <c r="AI54" s="436"/>
      <c r="AJ54" s="436"/>
      <c r="AK54" s="436"/>
      <c r="AL54" s="436"/>
      <c r="AM54" s="337"/>
      <c r="AO54" cm="1">
        <f t="array" aca="1" ref="AO54" ca="1">IF($A54="S",IF(BM!$I54=0,0,CHOOSE(MATCH(RegimeExecucao,{"Global","Unitário"},0),ROUND(ROUND(BM.MEDAcumulado,15-13*BM!$A$9)/100*BM!$I54,15-13*ORÇAMENTO!$AF$11),ROUND(ROUND(BM.MEDAcumulado,15-13*BM!$A$9)*ROUND(BM!$H54,15-13*ORÇAMENTO!$AF$10),15-13*ORÇAMENTO!$AF$11))),IF($A54=0,0,ROUND(SomaAgrupBM,15-13*ORÇAMENTO!$AF$11)))</f>
        <v>0</v>
      </c>
    </row>
    <row r="55" spans="1:41" ht="5.0999999999999996" customHeight="1" x14ac:dyDescent="0.2">
      <c r="C55" s="113" t="s">
        <v>536</v>
      </c>
      <c r="D55" s="617"/>
      <c r="E55" s="618"/>
      <c r="F55" s="618"/>
      <c r="G55" s="618"/>
      <c r="H55" s="618"/>
      <c r="I55" s="418"/>
      <c r="J55" s="617"/>
      <c r="K55" s="618"/>
      <c r="L55" s="418"/>
      <c r="M55" s="433"/>
      <c r="N55" s="434"/>
      <c r="O55" s="435"/>
      <c r="Q55" s="617"/>
      <c r="R55" s="418"/>
      <c r="T55" s="617"/>
      <c r="U55" s="618"/>
      <c r="V55" s="618"/>
      <c r="W55" s="618"/>
      <c r="X55" s="618"/>
      <c r="Y55" s="618"/>
      <c r="Z55" s="418"/>
      <c r="AB55" s="617"/>
      <c r="AC55" s="618"/>
      <c r="AD55" s="618"/>
      <c r="AE55" s="618"/>
      <c r="AF55" s="618"/>
      <c r="AG55" s="618"/>
      <c r="AH55" s="618"/>
      <c r="AI55" s="618"/>
      <c r="AJ55" s="618"/>
      <c r="AK55" s="618"/>
      <c r="AL55" s="618"/>
      <c r="AM55" s="418"/>
    </row>
    <row r="57" spans="1:41" ht="14.25" x14ac:dyDescent="0.2">
      <c r="D57" s="809" t="s">
        <v>689</v>
      </c>
      <c r="E57" s="809"/>
      <c r="F57" s="809"/>
      <c r="G57" s="809"/>
      <c r="H57" s="809"/>
      <c r="I57" s="809"/>
      <c r="J57" s="809"/>
      <c r="K57" s="809"/>
      <c r="L57" s="809"/>
      <c r="M57" s="809"/>
      <c r="N57" s="809"/>
      <c r="O57" s="809"/>
      <c r="T57" s="810" t="s">
        <v>865</v>
      </c>
      <c r="U57" s="810"/>
      <c r="V57" s="810"/>
      <c r="W57" s="810"/>
      <c r="X57" s="810"/>
      <c r="Y57" s="810"/>
      <c r="Z57" s="810"/>
    </row>
    <row r="58" spans="1:41" ht="12.75" customHeight="1" x14ac:dyDescent="0.2">
      <c r="D58" s="720"/>
      <c r="E58" s="720"/>
      <c r="F58" s="720"/>
      <c r="G58" s="720"/>
      <c r="H58" s="720"/>
      <c r="I58" s="720"/>
      <c r="J58" s="720"/>
      <c r="K58" s="720"/>
      <c r="L58" s="720"/>
      <c r="M58" s="720"/>
      <c r="N58" s="720"/>
      <c r="O58" s="720"/>
      <c r="T58" s="811"/>
      <c r="U58" s="811"/>
      <c r="V58" s="811"/>
      <c r="W58" s="811"/>
      <c r="X58" s="811"/>
      <c r="Y58" s="811"/>
      <c r="Z58" s="811"/>
    </row>
    <row r="59" spans="1:41" ht="12.75" customHeight="1" x14ac:dyDescent="0.2">
      <c r="D59" s="720"/>
      <c r="E59" s="720"/>
      <c r="F59" s="720"/>
      <c r="G59" s="720"/>
      <c r="H59" s="720"/>
      <c r="I59" s="720"/>
      <c r="J59" s="720"/>
      <c r="K59" s="720"/>
      <c r="L59" s="720"/>
      <c r="M59" s="720"/>
      <c r="N59" s="720"/>
      <c r="O59" s="720"/>
      <c r="T59" s="811"/>
      <c r="U59" s="811"/>
      <c r="V59" s="811"/>
      <c r="W59" s="811"/>
      <c r="X59" s="811"/>
      <c r="Y59" s="811"/>
      <c r="Z59" s="811"/>
    </row>
    <row r="60" spans="1:41" ht="12.75" customHeight="1" x14ac:dyDescent="0.2">
      <c r="D60" s="720"/>
      <c r="E60" s="720"/>
      <c r="F60" s="720"/>
      <c r="G60" s="720"/>
      <c r="H60" s="720"/>
      <c r="I60" s="720"/>
      <c r="J60" s="720"/>
      <c r="K60" s="720"/>
      <c r="L60" s="720"/>
      <c r="M60" s="720"/>
      <c r="N60" s="720"/>
      <c r="O60" s="720"/>
      <c r="T60" s="811"/>
      <c r="U60" s="811"/>
      <c r="V60" s="811"/>
      <c r="W60" s="811"/>
      <c r="X60" s="811"/>
      <c r="Y60" s="811"/>
      <c r="Z60" s="811"/>
    </row>
    <row r="61" spans="1:41" ht="14.25" x14ac:dyDescent="0.2">
      <c r="D61" s="442"/>
      <c r="E61" s="442"/>
      <c r="F61" s="442"/>
      <c r="G61" s="442"/>
      <c r="H61" s="442"/>
      <c r="I61" s="442"/>
      <c r="J61" s="442"/>
      <c r="K61" s="442"/>
      <c r="L61" s="442"/>
      <c r="M61" s="442"/>
      <c r="N61" s="442"/>
      <c r="O61" s="442"/>
    </row>
    <row r="62" spans="1:41" ht="15" customHeight="1" x14ac:dyDescent="0.25">
      <c r="D62" s="721" t="str" cm="1">
        <f t="array" aca="1" ref="D62" ca="1">IF(OR(AND(ORÇAMENTO!$AF$7=FALSE,ORÇAMENTO!$AF$10=FALSE,RegimeExecucao="Global"),AND(ORÇAMENTO!$AF$7=FALSE,ORÇAMENTO!$AF$10=FALSE,ORÇAMENTO!$AF$11=FALSE,BM!$A$9=FALSE)),"Não foi considerado arredondamento nos valores da planilha.",CONCATENATE("Foi considerado arredondamento de duas casas decimais para ",IF(AND(RegimeExecucao="Unitário",ORÇAMENTO!$AF$7=TRUE),"Quantidade; ",""),IF(AND(RegimeExecucao="Unitário",ORÇAMENTO!$AF$10=TRUE),"Preço unitário; ",""),IF(ORÇAMENTO!$AF$11=TRUE,"Preço total; ",""),,IF(BM!$A$9=TRUE,"Medição.","")))</f>
        <v>Foi considerado arredondamento de duas casas decimais para Quantidade; Preço unitário; Preço total; Medição.</v>
      </c>
      <c r="E62" s="721"/>
      <c r="F62" s="721"/>
      <c r="G62" s="721"/>
      <c r="H62" s="721"/>
      <c r="I62" s="721"/>
      <c r="J62" s="721"/>
      <c r="K62" s="721"/>
      <c r="L62" s="721"/>
    </row>
    <row r="63" spans="1:41" x14ac:dyDescent="0.2">
      <c r="D63" s="807"/>
      <c r="E63" s="807"/>
      <c r="F63" s="807"/>
      <c r="G63" s="807"/>
      <c r="H63" s="807"/>
      <c r="I63" s="807"/>
    </row>
    <row r="64" spans="1:41" x14ac:dyDescent="0.2">
      <c r="D64" s="805" t="str">
        <f>IF(CAIXA.Modo,"","Os serviços medidos informados neste BM encontram-se concluídos, estão em conformidade com os projetos e especificações aceitos pela CAIXA e foram executados de acordo com as normas técnicas.")</f>
        <v>Os serviços medidos informados neste BM encontram-se concluídos, estão em conformidade com os projetos e especificações aceitos pela CAIXA e foram executados de acordo com as normas técnicas.</v>
      </c>
      <c r="E64" s="805"/>
      <c r="F64" s="805"/>
      <c r="G64" s="805"/>
      <c r="H64" s="805"/>
      <c r="I64" s="805"/>
      <c r="J64" s="805"/>
      <c r="K64" s="805"/>
      <c r="L64" s="805"/>
      <c r="M64" s="805"/>
      <c r="N64" s="805"/>
      <c r="O64" s="805"/>
    </row>
    <row r="65" spans="5:26" ht="39.950000000000003" customHeight="1" x14ac:dyDescent="0.25">
      <c r="E65" s="137" t="str">
        <f>Import.Município</f>
        <v>Liberdade - MG</v>
      </c>
      <c r="J65" s="584" t="str">
        <f ca="1">IF(DADOS!$D$50&lt;&gt;"","Preencher os Dados do Responsável pela Fiscalização, na aba DADOS.","")</f>
        <v/>
      </c>
      <c r="K65" s="584"/>
      <c r="L65" s="584"/>
      <c r="M65" s="584"/>
      <c r="W65" s="806"/>
      <c r="X65" s="806"/>
      <c r="Y65" s="806"/>
      <c r="Z65" s="806"/>
    </row>
    <row r="66" spans="5:26" x14ac:dyDescent="0.2">
      <c r="E66" s="9" t="s">
        <v>693</v>
      </c>
      <c r="J66" s="180" t="s">
        <v>841</v>
      </c>
      <c r="W66" s="180" t="s">
        <v>866</v>
      </c>
    </row>
    <row r="67" spans="5:26" x14ac:dyDescent="0.2">
      <c r="J67" s="76" t="s">
        <v>240</v>
      </c>
      <c r="K67" s="270" t="str">
        <f t="array" ref="K67:K70">Import.RespFiscalização</f>
        <v>Antônio Carlos Sampaio Alves</v>
      </c>
      <c r="L67" s="77"/>
      <c r="W67" s="76" t="s">
        <v>240</v>
      </c>
      <c r="X67" s="804"/>
      <c r="Y67" s="804"/>
      <c r="Z67" s="804"/>
    </row>
    <row r="68" spans="5:26" x14ac:dyDescent="0.2">
      <c r="E68" s="458">
        <f>DADOS!$C$48</f>
        <v>0</v>
      </c>
      <c r="J68" s="76" t="s">
        <v>319</v>
      </c>
      <c r="K68" s="270" t="str">
        <v>Engenheiro Civil</v>
      </c>
      <c r="L68" s="77"/>
      <c r="W68" s="76" t="s">
        <v>867</v>
      </c>
      <c r="X68" s="804"/>
      <c r="Y68" s="804"/>
      <c r="Z68" s="804"/>
    </row>
    <row r="69" spans="5:26" x14ac:dyDescent="0.2">
      <c r="E69" s="139" t="s">
        <v>694</v>
      </c>
      <c r="J69" s="76" t="s">
        <v>243</v>
      </c>
      <c r="K69" s="270" t="str">
        <v>214010-D</v>
      </c>
      <c r="L69" s="77"/>
      <c r="W69" s="76" t="s">
        <v>243</v>
      </c>
      <c r="X69" s="804"/>
      <c r="Y69" s="804"/>
      <c r="Z69" s="804"/>
    </row>
    <row r="70" spans="5:26" x14ac:dyDescent="0.2">
      <c r="J70" s="76" t="s">
        <v>246</v>
      </c>
      <c r="K70" s="12" t="str">
        <v>MG 20254192207</v>
      </c>
      <c r="W70" s="76"/>
      <c r="X70" s="12"/>
    </row>
  </sheetData>
  <sheetProtection algorithmName="SHA-512" hashValue="DoEz85aYi7haGc5ikSy8rk4DnHrBVeFGhYcyIow8uAMD2sURSB/L53LNIWi8tHhOH4hJcZA+taY2CaeAV5kQYg==" saltValue="2pobTSo0kUqaS+eJb4gvsw==" spinCount="100000" sheet="1" objects="1" scenarios="1" autoFilter="0"/>
  <autoFilter ref="C15:C55"/>
  <mergeCells count="33">
    <mergeCell ref="D5:E5"/>
    <mergeCell ref="F5:H5"/>
    <mergeCell ref="J5:N5"/>
    <mergeCell ref="A3:B3"/>
    <mergeCell ref="D4:E4"/>
    <mergeCell ref="F4:H4"/>
    <mergeCell ref="J4:N4"/>
    <mergeCell ref="C8:C12"/>
    <mergeCell ref="F8:H8"/>
    <mergeCell ref="I8:L8"/>
    <mergeCell ref="M8:N8"/>
    <mergeCell ref="F10:I11"/>
    <mergeCell ref="AB11:AM11"/>
    <mergeCell ref="J12:L12"/>
    <mergeCell ref="M12:O12"/>
    <mergeCell ref="Q12:R12"/>
    <mergeCell ref="F7:H7"/>
    <mergeCell ref="I7:L7"/>
    <mergeCell ref="M7:N7"/>
    <mergeCell ref="T11:U11"/>
    <mergeCell ref="D62:L62"/>
    <mergeCell ref="D63:I63"/>
    <mergeCell ref="AB15:AM15"/>
    <mergeCell ref="D57:O57"/>
    <mergeCell ref="T57:Z57"/>
    <mergeCell ref="D58:O60"/>
    <mergeCell ref="T58:Z60"/>
    <mergeCell ref="D15:E15"/>
    <mergeCell ref="X69:Z69"/>
    <mergeCell ref="D64:O64"/>
    <mergeCell ref="W65:Z65"/>
    <mergeCell ref="X67:Z67"/>
    <mergeCell ref="X68:Z68"/>
  </mergeCells>
  <phoneticPr fontId="38" type="noConversion"/>
  <conditionalFormatting sqref="D14:O14 T14:Z14 D16:O18 T16:Z18 T20:Z24 D20:O24 D27:O42 T27:Z42 T48:Z54 D48:O54">
    <cfRule type="expression" dxfId="86" priority="18327" stopIfTrue="1">
      <formula>OR(ACOMPANHAMENTO="PLE",TIPOORCAMENTO="Proposto",$L14&lt;0,AND($L14&gt;100,RegimeExecucao="Global"),$O14&gt;$I14,$O14&lt;0)</formula>
    </cfRule>
    <cfRule type="expression" dxfId="85" priority="18328" stopIfTrue="1">
      <formula>$A14=1</formula>
    </cfRule>
    <cfRule type="expression" dxfId="84" priority="18329" stopIfTrue="1">
      <formula>$A14&lt;&gt;"S"</formula>
    </cfRule>
  </conditionalFormatting>
  <conditionalFormatting sqref="Q14:R14 AB14:AM14 Q16:R18 AB16:AM18 AB20:AM24 Q20:R24 Q27:R42 AB27:AM42 AB48:AM54 Q48:R54">
    <cfRule type="expression" dxfId="83" priority="18330" stopIfTrue="1">
      <formula>$A14=1</formula>
    </cfRule>
    <cfRule type="expression" dxfId="82" priority="18331" stopIfTrue="1">
      <formula>$A14&lt;&gt;"S"</formula>
    </cfRule>
  </conditionalFormatting>
  <conditionalFormatting sqref="E2">
    <cfRule type="expression" dxfId="81" priority="18332" stopIfTrue="1">
      <formula>Import.RegimeExecução="(SELECIONAR)"</formula>
    </cfRule>
  </conditionalFormatting>
  <conditionalFormatting sqref="F13:H13">
    <cfRule type="expression" dxfId="80" priority="18333" stopIfTrue="1">
      <formula>RegimeExecucao="Global"</formula>
    </cfRule>
  </conditionalFormatting>
  <conditionalFormatting sqref="D15:O15">
    <cfRule type="expression" dxfId="79" priority="18334" stopIfTrue="1">
      <formula>OR(ACOMPANHAMENTO="PLE",TIPOORCAMENTO="Proposto")</formula>
    </cfRule>
  </conditionalFormatting>
  <conditionalFormatting sqref="AB13">
    <cfRule type="cellIs" dxfId="78" priority="18335" stopIfTrue="1" operator="notEqual">
      <formula>1</formula>
    </cfRule>
  </conditionalFormatting>
  <conditionalFormatting sqref="O11">
    <cfRule type="expression" dxfId="77" priority="13194">
      <formula>ROUND($P$11,4)&gt;ROUND($P$10,4)</formula>
    </cfRule>
  </conditionalFormatting>
  <conditionalFormatting sqref="D43:O45 T43:Z45">
    <cfRule type="expression" dxfId="76" priority="161" stopIfTrue="1">
      <formula>OR(ACOMPANHAMENTO="PLE",TIPOORCAMENTO="Proposto",$L43&lt;0,AND($L43&gt;100,RegimeExecucao="Global"),$O43&gt;$I43,$O43&lt;0)</formula>
    </cfRule>
    <cfRule type="expression" dxfId="75" priority="162" stopIfTrue="1">
      <formula>$A43=1</formula>
    </cfRule>
    <cfRule type="expression" dxfId="74" priority="163" stopIfTrue="1">
      <formula>$A43&lt;&gt;"S"</formula>
    </cfRule>
  </conditionalFormatting>
  <conditionalFormatting sqref="Q43:R45 AB43:AM45">
    <cfRule type="expression" dxfId="73" priority="164" stopIfTrue="1">
      <formula>$A43=1</formula>
    </cfRule>
    <cfRule type="expression" dxfId="72" priority="165" stopIfTrue="1">
      <formula>$A43&lt;&gt;"S"</formula>
    </cfRule>
  </conditionalFormatting>
  <conditionalFormatting sqref="D46:O46 T46:Z46">
    <cfRule type="expression" dxfId="71" priority="36" stopIfTrue="1">
      <formula>OR(ACOMPANHAMENTO="PLE",TIPOORCAMENTO="Proposto",$L46&lt;0,AND($L46&gt;100,RegimeExecucao="Global"),$O46&gt;$I46,$O46&lt;0)</formula>
    </cfRule>
    <cfRule type="expression" dxfId="70" priority="37" stopIfTrue="1">
      <formula>$A46=1</formula>
    </cfRule>
    <cfRule type="expression" dxfId="69" priority="38" stopIfTrue="1">
      <formula>$A46&lt;&gt;"S"</formula>
    </cfRule>
  </conditionalFormatting>
  <conditionalFormatting sqref="Q46:R46 AB46:AM46">
    <cfRule type="expression" dxfId="68" priority="39" stopIfTrue="1">
      <formula>$A46=1</formula>
    </cfRule>
    <cfRule type="expression" dxfId="67" priority="40" stopIfTrue="1">
      <formula>$A46&lt;&gt;"S"</formula>
    </cfRule>
  </conditionalFormatting>
  <conditionalFormatting sqref="D25:O25 T25:Z25">
    <cfRule type="expression" dxfId="66" priority="31" stopIfTrue="1">
      <formula>OR(ACOMPANHAMENTO="PLE",TIPOORCAMENTO="Proposto",$L25&lt;0,AND($L25&gt;100,RegimeExecucao="Global"),$O25&gt;$I25,$O25&lt;0)</formula>
    </cfRule>
    <cfRule type="expression" dxfId="65" priority="32" stopIfTrue="1">
      <formula>$A25=1</formula>
    </cfRule>
    <cfRule type="expression" dxfId="64" priority="33" stopIfTrue="1">
      <formula>$A25&lt;&gt;"S"</formula>
    </cfRule>
  </conditionalFormatting>
  <conditionalFormatting sqref="Q25:R25 AB25:AM25">
    <cfRule type="expression" dxfId="63" priority="34" stopIfTrue="1">
      <formula>$A25=1</formula>
    </cfRule>
    <cfRule type="expression" dxfId="62" priority="35" stopIfTrue="1">
      <formula>$A25&lt;&gt;"S"</formula>
    </cfRule>
  </conditionalFormatting>
  <conditionalFormatting sqref="D19:O19 T19:Z19">
    <cfRule type="expression" dxfId="61" priority="16" stopIfTrue="1">
      <formula>OR(ACOMPANHAMENTO="PLE",TIPOORCAMENTO="Proposto",$L19&lt;0,AND($L19&gt;100,RegimeExecucao="Global"),$O19&gt;$I19,$O19&lt;0)</formula>
    </cfRule>
    <cfRule type="expression" dxfId="60" priority="17" stopIfTrue="1">
      <formula>$A19=1</formula>
    </cfRule>
    <cfRule type="expression" dxfId="59" priority="18" stopIfTrue="1">
      <formula>$A19&lt;&gt;"S"</formula>
    </cfRule>
  </conditionalFormatting>
  <conditionalFormatting sqref="Q19:R19 AB19:AM19">
    <cfRule type="expression" dxfId="58" priority="19" stopIfTrue="1">
      <formula>$A19=1</formula>
    </cfRule>
    <cfRule type="expression" dxfId="57" priority="20" stopIfTrue="1">
      <formula>$A19&lt;&gt;"S"</formula>
    </cfRule>
  </conditionalFormatting>
  <conditionalFormatting sqref="D26:O26 T26:Z26">
    <cfRule type="expression" dxfId="56" priority="6" stopIfTrue="1">
      <formula>OR(ACOMPANHAMENTO="PLE",TIPOORCAMENTO="Proposto",$L26&lt;0,AND($L26&gt;100,RegimeExecucao="Global"),$O26&gt;$I26,$O26&lt;0)</formula>
    </cfRule>
    <cfRule type="expression" dxfId="55" priority="7" stopIfTrue="1">
      <formula>$A26=1</formula>
    </cfRule>
    <cfRule type="expression" dxfId="54" priority="8" stopIfTrue="1">
      <formula>$A26&lt;&gt;"S"</formula>
    </cfRule>
  </conditionalFormatting>
  <conditionalFormatting sqref="Q26:R26 AB26:AM26">
    <cfRule type="expression" dxfId="53" priority="9" stopIfTrue="1">
      <formula>$A26=1</formula>
    </cfRule>
    <cfRule type="expression" dxfId="52" priority="10" stopIfTrue="1">
      <formula>$A26&lt;&gt;"S"</formula>
    </cfRule>
  </conditionalFormatting>
  <conditionalFormatting sqref="D47:O47 T47:Z47">
    <cfRule type="expression" dxfId="51" priority="1" stopIfTrue="1">
      <formula>OR(ACOMPANHAMENTO="PLE",TIPOORCAMENTO="Proposto",$L47&lt;0,AND($L47&gt;100,RegimeExecucao="Global"),$O47&gt;$I47,$O47&lt;0)</formula>
    </cfRule>
    <cfRule type="expression" dxfId="50" priority="2" stopIfTrue="1">
      <formula>$A47=1</formula>
    </cfRule>
    <cfRule type="expression" dxfId="49" priority="3" stopIfTrue="1">
      <formula>$A47&lt;&gt;"S"</formula>
    </cfRule>
  </conditionalFormatting>
  <conditionalFormatting sqref="Q47:R47 AB47:AM47">
    <cfRule type="expression" dxfId="48" priority="4" stopIfTrue="1">
      <formula>$A47=1</formula>
    </cfRule>
    <cfRule type="expression" dxfId="47" priority="5" stopIfTrue="1">
      <formula>$A47&lt;&gt;"S"</formula>
    </cfRule>
  </conditionalFormatting>
  <dataValidations count="4">
    <dataValidation type="list" allowBlank="1" showErrorMessage="1" sqref="Z14 Z16:Z54">
      <formula1>"não executado,não previsto no orçamento,material inadequado,desacordo com os projetos,não atende as observações,qualidade insatisfatória,ver observações abaixo"</formula1>
      <formula2>0</formula2>
    </dataValidation>
    <dataValidation type="decimal" errorStyle="warning" allowBlank="1" showErrorMessage="1" errorTitle="Atenção!" error="Digite somente valores entre 0 e a Medição Acumulada." sqref="Q14:R14 Q16:R54">
      <formula1>0</formula1>
      <formula2>BM.MEDAcumulado</formula2>
    </dataValidation>
    <dataValidation type="whole" operator="greaterThan" allowBlank="1" showInputMessage="1" showErrorMessage="1" sqref="O8">
      <formula1>0</formula1>
    </dataValidation>
    <dataValidation type="decimal" errorStyle="warning" allowBlank="1" showErrorMessage="1" errorTitle="Atenção!" error="% medido é superior a 100% (Global)_x000a_ou_x000a_Quantidade é superior a contratada  (P. Unit)_x000a_ou_x000a_Evolução acumulada negativa" sqref="AB14:AM14 AB16:AM54">
      <formula1>BM.MinMed</formula1>
      <formula2>BM.MaxMed</formula2>
    </dataValidation>
  </dataValidations>
  <pageMargins left="0.78740157480314998" right="0.78740157480314998" top="0.78740157480314998" bottom="0.78740157480314998" header="0.59055118110236204" footer="0.59055118110236204"/>
  <pageSetup paperSize="9" scale="60" firstPageNumber="0" fitToHeight="0" orientation="landscape" r:id="rId1"/>
  <headerFooter alignWithMargins="0">
    <oddHeader>&amp;C&amp;14I</oddHeader>
    <oddFooter>&amp;LPMv3.14&amp;R&amp;P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95" r:id="rId4" name="CaixaArredMed">
              <controlPr defaultSize="0" print="0" autoFill="0" autoLine="0" autoPict="0">
                <anchor moveWithCells="1" sizeWithCells="1">
                  <from>
                    <xdr:col>10</xdr:col>
                    <xdr:colOff>219075</xdr:colOff>
                    <xdr:row>9</xdr:row>
                    <xdr:rowOff>47625</xdr:rowOff>
                  </from>
                  <to>
                    <xdr:col>10</xdr:col>
                    <xdr:colOff>523875</xdr:colOff>
                    <xdr:row>10</xdr:row>
                    <xdr:rowOff>114300</xdr:rowOff>
                  </to>
                </anchor>
              </controlPr>
            </control>
          </mc:Choice>
        </mc:AlternateContent>
        <mc:AlternateContent xmlns:mc="http://schemas.openxmlformats.org/markup-compatibility/2006">
          <mc:Choice Requires="x14">
            <control shapeId="12296" r:id="rId5" name="Botão de rotação 23">
              <controlPr defaultSize="0" print="0" autoFill="0" autoLine="0" autoPict="0">
                <anchor moveWithCells="1" sizeWithCells="1">
                  <from>
                    <xdr:col>15</xdr:col>
                    <xdr:colOff>28575</xdr:colOff>
                    <xdr:row>6</xdr:row>
                    <xdr:rowOff>123825</xdr:rowOff>
                  </from>
                  <to>
                    <xdr:col>15</xdr:col>
                    <xdr:colOff>266700</xdr:colOff>
                    <xdr:row>8</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4">
    <pageSetUpPr fitToPage="1"/>
  </sheetPr>
  <dimension ref="A1:AO49"/>
  <sheetViews>
    <sheetView showGridLines="0" zoomScaleNormal="100" zoomScaleSheetLayoutView="90" workbookViewId="0">
      <pane xSplit="6" ySplit="13" topLeftCell="G14" activePane="bottomRight" state="frozen"/>
      <selection pane="topRight" activeCell="G1" sqref="G1"/>
      <selection pane="bottomLeft" activeCell="D14" sqref="D14"/>
      <selection pane="bottomRight"/>
    </sheetView>
  </sheetViews>
  <sheetFormatPr defaultRowHeight="12.75" x14ac:dyDescent="0.2"/>
  <cols>
    <col min="1" max="3" width="9.140625" hidden="1" customWidth="1"/>
    <col min="4" max="4" width="3.5703125" customWidth="1"/>
    <col min="5" max="5" width="7.5703125" customWidth="1"/>
    <col min="6" max="6" width="35.5703125" customWidth="1"/>
    <col min="7" max="7" width="15.5703125" customWidth="1"/>
    <col min="8" max="8" width="12.5703125" customWidth="1"/>
    <col min="9" max="9" width="7.5703125" customWidth="1"/>
    <col min="10" max="10" width="16.5703125" customWidth="1"/>
    <col min="11" max="11" width="5.5703125" customWidth="1"/>
    <col min="12" max="15" width="16.5703125" customWidth="1"/>
    <col min="16" max="16" width="11.5703125" customWidth="1"/>
    <col min="17" max="21" width="9.140625" hidden="1" customWidth="1"/>
    <col min="22" max="22" width="12.140625" hidden="1" customWidth="1"/>
    <col min="23" max="24" width="5.5703125" customWidth="1"/>
    <col min="25" max="26" width="16.5703125" customWidth="1"/>
    <col min="27" max="27" width="1.5703125" customWidth="1"/>
    <col min="29" max="34" width="15.7109375" hidden="1" customWidth="1"/>
    <col min="35" max="35" width="9.140625" hidden="1" customWidth="1"/>
    <col min="36" max="41" width="15.7109375" hidden="1" customWidth="1"/>
  </cols>
  <sheetData>
    <row r="1" spans="1:41" ht="30" customHeight="1" x14ac:dyDescent="0.2">
      <c r="F1" s="345" t="str">
        <f>CONCATENATE("RRE - RELATÓRIO RESUMO DO EMPREENDIMENTO - ",IF(CAIXA.Modo,"CAIXA","TOMADOR"))</f>
        <v>RRE - RELATÓRIO RESUMO DO EMPREENDIMENTO - TOMADOR</v>
      </c>
      <c r="H1" s="8"/>
      <c r="I1" s="8"/>
      <c r="P1" s="491" t="s">
        <v>868</v>
      </c>
      <c r="AD1" s="646" t="s">
        <v>869</v>
      </c>
      <c r="AE1" s="346" t="s">
        <v>870</v>
      </c>
    </row>
    <row r="2" spans="1:41" x14ac:dyDescent="0.2">
      <c r="AC2" s="347" t="str">
        <f>J25</f>
        <v>Repasse</v>
      </c>
      <c r="AD2" s="348">
        <f ca="1">AD6-AD4-AD3</f>
        <v>0</v>
      </c>
      <c r="AE2" s="348">
        <f ca="1">AE6-AE4-AE3</f>
        <v>0</v>
      </c>
    </row>
    <row r="3" spans="1:41" x14ac:dyDescent="0.2">
      <c r="E3" s="710" t="s">
        <v>652</v>
      </c>
      <c r="F3" s="710"/>
      <c r="G3" s="710"/>
      <c r="H3" s="710"/>
      <c r="I3" s="699" t="s">
        <v>650</v>
      </c>
      <c r="J3" s="699"/>
      <c r="K3" s="699"/>
      <c r="L3" s="86" t="s">
        <v>707</v>
      </c>
      <c r="M3" s="145"/>
      <c r="O3" s="349"/>
      <c r="P3" s="273" t="s">
        <v>715</v>
      </c>
      <c r="R3" s="145"/>
      <c r="S3" s="145"/>
      <c r="T3" s="145"/>
      <c r="U3" s="145"/>
      <c r="AC3" s="347" t="s">
        <v>456</v>
      </c>
      <c r="AD3" s="348">
        <f ca="1">SUM(T13:OFFSET(T24,-1,0))</f>
        <v>0</v>
      </c>
      <c r="AE3" s="348">
        <f ca="1">IF(OR($O$28&lt;$M$28,$M$26&gt;$AD$3),MIN($M$26,$L$26),MIN($AD$3,$N$28-$N$27+$M$26))</f>
        <v>0</v>
      </c>
    </row>
    <row r="4" spans="1:41" ht="12.75" customHeight="1" x14ac:dyDescent="0.2">
      <c r="E4" s="715" t="str">
        <f>Import.Proponente</f>
        <v>18.029.165/0001-51</v>
      </c>
      <c r="F4" s="715"/>
      <c r="G4" s="715"/>
      <c r="H4" s="715"/>
      <c r="I4" s="702">
        <f>Import.CR</f>
        <v>0</v>
      </c>
      <c r="J4" s="702"/>
      <c r="K4" s="702"/>
      <c r="L4" s="55" t="str">
        <f>Import.TransfereGOV</f>
        <v>948148</v>
      </c>
      <c r="M4" s="816" t="s">
        <v>809</v>
      </c>
      <c r="N4" s="817"/>
      <c r="O4" s="818"/>
      <c r="P4" s="350" t="str">
        <f>import.recurso</f>
        <v>OGU</v>
      </c>
      <c r="R4" s="145"/>
      <c r="S4" s="145"/>
      <c r="T4" s="349"/>
      <c r="U4" s="349"/>
      <c r="AC4" s="347" t="s">
        <v>871</v>
      </c>
      <c r="AD4" s="348">
        <f ca="1">SUM(U13:OFFSET(U24,-1,0))</f>
        <v>0</v>
      </c>
      <c r="AE4" s="348">
        <f ca="1">IF(OR($O$28&lt;$M$28,$M$27&gt;$AD$4),MIN($M$27,$L$27),MIN($AD$4,$N$28+$M$27))</f>
        <v>0</v>
      </c>
    </row>
    <row r="5" spans="1:41" ht="5.0999999999999996" customHeight="1" x14ac:dyDescent="0.2">
      <c r="H5" s="276"/>
      <c r="I5" s="276"/>
      <c r="J5" s="276"/>
      <c r="K5" s="276"/>
      <c r="L5" s="276"/>
      <c r="M5" s="351"/>
      <c r="N5" s="264"/>
      <c r="O5" s="4"/>
      <c r="R5" s="145"/>
      <c r="S5" s="145"/>
      <c r="T5" s="145"/>
      <c r="U5" s="145"/>
    </row>
    <row r="6" spans="1:41" ht="12.75" customHeight="1" x14ac:dyDescent="0.2">
      <c r="E6" s="699" t="s">
        <v>708</v>
      </c>
      <c r="F6" s="699"/>
      <c r="G6" s="699"/>
      <c r="H6" s="699"/>
      <c r="I6" s="843" t="s">
        <v>808</v>
      </c>
      <c r="J6" s="843"/>
      <c r="K6" s="843"/>
      <c r="L6" s="843"/>
      <c r="M6" s="54" t="str">
        <f>IF(import.recurso="FGTS","FINANCIAMENTO","REPASSE")</f>
        <v>REPASSE</v>
      </c>
      <c r="N6" s="95" t="s">
        <v>810</v>
      </c>
      <c r="O6" s="54" t="s">
        <v>811</v>
      </c>
      <c r="P6" s="146" t="s">
        <v>872</v>
      </c>
      <c r="R6" s="145"/>
      <c r="S6" s="145"/>
      <c r="T6" s="145"/>
      <c r="U6" s="145"/>
      <c r="AC6" s="347" t="s">
        <v>873</v>
      </c>
      <c r="AD6" s="348">
        <f ca="1">$O$28</f>
        <v>0</v>
      </c>
      <c r="AE6" s="348">
        <f ca="1">AD6</f>
        <v>0</v>
      </c>
    </row>
    <row r="7" spans="1:41" ht="12.75" customHeight="1" x14ac:dyDescent="0.2">
      <c r="D7" s="692" t="s">
        <v>655</v>
      </c>
      <c r="E7" s="702" t="str">
        <f>Import.Apelido</f>
        <v>Construção de ponte e pavimentação de estrada vicinal</v>
      </c>
      <c r="F7" s="702"/>
      <c r="G7" s="702"/>
      <c r="H7" s="702"/>
      <c r="I7" s="840" t="str">
        <f>Import.Município</f>
        <v>Liberdade - MG</v>
      </c>
      <c r="J7" s="840"/>
      <c r="K7" s="840"/>
      <c r="L7" s="840"/>
      <c r="M7" s="352">
        <f>Import.Repasse</f>
        <v>1249036</v>
      </c>
      <c r="N7" s="353">
        <f>Import.Contrapartida</f>
        <v>5462.18</v>
      </c>
      <c r="O7" s="352">
        <f>M7+N7</f>
        <v>1254498.18</v>
      </c>
      <c r="P7" s="422">
        <f>IF(ACOMPANHAMENTO="PLE",PLE.Medicao,BM.medicao)</f>
        <v>1</v>
      </c>
      <c r="R7" s="145"/>
      <c r="S7" s="145"/>
      <c r="T7" s="145"/>
      <c r="U7" s="145"/>
    </row>
    <row r="8" spans="1:41" x14ac:dyDescent="0.2">
      <c r="D8" s="692"/>
      <c r="E8" s="91"/>
      <c r="F8" s="91"/>
      <c r="G8" s="91"/>
      <c r="H8" s="91"/>
      <c r="I8" s="91"/>
      <c r="J8" s="91"/>
      <c r="K8" s="91"/>
      <c r="L8" s="91"/>
      <c r="M8" s="91"/>
      <c r="N8" s="91"/>
      <c r="O8" s="91"/>
      <c r="P8" s="91"/>
      <c r="R8" s="145"/>
      <c r="S8" s="145"/>
      <c r="T8" s="145"/>
      <c r="U8" s="145"/>
    </row>
    <row r="9" spans="1:41" ht="12.75" customHeight="1" x14ac:dyDescent="0.2">
      <c r="D9" s="692"/>
      <c r="G9" s="841" t="s">
        <v>874</v>
      </c>
      <c r="H9" s="841"/>
      <c r="I9" s="841" t="s">
        <v>875</v>
      </c>
      <c r="J9" s="841"/>
      <c r="K9" s="354"/>
      <c r="L9" s="842" t="s">
        <v>815</v>
      </c>
      <c r="M9" s="355" t="s">
        <v>818</v>
      </c>
      <c r="N9" s="277" t="s">
        <v>741</v>
      </c>
      <c r="P9" s="356"/>
      <c r="R9" s="145"/>
      <c r="S9" s="145"/>
      <c r="T9" s="145"/>
      <c r="U9" s="145"/>
      <c r="V9" s="7" t="s">
        <v>876</v>
      </c>
    </row>
    <row r="10" spans="1:41" ht="12.75" customHeight="1" x14ac:dyDescent="0.2">
      <c r="D10" s="692"/>
      <c r="G10" s="704" t="str">
        <f ca="1">IF(J10="-","-",IF($P$24&lt;J10,"Atrasada",IF($P$24&gt;J10,"Adiantada","Normal")))</f>
        <v>Normal</v>
      </c>
      <c r="H10" s="704"/>
      <c r="I10" s="357">
        <f>DATE(YEAR($L$35),MONTH($L$35),1)</f>
        <v>1</v>
      </c>
      <c r="J10" s="358">
        <f ca="1">IF($I$10&lt;DATE(YEAR(CRONO!$U$13),MONTH(CRONO!$U$13),1),0,IF($I$10&gt;OFFSET(CRONO!$AG$13,0,-1),1,INDEX(CRONO!$T$47:$AH$47,MATCH(RRE!$I$10,CRONO!$T$13:$AG$13,0))))</f>
        <v>0</v>
      </c>
      <c r="K10" s="354"/>
      <c r="L10" s="842"/>
      <c r="M10" s="359">
        <f ca="1">QCI!L10</f>
        <v>187872.15999999992</v>
      </c>
      <c r="N10" s="279">
        <f ca="1">QCI!M10</f>
        <v>2462.1800000000003</v>
      </c>
      <c r="P10" s="356"/>
      <c r="R10" s="145"/>
      <c r="S10" s="145"/>
      <c r="T10" s="145"/>
      <c r="U10" s="145"/>
      <c r="AC10" s="837" t="s">
        <v>76</v>
      </c>
      <c r="AD10" s="837"/>
      <c r="AE10" s="837"/>
      <c r="AF10" s="837"/>
      <c r="AG10" s="837"/>
      <c r="AH10" s="837"/>
      <c r="AJ10" s="837" t="s">
        <v>78</v>
      </c>
      <c r="AK10" s="837"/>
      <c r="AL10" s="837"/>
      <c r="AM10" s="837"/>
      <c r="AN10" s="837"/>
      <c r="AO10" s="837"/>
    </row>
    <row r="11" spans="1:41" ht="20.100000000000001" customHeight="1" x14ac:dyDescent="0.2">
      <c r="D11" s="692"/>
      <c r="M11" s="450" t="str">
        <f>IF(CAIXA.Modo,"Valores Aferidos (R$)","Valores Medidos (R$)")</f>
        <v>Valores Medidos (R$)</v>
      </c>
      <c r="N11" s="450"/>
      <c r="O11" s="450"/>
      <c r="R11" s="360"/>
      <c r="S11" s="360"/>
      <c r="T11" s="450"/>
      <c r="U11" s="450"/>
      <c r="V11" s="447" t="s">
        <v>877</v>
      </c>
      <c r="Y11" s="838" t="str">
        <f>IF(CAIXA.Modo,"Valores Aferidos (R$)","Valores Medidos (R$)")</f>
        <v>Valores Medidos (R$)</v>
      </c>
      <c r="Z11" s="838"/>
      <c r="AC11" s="839" t="s">
        <v>878</v>
      </c>
      <c r="AD11" s="839"/>
      <c r="AE11" s="839"/>
      <c r="AF11" s="839" t="s">
        <v>879</v>
      </c>
      <c r="AG11" s="839"/>
      <c r="AH11" s="839"/>
      <c r="AJ11" s="839" t="s">
        <v>878</v>
      </c>
      <c r="AK11" s="839"/>
      <c r="AL11" s="839"/>
      <c r="AM11" s="839" t="s">
        <v>879</v>
      </c>
      <c r="AN11" s="839"/>
      <c r="AO11" s="839"/>
    </row>
    <row r="12" spans="1:41" ht="30" hidden="1" customHeight="1" x14ac:dyDescent="0.2">
      <c r="A12" t="e">
        <f ca="1">MATCH(E12,ORÇAMENTO!$E$15:$E$55,0)-1</f>
        <v>#N/A</v>
      </c>
      <c r="B12" t="e">
        <f ca="1">IF(ISERROR($A12),NA(),OFFSET(ORÇAMENTO!$D$15,$A12,0))</f>
        <v>#N/A</v>
      </c>
      <c r="C12" t="str">
        <f ca="1">QCI!B12</f>
        <v>Branco</v>
      </c>
      <c r="D12" t="str">
        <f ca="1">IF(L12&gt;0,"F","")</f>
        <v/>
      </c>
      <c r="E12" s="280">
        <f>QCI!D12</f>
        <v>-1</v>
      </c>
      <c r="F12" s="361" t="str">
        <f ca="1">QCI!G12</f>
        <v/>
      </c>
      <c r="G12" s="362">
        <f>QCI!H12</f>
        <v>0</v>
      </c>
      <c r="H12" s="281">
        <f>QCI!I12</f>
        <v>0</v>
      </c>
      <c r="I12" s="281" t="str">
        <f ca="1">QCI!J12</f>
        <v/>
      </c>
      <c r="J12" s="363" t="str">
        <f ca="1">QCI!K12</f>
        <v/>
      </c>
      <c r="K12" s="364" t="str" cm="1">
        <f t="array" aca="1" ref="K12" ca="1">IF($C12="Automático",IF(ACOMPANHAMENTO="BM",BM.medicao,PLE.Medicao),IF(ISBLANK($X12),"",$X12))</f>
        <v/>
      </c>
      <c r="L12" s="285">
        <f ca="1">QCI!$O12</f>
        <v>0</v>
      </c>
      <c r="M12" s="282">
        <f ca="1">ROUND(IF(C12="Automático",AE12+AL12,Y12),2)</f>
        <v>0</v>
      </c>
      <c r="N12" s="283">
        <f ca="1">O12-M12</f>
        <v>0</v>
      </c>
      <c r="O12" s="284">
        <f ca="1">ROUND(IF(C12="Automático",AH12+AO12,Z12),2)</f>
        <v>0</v>
      </c>
      <c r="P12" s="366">
        <f ca="1">O12/(L12+10^-12)</f>
        <v>0</v>
      </c>
      <c r="R12" s="365">
        <f ca="1">ROUND(IF($C12="Automático",AC12+AJ12,$Y12*IF(ISERROR(QCI!$AA12/QCI!$O12),0,QCI!$AA12/QCI!$O12)),2)</f>
        <v>0</v>
      </c>
      <c r="S12" s="365">
        <f ca="1">ROUND(IF($C12="Automático",AD12+AK12,$Y12*IF(ISERROR(QCI!$AB12/QCI!$O12),0,QCI!$AB12/QCI!$O12)),2)</f>
        <v>0</v>
      </c>
      <c r="T12" s="365">
        <f ca="1">ROUND(IF($C12="Automático",AF12+AM12,$Z12*IF(ISERROR(QCI!$AA12/QCI!$O12),0,QCI!$AA12/QCI!$O12)),2)</f>
        <v>0</v>
      </c>
      <c r="U12" s="365">
        <f ca="1">ROUND(IF($C12="Automático",AG12+AN12,$Z12*IF(ISERROR(QCI!$AB12/QCI!$O12),0,QCI!$AB12/QCI!$O12)),2)</f>
        <v>0</v>
      </c>
      <c r="V12" s="448" t="str">
        <f ca="1">IF(AND($L12&gt;0,$J12&lt;&gt;0,$J12&lt;&gt;"",COUNTIF($J12:$J$13,$J12)=1),OFFSET(V12,-1,0)+1,OFFSET(V12,-1,0))</f>
        <v>Lista CTEFs</v>
      </c>
      <c r="X12" s="512"/>
      <c r="Y12" s="286"/>
      <c r="Z12" s="287"/>
      <c r="AC12" s="182" t="e" cm="1">
        <f t="array" aca="1" ref="AC12" ca="1">IF(ACOMPANHAMENTO&lt;&gt;"PLE",0,SUMPRODUCT((OFFSET(CÁLCULO!$AX$15:$BH$15,$A12,0,$B12)&lt;=(PLE.Medicao-1))*OFFSET(CÁLCULO!$AB$15:$AL$15,$A12,0,$B12)*OFFSET(ORÇAMENTO!$AA$15,$A12,0,$B12)/(OFFSET(ORÇAMENTO!$X$15,$A12,0,$B12)+10^-12))+IF(AUTOEVENTO="Manual",SUMPRODUCT((OFFSET(CÁLCULO!$M$15,$A12,0,$B12)=1)*OFFSET(ORÇAMENTO!$AA$15,$A12,0,$B12)*(PLE!$AE$9-PLE!$Y$9)),0))</f>
        <v>#N/A</v>
      </c>
      <c r="AD12" s="182" t="e" cm="1">
        <f t="array" aca="1" ref="AD12" ca="1">IF(ACOMPANHAMENTO&lt;&gt;"PLE",0,SUMPRODUCT((OFFSET(CÁLCULO!$AX$15:$BH$15,$A12,0,$B12)&lt;=(PLE.Medicao-1))*OFFSET(CÁLCULO!$AB$15:$AL$15,$A12,0,$B12)*OFFSET(ORÇAMENTO!$AB$15,$A12,0,$B12)/(OFFSET(ORÇAMENTO!$X$15,$A12,0,$B12)+10^-12))+IF(AUTOEVENTO="Manual",SUMPRODUCT((OFFSET(CÁLCULO!$M$15,$A12,0,$B12)=1)*OFFSET(ORÇAMENTO!$AB$15,$A12,0,$B12)*(PLE!$AE$9-PLE!$Y$9)),0))</f>
        <v>#N/A</v>
      </c>
      <c r="AE12" s="182" t="e">
        <f ca="1">ROUND(
            IF(ACOMPANHAMENTO&lt;&gt;"PLE",0,
                      SUMIF(OFFSET(CÁLCULO!$AX$15:$BH$15,$A12,0,$B12),"&lt;="&amp;(PLE.Medicao-1),OFFSET(CÁLCULO!$AB$15:$AL$15,$A12,0,$B12))
                      +IF(AdmLocal="Automática",
                              SUMIF(OFFSET(CÁLCULO!$M$15,$A12,0,$B12),1,OFFSET(ORÇAMENTO!$X$15,$A12,0,$B12))*(PLE!$AE$9-PLE!$Y$9),
                              0)),
            2)</f>
        <v>#N/A</v>
      </c>
      <c r="AF12" s="182" t="e" cm="1">
        <f t="array" aca="1" ref="AF12" ca="1">IF(ACOMPANHAMENTO&lt;&gt;"PLE",0,SUMPRODUCT((OFFSET(CÁLCULO!$AX$15:$BH$15,$A12,0,$B12)&lt;=PLE.Medicao)*OFFSET(CÁLCULO!$AB$15:$AL$15,$A12,0,$B12)*OFFSET(ORÇAMENTO!$AA$15,$A12,0,$B12)/(OFFSET(ORÇAMENTO!$X$15,$A12,0,$B12)+10^-12))+IF(AUTOEVENTO="Manual",SUMPRODUCT((OFFSET(CÁLCULO!$M$15,$A12,0,$B12)=1)*OFFSET(ORÇAMENTO!$AA$15,$A12,0,$B12)*PLE!$AE$9),0))</f>
        <v>#N/A</v>
      </c>
      <c r="AG12" s="182" t="e" cm="1">
        <f t="array" aca="1" ref="AG12" ca="1">IF(ACOMPANHAMENTO&lt;&gt;"PLE",0,SUMPRODUCT((OFFSET(CÁLCULO!$AX$15:$BH$15,$A12,0,$B12)&lt;=PLE.Medicao)*OFFSET(CÁLCULO!$AB$15:$AL$15,$A12,0,$B12)*OFFSET(ORÇAMENTO!$AB$15,$A12,0,$B12)/(OFFSET(ORÇAMENTO!$X$15,$A12,0,$B12)+10^-12))+IF(AUTOEVENTO="Manual",SUMPRODUCT((OFFSET(CÁLCULO!$M$15,$A12,0,$B12)=1)*OFFSET(ORÇAMENTO!$AB$15,$A12,0,$B12)*PLE!$AE$9),0))</f>
        <v>#N/A</v>
      </c>
      <c r="AH12" s="182" t="e">
        <f ca="1">ROUND(IF(ACOMPANHAMENTO&lt;&gt;"PLE",0,SUMIF(OFFSET(CÁLCULO!$AX$15:$BH$15,$A12,0,$B12),"&lt;="&amp;PLE.Medicao,OFFSET(CÁLCULO!$AB$15:$AL$15,$A12,0,$B12))+IF(AdmLocal="Automática",SUMIF(OFFSET(CÁLCULO!$M$15,$A12,0,$B12),1,OFFSET(ORÇAMENTO!$X$15,$A12,0,$B12))*PLE!$AE$9,0)),2)</f>
        <v>#N/A</v>
      </c>
      <c r="AJ12" s="182" cm="1">
        <f t="array" aca="1" ref="AJ12" ca="1">IF(ACOMPANHAMENTO&lt;&gt;"BM",0,SUMPRODUCT(OFFSET(BM!$M$15,$A12,0,$B12)*(OFFSET(BM!$A$15,$A12,0,$B12)="S")*OFFSET(ORÇAMENTO!AA$15,$A12,0,$B12)/(OFFSET(ORÇAMENTO!$X$15,$A12,0,$B12)+10^-12)))</f>
        <v>0</v>
      </c>
      <c r="AK12" s="182" cm="1">
        <f t="array" aca="1" ref="AK12" ca="1">IF(ACOMPANHAMENTO&lt;&gt;"BM",0,SUMPRODUCT(OFFSET(BM!$M$15,$A12,0,$B12)*(OFFSET(BM!$A$15,$A12,0,$B12)="S")*OFFSET(ORÇAMENTO!AB$15,$A12,0,$B12)/(OFFSET(ORÇAMENTO!$X$15,$A12,0,$B12)+10^-12)))</f>
        <v>0</v>
      </c>
      <c r="AL12" s="182">
        <f ca="1">IF(ACOMPANHAMENTO&lt;&gt;"BM",0,OFFSET(BM!$M$15,$A12,0))</f>
        <v>0</v>
      </c>
      <c r="AM12" s="182" cm="1">
        <f t="array" aca="1" ref="AM12" ca="1">IF(ACOMPANHAMENTO&lt;&gt;"BM",0,SUMPRODUCT(OFFSET(BM!$O$15,$A12,0,$B12)*(OFFSET(BM!$A$15,$A12,0,$B12)="S")*OFFSET(ORÇAMENTO!AA$15,$A12,0,$B12)/(OFFSET(ORÇAMENTO!$X$15,$A12,0,$B12)+10^-12)))</f>
        <v>0</v>
      </c>
      <c r="AN12" s="182" cm="1">
        <f t="array" aca="1" ref="AN12" ca="1">IF(ACOMPANHAMENTO&lt;&gt;"BM",0,SUMPRODUCT(OFFSET(BM!$O$15,$A12,0,$B12)*(OFFSET(BM!$A$15,$A12,0,$B12)="S")*OFFSET(ORÇAMENTO!AB$15,$A12,0,$B12)/(OFFSET(ORÇAMENTO!$X$15,$A12,0,$B12)+10^-12)))</f>
        <v>0</v>
      </c>
      <c r="AO12" s="182">
        <f ca="1">IF(ACOMPANHAMENTO&lt;&gt;"BM",0,OFFSET(BM!$O$15,$A12,0))</f>
        <v>0</v>
      </c>
    </row>
    <row r="13" spans="1:41" ht="39.950000000000003" customHeight="1" x14ac:dyDescent="0.2">
      <c r="A13" s="289" t="s">
        <v>880</v>
      </c>
      <c r="B13" s="9" t="s">
        <v>725</v>
      </c>
      <c r="C13" s="289" t="s">
        <v>820</v>
      </c>
      <c r="D13" s="105" t="s">
        <v>660</v>
      </c>
      <c r="E13" s="106" t="s">
        <v>701</v>
      </c>
      <c r="F13" s="106" t="s">
        <v>823</v>
      </c>
      <c r="G13" s="106" t="s">
        <v>669</v>
      </c>
      <c r="H13" s="106" t="s">
        <v>712</v>
      </c>
      <c r="I13" s="106" t="s">
        <v>824</v>
      </c>
      <c r="J13" s="106" t="s">
        <v>825</v>
      </c>
      <c r="K13" s="644" t="s">
        <v>881</v>
      </c>
      <c r="L13" s="106" t="s">
        <v>882</v>
      </c>
      <c r="M13" s="644" t="s">
        <v>878</v>
      </c>
      <c r="N13" s="645" t="s">
        <v>883</v>
      </c>
      <c r="O13" s="290" t="s">
        <v>879</v>
      </c>
      <c r="P13" s="106" t="s">
        <v>884</v>
      </c>
      <c r="R13" s="367" t="s">
        <v>885</v>
      </c>
      <c r="S13" s="367" t="s">
        <v>886</v>
      </c>
      <c r="T13" s="367" t="s">
        <v>887</v>
      </c>
      <c r="U13" s="367" t="s">
        <v>888</v>
      </c>
      <c r="V13" s="449"/>
      <c r="X13" s="644" t="s">
        <v>881</v>
      </c>
      <c r="Y13" s="158" t="s">
        <v>878</v>
      </c>
      <c r="Z13" s="159" t="s">
        <v>879</v>
      </c>
      <c r="AC13" s="108" t="s">
        <v>456</v>
      </c>
      <c r="AD13" s="108" t="s">
        <v>871</v>
      </c>
      <c r="AE13" s="108" t="s">
        <v>873</v>
      </c>
      <c r="AF13" s="108" t="s">
        <v>456</v>
      </c>
      <c r="AG13" s="108" t="s">
        <v>871</v>
      </c>
      <c r="AH13" s="108" t="s">
        <v>873</v>
      </c>
      <c r="AJ13" s="108" t="s">
        <v>456</v>
      </c>
      <c r="AK13" s="108" t="s">
        <v>871</v>
      </c>
      <c r="AL13" s="108" t="s">
        <v>873</v>
      </c>
      <c r="AM13" s="108" t="s">
        <v>456</v>
      </c>
      <c r="AN13" s="108" t="s">
        <v>871</v>
      </c>
      <c r="AO13" s="108" t="s">
        <v>873</v>
      </c>
    </row>
    <row r="14" spans="1:41" ht="30" customHeight="1" x14ac:dyDescent="0.2">
      <c r="A14">
        <f ca="1">MATCH(E14,ORÇAMENTO!$E$15:$E$55,0)-1</f>
        <v>1</v>
      </c>
      <c r="B14">
        <f ca="1">IF(ISERROR($A14),NA(),OFFSET(ORÇAMENTO!$D$15,$A14,0))</f>
        <v>39</v>
      </c>
      <c r="C14" t="str">
        <f ca="1">QCI!B14</f>
        <v>Automático</v>
      </c>
      <c r="D14" t="str">
        <f t="shared" ref="D14:D22" ca="1" si="0">IF(L14&gt;0,"F","")</f>
        <v>F</v>
      </c>
      <c r="E14" s="280">
        <f>QCI!D14</f>
        <v>1</v>
      </c>
      <c r="F14" s="361" t="str">
        <f ca="1">QCI!G14</f>
        <v>CONSTRUÇÃO DE PONTE E PAVIMENTAÇÃO DE ESTRADA VICINAL</v>
      </c>
      <c r="G14" s="362" t="str">
        <f>QCI!H14</f>
        <v>Em Análise</v>
      </c>
      <c r="H14" s="281">
        <f>QCI!I14</f>
        <v>1685.74</v>
      </c>
      <c r="I14" s="281" t="str">
        <f ca="1">QCI!J14</f>
        <v>m²</v>
      </c>
      <c r="J14" s="363" t="str">
        <f ca="1">QCI!K14</f>
        <v>LOTE 1</v>
      </c>
      <c r="K14" s="364" cm="1">
        <f t="array" aca="1" ref="K14" ca="1">IF($C14="Automático",IF(ACOMPANHAMENTO="BM",BM.medicao,PLE.Medicao),IF(ISBLANK($X14),"",$X14))</f>
        <v>1</v>
      </c>
      <c r="L14" s="285">
        <f ca="1">QCI!$O14</f>
        <v>1064163.8400000001</v>
      </c>
      <c r="M14" s="282">
        <f t="shared" ref="M14:M22" ca="1" si="1">ROUND(IF(C14="Automático",AE14+AL14,Y14),2)</f>
        <v>0</v>
      </c>
      <c r="N14" s="283">
        <f t="shared" ref="N14:N22" ca="1" si="2">O14-M14</f>
        <v>0</v>
      </c>
      <c r="O14" s="284">
        <f t="shared" ref="O14:O22" ca="1" si="3">ROUND(IF(C14="Automático",AH14+AO14,Z14),2)</f>
        <v>0</v>
      </c>
      <c r="P14" s="366">
        <f t="shared" ref="P14:P22" ca="1" si="4">O14/(L14+10^-12)</f>
        <v>0</v>
      </c>
      <c r="R14" s="365">
        <f ca="1">ROUND(IF($C14="Automático",AC14+AJ14,$Y14*IF(ISERROR(QCI!$AA14/QCI!$O14),0,QCI!$AA14/QCI!$O14)),2)</f>
        <v>0</v>
      </c>
      <c r="S14" s="365">
        <f ca="1">ROUND(IF($C14="Automático",AD14+AK14,$Y14*IF(ISERROR(QCI!$AB14/QCI!$O14),0,QCI!$AB14/QCI!$O14)),2)</f>
        <v>0</v>
      </c>
      <c r="T14" s="365">
        <f ca="1">ROUND(IF($C14="Automático",AF14+AM14,$Z14*IF(ISERROR(QCI!$AA14/QCI!$O14),0,QCI!$AA14/QCI!$O14)),2)</f>
        <v>0</v>
      </c>
      <c r="U14" s="365">
        <f ca="1">ROUND(IF($C14="Automático",AG14+AN14,$Z14*IF(ISERROR(QCI!$AB14/QCI!$O14),0,QCI!$AB14/QCI!$O14)),2)</f>
        <v>0</v>
      </c>
      <c r="V14" s="448">
        <f ca="1">IF(AND($L14&gt;0,$J14&lt;&gt;0,$J14&lt;&gt;"",COUNTIF($J$13:$J14,$J14)=1),OFFSET(V14,-1,0)+1,OFFSET(V14,-1,0))</f>
        <v>1</v>
      </c>
      <c r="X14" s="512"/>
      <c r="Y14" s="286"/>
      <c r="Z14" s="287"/>
      <c r="AC14" s="182" cm="1">
        <f t="array" aca="1" ref="AC14" ca="1">IF(ACOMPANHAMENTO&lt;&gt;"PLE",0,SUMPRODUCT((OFFSET(CÁLCULO!$AX$15:$BH$15,$A14,0,$B14)&lt;=(PLE.Medicao-1))*OFFSET(CÁLCULO!$AB$15:$AL$15,$A14,0,$B14)*OFFSET(ORÇAMENTO!$AA$15,$A14,0,$B14)/(OFFSET(ORÇAMENTO!$X$15,$A14,0,$B14)+10^-12))+IF(AUTOEVENTO="Manual",SUMPRODUCT((OFFSET(CÁLCULO!$M$15,$A14,0,$B14)=1)*OFFSET(ORÇAMENTO!$AA$15,$A14,0,$B14)*(PLE!$AE$9-PLE!$Y$9)),0))</f>
        <v>0</v>
      </c>
      <c r="AD14" s="182" cm="1">
        <f t="array" aca="1" ref="AD14" ca="1">IF(ACOMPANHAMENTO&lt;&gt;"PLE",0,SUMPRODUCT((OFFSET(CÁLCULO!$AX$15:$BH$15,$A14,0,$B14)&lt;=(PLE.Medicao-1))*OFFSET(CÁLCULO!$AB$15:$AL$15,$A14,0,$B14)*OFFSET(ORÇAMENTO!$AB$15,$A14,0,$B14)/(OFFSET(ORÇAMENTO!$X$15,$A14,0,$B14)+10^-12))+IF(AUTOEVENTO="Manual",SUMPRODUCT((OFFSET(CÁLCULO!$M$15,$A14,0,$B14)=1)*OFFSET(ORÇAMENTO!$AB$15,$A14,0,$B14)*(PLE!$AE$9-PLE!$Y$9)),0))</f>
        <v>0</v>
      </c>
      <c r="AE14" s="182">
        <f ca="1">ROUND(
            IF(ACOMPANHAMENTO&lt;&gt;"PLE",0,
                      SUMIF(OFFSET(CÁLCULO!$AX$15:$BH$15,$A14,0,$B14),"&lt;="&amp;(PLE.Medicao-1),OFFSET(CÁLCULO!$AB$15:$AL$15,$A14,0,$B14))
                      +IF(AdmLocal="Automática",
                              SUMIF(OFFSET(CÁLCULO!$M$15,$A14,0,$B14),1,OFFSET(ORÇAMENTO!$X$15,$A14,0,$B14))*(PLE!$AE$9-PLE!$Y$9),
                              0)),
            2)</f>
        <v>0</v>
      </c>
      <c r="AF14" s="182" cm="1">
        <f t="array" aca="1" ref="AF14" ca="1">IF(ACOMPANHAMENTO&lt;&gt;"PLE",0,SUMPRODUCT((OFFSET(CÁLCULO!$AX$15:$BH$15,$A14,0,$B14)&lt;=PLE.Medicao)*OFFSET(CÁLCULO!$AB$15:$AL$15,$A14,0,$B14)*OFFSET(ORÇAMENTO!$AA$15,$A14,0,$B14)/(OFFSET(ORÇAMENTO!$X$15,$A14,0,$B14)+10^-12))+IF(AUTOEVENTO="Manual",SUMPRODUCT((OFFSET(CÁLCULO!$M$15,$A14,0,$B14)=1)*OFFSET(ORÇAMENTO!$AA$15,$A14,0,$B14)*PLE!$AE$9),0))</f>
        <v>0</v>
      </c>
      <c r="AG14" s="182" cm="1">
        <f t="array" aca="1" ref="AG14" ca="1">IF(ACOMPANHAMENTO&lt;&gt;"PLE",0,SUMPRODUCT((OFFSET(CÁLCULO!$AX$15:$BH$15,$A14,0,$B14)&lt;=PLE.Medicao)*OFFSET(CÁLCULO!$AB$15:$AL$15,$A14,0,$B14)*OFFSET(ORÇAMENTO!$AB$15,$A14,0,$B14)/(OFFSET(ORÇAMENTO!$X$15,$A14,0,$B14)+10^-12))+IF(AUTOEVENTO="Manual",SUMPRODUCT((OFFSET(CÁLCULO!$M$15,$A14,0,$B14)=1)*OFFSET(ORÇAMENTO!$AB$15,$A14,0,$B14)*PLE!$AE$9),0))</f>
        <v>0</v>
      </c>
      <c r="AH14" s="182">
        <f ca="1">ROUND(IF(ACOMPANHAMENTO&lt;&gt;"PLE",0,SUMIF(OFFSET(CÁLCULO!$AX$15:$BH$15,$A14,0,$B14),"&lt;="&amp;PLE.Medicao,OFFSET(CÁLCULO!$AB$15:$AL$15,$A14,0,$B14))+IF(AdmLocal="Automática",SUMIF(OFFSET(CÁLCULO!$M$15,$A14,0,$B14),1,OFFSET(ORÇAMENTO!$X$15,$A14,0,$B14))*PLE!$AE$9,0)),2)</f>
        <v>0</v>
      </c>
      <c r="AJ14" s="182" cm="1">
        <f t="array" aca="1" ref="AJ14" ca="1">IF(ACOMPANHAMENTO&lt;&gt;"BM",0,SUMPRODUCT(OFFSET(BM!$M$15,$A14,0,$B14)*(OFFSET(BM!$A$15,$A14,0,$B14)="S")*OFFSET(ORÇAMENTO!AA$15,$A14,0,$B14)/(OFFSET(ORÇAMENTO!$X$15,$A14,0,$B14)+10^-12)))</f>
        <v>0</v>
      </c>
      <c r="AK14" s="182" cm="1">
        <f t="array" aca="1" ref="AK14" ca="1">IF(ACOMPANHAMENTO&lt;&gt;"BM",0,SUMPRODUCT(OFFSET(BM!$M$15,$A14,0,$B14)*(OFFSET(BM!$A$15,$A14,0,$B14)="S")*OFFSET(ORÇAMENTO!AB$15,$A14,0,$B14)/(OFFSET(ORÇAMENTO!$X$15,$A14,0,$B14)+10^-12)))</f>
        <v>0</v>
      </c>
      <c r="AL14" s="182">
        <f ca="1">IF(ACOMPANHAMENTO&lt;&gt;"BM",0,OFFSET(BM!$M$15,$A14,0))</f>
        <v>0</v>
      </c>
      <c r="AM14" s="182" cm="1">
        <f t="array" aca="1" ref="AM14" ca="1">IF(ACOMPANHAMENTO&lt;&gt;"BM",0,SUMPRODUCT(OFFSET(BM!$O$15,$A14,0,$B14)*(OFFSET(BM!$A$15,$A14,0,$B14)="S")*OFFSET(ORÇAMENTO!AA$15,$A14,0,$B14)/(OFFSET(ORÇAMENTO!$X$15,$A14,0,$B14)+10^-12)))</f>
        <v>0</v>
      </c>
      <c r="AN14" s="182" cm="1">
        <f t="array" aca="1" ref="AN14" ca="1">IF(ACOMPANHAMENTO&lt;&gt;"BM",0,SUMPRODUCT(OFFSET(BM!$O$15,$A14,0,$B14)*(OFFSET(BM!$A$15,$A14,0,$B14)="S")*OFFSET(ORÇAMENTO!AB$15,$A14,0,$B14)/(OFFSET(ORÇAMENTO!$X$15,$A14,0,$B14)+10^-12)))</f>
        <v>0</v>
      </c>
      <c r="AO14" s="182">
        <f ca="1">IF(ACOMPANHAMENTO&lt;&gt;"BM",0,OFFSET(BM!$O$15,$A14,0))</f>
        <v>0</v>
      </c>
    </row>
    <row r="15" spans="1:41" ht="30" customHeight="1" x14ac:dyDescent="0.2">
      <c r="A15" t="e">
        <f ca="1">MATCH(E15,ORÇAMENTO!$E$15:$E$55,0)-1</f>
        <v>#N/A</v>
      </c>
      <c r="B15" t="e">
        <f ca="1">IF(ISERROR($A15),NA(),OFFSET(ORÇAMENTO!$D$15,$A15,0))</f>
        <v>#N/A</v>
      </c>
      <c r="C15" t="str">
        <f ca="1">QCI!B15</f>
        <v>Branco</v>
      </c>
      <c r="D15" t="str">
        <f t="shared" ca="1" si="0"/>
        <v/>
      </c>
      <c r="E15" s="280">
        <f>QCI!D15</f>
        <v>2</v>
      </c>
      <c r="F15" s="361" t="str">
        <f ca="1">QCI!G15</f>
        <v/>
      </c>
      <c r="G15" s="362">
        <f>QCI!H15</f>
        <v>0</v>
      </c>
      <c r="H15" s="281">
        <f>QCI!I15</f>
        <v>0</v>
      </c>
      <c r="I15" s="281" t="str">
        <f ca="1">QCI!J15</f>
        <v/>
      </c>
      <c r="J15" s="363" t="str">
        <f ca="1">QCI!K15</f>
        <v/>
      </c>
      <c r="K15" s="364" t="str" cm="1">
        <f t="array" aca="1" ref="K15" ca="1">IF($C15="Automático",IF(ACOMPANHAMENTO="BM",BM.medicao,PLE.Medicao),IF(ISBLANK($X15),"",$X15))</f>
        <v/>
      </c>
      <c r="L15" s="285">
        <f ca="1">QCI!$O15</f>
        <v>0</v>
      </c>
      <c r="M15" s="282">
        <f t="shared" ca="1" si="1"/>
        <v>0</v>
      </c>
      <c r="N15" s="283">
        <f t="shared" ca="1" si="2"/>
        <v>0</v>
      </c>
      <c r="O15" s="284">
        <f t="shared" ca="1" si="3"/>
        <v>0</v>
      </c>
      <c r="P15" s="366">
        <f t="shared" ca="1" si="4"/>
        <v>0</v>
      </c>
      <c r="R15" s="365">
        <f ca="1">ROUND(IF($C15="Automático",AC15+AJ15,$Y15*IF(ISERROR(QCI!$AA15/QCI!$O15),0,QCI!$AA15/QCI!$O15)),2)</f>
        <v>0</v>
      </c>
      <c r="S15" s="365">
        <f ca="1">ROUND(IF($C15="Automático",AD15+AK15,$Y15*IF(ISERROR(QCI!$AB15/QCI!$O15),0,QCI!$AB15/QCI!$O15)),2)</f>
        <v>0</v>
      </c>
      <c r="T15" s="365">
        <f ca="1">ROUND(IF($C15="Automático",AF15+AM15,$Z15*IF(ISERROR(QCI!$AA15/QCI!$O15),0,QCI!$AA15/QCI!$O15)),2)</f>
        <v>0</v>
      </c>
      <c r="U15" s="365">
        <f ca="1">ROUND(IF($C15="Automático",AG15+AN15,$Z15*IF(ISERROR(QCI!$AB15/QCI!$O15),0,QCI!$AB15/QCI!$O15)),2)</f>
        <v>0</v>
      </c>
      <c r="V15" s="448">
        <f ca="1">IF(AND($L15&gt;0,$J15&lt;&gt;0,$J15&lt;&gt;"",COUNTIF($J$13:$J15,$J15)=1),OFFSET(V15,-1,0)+1,OFFSET(V15,-1,0))</f>
        <v>1</v>
      </c>
      <c r="X15" s="512"/>
      <c r="Y15" s="286"/>
      <c r="Z15" s="287"/>
      <c r="AC15" s="182" t="e" cm="1">
        <f t="array" aca="1" ref="AC15" ca="1">IF(ACOMPANHAMENTO&lt;&gt;"PLE",0,SUMPRODUCT((OFFSET(CÁLCULO!$AX$15:$BH$15,$A15,0,$B15)&lt;=(PLE.Medicao-1))*OFFSET(CÁLCULO!$AB$15:$AL$15,$A15,0,$B15)*OFFSET(ORÇAMENTO!$AA$15,$A15,0,$B15)/(OFFSET(ORÇAMENTO!$X$15,$A15,0,$B15)+10^-12))+IF(AUTOEVENTO="Manual",SUMPRODUCT((OFFSET(CÁLCULO!$M$15,$A15,0,$B15)=1)*OFFSET(ORÇAMENTO!$AA$15,$A15,0,$B15)*(PLE!$AE$9-PLE!$Y$9)),0))</f>
        <v>#N/A</v>
      </c>
      <c r="AD15" s="182" t="e" cm="1">
        <f t="array" aca="1" ref="AD15" ca="1">IF(ACOMPANHAMENTO&lt;&gt;"PLE",0,SUMPRODUCT((OFFSET(CÁLCULO!$AX$15:$BH$15,$A15,0,$B15)&lt;=(PLE.Medicao-1))*OFFSET(CÁLCULO!$AB$15:$AL$15,$A15,0,$B15)*OFFSET(ORÇAMENTO!$AB$15,$A15,0,$B15)/(OFFSET(ORÇAMENTO!$X$15,$A15,0,$B15)+10^-12))+IF(AUTOEVENTO="Manual",SUMPRODUCT((OFFSET(CÁLCULO!$M$15,$A15,0,$B15)=1)*OFFSET(ORÇAMENTO!$AB$15,$A15,0,$B15)*(PLE!$AE$9-PLE!$Y$9)),0))</f>
        <v>#N/A</v>
      </c>
      <c r="AE15" s="182" t="e">
        <f ca="1">ROUND(
            IF(ACOMPANHAMENTO&lt;&gt;"PLE",0,
                      SUMIF(OFFSET(CÁLCULO!$AX$15:$BH$15,$A15,0,$B15),"&lt;="&amp;(PLE.Medicao-1),OFFSET(CÁLCULO!$AB$15:$AL$15,$A15,0,$B15))
                      +IF(AdmLocal="Automática",
                              SUMIF(OFFSET(CÁLCULO!$M$15,$A15,0,$B15),1,OFFSET(ORÇAMENTO!$X$15,$A15,0,$B15))*(PLE!$AE$9-PLE!$Y$9),
                              0)),
            2)</f>
        <v>#N/A</v>
      </c>
      <c r="AF15" s="182" t="e" cm="1">
        <f t="array" aca="1" ref="AF15" ca="1">IF(ACOMPANHAMENTO&lt;&gt;"PLE",0,SUMPRODUCT((OFFSET(CÁLCULO!$AX$15:$BH$15,$A15,0,$B15)&lt;=PLE.Medicao)*OFFSET(CÁLCULO!$AB$15:$AL$15,$A15,0,$B15)*OFFSET(ORÇAMENTO!$AA$15,$A15,0,$B15)/(OFFSET(ORÇAMENTO!$X$15,$A15,0,$B15)+10^-12))+IF(AUTOEVENTO="Manual",SUMPRODUCT((OFFSET(CÁLCULO!$M$15,$A15,0,$B15)=1)*OFFSET(ORÇAMENTO!$AA$15,$A15,0,$B15)*PLE!$AE$9),0))</f>
        <v>#N/A</v>
      </c>
      <c r="AG15" s="182" t="e" cm="1">
        <f t="array" aca="1" ref="AG15" ca="1">IF(ACOMPANHAMENTO&lt;&gt;"PLE",0,SUMPRODUCT((OFFSET(CÁLCULO!$AX$15:$BH$15,$A15,0,$B15)&lt;=PLE.Medicao)*OFFSET(CÁLCULO!$AB$15:$AL$15,$A15,0,$B15)*OFFSET(ORÇAMENTO!$AB$15,$A15,0,$B15)/(OFFSET(ORÇAMENTO!$X$15,$A15,0,$B15)+10^-12))+IF(AUTOEVENTO="Manual",SUMPRODUCT((OFFSET(CÁLCULO!$M$15,$A15,0,$B15)=1)*OFFSET(ORÇAMENTO!$AB$15,$A15,0,$B15)*PLE!$AE$9),0))</f>
        <v>#N/A</v>
      </c>
      <c r="AH15" s="182" t="e">
        <f ca="1">ROUND(IF(ACOMPANHAMENTO&lt;&gt;"PLE",0,SUMIF(OFFSET(CÁLCULO!$AX$15:$BH$15,$A15,0,$B15),"&lt;="&amp;PLE.Medicao,OFFSET(CÁLCULO!$AB$15:$AL$15,$A15,0,$B15))+IF(AdmLocal="Automática",SUMIF(OFFSET(CÁLCULO!$M$15,$A15,0,$B15),1,OFFSET(ORÇAMENTO!$X$15,$A15,0,$B15))*PLE!$AE$9,0)),2)</f>
        <v>#N/A</v>
      </c>
      <c r="AJ15" s="182" cm="1">
        <f t="array" aca="1" ref="AJ15" ca="1">IF(ACOMPANHAMENTO&lt;&gt;"BM",0,SUMPRODUCT(OFFSET(BM!$M$15,$A15,0,$B15)*(OFFSET(BM!$A$15,$A15,0,$B15)="S")*OFFSET(ORÇAMENTO!AA$15,$A15,0,$B15)/(OFFSET(ORÇAMENTO!$X$15,$A15,0,$B15)+10^-12)))</f>
        <v>0</v>
      </c>
      <c r="AK15" s="182" cm="1">
        <f t="array" aca="1" ref="AK15" ca="1">IF(ACOMPANHAMENTO&lt;&gt;"BM",0,SUMPRODUCT(OFFSET(BM!$M$15,$A15,0,$B15)*(OFFSET(BM!$A$15,$A15,0,$B15)="S")*OFFSET(ORÇAMENTO!AB$15,$A15,0,$B15)/(OFFSET(ORÇAMENTO!$X$15,$A15,0,$B15)+10^-12)))</f>
        <v>0</v>
      </c>
      <c r="AL15" s="182">
        <f ca="1">IF(ACOMPANHAMENTO&lt;&gt;"BM",0,OFFSET(BM!$M$15,$A15,0))</f>
        <v>0</v>
      </c>
      <c r="AM15" s="182" cm="1">
        <f t="array" aca="1" ref="AM15" ca="1">IF(ACOMPANHAMENTO&lt;&gt;"BM",0,SUMPRODUCT(OFFSET(BM!$O$15,$A15,0,$B15)*(OFFSET(BM!$A$15,$A15,0,$B15)="S")*OFFSET(ORÇAMENTO!AA$15,$A15,0,$B15)/(OFFSET(ORÇAMENTO!$X$15,$A15,0,$B15)+10^-12)))</f>
        <v>0</v>
      </c>
      <c r="AN15" s="182" cm="1">
        <f t="array" aca="1" ref="AN15" ca="1">IF(ACOMPANHAMENTO&lt;&gt;"BM",0,SUMPRODUCT(OFFSET(BM!$O$15,$A15,0,$B15)*(OFFSET(BM!$A$15,$A15,0,$B15)="S")*OFFSET(ORÇAMENTO!AB$15,$A15,0,$B15)/(OFFSET(ORÇAMENTO!$X$15,$A15,0,$B15)+10^-12)))</f>
        <v>0</v>
      </c>
      <c r="AO15" s="182">
        <f ca="1">IF(ACOMPANHAMENTO&lt;&gt;"BM",0,OFFSET(BM!$O$15,$A15,0))</f>
        <v>0</v>
      </c>
    </row>
    <row r="16" spans="1:41" ht="30" customHeight="1" x14ac:dyDescent="0.2">
      <c r="A16" t="e">
        <f ca="1">MATCH(E16,ORÇAMENTO!$E$15:$E$55,0)-1</f>
        <v>#N/A</v>
      </c>
      <c r="B16" t="e">
        <f ca="1">IF(ISERROR($A16),NA(),OFFSET(ORÇAMENTO!$D$15,$A16,0))</f>
        <v>#N/A</v>
      </c>
      <c r="C16" t="str">
        <f ca="1">QCI!B16</f>
        <v>Branco</v>
      </c>
      <c r="D16" t="str">
        <f t="shared" ca="1" si="0"/>
        <v/>
      </c>
      <c r="E16" s="280">
        <f>QCI!D16</f>
        <v>3</v>
      </c>
      <c r="F16" s="361" t="str">
        <f ca="1">QCI!G16</f>
        <v/>
      </c>
      <c r="G16" s="362">
        <f>QCI!H16</f>
        <v>0</v>
      </c>
      <c r="H16" s="281">
        <f>QCI!I16</f>
        <v>0</v>
      </c>
      <c r="I16" s="281" t="str">
        <f ca="1">QCI!J16</f>
        <v/>
      </c>
      <c r="J16" s="363" t="str">
        <f ca="1">QCI!K16</f>
        <v/>
      </c>
      <c r="K16" s="364" t="str" cm="1">
        <f t="array" aca="1" ref="K16" ca="1">IF($C16="Automático",IF(ACOMPANHAMENTO="BM",BM.medicao,PLE.Medicao),IF(ISBLANK($X16),"",$X16))</f>
        <v/>
      </c>
      <c r="L16" s="285">
        <f ca="1">QCI!$O16</f>
        <v>0</v>
      </c>
      <c r="M16" s="282">
        <f t="shared" ca="1" si="1"/>
        <v>0</v>
      </c>
      <c r="N16" s="283">
        <f t="shared" ca="1" si="2"/>
        <v>0</v>
      </c>
      <c r="O16" s="284">
        <f t="shared" ca="1" si="3"/>
        <v>0</v>
      </c>
      <c r="P16" s="366">
        <f t="shared" ca="1" si="4"/>
        <v>0</v>
      </c>
      <c r="R16" s="365">
        <f ca="1">ROUND(IF($C16="Automático",AC16+AJ16,$Y16*IF(ISERROR(QCI!$AA16/QCI!$O16),0,QCI!$AA16/QCI!$O16)),2)</f>
        <v>0</v>
      </c>
      <c r="S16" s="365">
        <f ca="1">ROUND(IF($C16="Automático",AD16+AK16,$Y16*IF(ISERROR(QCI!$AB16/QCI!$O16),0,QCI!$AB16/QCI!$O16)),2)</f>
        <v>0</v>
      </c>
      <c r="T16" s="365">
        <f ca="1">ROUND(IF($C16="Automático",AF16+AM16,$Z16*IF(ISERROR(QCI!$AA16/QCI!$O16),0,QCI!$AA16/QCI!$O16)),2)</f>
        <v>0</v>
      </c>
      <c r="U16" s="365">
        <f ca="1">ROUND(IF($C16="Automático",AG16+AN16,$Z16*IF(ISERROR(QCI!$AB16/QCI!$O16),0,QCI!$AB16/QCI!$O16)),2)</f>
        <v>0</v>
      </c>
      <c r="V16" s="448">
        <f ca="1">IF(AND($L16&gt;0,$J16&lt;&gt;0,$J16&lt;&gt;"",COUNTIF($J$13:$J16,$J16)=1),OFFSET(V16,-1,0)+1,OFFSET(V16,-1,0))</f>
        <v>1</v>
      </c>
      <c r="X16" s="512"/>
      <c r="Y16" s="286"/>
      <c r="Z16" s="287"/>
      <c r="AC16" s="182" t="e" cm="1">
        <f t="array" aca="1" ref="AC16" ca="1">IF(ACOMPANHAMENTO&lt;&gt;"PLE",0,SUMPRODUCT((OFFSET(CÁLCULO!$AX$15:$BH$15,$A16,0,$B16)&lt;=(PLE.Medicao-1))*OFFSET(CÁLCULO!$AB$15:$AL$15,$A16,0,$B16)*OFFSET(ORÇAMENTO!$AA$15,$A16,0,$B16)/(OFFSET(ORÇAMENTO!$X$15,$A16,0,$B16)+10^-12))+IF(AUTOEVENTO="Manual",SUMPRODUCT((OFFSET(CÁLCULO!$M$15,$A16,0,$B16)=1)*OFFSET(ORÇAMENTO!$AA$15,$A16,0,$B16)*(PLE!$AE$9-PLE!$Y$9)),0))</f>
        <v>#N/A</v>
      </c>
      <c r="AD16" s="182" t="e" cm="1">
        <f t="array" aca="1" ref="AD16" ca="1">IF(ACOMPANHAMENTO&lt;&gt;"PLE",0,SUMPRODUCT((OFFSET(CÁLCULO!$AX$15:$BH$15,$A16,0,$B16)&lt;=(PLE.Medicao-1))*OFFSET(CÁLCULO!$AB$15:$AL$15,$A16,0,$B16)*OFFSET(ORÇAMENTO!$AB$15,$A16,0,$B16)/(OFFSET(ORÇAMENTO!$X$15,$A16,0,$B16)+10^-12))+IF(AUTOEVENTO="Manual",SUMPRODUCT((OFFSET(CÁLCULO!$M$15,$A16,0,$B16)=1)*OFFSET(ORÇAMENTO!$AB$15,$A16,0,$B16)*(PLE!$AE$9-PLE!$Y$9)),0))</f>
        <v>#N/A</v>
      </c>
      <c r="AE16" s="182" t="e">
        <f ca="1">ROUND(
            IF(ACOMPANHAMENTO&lt;&gt;"PLE",0,
                      SUMIF(OFFSET(CÁLCULO!$AX$15:$BH$15,$A16,0,$B16),"&lt;="&amp;(PLE.Medicao-1),OFFSET(CÁLCULO!$AB$15:$AL$15,$A16,0,$B16))
                      +IF(AdmLocal="Automática",
                              SUMIF(OFFSET(CÁLCULO!$M$15,$A16,0,$B16),1,OFFSET(ORÇAMENTO!$X$15,$A16,0,$B16))*(PLE!$AE$9-PLE!$Y$9),
                              0)),
            2)</f>
        <v>#N/A</v>
      </c>
      <c r="AF16" s="182" t="e" cm="1">
        <f t="array" aca="1" ref="AF16" ca="1">IF(ACOMPANHAMENTO&lt;&gt;"PLE",0,SUMPRODUCT((OFFSET(CÁLCULO!$AX$15:$BH$15,$A16,0,$B16)&lt;=PLE.Medicao)*OFFSET(CÁLCULO!$AB$15:$AL$15,$A16,0,$B16)*OFFSET(ORÇAMENTO!$AA$15,$A16,0,$B16)/(OFFSET(ORÇAMENTO!$X$15,$A16,0,$B16)+10^-12))+IF(AUTOEVENTO="Manual",SUMPRODUCT((OFFSET(CÁLCULO!$M$15,$A16,0,$B16)=1)*OFFSET(ORÇAMENTO!$AA$15,$A16,0,$B16)*PLE!$AE$9),0))</f>
        <v>#N/A</v>
      </c>
      <c r="AG16" s="182" t="e" cm="1">
        <f t="array" aca="1" ref="AG16" ca="1">IF(ACOMPANHAMENTO&lt;&gt;"PLE",0,SUMPRODUCT((OFFSET(CÁLCULO!$AX$15:$BH$15,$A16,0,$B16)&lt;=PLE.Medicao)*OFFSET(CÁLCULO!$AB$15:$AL$15,$A16,0,$B16)*OFFSET(ORÇAMENTO!$AB$15,$A16,0,$B16)/(OFFSET(ORÇAMENTO!$X$15,$A16,0,$B16)+10^-12))+IF(AUTOEVENTO="Manual",SUMPRODUCT((OFFSET(CÁLCULO!$M$15,$A16,0,$B16)=1)*OFFSET(ORÇAMENTO!$AB$15,$A16,0,$B16)*PLE!$AE$9),0))</f>
        <v>#N/A</v>
      </c>
      <c r="AH16" s="182" t="e">
        <f ca="1">ROUND(IF(ACOMPANHAMENTO&lt;&gt;"PLE",0,SUMIF(OFFSET(CÁLCULO!$AX$15:$BH$15,$A16,0,$B16),"&lt;="&amp;PLE.Medicao,OFFSET(CÁLCULO!$AB$15:$AL$15,$A16,0,$B16))+IF(AdmLocal="Automática",SUMIF(OFFSET(CÁLCULO!$M$15,$A16,0,$B16),1,OFFSET(ORÇAMENTO!$X$15,$A16,0,$B16))*PLE!$AE$9,0)),2)</f>
        <v>#N/A</v>
      </c>
      <c r="AJ16" s="182" cm="1">
        <f t="array" aca="1" ref="AJ16" ca="1">IF(ACOMPANHAMENTO&lt;&gt;"BM",0,SUMPRODUCT(OFFSET(BM!$M$15,$A16,0,$B16)*(OFFSET(BM!$A$15,$A16,0,$B16)="S")*OFFSET(ORÇAMENTO!AA$15,$A16,0,$B16)/(OFFSET(ORÇAMENTO!$X$15,$A16,0,$B16)+10^-12)))</f>
        <v>0</v>
      </c>
      <c r="AK16" s="182" cm="1">
        <f t="array" aca="1" ref="AK16" ca="1">IF(ACOMPANHAMENTO&lt;&gt;"BM",0,SUMPRODUCT(OFFSET(BM!$M$15,$A16,0,$B16)*(OFFSET(BM!$A$15,$A16,0,$B16)="S")*OFFSET(ORÇAMENTO!AB$15,$A16,0,$B16)/(OFFSET(ORÇAMENTO!$X$15,$A16,0,$B16)+10^-12)))</f>
        <v>0</v>
      </c>
      <c r="AL16" s="182">
        <f ca="1">IF(ACOMPANHAMENTO&lt;&gt;"BM",0,OFFSET(BM!$M$15,$A16,0))</f>
        <v>0</v>
      </c>
      <c r="AM16" s="182" cm="1">
        <f t="array" aca="1" ref="AM16" ca="1">IF(ACOMPANHAMENTO&lt;&gt;"BM",0,SUMPRODUCT(OFFSET(BM!$O$15,$A16,0,$B16)*(OFFSET(BM!$A$15,$A16,0,$B16)="S")*OFFSET(ORÇAMENTO!AA$15,$A16,0,$B16)/(OFFSET(ORÇAMENTO!$X$15,$A16,0,$B16)+10^-12)))</f>
        <v>0</v>
      </c>
      <c r="AN16" s="182" cm="1">
        <f t="array" aca="1" ref="AN16" ca="1">IF(ACOMPANHAMENTO&lt;&gt;"BM",0,SUMPRODUCT(OFFSET(BM!$O$15,$A16,0,$B16)*(OFFSET(BM!$A$15,$A16,0,$B16)="S")*OFFSET(ORÇAMENTO!AB$15,$A16,0,$B16)/(OFFSET(ORÇAMENTO!$X$15,$A16,0,$B16)+10^-12)))</f>
        <v>0</v>
      </c>
      <c r="AO16" s="182">
        <f ca="1">IF(ACOMPANHAMENTO&lt;&gt;"BM",0,OFFSET(BM!$O$15,$A16,0))</f>
        <v>0</v>
      </c>
    </row>
    <row r="17" spans="1:41" ht="30" customHeight="1" x14ac:dyDescent="0.2">
      <c r="A17" t="e">
        <f ca="1">MATCH(E17,ORÇAMENTO!$E$15:$E$55,0)-1</f>
        <v>#N/A</v>
      </c>
      <c r="B17" t="e">
        <f ca="1">IF(ISERROR($A17),NA(),OFFSET(ORÇAMENTO!$D$15,$A17,0))</f>
        <v>#N/A</v>
      </c>
      <c r="C17" t="str">
        <f ca="1">QCI!B17</f>
        <v>Branco</v>
      </c>
      <c r="D17" t="str">
        <f t="shared" ca="1" si="0"/>
        <v/>
      </c>
      <c r="E17" s="280">
        <f>QCI!D17</f>
        <v>4</v>
      </c>
      <c r="F17" s="361" t="str">
        <f ca="1">QCI!G17</f>
        <v/>
      </c>
      <c r="G17" s="362">
        <f>QCI!H17</f>
        <v>0</v>
      </c>
      <c r="H17" s="281">
        <f>QCI!I17</f>
        <v>0</v>
      </c>
      <c r="I17" s="281" t="str">
        <f ca="1">QCI!J17</f>
        <v/>
      </c>
      <c r="J17" s="363" t="str">
        <f ca="1">QCI!K17</f>
        <v/>
      </c>
      <c r="K17" s="364" t="str" cm="1">
        <f t="array" aca="1" ref="K17" ca="1">IF($C17="Automático",IF(ACOMPANHAMENTO="BM",BM.medicao,PLE.Medicao),IF(ISBLANK($X17),"",$X17))</f>
        <v/>
      </c>
      <c r="L17" s="285">
        <f ca="1">QCI!$O17</f>
        <v>0</v>
      </c>
      <c r="M17" s="282">
        <f t="shared" ca="1" si="1"/>
        <v>0</v>
      </c>
      <c r="N17" s="283">
        <f t="shared" ca="1" si="2"/>
        <v>0</v>
      </c>
      <c r="O17" s="284">
        <f t="shared" ca="1" si="3"/>
        <v>0</v>
      </c>
      <c r="P17" s="366">
        <f t="shared" ca="1" si="4"/>
        <v>0</v>
      </c>
      <c r="R17" s="365">
        <f ca="1">ROUND(IF($C17="Automático",AC17+AJ17,$Y17*IF(ISERROR(QCI!$AA17/QCI!$O17),0,QCI!$AA17/QCI!$O17)),2)</f>
        <v>0</v>
      </c>
      <c r="S17" s="365">
        <f ca="1">ROUND(IF($C17="Automático",AD17+AK17,$Y17*IF(ISERROR(QCI!$AB17/QCI!$O17),0,QCI!$AB17/QCI!$O17)),2)</f>
        <v>0</v>
      </c>
      <c r="T17" s="365">
        <f ca="1">ROUND(IF($C17="Automático",AF17+AM17,$Z17*IF(ISERROR(QCI!$AA17/QCI!$O17),0,QCI!$AA17/QCI!$O17)),2)</f>
        <v>0</v>
      </c>
      <c r="U17" s="365">
        <f ca="1">ROUND(IF($C17="Automático",AG17+AN17,$Z17*IF(ISERROR(QCI!$AB17/QCI!$O17),0,QCI!$AB17/QCI!$O17)),2)</f>
        <v>0</v>
      </c>
      <c r="V17" s="448">
        <f ca="1">IF(AND($L17&gt;0,$J17&lt;&gt;0,$J17&lt;&gt;"",COUNTIF($J$13:$J17,$J17)=1),OFFSET(V17,-1,0)+1,OFFSET(V17,-1,0))</f>
        <v>1</v>
      </c>
      <c r="X17" s="512"/>
      <c r="Y17" s="286"/>
      <c r="Z17" s="287"/>
      <c r="AC17" s="182" t="e" cm="1">
        <f t="array" aca="1" ref="AC17" ca="1">IF(ACOMPANHAMENTO&lt;&gt;"PLE",0,SUMPRODUCT((OFFSET(CÁLCULO!$AX$15:$BH$15,$A17,0,$B17)&lt;=(PLE.Medicao-1))*OFFSET(CÁLCULO!$AB$15:$AL$15,$A17,0,$B17)*OFFSET(ORÇAMENTO!$AA$15,$A17,0,$B17)/(OFFSET(ORÇAMENTO!$X$15,$A17,0,$B17)+10^-12))+IF(AUTOEVENTO="Manual",SUMPRODUCT((OFFSET(CÁLCULO!$M$15,$A17,0,$B17)=1)*OFFSET(ORÇAMENTO!$AA$15,$A17,0,$B17)*(PLE!$AE$9-PLE!$Y$9)),0))</f>
        <v>#N/A</v>
      </c>
      <c r="AD17" s="182" t="e" cm="1">
        <f t="array" aca="1" ref="AD17" ca="1">IF(ACOMPANHAMENTO&lt;&gt;"PLE",0,SUMPRODUCT((OFFSET(CÁLCULO!$AX$15:$BH$15,$A17,0,$B17)&lt;=(PLE.Medicao-1))*OFFSET(CÁLCULO!$AB$15:$AL$15,$A17,0,$B17)*OFFSET(ORÇAMENTO!$AB$15,$A17,0,$B17)/(OFFSET(ORÇAMENTO!$X$15,$A17,0,$B17)+10^-12))+IF(AUTOEVENTO="Manual",SUMPRODUCT((OFFSET(CÁLCULO!$M$15,$A17,0,$B17)=1)*OFFSET(ORÇAMENTO!$AB$15,$A17,0,$B17)*(PLE!$AE$9-PLE!$Y$9)),0))</f>
        <v>#N/A</v>
      </c>
      <c r="AE17" s="182" t="e">
        <f ca="1">ROUND(
            IF(ACOMPANHAMENTO&lt;&gt;"PLE",0,
                      SUMIF(OFFSET(CÁLCULO!$AX$15:$BH$15,$A17,0,$B17),"&lt;="&amp;(PLE.Medicao-1),OFFSET(CÁLCULO!$AB$15:$AL$15,$A17,0,$B17))
                      +IF(AdmLocal="Automática",
                              SUMIF(OFFSET(CÁLCULO!$M$15,$A17,0,$B17),1,OFFSET(ORÇAMENTO!$X$15,$A17,0,$B17))*(PLE!$AE$9-PLE!$Y$9),
                              0)),
            2)</f>
        <v>#N/A</v>
      </c>
      <c r="AF17" s="182" t="e" cm="1">
        <f t="array" aca="1" ref="AF17" ca="1">IF(ACOMPANHAMENTO&lt;&gt;"PLE",0,SUMPRODUCT((OFFSET(CÁLCULO!$AX$15:$BH$15,$A17,0,$B17)&lt;=PLE.Medicao)*OFFSET(CÁLCULO!$AB$15:$AL$15,$A17,0,$B17)*OFFSET(ORÇAMENTO!$AA$15,$A17,0,$B17)/(OFFSET(ORÇAMENTO!$X$15,$A17,0,$B17)+10^-12))+IF(AUTOEVENTO="Manual",SUMPRODUCT((OFFSET(CÁLCULO!$M$15,$A17,0,$B17)=1)*OFFSET(ORÇAMENTO!$AA$15,$A17,0,$B17)*PLE!$AE$9),0))</f>
        <v>#N/A</v>
      </c>
      <c r="AG17" s="182" t="e" cm="1">
        <f t="array" aca="1" ref="AG17" ca="1">IF(ACOMPANHAMENTO&lt;&gt;"PLE",0,SUMPRODUCT((OFFSET(CÁLCULO!$AX$15:$BH$15,$A17,0,$B17)&lt;=PLE.Medicao)*OFFSET(CÁLCULO!$AB$15:$AL$15,$A17,0,$B17)*OFFSET(ORÇAMENTO!$AB$15,$A17,0,$B17)/(OFFSET(ORÇAMENTO!$X$15,$A17,0,$B17)+10^-12))+IF(AUTOEVENTO="Manual",SUMPRODUCT((OFFSET(CÁLCULO!$M$15,$A17,0,$B17)=1)*OFFSET(ORÇAMENTO!$AB$15,$A17,0,$B17)*PLE!$AE$9),0))</f>
        <v>#N/A</v>
      </c>
      <c r="AH17" s="182" t="e">
        <f ca="1">ROUND(IF(ACOMPANHAMENTO&lt;&gt;"PLE",0,SUMIF(OFFSET(CÁLCULO!$AX$15:$BH$15,$A17,0,$B17),"&lt;="&amp;PLE.Medicao,OFFSET(CÁLCULO!$AB$15:$AL$15,$A17,0,$B17))+IF(AdmLocal="Automática",SUMIF(OFFSET(CÁLCULO!$M$15,$A17,0,$B17),1,OFFSET(ORÇAMENTO!$X$15,$A17,0,$B17))*PLE!$AE$9,0)),2)</f>
        <v>#N/A</v>
      </c>
      <c r="AJ17" s="182" cm="1">
        <f t="array" aca="1" ref="AJ17" ca="1">IF(ACOMPANHAMENTO&lt;&gt;"BM",0,SUMPRODUCT(OFFSET(BM!$M$15,$A17,0,$B17)*(OFFSET(BM!$A$15,$A17,0,$B17)="S")*OFFSET(ORÇAMENTO!AA$15,$A17,0,$B17)/(OFFSET(ORÇAMENTO!$X$15,$A17,0,$B17)+10^-12)))</f>
        <v>0</v>
      </c>
      <c r="AK17" s="182" cm="1">
        <f t="array" aca="1" ref="AK17" ca="1">IF(ACOMPANHAMENTO&lt;&gt;"BM",0,SUMPRODUCT(OFFSET(BM!$M$15,$A17,0,$B17)*(OFFSET(BM!$A$15,$A17,0,$B17)="S")*OFFSET(ORÇAMENTO!AB$15,$A17,0,$B17)/(OFFSET(ORÇAMENTO!$X$15,$A17,0,$B17)+10^-12)))</f>
        <v>0</v>
      </c>
      <c r="AL17" s="182">
        <f ca="1">IF(ACOMPANHAMENTO&lt;&gt;"BM",0,OFFSET(BM!$M$15,$A17,0))</f>
        <v>0</v>
      </c>
      <c r="AM17" s="182" cm="1">
        <f t="array" aca="1" ref="AM17" ca="1">IF(ACOMPANHAMENTO&lt;&gt;"BM",0,SUMPRODUCT(OFFSET(BM!$O$15,$A17,0,$B17)*(OFFSET(BM!$A$15,$A17,0,$B17)="S")*OFFSET(ORÇAMENTO!AA$15,$A17,0,$B17)/(OFFSET(ORÇAMENTO!$X$15,$A17,0,$B17)+10^-12)))</f>
        <v>0</v>
      </c>
      <c r="AN17" s="182" cm="1">
        <f t="array" aca="1" ref="AN17" ca="1">IF(ACOMPANHAMENTO&lt;&gt;"BM",0,SUMPRODUCT(OFFSET(BM!$O$15,$A17,0,$B17)*(OFFSET(BM!$A$15,$A17,0,$B17)="S")*OFFSET(ORÇAMENTO!AB$15,$A17,0,$B17)/(OFFSET(ORÇAMENTO!$X$15,$A17,0,$B17)+10^-12)))</f>
        <v>0</v>
      </c>
      <c r="AO17" s="182">
        <f ca="1">IF(ACOMPANHAMENTO&lt;&gt;"BM",0,OFFSET(BM!$O$15,$A17,0))</f>
        <v>0</v>
      </c>
    </row>
    <row r="18" spans="1:41" ht="30" customHeight="1" x14ac:dyDescent="0.2">
      <c r="A18" t="e">
        <f ca="1">MATCH(E18,ORÇAMENTO!$E$15:$E$55,0)-1</f>
        <v>#N/A</v>
      </c>
      <c r="B18" t="e">
        <f ca="1">IF(ISERROR($A18),NA(),OFFSET(ORÇAMENTO!$D$15,$A18,0))</f>
        <v>#N/A</v>
      </c>
      <c r="C18" t="str">
        <f ca="1">QCI!B18</f>
        <v>Branco</v>
      </c>
      <c r="D18" t="str">
        <f t="shared" ca="1" si="0"/>
        <v/>
      </c>
      <c r="E18" s="280">
        <f>QCI!D18</f>
        <v>5</v>
      </c>
      <c r="F18" s="361" t="str">
        <f ca="1">QCI!G18</f>
        <v/>
      </c>
      <c r="G18" s="362">
        <f>QCI!H18</f>
        <v>0</v>
      </c>
      <c r="H18" s="281">
        <f>QCI!I18</f>
        <v>0</v>
      </c>
      <c r="I18" s="281" t="str">
        <f ca="1">QCI!J18</f>
        <v/>
      </c>
      <c r="J18" s="363" t="str">
        <f ca="1">QCI!K18</f>
        <v/>
      </c>
      <c r="K18" s="364" t="str" cm="1">
        <f t="array" aca="1" ref="K18" ca="1">IF($C18="Automático",IF(ACOMPANHAMENTO="BM",BM.medicao,PLE.Medicao),IF(ISBLANK($X18),"",$X18))</f>
        <v/>
      </c>
      <c r="L18" s="285">
        <f ca="1">QCI!$O18</f>
        <v>0</v>
      </c>
      <c r="M18" s="282">
        <f t="shared" ca="1" si="1"/>
        <v>0</v>
      </c>
      <c r="N18" s="283">
        <f t="shared" ca="1" si="2"/>
        <v>0</v>
      </c>
      <c r="O18" s="284">
        <f t="shared" ca="1" si="3"/>
        <v>0</v>
      </c>
      <c r="P18" s="366">
        <f t="shared" ca="1" si="4"/>
        <v>0</v>
      </c>
      <c r="R18" s="365">
        <f ca="1">ROUND(IF($C18="Automático",AC18+AJ18,$Y18*IF(ISERROR(QCI!$AA18/QCI!$O18),0,QCI!$AA18/QCI!$O18)),2)</f>
        <v>0</v>
      </c>
      <c r="S18" s="365">
        <f ca="1">ROUND(IF($C18="Automático",AD18+AK18,$Y18*IF(ISERROR(QCI!$AB18/QCI!$O18),0,QCI!$AB18/QCI!$O18)),2)</f>
        <v>0</v>
      </c>
      <c r="T18" s="365">
        <f ca="1">ROUND(IF($C18="Automático",AF18+AM18,$Z18*IF(ISERROR(QCI!$AA18/QCI!$O18),0,QCI!$AA18/QCI!$O18)),2)</f>
        <v>0</v>
      </c>
      <c r="U18" s="365">
        <f ca="1">ROUND(IF($C18="Automático",AG18+AN18,$Z18*IF(ISERROR(QCI!$AB18/QCI!$O18),0,QCI!$AB18/QCI!$O18)),2)</f>
        <v>0</v>
      </c>
      <c r="V18" s="448">
        <f ca="1">IF(AND($L18&gt;0,$J18&lt;&gt;0,$J18&lt;&gt;"",COUNTIF($J$13:$J18,$J18)=1),OFFSET(V18,-1,0)+1,OFFSET(V18,-1,0))</f>
        <v>1</v>
      </c>
      <c r="X18" s="512"/>
      <c r="Y18" s="286"/>
      <c r="Z18" s="287"/>
      <c r="AC18" s="182" t="e" cm="1">
        <f t="array" aca="1" ref="AC18" ca="1">IF(ACOMPANHAMENTO&lt;&gt;"PLE",0,SUMPRODUCT((OFFSET(CÁLCULO!$AX$15:$BH$15,$A18,0,$B18)&lt;=(PLE.Medicao-1))*OFFSET(CÁLCULO!$AB$15:$AL$15,$A18,0,$B18)*OFFSET(ORÇAMENTO!$AA$15,$A18,0,$B18)/(OFFSET(ORÇAMENTO!$X$15,$A18,0,$B18)+10^-12))+IF(AUTOEVENTO="Manual",SUMPRODUCT((OFFSET(CÁLCULO!$M$15,$A18,0,$B18)=1)*OFFSET(ORÇAMENTO!$AA$15,$A18,0,$B18)*(PLE!$AE$9-PLE!$Y$9)),0))</f>
        <v>#N/A</v>
      </c>
      <c r="AD18" s="182" t="e" cm="1">
        <f t="array" aca="1" ref="AD18" ca="1">IF(ACOMPANHAMENTO&lt;&gt;"PLE",0,SUMPRODUCT((OFFSET(CÁLCULO!$AX$15:$BH$15,$A18,0,$B18)&lt;=(PLE.Medicao-1))*OFFSET(CÁLCULO!$AB$15:$AL$15,$A18,0,$B18)*OFFSET(ORÇAMENTO!$AB$15,$A18,0,$B18)/(OFFSET(ORÇAMENTO!$X$15,$A18,0,$B18)+10^-12))+IF(AUTOEVENTO="Manual",SUMPRODUCT((OFFSET(CÁLCULO!$M$15,$A18,0,$B18)=1)*OFFSET(ORÇAMENTO!$AB$15,$A18,0,$B18)*(PLE!$AE$9-PLE!$Y$9)),0))</f>
        <v>#N/A</v>
      </c>
      <c r="AE18" s="182" t="e">
        <f ca="1">ROUND(
            IF(ACOMPANHAMENTO&lt;&gt;"PLE",0,
                      SUMIF(OFFSET(CÁLCULO!$AX$15:$BH$15,$A18,0,$B18),"&lt;="&amp;(PLE.Medicao-1),OFFSET(CÁLCULO!$AB$15:$AL$15,$A18,0,$B18))
                      +IF(AdmLocal="Automática",
                              SUMIF(OFFSET(CÁLCULO!$M$15,$A18,0,$B18),1,OFFSET(ORÇAMENTO!$X$15,$A18,0,$B18))*(PLE!$AE$9-PLE!$Y$9),
                              0)),
            2)</f>
        <v>#N/A</v>
      </c>
      <c r="AF18" s="182" t="e" cm="1">
        <f t="array" aca="1" ref="AF18" ca="1">IF(ACOMPANHAMENTO&lt;&gt;"PLE",0,SUMPRODUCT((OFFSET(CÁLCULO!$AX$15:$BH$15,$A18,0,$B18)&lt;=PLE.Medicao)*OFFSET(CÁLCULO!$AB$15:$AL$15,$A18,0,$B18)*OFFSET(ORÇAMENTO!$AA$15,$A18,0,$B18)/(OFFSET(ORÇAMENTO!$X$15,$A18,0,$B18)+10^-12))+IF(AUTOEVENTO="Manual",SUMPRODUCT((OFFSET(CÁLCULO!$M$15,$A18,0,$B18)=1)*OFFSET(ORÇAMENTO!$AA$15,$A18,0,$B18)*PLE!$AE$9),0))</f>
        <v>#N/A</v>
      </c>
      <c r="AG18" s="182" t="e" cm="1">
        <f t="array" aca="1" ref="AG18" ca="1">IF(ACOMPANHAMENTO&lt;&gt;"PLE",0,SUMPRODUCT((OFFSET(CÁLCULO!$AX$15:$BH$15,$A18,0,$B18)&lt;=PLE.Medicao)*OFFSET(CÁLCULO!$AB$15:$AL$15,$A18,0,$B18)*OFFSET(ORÇAMENTO!$AB$15,$A18,0,$B18)/(OFFSET(ORÇAMENTO!$X$15,$A18,0,$B18)+10^-12))+IF(AUTOEVENTO="Manual",SUMPRODUCT((OFFSET(CÁLCULO!$M$15,$A18,0,$B18)=1)*OFFSET(ORÇAMENTO!$AB$15,$A18,0,$B18)*PLE!$AE$9),0))</f>
        <v>#N/A</v>
      </c>
      <c r="AH18" s="182" t="e">
        <f ca="1">ROUND(IF(ACOMPANHAMENTO&lt;&gt;"PLE",0,SUMIF(OFFSET(CÁLCULO!$AX$15:$BH$15,$A18,0,$B18),"&lt;="&amp;PLE.Medicao,OFFSET(CÁLCULO!$AB$15:$AL$15,$A18,0,$B18))+IF(AdmLocal="Automática",SUMIF(OFFSET(CÁLCULO!$M$15,$A18,0,$B18),1,OFFSET(ORÇAMENTO!$X$15,$A18,0,$B18))*PLE!$AE$9,0)),2)</f>
        <v>#N/A</v>
      </c>
      <c r="AJ18" s="182" cm="1">
        <f t="array" aca="1" ref="AJ18" ca="1">IF(ACOMPANHAMENTO&lt;&gt;"BM",0,SUMPRODUCT(OFFSET(BM!$M$15,$A18,0,$B18)*(OFFSET(BM!$A$15,$A18,0,$B18)="S")*OFFSET(ORÇAMENTO!AA$15,$A18,0,$B18)/(OFFSET(ORÇAMENTO!$X$15,$A18,0,$B18)+10^-12)))</f>
        <v>0</v>
      </c>
      <c r="AK18" s="182" cm="1">
        <f t="array" aca="1" ref="AK18" ca="1">IF(ACOMPANHAMENTO&lt;&gt;"BM",0,SUMPRODUCT(OFFSET(BM!$M$15,$A18,0,$B18)*(OFFSET(BM!$A$15,$A18,0,$B18)="S")*OFFSET(ORÇAMENTO!AB$15,$A18,0,$B18)/(OFFSET(ORÇAMENTO!$X$15,$A18,0,$B18)+10^-12)))</f>
        <v>0</v>
      </c>
      <c r="AL18" s="182">
        <f ca="1">IF(ACOMPANHAMENTO&lt;&gt;"BM",0,OFFSET(BM!$M$15,$A18,0))</f>
        <v>0</v>
      </c>
      <c r="AM18" s="182" cm="1">
        <f t="array" aca="1" ref="AM18" ca="1">IF(ACOMPANHAMENTO&lt;&gt;"BM",0,SUMPRODUCT(OFFSET(BM!$O$15,$A18,0,$B18)*(OFFSET(BM!$A$15,$A18,0,$B18)="S")*OFFSET(ORÇAMENTO!AA$15,$A18,0,$B18)/(OFFSET(ORÇAMENTO!$X$15,$A18,0,$B18)+10^-12)))</f>
        <v>0</v>
      </c>
      <c r="AN18" s="182" cm="1">
        <f t="array" aca="1" ref="AN18" ca="1">IF(ACOMPANHAMENTO&lt;&gt;"BM",0,SUMPRODUCT(OFFSET(BM!$O$15,$A18,0,$B18)*(OFFSET(BM!$A$15,$A18,0,$B18)="S")*OFFSET(ORÇAMENTO!AB$15,$A18,0,$B18)/(OFFSET(ORÇAMENTO!$X$15,$A18,0,$B18)+10^-12)))</f>
        <v>0</v>
      </c>
      <c r="AO18" s="182">
        <f ca="1">IF(ACOMPANHAMENTO&lt;&gt;"BM",0,OFFSET(BM!$O$15,$A18,0))</f>
        <v>0</v>
      </c>
    </row>
    <row r="19" spans="1:41" ht="30" customHeight="1" x14ac:dyDescent="0.2">
      <c r="A19" t="e">
        <f ca="1">MATCH(E19,ORÇAMENTO!$E$15:$E$55,0)-1</f>
        <v>#N/A</v>
      </c>
      <c r="B19" t="e">
        <f ca="1">IF(ISERROR($A19),NA(),OFFSET(ORÇAMENTO!$D$15,$A19,0))</f>
        <v>#N/A</v>
      </c>
      <c r="C19" t="str">
        <f ca="1">QCI!B19</f>
        <v>Branco</v>
      </c>
      <c r="D19" t="str">
        <f t="shared" ca="1" si="0"/>
        <v/>
      </c>
      <c r="E19" s="280">
        <f>QCI!D19</f>
        <v>6</v>
      </c>
      <c r="F19" s="361" t="str">
        <f ca="1">QCI!G19</f>
        <v/>
      </c>
      <c r="G19" s="362">
        <f>QCI!H19</f>
        <v>0</v>
      </c>
      <c r="H19" s="281">
        <f>QCI!I19</f>
        <v>0</v>
      </c>
      <c r="I19" s="281" t="str">
        <f ca="1">QCI!J19</f>
        <v/>
      </c>
      <c r="J19" s="363" t="str">
        <f ca="1">QCI!K19</f>
        <v/>
      </c>
      <c r="K19" s="364" t="str" cm="1">
        <f t="array" aca="1" ref="K19" ca="1">IF($C19="Automático",IF(ACOMPANHAMENTO="BM",BM.medicao,PLE.Medicao),IF(ISBLANK($X19),"",$X19))</f>
        <v/>
      </c>
      <c r="L19" s="285">
        <f ca="1">QCI!$O19</f>
        <v>0</v>
      </c>
      <c r="M19" s="282">
        <f t="shared" ca="1" si="1"/>
        <v>0</v>
      </c>
      <c r="N19" s="283">
        <f t="shared" ca="1" si="2"/>
        <v>0</v>
      </c>
      <c r="O19" s="284">
        <f t="shared" ca="1" si="3"/>
        <v>0</v>
      </c>
      <c r="P19" s="366">
        <f t="shared" ca="1" si="4"/>
        <v>0</v>
      </c>
      <c r="R19" s="365">
        <f ca="1">ROUND(IF($C19="Automático",AC19+AJ19,$Y19*IF(ISERROR(QCI!$AA19/QCI!$O19),0,QCI!$AA19/QCI!$O19)),2)</f>
        <v>0</v>
      </c>
      <c r="S19" s="365">
        <f ca="1">ROUND(IF($C19="Automático",AD19+AK19,$Y19*IF(ISERROR(QCI!$AB19/QCI!$O19),0,QCI!$AB19/QCI!$O19)),2)</f>
        <v>0</v>
      </c>
      <c r="T19" s="365">
        <f ca="1">ROUND(IF($C19="Automático",AF19+AM19,$Z19*IF(ISERROR(QCI!$AA19/QCI!$O19),0,QCI!$AA19/QCI!$O19)),2)</f>
        <v>0</v>
      </c>
      <c r="U19" s="365">
        <f ca="1">ROUND(IF($C19="Automático",AG19+AN19,$Z19*IF(ISERROR(QCI!$AB19/QCI!$O19),0,QCI!$AB19/QCI!$O19)),2)</f>
        <v>0</v>
      </c>
      <c r="V19" s="448">
        <f ca="1">IF(AND($L19&gt;0,$J19&lt;&gt;0,$J19&lt;&gt;"",COUNTIF($J$13:$J19,$J19)=1),OFFSET(V19,-1,0)+1,OFFSET(V19,-1,0))</f>
        <v>1</v>
      </c>
      <c r="X19" s="512"/>
      <c r="Y19" s="286"/>
      <c r="Z19" s="287"/>
      <c r="AC19" s="182" t="e" cm="1">
        <f t="array" aca="1" ref="AC19" ca="1">IF(ACOMPANHAMENTO&lt;&gt;"PLE",0,SUMPRODUCT((OFFSET(CÁLCULO!$AX$15:$BH$15,$A19,0,$B19)&lt;=(PLE.Medicao-1))*OFFSET(CÁLCULO!$AB$15:$AL$15,$A19,0,$B19)*OFFSET(ORÇAMENTO!$AA$15,$A19,0,$B19)/(OFFSET(ORÇAMENTO!$X$15,$A19,0,$B19)+10^-12))+IF(AUTOEVENTO="Manual",SUMPRODUCT((OFFSET(CÁLCULO!$M$15,$A19,0,$B19)=1)*OFFSET(ORÇAMENTO!$AA$15,$A19,0,$B19)*(PLE!$AE$9-PLE!$Y$9)),0))</f>
        <v>#N/A</v>
      </c>
      <c r="AD19" s="182" t="e" cm="1">
        <f t="array" aca="1" ref="AD19" ca="1">IF(ACOMPANHAMENTO&lt;&gt;"PLE",0,SUMPRODUCT((OFFSET(CÁLCULO!$AX$15:$BH$15,$A19,0,$B19)&lt;=(PLE.Medicao-1))*OFFSET(CÁLCULO!$AB$15:$AL$15,$A19,0,$B19)*OFFSET(ORÇAMENTO!$AB$15,$A19,0,$B19)/(OFFSET(ORÇAMENTO!$X$15,$A19,0,$B19)+10^-12))+IF(AUTOEVENTO="Manual",SUMPRODUCT((OFFSET(CÁLCULO!$M$15,$A19,0,$B19)=1)*OFFSET(ORÇAMENTO!$AB$15,$A19,0,$B19)*(PLE!$AE$9-PLE!$Y$9)),0))</f>
        <v>#N/A</v>
      </c>
      <c r="AE19" s="182" t="e">
        <f ca="1">ROUND(
            IF(ACOMPANHAMENTO&lt;&gt;"PLE",0,
                      SUMIF(OFFSET(CÁLCULO!$AX$15:$BH$15,$A19,0,$B19),"&lt;="&amp;(PLE.Medicao-1),OFFSET(CÁLCULO!$AB$15:$AL$15,$A19,0,$B19))
                      +IF(AdmLocal="Automática",
                              SUMIF(OFFSET(CÁLCULO!$M$15,$A19,0,$B19),1,OFFSET(ORÇAMENTO!$X$15,$A19,0,$B19))*(PLE!$AE$9-PLE!$Y$9),
                              0)),
            2)</f>
        <v>#N/A</v>
      </c>
      <c r="AF19" s="182" t="e" cm="1">
        <f t="array" aca="1" ref="AF19" ca="1">IF(ACOMPANHAMENTO&lt;&gt;"PLE",0,SUMPRODUCT((OFFSET(CÁLCULO!$AX$15:$BH$15,$A19,0,$B19)&lt;=PLE.Medicao)*OFFSET(CÁLCULO!$AB$15:$AL$15,$A19,0,$B19)*OFFSET(ORÇAMENTO!$AA$15,$A19,0,$B19)/(OFFSET(ORÇAMENTO!$X$15,$A19,0,$B19)+10^-12))+IF(AUTOEVENTO="Manual",SUMPRODUCT((OFFSET(CÁLCULO!$M$15,$A19,0,$B19)=1)*OFFSET(ORÇAMENTO!$AA$15,$A19,0,$B19)*PLE!$AE$9),0))</f>
        <v>#N/A</v>
      </c>
      <c r="AG19" s="182" t="e" cm="1">
        <f t="array" aca="1" ref="AG19" ca="1">IF(ACOMPANHAMENTO&lt;&gt;"PLE",0,SUMPRODUCT((OFFSET(CÁLCULO!$AX$15:$BH$15,$A19,0,$B19)&lt;=PLE.Medicao)*OFFSET(CÁLCULO!$AB$15:$AL$15,$A19,0,$B19)*OFFSET(ORÇAMENTO!$AB$15,$A19,0,$B19)/(OFFSET(ORÇAMENTO!$X$15,$A19,0,$B19)+10^-12))+IF(AUTOEVENTO="Manual",SUMPRODUCT((OFFSET(CÁLCULO!$M$15,$A19,0,$B19)=1)*OFFSET(ORÇAMENTO!$AB$15,$A19,0,$B19)*PLE!$AE$9),0))</f>
        <v>#N/A</v>
      </c>
      <c r="AH19" s="182" t="e">
        <f ca="1">ROUND(IF(ACOMPANHAMENTO&lt;&gt;"PLE",0,SUMIF(OFFSET(CÁLCULO!$AX$15:$BH$15,$A19,0,$B19),"&lt;="&amp;PLE.Medicao,OFFSET(CÁLCULO!$AB$15:$AL$15,$A19,0,$B19))+IF(AdmLocal="Automática",SUMIF(OFFSET(CÁLCULO!$M$15,$A19,0,$B19),1,OFFSET(ORÇAMENTO!$X$15,$A19,0,$B19))*PLE!$AE$9,0)),2)</f>
        <v>#N/A</v>
      </c>
      <c r="AJ19" s="182" cm="1">
        <f t="array" aca="1" ref="AJ19" ca="1">IF(ACOMPANHAMENTO&lt;&gt;"BM",0,SUMPRODUCT(OFFSET(BM!$M$15,$A19,0,$B19)*(OFFSET(BM!$A$15,$A19,0,$B19)="S")*OFFSET(ORÇAMENTO!AA$15,$A19,0,$B19)/(OFFSET(ORÇAMENTO!$X$15,$A19,0,$B19)+10^-12)))</f>
        <v>0</v>
      </c>
      <c r="AK19" s="182" cm="1">
        <f t="array" aca="1" ref="AK19" ca="1">IF(ACOMPANHAMENTO&lt;&gt;"BM",0,SUMPRODUCT(OFFSET(BM!$M$15,$A19,0,$B19)*(OFFSET(BM!$A$15,$A19,0,$B19)="S")*OFFSET(ORÇAMENTO!AB$15,$A19,0,$B19)/(OFFSET(ORÇAMENTO!$X$15,$A19,0,$B19)+10^-12)))</f>
        <v>0</v>
      </c>
      <c r="AL19" s="182">
        <f ca="1">IF(ACOMPANHAMENTO&lt;&gt;"BM",0,OFFSET(BM!$M$15,$A19,0))</f>
        <v>0</v>
      </c>
      <c r="AM19" s="182" cm="1">
        <f t="array" aca="1" ref="AM19" ca="1">IF(ACOMPANHAMENTO&lt;&gt;"BM",0,SUMPRODUCT(OFFSET(BM!$O$15,$A19,0,$B19)*(OFFSET(BM!$A$15,$A19,0,$B19)="S")*OFFSET(ORÇAMENTO!AA$15,$A19,0,$B19)/(OFFSET(ORÇAMENTO!$X$15,$A19,0,$B19)+10^-12)))</f>
        <v>0</v>
      </c>
      <c r="AN19" s="182" cm="1">
        <f t="array" aca="1" ref="AN19" ca="1">IF(ACOMPANHAMENTO&lt;&gt;"BM",0,SUMPRODUCT(OFFSET(BM!$O$15,$A19,0,$B19)*(OFFSET(BM!$A$15,$A19,0,$B19)="S")*OFFSET(ORÇAMENTO!AB$15,$A19,0,$B19)/(OFFSET(ORÇAMENTO!$X$15,$A19,0,$B19)+10^-12)))</f>
        <v>0</v>
      </c>
      <c r="AO19" s="182">
        <f ca="1">IF(ACOMPANHAMENTO&lt;&gt;"BM",0,OFFSET(BM!$O$15,$A19,0))</f>
        <v>0</v>
      </c>
    </row>
    <row r="20" spans="1:41" ht="30" customHeight="1" x14ac:dyDescent="0.2">
      <c r="A20" t="e">
        <f ca="1">MATCH(E20,ORÇAMENTO!$E$15:$E$55,0)-1</f>
        <v>#N/A</v>
      </c>
      <c r="B20" t="e">
        <f ca="1">IF(ISERROR($A20),NA(),OFFSET(ORÇAMENTO!$D$15,$A20,0))</f>
        <v>#N/A</v>
      </c>
      <c r="C20" t="str">
        <f ca="1">QCI!B20</f>
        <v>Branco</v>
      </c>
      <c r="D20" t="str">
        <f t="shared" ca="1" si="0"/>
        <v/>
      </c>
      <c r="E20" s="280">
        <f>QCI!D20</f>
        <v>7</v>
      </c>
      <c r="F20" s="361" t="str">
        <f ca="1">QCI!G20</f>
        <v/>
      </c>
      <c r="G20" s="362">
        <f>QCI!H20</f>
        <v>0</v>
      </c>
      <c r="H20" s="281">
        <f>QCI!I20</f>
        <v>0</v>
      </c>
      <c r="I20" s="281" t="str">
        <f ca="1">QCI!J20</f>
        <v/>
      </c>
      <c r="J20" s="363" t="str">
        <f ca="1">QCI!K20</f>
        <v/>
      </c>
      <c r="K20" s="364" t="str" cm="1">
        <f t="array" aca="1" ref="K20" ca="1">IF($C20="Automático",IF(ACOMPANHAMENTO="BM",BM.medicao,PLE.Medicao),IF(ISBLANK($X20),"",$X20))</f>
        <v/>
      </c>
      <c r="L20" s="285">
        <f ca="1">QCI!$O20</f>
        <v>0</v>
      </c>
      <c r="M20" s="282">
        <f t="shared" ca="1" si="1"/>
        <v>0</v>
      </c>
      <c r="N20" s="283">
        <f t="shared" ca="1" si="2"/>
        <v>0</v>
      </c>
      <c r="O20" s="284">
        <f t="shared" ca="1" si="3"/>
        <v>0</v>
      </c>
      <c r="P20" s="366">
        <f t="shared" ca="1" si="4"/>
        <v>0</v>
      </c>
      <c r="R20" s="365">
        <f ca="1">ROUND(IF($C20="Automático",AC20+AJ20,$Y20*IF(ISERROR(QCI!$AA20/QCI!$O20),0,QCI!$AA20/QCI!$O20)),2)</f>
        <v>0</v>
      </c>
      <c r="S20" s="365">
        <f ca="1">ROUND(IF($C20="Automático",AD20+AK20,$Y20*IF(ISERROR(QCI!$AB20/QCI!$O20),0,QCI!$AB20/QCI!$O20)),2)</f>
        <v>0</v>
      </c>
      <c r="T20" s="365">
        <f ca="1">ROUND(IF($C20="Automático",AF20+AM20,$Z20*IF(ISERROR(QCI!$AA20/QCI!$O20),0,QCI!$AA20/QCI!$O20)),2)</f>
        <v>0</v>
      </c>
      <c r="U20" s="365">
        <f ca="1">ROUND(IF($C20="Automático",AG20+AN20,$Z20*IF(ISERROR(QCI!$AB20/QCI!$O20),0,QCI!$AB20/QCI!$O20)),2)</f>
        <v>0</v>
      </c>
      <c r="V20" s="448">
        <f ca="1">IF(AND($L20&gt;0,$J20&lt;&gt;0,$J20&lt;&gt;"",COUNTIF($J$13:$J20,$J20)=1),OFFSET(V20,-1,0)+1,OFFSET(V20,-1,0))</f>
        <v>1</v>
      </c>
      <c r="X20" s="512"/>
      <c r="Y20" s="286"/>
      <c r="Z20" s="287"/>
      <c r="AC20" s="182" t="e" cm="1">
        <f t="array" aca="1" ref="AC20" ca="1">IF(ACOMPANHAMENTO&lt;&gt;"PLE",0,SUMPRODUCT((OFFSET(CÁLCULO!$AX$15:$BH$15,$A20,0,$B20)&lt;=(PLE.Medicao-1))*OFFSET(CÁLCULO!$AB$15:$AL$15,$A20,0,$B20)*OFFSET(ORÇAMENTO!$AA$15,$A20,0,$B20)/(OFFSET(ORÇAMENTO!$X$15,$A20,0,$B20)+10^-12))+IF(AUTOEVENTO="Manual",SUMPRODUCT((OFFSET(CÁLCULO!$M$15,$A20,0,$B20)=1)*OFFSET(ORÇAMENTO!$AA$15,$A20,0,$B20)*(PLE!$AE$9-PLE!$Y$9)),0))</f>
        <v>#N/A</v>
      </c>
      <c r="AD20" s="182" t="e" cm="1">
        <f t="array" aca="1" ref="AD20" ca="1">IF(ACOMPANHAMENTO&lt;&gt;"PLE",0,SUMPRODUCT((OFFSET(CÁLCULO!$AX$15:$BH$15,$A20,0,$B20)&lt;=(PLE.Medicao-1))*OFFSET(CÁLCULO!$AB$15:$AL$15,$A20,0,$B20)*OFFSET(ORÇAMENTO!$AB$15,$A20,0,$B20)/(OFFSET(ORÇAMENTO!$X$15,$A20,0,$B20)+10^-12))+IF(AUTOEVENTO="Manual",SUMPRODUCT((OFFSET(CÁLCULO!$M$15,$A20,0,$B20)=1)*OFFSET(ORÇAMENTO!$AB$15,$A20,0,$B20)*(PLE!$AE$9-PLE!$Y$9)),0))</f>
        <v>#N/A</v>
      </c>
      <c r="AE20" s="182" t="e">
        <f ca="1">ROUND(
            IF(ACOMPANHAMENTO&lt;&gt;"PLE",0,
                      SUMIF(OFFSET(CÁLCULO!$AX$15:$BH$15,$A20,0,$B20),"&lt;="&amp;(PLE.Medicao-1),OFFSET(CÁLCULO!$AB$15:$AL$15,$A20,0,$B20))
                      +IF(AdmLocal="Automática",
                              SUMIF(OFFSET(CÁLCULO!$M$15,$A20,0,$B20),1,OFFSET(ORÇAMENTO!$X$15,$A20,0,$B20))*(PLE!$AE$9-PLE!$Y$9),
                              0)),
            2)</f>
        <v>#N/A</v>
      </c>
      <c r="AF20" s="182" t="e" cm="1">
        <f t="array" aca="1" ref="AF20" ca="1">IF(ACOMPANHAMENTO&lt;&gt;"PLE",0,SUMPRODUCT((OFFSET(CÁLCULO!$AX$15:$BH$15,$A20,0,$B20)&lt;=PLE.Medicao)*OFFSET(CÁLCULO!$AB$15:$AL$15,$A20,0,$B20)*OFFSET(ORÇAMENTO!$AA$15,$A20,0,$B20)/(OFFSET(ORÇAMENTO!$X$15,$A20,0,$B20)+10^-12))+IF(AUTOEVENTO="Manual",SUMPRODUCT((OFFSET(CÁLCULO!$M$15,$A20,0,$B20)=1)*OFFSET(ORÇAMENTO!$AA$15,$A20,0,$B20)*PLE!$AE$9),0))</f>
        <v>#N/A</v>
      </c>
      <c r="AG20" s="182" t="e" cm="1">
        <f t="array" aca="1" ref="AG20" ca="1">IF(ACOMPANHAMENTO&lt;&gt;"PLE",0,SUMPRODUCT((OFFSET(CÁLCULO!$AX$15:$BH$15,$A20,0,$B20)&lt;=PLE.Medicao)*OFFSET(CÁLCULO!$AB$15:$AL$15,$A20,0,$B20)*OFFSET(ORÇAMENTO!$AB$15,$A20,0,$B20)/(OFFSET(ORÇAMENTO!$X$15,$A20,0,$B20)+10^-12))+IF(AUTOEVENTO="Manual",SUMPRODUCT((OFFSET(CÁLCULO!$M$15,$A20,0,$B20)=1)*OFFSET(ORÇAMENTO!$AB$15,$A20,0,$B20)*PLE!$AE$9),0))</f>
        <v>#N/A</v>
      </c>
      <c r="AH20" s="182" t="e">
        <f ca="1">ROUND(IF(ACOMPANHAMENTO&lt;&gt;"PLE",0,SUMIF(OFFSET(CÁLCULO!$AX$15:$BH$15,$A20,0,$B20),"&lt;="&amp;PLE.Medicao,OFFSET(CÁLCULO!$AB$15:$AL$15,$A20,0,$B20))+IF(AdmLocal="Automática",SUMIF(OFFSET(CÁLCULO!$M$15,$A20,0,$B20),1,OFFSET(ORÇAMENTO!$X$15,$A20,0,$B20))*PLE!$AE$9,0)),2)</f>
        <v>#N/A</v>
      </c>
      <c r="AJ20" s="182" cm="1">
        <f t="array" aca="1" ref="AJ20" ca="1">IF(ACOMPANHAMENTO&lt;&gt;"BM",0,SUMPRODUCT(OFFSET(BM!$M$15,$A20,0,$B20)*(OFFSET(BM!$A$15,$A20,0,$B20)="S")*OFFSET(ORÇAMENTO!AA$15,$A20,0,$B20)/(OFFSET(ORÇAMENTO!$X$15,$A20,0,$B20)+10^-12)))</f>
        <v>0</v>
      </c>
      <c r="AK20" s="182" cm="1">
        <f t="array" aca="1" ref="AK20" ca="1">IF(ACOMPANHAMENTO&lt;&gt;"BM",0,SUMPRODUCT(OFFSET(BM!$M$15,$A20,0,$B20)*(OFFSET(BM!$A$15,$A20,0,$B20)="S")*OFFSET(ORÇAMENTO!AB$15,$A20,0,$B20)/(OFFSET(ORÇAMENTO!$X$15,$A20,0,$B20)+10^-12)))</f>
        <v>0</v>
      </c>
      <c r="AL20" s="182">
        <f ca="1">IF(ACOMPANHAMENTO&lt;&gt;"BM",0,OFFSET(BM!$M$15,$A20,0))</f>
        <v>0</v>
      </c>
      <c r="AM20" s="182" cm="1">
        <f t="array" aca="1" ref="AM20" ca="1">IF(ACOMPANHAMENTO&lt;&gt;"BM",0,SUMPRODUCT(OFFSET(BM!$O$15,$A20,0,$B20)*(OFFSET(BM!$A$15,$A20,0,$B20)="S")*OFFSET(ORÇAMENTO!AA$15,$A20,0,$B20)/(OFFSET(ORÇAMENTO!$X$15,$A20,0,$B20)+10^-12)))</f>
        <v>0</v>
      </c>
      <c r="AN20" s="182" cm="1">
        <f t="array" aca="1" ref="AN20" ca="1">IF(ACOMPANHAMENTO&lt;&gt;"BM",0,SUMPRODUCT(OFFSET(BM!$O$15,$A20,0,$B20)*(OFFSET(BM!$A$15,$A20,0,$B20)="S")*OFFSET(ORÇAMENTO!AB$15,$A20,0,$B20)/(OFFSET(ORÇAMENTO!$X$15,$A20,0,$B20)+10^-12)))</f>
        <v>0</v>
      </c>
      <c r="AO20" s="182">
        <f ca="1">IF(ACOMPANHAMENTO&lt;&gt;"BM",0,OFFSET(BM!$O$15,$A20,0))</f>
        <v>0</v>
      </c>
    </row>
    <row r="21" spans="1:41" ht="30" customHeight="1" x14ac:dyDescent="0.2">
      <c r="A21" t="e">
        <f ca="1">MATCH(E21,ORÇAMENTO!$E$15:$E$55,0)-1</f>
        <v>#N/A</v>
      </c>
      <c r="B21" t="e">
        <f ca="1">IF(ISERROR($A21),NA(),OFFSET(ORÇAMENTO!$D$15,$A21,0))</f>
        <v>#N/A</v>
      </c>
      <c r="C21" t="str">
        <f ca="1">QCI!B21</f>
        <v>Branco</v>
      </c>
      <c r="D21" t="str">
        <f t="shared" ca="1" si="0"/>
        <v/>
      </c>
      <c r="E21" s="280">
        <f>QCI!D21</f>
        <v>8</v>
      </c>
      <c r="F21" s="361" t="str">
        <f ca="1">QCI!G21</f>
        <v/>
      </c>
      <c r="G21" s="362">
        <f>QCI!H21</f>
        <v>0</v>
      </c>
      <c r="H21" s="281">
        <f>QCI!I21</f>
        <v>0</v>
      </c>
      <c r="I21" s="281" t="str">
        <f ca="1">QCI!J21</f>
        <v/>
      </c>
      <c r="J21" s="363" t="str">
        <f ca="1">QCI!K21</f>
        <v/>
      </c>
      <c r="K21" s="364" t="str" cm="1">
        <f t="array" aca="1" ref="K21" ca="1">IF($C21="Automático",IF(ACOMPANHAMENTO="BM",BM.medicao,PLE.Medicao),IF(ISBLANK($X21),"",$X21))</f>
        <v/>
      </c>
      <c r="L21" s="285">
        <f ca="1">QCI!$O21</f>
        <v>0</v>
      </c>
      <c r="M21" s="282">
        <f t="shared" ca="1" si="1"/>
        <v>0</v>
      </c>
      <c r="N21" s="283">
        <f t="shared" ca="1" si="2"/>
        <v>0</v>
      </c>
      <c r="O21" s="284">
        <f t="shared" ca="1" si="3"/>
        <v>0</v>
      </c>
      <c r="P21" s="366">
        <f t="shared" ca="1" si="4"/>
        <v>0</v>
      </c>
      <c r="R21" s="365">
        <f ca="1">ROUND(IF($C21="Automático",AC21+AJ21,$Y21*IF(ISERROR(QCI!$AA21/QCI!$O21),0,QCI!$AA21/QCI!$O21)),2)</f>
        <v>0</v>
      </c>
      <c r="S21" s="365">
        <f ca="1">ROUND(IF($C21="Automático",AD21+AK21,$Y21*IF(ISERROR(QCI!$AB21/QCI!$O21),0,QCI!$AB21/QCI!$O21)),2)</f>
        <v>0</v>
      </c>
      <c r="T21" s="365">
        <f ca="1">ROUND(IF($C21="Automático",AF21+AM21,$Z21*IF(ISERROR(QCI!$AA21/QCI!$O21),0,QCI!$AA21/QCI!$O21)),2)</f>
        <v>0</v>
      </c>
      <c r="U21" s="365">
        <f ca="1">ROUND(IF($C21="Automático",AG21+AN21,$Z21*IF(ISERROR(QCI!$AB21/QCI!$O21),0,QCI!$AB21/QCI!$O21)),2)</f>
        <v>0</v>
      </c>
      <c r="V21" s="448">
        <f ca="1">IF(AND($L21&gt;0,$J21&lt;&gt;0,$J21&lt;&gt;"",COUNTIF($J$13:$J21,$J21)=1),OFFSET(V21,-1,0)+1,OFFSET(V21,-1,0))</f>
        <v>1</v>
      </c>
      <c r="X21" s="512"/>
      <c r="Y21" s="286"/>
      <c r="Z21" s="287"/>
      <c r="AC21" s="182" t="e" cm="1">
        <f t="array" aca="1" ref="AC21" ca="1">IF(ACOMPANHAMENTO&lt;&gt;"PLE",0,SUMPRODUCT((OFFSET(CÁLCULO!$AX$15:$BH$15,$A21,0,$B21)&lt;=(PLE.Medicao-1))*OFFSET(CÁLCULO!$AB$15:$AL$15,$A21,0,$B21)*OFFSET(ORÇAMENTO!$AA$15,$A21,0,$B21)/(OFFSET(ORÇAMENTO!$X$15,$A21,0,$B21)+10^-12))+IF(AUTOEVENTO="Manual",SUMPRODUCT((OFFSET(CÁLCULO!$M$15,$A21,0,$B21)=1)*OFFSET(ORÇAMENTO!$AA$15,$A21,0,$B21)*(PLE!$AE$9-PLE!$Y$9)),0))</f>
        <v>#N/A</v>
      </c>
      <c r="AD21" s="182" t="e" cm="1">
        <f t="array" aca="1" ref="AD21" ca="1">IF(ACOMPANHAMENTO&lt;&gt;"PLE",0,SUMPRODUCT((OFFSET(CÁLCULO!$AX$15:$BH$15,$A21,0,$B21)&lt;=(PLE.Medicao-1))*OFFSET(CÁLCULO!$AB$15:$AL$15,$A21,0,$B21)*OFFSET(ORÇAMENTO!$AB$15,$A21,0,$B21)/(OFFSET(ORÇAMENTO!$X$15,$A21,0,$B21)+10^-12))+IF(AUTOEVENTO="Manual",SUMPRODUCT((OFFSET(CÁLCULO!$M$15,$A21,0,$B21)=1)*OFFSET(ORÇAMENTO!$AB$15,$A21,0,$B21)*(PLE!$AE$9-PLE!$Y$9)),0))</f>
        <v>#N/A</v>
      </c>
      <c r="AE21" s="182" t="e">
        <f ca="1">ROUND(
            IF(ACOMPANHAMENTO&lt;&gt;"PLE",0,
                      SUMIF(OFFSET(CÁLCULO!$AX$15:$BH$15,$A21,0,$B21),"&lt;="&amp;(PLE.Medicao-1),OFFSET(CÁLCULO!$AB$15:$AL$15,$A21,0,$B21))
                      +IF(AdmLocal="Automática",
                              SUMIF(OFFSET(CÁLCULO!$M$15,$A21,0,$B21),1,OFFSET(ORÇAMENTO!$X$15,$A21,0,$B21))*(PLE!$AE$9-PLE!$Y$9),
                              0)),
            2)</f>
        <v>#N/A</v>
      </c>
      <c r="AF21" s="182" t="e" cm="1">
        <f t="array" aca="1" ref="AF21" ca="1">IF(ACOMPANHAMENTO&lt;&gt;"PLE",0,SUMPRODUCT((OFFSET(CÁLCULO!$AX$15:$BH$15,$A21,0,$B21)&lt;=PLE.Medicao)*OFFSET(CÁLCULO!$AB$15:$AL$15,$A21,0,$B21)*OFFSET(ORÇAMENTO!$AA$15,$A21,0,$B21)/(OFFSET(ORÇAMENTO!$X$15,$A21,0,$B21)+10^-12))+IF(AUTOEVENTO="Manual",SUMPRODUCT((OFFSET(CÁLCULO!$M$15,$A21,0,$B21)=1)*OFFSET(ORÇAMENTO!$AA$15,$A21,0,$B21)*PLE!$AE$9),0))</f>
        <v>#N/A</v>
      </c>
      <c r="AG21" s="182" t="e" cm="1">
        <f t="array" aca="1" ref="AG21" ca="1">IF(ACOMPANHAMENTO&lt;&gt;"PLE",0,SUMPRODUCT((OFFSET(CÁLCULO!$AX$15:$BH$15,$A21,0,$B21)&lt;=PLE.Medicao)*OFFSET(CÁLCULO!$AB$15:$AL$15,$A21,0,$B21)*OFFSET(ORÇAMENTO!$AB$15,$A21,0,$B21)/(OFFSET(ORÇAMENTO!$X$15,$A21,0,$B21)+10^-12))+IF(AUTOEVENTO="Manual",SUMPRODUCT((OFFSET(CÁLCULO!$M$15,$A21,0,$B21)=1)*OFFSET(ORÇAMENTO!$AB$15,$A21,0,$B21)*PLE!$AE$9),0))</f>
        <v>#N/A</v>
      </c>
      <c r="AH21" s="182" t="e">
        <f ca="1">ROUND(IF(ACOMPANHAMENTO&lt;&gt;"PLE",0,SUMIF(OFFSET(CÁLCULO!$AX$15:$BH$15,$A21,0,$B21),"&lt;="&amp;PLE.Medicao,OFFSET(CÁLCULO!$AB$15:$AL$15,$A21,0,$B21))+IF(AdmLocal="Automática",SUMIF(OFFSET(CÁLCULO!$M$15,$A21,0,$B21),1,OFFSET(ORÇAMENTO!$X$15,$A21,0,$B21))*PLE!$AE$9,0)),2)</f>
        <v>#N/A</v>
      </c>
      <c r="AJ21" s="182" cm="1">
        <f t="array" aca="1" ref="AJ21" ca="1">IF(ACOMPANHAMENTO&lt;&gt;"BM",0,SUMPRODUCT(OFFSET(BM!$M$15,$A21,0,$B21)*(OFFSET(BM!$A$15,$A21,0,$B21)="S")*OFFSET(ORÇAMENTO!AA$15,$A21,0,$B21)/(OFFSET(ORÇAMENTO!$X$15,$A21,0,$B21)+10^-12)))</f>
        <v>0</v>
      </c>
      <c r="AK21" s="182" cm="1">
        <f t="array" aca="1" ref="AK21" ca="1">IF(ACOMPANHAMENTO&lt;&gt;"BM",0,SUMPRODUCT(OFFSET(BM!$M$15,$A21,0,$B21)*(OFFSET(BM!$A$15,$A21,0,$B21)="S")*OFFSET(ORÇAMENTO!AB$15,$A21,0,$B21)/(OFFSET(ORÇAMENTO!$X$15,$A21,0,$B21)+10^-12)))</f>
        <v>0</v>
      </c>
      <c r="AL21" s="182">
        <f ca="1">IF(ACOMPANHAMENTO&lt;&gt;"BM",0,OFFSET(BM!$M$15,$A21,0))</f>
        <v>0</v>
      </c>
      <c r="AM21" s="182" cm="1">
        <f t="array" aca="1" ref="AM21" ca="1">IF(ACOMPANHAMENTO&lt;&gt;"BM",0,SUMPRODUCT(OFFSET(BM!$O$15,$A21,0,$B21)*(OFFSET(BM!$A$15,$A21,0,$B21)="S")*OFFSET(ORÇAMENTO!AA$15,$A21,0,$B21)/(OFFSET(ORÇAMENTO!$X$15,$A21,0,$B21)+10^-12)))</f>
        <v>0</v>
      </c>
      <c r="AN21" s="182" cm="1">
        <f t="array" aca="1" ref="AN21" ca="1">IF(ACOMPANHAMENTO&lt;&gt;"BM",0,SUMPRODUCT(OFFSET(BM!$O$15,$A21,0,$B21)*(OFFSET(BM!$A$15,$A21,0,$B21)="S")*OFFSET(ORÇAMENTO!AB$15,$A21,0,$B21)/(OFFSET(ORÇAMENTO!$X$15,$A21,0,$B21)+10^-12)))</f>
        <v>0</v>
      </c>
      <c r="AO21" s="182">
        <f ca="1">IF(ACOMPANHAMENTO&lt;&gt;"BM",0,OFFSET(BM!$O$15,$A21,0))</f>
        <v>0</v>
      </c>
    </row>
    <row r="22" spans="1:41" ht="30" customHeight="1" x14ac:dyDescent="0.2">
      <c r="A22" t="e">
        <f ca="1">MATCH(E22,ORÇAMENTO!$E$15:$E$55,0)-1</f>
        <v>#N/A</v>
      </c>
      <c r="B22" t="e">
        <f ca="1">IF(ISERROR($A22),NA(),OFFSET(ORÇAMENTO!$D$15,$A22,0))</f>
        <v>#N/A</v>
      </c>
      <c r="C22" t="str">
        <f ca="1">QCI!B22</f>
        <v>Branco</v>
      </c>
      <c r="D22" t="str">
        <f t="shared" ca="1" si="0"/>
        <v/>
      </c>
      <c r="E22" s="280">
        <f>QCI!D22</f>
        <v>9</v>
      </c>
      <c r="F22" s="361" t="str">
        <f ca="1">QCI!G22</f>
        <v/>
      </c>
      <c r="G22" s="362">
        <f>QCI!H22</f>
        <v>0</v>
      </c>
      <c r="H22" s="281">
        <f>QCI!I22</f>
        <v>0</v>
      </c>
      <c r="I22" s="281" t="str">
        <f ca="1">QCI!J22</f>
        <v/>
      </c>
      <c r="J22" s="363" t="str">
        <f ca="1">QCI!K22</f>
        <v/>
      </c>
      <c r="K22" s="364" t="str" cm="1">
        <f t="array" aca="1" ref="K22" ca="1">IF($C22="Automático",IF(ACOMPANHAMENTO="BM",BM.medicao,PLE.Medicao),IF(ISBLANK($X22),"",$X22))</f>
        <v/>
      </c>
      <c r="L22" s="285">
        <f ca="1">QCI!$O22</f>
        <v>0</v>
      </c>
      <c r="M22" s="282">
        <f t="shared" ca="1" si="1"/>
        <v>0</v>
      </c>
      <c r="N22" s="283">
        <f t="shared" ca="1" si="2"/>
        <v>0</v>
      </c>
      <c r="O22" s="284">
        <f t="shared" ca="1" si="3"/>
        <v>0</v>
      </c>
      <c r="P22" s="366">
        <f t="shared" ca="1" si="4"/>
        <v>0</v>
      </c>
      <c r="R22" s="365">
        <f ca="1">ROUND(IF($C22="Automático",AC22+AJ22,$Y22*IF(ISERROR(QCI!$AA22/QCI!$O22),0,QCI!$AA22/QCI!$O22)),2)</f>
        <v>0</v>
      </c>
      <c r="S22" s="365">
        <f ca="1">ROUND(IF($C22="Automático",AD22+AK22,$Y22*IF(ISERROR(QCI!$AB22/QCI!$O22),0,QCI!$AB22/QCI!$O22)),2)</f>
        <v>0</v>
      </c>
      <c r="T22" s="365">
        <f ca="1">ROUND(IF($C22="Automático",AF22+AM22,$Z22*IF(ISERROR(QCI!$AA22/QCI!$O22),0,QCI!$AA22/QCI!$O22)),2)</f>
        <v>0</v>
      </c>
      <c r="U22" s="365">
        <f ca="1">ROUND(IF($C22="Automático",AG22+AN22,$Z22*IF(ISERROR(QCI!$AB22/QCI!$O22),0,QCI!$AB22/QCI!$O22)),2)</f>
        <v>0</v>
      </c>
      <c r="V22" s="448">
        <f ca="1">IF(AND($L22&gt;0,$J22&lt;&gt;0,$J22&lt;&gt;"",COUNTIF($J$13:$J22,$J22)=1),OFFSET(V22,-1,0)+1,OFFSET(V22,-1,0))</f>
        <v>1</v>
      </c>
      <c r="X22" s="512"/>
      <c r="Y22" s="286"/>
      <c r="Z22" s="287"/>
      <c r="AC22" s="182" t="e" cm="1">
        <f t="array" aca="1" ref="AC22" ca="1">IF(ACOMPANHAMENTO&lt;&gt;"PLE",0,SUMPRODUCT((OFFSET(CÁLCULO!$AX$15:$BH$15,$A22,0,$B22)&lt;=(PLE.Medicao-1))*OFFSET(CÁLCULO!$AB$15:$AL$15,$A22,0,$B22)*OFFSET(ORÇAMENTO!$AA$15,$A22,0,$B22)/(OFFSET(ORÇAMENTO!$X$15,$A22,0,$B22)+10^-12))+IF(AUTOEVENTO="Manual",SUMPRODUCT((OFFSET(CÁLCULO!$M$15,$A22,0,$B22)=1)*OFFSET(ORÇAMENTO!$AA$15,$A22,0,$B22)*(PLE!$AE$9-PLE!$Y$9)),0))</f>
        <v>#N/A</v>
      </c>
      <c r="AD22" s="182" t="e" cm="1">
        <f t="array" aca="1" ref="AD22" ca="1">IF(ACOMPANHAMENTO&lt;&gt;"PLE",0,SUMPRODUCT((OFFSET(CÁLCULO!$AX$15:$BH$15,$A22,0,$B22)&lt;=(PLE.Medicao-1))*OFFSET(CÁLCULO!$AB$15:$AL$15,$A22,0,$B22)*OFFSET(ORÇAMENTO!$AB$15,$A22,0,$B22)/(OFFSET(ORÇAMENTO!$X$15,$A22,0,$B22)+10^-12))+IF(AUTOEVENTO="Manual",SUMPRODUCT((OFFSET(CÁLCULO!$M$15,$A22,0,$B22)=1)*OFFSET(ORÇAMENTO!$AB$15,$A22,0,$B22)*(PLE!$AE$9-PLE!$Y$9)),0))</f>
        <v>#N/A</v>
      </c>
      <c r="AE22" s="182" t="e">
        <f ca="1">ROUND(
            IF(ACOMPANHAMENTO&lt;&gt;"PLE",0,
                      SUMIF(OFFSET(CÁLCULO!$AX$15:$BH$15,$A22,0,$B22),"&lt;="&amp;(PLE.Medicao-1),OFFSET(CÁLCULO!$AB$15:$AL$15,$A22,0,$B22))
                      +IF(AdmLocal="Automática",
                              SUMIF(OFFSET(CÁLCULO!$M$15,$A22,0,$B22),1,OFFSET(ORÇAMENTO!$X$15,$A22,0,$B22))*(PLE!$AE$9-PLE!$Y$9),
                              0)),
            2)</f>
        <v>#N/A</v>
      </c>
      <c r="AF22" s="182" t="e" cm="1">
        <f t="array" aca="1" ref="AF22" ca="1">IF(ACOMPANHAMENTO&lt;&gt;"PLE",0,SUMPRODUCT((OFFSET(CÁLCULO!$AX$15:$BH$15,$A22,0,$B22)&lt;=PLE.Medicao)*OFFSET(CÁLCULO!$AB$15:$AL$15,$A22,0,$B22)*OFFSET(ORÇAMENTO!$AA$15,$A22,0,$B22)/(OFFSET(ORÇAMENTO!$X$15,$A22,0,$B22)+10^-12))+IF(AUTOEVENTO="Manual",SUMPRODUCT((OFFSET(CÁLCULO!$M$15,$A22,0,$B22)=1)*OFFSET(ORÇAMENTO!$AA$15,$A22,0,$B22)*PLE!$AE$9),0))</f>
        <v>#N/A</v>
      </c>
      <c r="AG22" s="182" t="e" cm="1">
        <f t="array" aca="1" ref="AG22" ca="1">IF(ACOMPANHAMENTO&lt;&gt;"PLE",0,SUMPRODUCT((OFFSET(CÁLCULO!$AX$15:$BH$15,$A22,0,$B22)&lt;=PLE.Medicao)*OFFSET(CÁLCULO!$AB$15:$AL$15,$A22,0,$B22)*OFFSET(ORÇAMENTO!$AB$15,$A22,0,$B22)/(OFFSET(ORÇAMENTO!$X$15,$A22,0,$B22)+10^-12))+IF(AUTOEVENTO="Manual",SUMPRODUCT((OFFSET(CÁLCULO!$M$15,$A22,0,$B22)=1)*OFFSET(ORÇAMENTO!$AB$15,$A22,0,$B22)*PLE!$AE$9),0))</f>
        <v>#N/A</v>
      </c>
      <c r="AH22" s="182" t="e">
        <f ca="1">ROUND(IF(ACOMPANHAMENTO&lt;&gt;"PLE",0,SUMIF(OFFSET(CÁLCULO!$AX$15:$BH$15,$A22,0,$B22),"&lt;="&amp;PLE.Medicao,OFFSET(CÁLCULO!$AB$15:$AL$15,$A22,0,$B22))+IF(AdmLocal="Automática",SUMIF(OFFSET(CÁLCULO!$M$15,$A22,0,$B22),1,OFFSET(ORÇAMENTO!$X$15,$A22,0,$B22))*PLE!$AE$9,0)),2)</f>
        <v>#N/A</v>
      </c>
      <c r="AJ22" s="182" cm="1">
        <f t="array" aca="1" ref="AJ22" ca="1">IF(ACOMPANHAMENTO&lt;&gt;"BM",0,SUMPRODUCT(OFFSET(BM!$M$15,$A22,0,$B22)*(OFFSET(BM!$A$15,$A22,0,$B22)="S")*OFFSET(ORÇAMENTO!AA$15,$A22,0,$B22)/(OFFSET(ORÇAMENTO!$X$15,$A22,0,$B22)+10^-12)))</f>
        <v>0</v>
      </c>
      <c r="AK22" s="182" cm="1">
        <f t="array" aca="1" ref="AK22" ca="1">IF(ACOMPANHAMENTO&lt;&gt;"BM",0,SUMPRODUCT(OFFSET(BM!$M$15,$A22,0,$B22)*(OFFSET(BM!$A$15,$A22,0,$B22)="S")*OFFSET(ORÇAMENTO!AB$15,$A22,0,$B22)/(OFFSET(ORÇAMENTO!$X$15,$A22,0,$B22)+10^-12)))</f>
        <v>0</v>
      </c>
      <c r="AL22" s="182">
        <f ca="1">IF(ACOMPANHAMENTO&lt;&gt;"BM",0,OFFSET(BM!$M$15,$A22,0))</f>
        <v>0</v>
      </c>
      <c r="AM22" s="182" cm="1">
        <f t="array" aca="1" ref="AM22" ca="1">IF(ACOMPANHAMENTO&lt;&gt;"BM",0,SUMPRODUCT(OFFSET(BM!$O$15,$A22,0,$B22)*(OFFSET(BM!$A$15,$A22,0,$B22)="S")*OFFSET(ORÇAMENTO!AA$15,$A22,0,$B22)/(OFFSET(ORÇAMENTO!$X$15,$A22,0,$B22)+10^-12)))</f>
        <v>0</v>
      </c>
      <c r="AN22" s="182" cm="1">
        <f t="array" aca="1" ref="AN22" ca="1">IF(ACOMPANHAMENTO&lt;&gt;"BM",0,SUMPRODUCT(OFFSET(BM!$O$15,$A22,0,$B22)*(OFFSET(BM!$A$15,$A22,0,$B22)="S")*OFFSET(ORÇAMENTO!AB$15,$A22,0,$B22)/(OFFSET(ORÇAMENTO!$X$15,$A22,0,$B22)+10^-12)))</f>
        <v>0</v>
      </c>
      <c r="AO22" s="182">
        <f ca="1">IF(ACOMPANHAMENTO&lt;&gt;"BM",0,OFFSET(BM!$O$15,$A22,0))</f>
        <v>0</v>
      </c>
    </row>
    <row r="23" spans="1:41" ht="30" customHeight="1" x14ac:dyDescent="0.2">
      <c r="A23" t="e">
        <f ca="1">MATCH(E23,ORÇAMENTO!$E$15:$E$55,0)-1</f>
        <v>#N/A</v>
      </c>
      <c r="B23" t="e">
        <f ca="1">IF(ISERROR($A23),NA(),OFFSET(ORÇAMENTO!$D$15,$A23,0))</f>
        <v>#N/A</v>
      </c>
      <c r="C23" t="str">
        <f ca="1">QCI!B23</f>
        <v>Branco</v>
      </c>
      <c r="D23" t="str">
        <f ca="1">IF(L23&gt;0,"F","")</f>
        <v/>
      </c>
      <c r="E23" s="280">
        <f>QCI!D23</f>
        <v>10</v>
      </c>
      <c r="F23" s="361" t="str">
        <f ca="1">QCI!G23</f>
        <v/>
      </c>
      <c r="G23" s="362">
        <f>QCI!H23</f>
        <v>0</v>
      </c>
      <c r="H23" s="281">
        <f>QCI!I23</f>
        <v>0</v>
      </c>
      <c r="I23" s="281" t="str">
        <f ca="1">QCI!J23</f>
        <v/>
      </c>
      <c r="J23" s="363" t="str">
        <f ca="1">QCI!K23</f>
        <v/>
      </c>
      <c r="K23" s="364" t="str" cm="1">
        <f t="array" aca="1" ref="K23" ca="1">IF($C23="Automático",IF(ACOMPANHAMENTO="BM",BM.medicao,PLE.Medicao),IF(ISBLANK($X23),"",$X23))</f>
        <v/>
      </c>
      <c r="L23" s="285">
        <f ca="1">QCI!$O23</f>
        <v>0</v>
      </c>
      <c r="M23" s="282">
        <f ca="1">ROUND(IF(C23="Automático",AE23+AL23,Y23),2)</f>
        <v>0</v>
      </c>
      <c r="N23" s="283">
        <f ca="1">O23-M23</f>
        <v>0</v>
      </c>
      <c r="O23" s="284">
        <f ca="1">ROUND(IF(C23="Automático",AH23+AO23,Z23),2)</f>
        <v>0</v>
      </c>
      <c r="P23" s="366">
        <f ca="1">O23/(L23+10^-12)</f>
        <v>0</v>
      </c>
      <c r="R23" s="365">
        <f ca="1">ROUND(IF($C23="Automático",AC23+AJ23,$Y23*IF(ISERROR(QCI!$AA23/QCI!$O23),0,QCI!$AA23/QCI!$O23)),2)</f>
        <v>0</v>
      </c>
      <c r="S23" s="365">
        <f ca="1">ROUND(IF($C23="Automático",AD23+AK23,$Y23*IF(ISERROR(QCI!$AB23/QCI!$O23),0,QCI!$AB23/QCI!$O23)),2)</f>
        <v>0</v>
      </c>
      <c r="T23" s="365">
        <f ca="1">ROUND(IF($C23="Automático",AF23+AM23,$Z23*IF(ISERROR(QCI!$AA23/QCI!$O23),0,QCI!$AA23/QCI!$O23)),2)</f>
        <v>0</v>
      </c>
      <c r="U23" s="365">
        <f ca="1">ROUND(IF($C23="Automático",AG23+AN23,$Z23*IF(ISERROR(QCI!$AB23/QCI!$O23),0,QCI!$AB23/QCI!$O23)),2)</f>
        <v>0</v>
      </c>
      <c r="V23" s="448">
        <f ca="1">IF(AND($L23&gt;0,$J23&lt;&gt;0,$J23&lt;&gt;"",COUNTIF($J$13:$J23,$J23)=1),OFFSET(V23,-1,0)+1,OFFSET(V23,-1,0))</f>
        <v>1</v>
      </c>
      <c r="X23" s="512"/>
      <c r="Y23" s="286"/>
      <c r="Z23" s="287"/>
      <c r="AC23" s="182" t="e" cm="1">
        <f t="array" aca="1" ref="AC23" ca="1">IF(ACOMPANHAMENTO&lt;&gt;"PLE",0,SUMPRODUCT((OFFSET(CÁLCULO!$AX$15:$BH$15,$A23,0,$B23)&lt;=(PLE.Medicao-1))*OFFSET(CÁLCULO!$AB$15:$AL$15,$A23,0,$B23)*OFFSET(ORÇAMENTO!$AA$15,$A23,0,$B23)/(OFFSET(ORÇAMENTO!$X$15,$A23,0,$B23)+10^-12))+IF(AUTOEVENTO="Manual",SUMPRODUCT((OFFSET(CÁLCULO!$M$15,$A23,0,$B23)=1)*OFFSET(ORÇAMENTO!$AA$15,$A23,0,$B23)*(PLE!$AE$9-PLE!$Y$9)),0))</f>
        <v>#N/A</v>
      </c>
      <c r="AD23" s="182" t="e" cm="1">
        <f t="array" aca="1" ref="AD23" ca="1">IF(ACOMPANHAMENTO&lt;&gt;"PLE",0,SUMPRODUCT((OFFSET(CÁLCULO!$AX$15:$BH$15,$A23,0,$B23)&lt;=(PLE.Medicao-1))*OFFSET(CÁLCULO!$AB$15:$AL$15,$A23,0,$B23)*OFFSET(ORÇAMENTO!$AB$15,$A23,0,$B23)/(OFFSET(ORÇAMENTO!$X$15,$A23,0,$B23)+10^-12))+IF(AUTOEVENTO="Manual",SUMPRODUCT((OFFSET(CÁLCULO!$M$15,$A23,0,$B23)=1)*OFFSET(ORÇAMENTO!$AB$15,$A23,0,$B23)*(PLE!$AE$9-PLE!$Y$9)),0))</f>
        <v>#N/A</v>
      </c>
      <c r="AE23" s="182" t="e">
        <f ca="1">ROUND(
            IF(ACOMPANHAMENTO&lt;&gt;"PLE",0,
                      SUMIF(OFFSET(CÁLCULO!$AX$15:$BH$15,$A23,0,$B23),"&lt;="&amp;(PLE.Medicao-1),OFFSET(CÁLCULO!$AB$15:$AL$15,$A23,0,$B23))
                      +IF(AdmLocal="Automática",
                              SUMIF(OFFSET(CÁLCULO!$M$15,$A23,0,$B23),1,OFFSET(ORÇAMENTO!$X$15,$A23,0,$B23))*(PLE!$AE$9-PLE!$Y$9),
                              0)),
            2)</f>
        <v>#N/A</v>
      </c>
      <c r="AF23" s="182" t="e" cm="1">
        <f t="array" aca="1" ref="AF23" ca="1">IF(ACOMPANHAMENTO&lt;&gt;"PLE",0,SUMPRODUCT((OFFSET(CÁLCULO!$AX$15:$BH$15,$A23,0,$B23)&lt;=PLE.Medicao)*OFFSET(CÁLCULO!$AB$15:$AL$15,$A23,0,$B23)*OFFSET(ORÇAMENTO!$AA$15,$A23,0,$B23)/(OFFSET(ORÇAMENTO!$X$15,$A23,0,$B23)+10^-12))+IF(AUTOEVENTO="Manual",SUMPRODUCT((OFFSET(CÁLCULO!$M$15,$A23,0,$B23)=1)*OFFSET(ORÇAMENTO!$AA$15,$A23,0,$B23)*PLE!$AE$9),0))</f>
        <v>#N/A</v>
      </c>
      <c r="AG23" s="182" t="e" cm="1">
        <f t="array" aca="1" ref="AG23" ca="1">IF(ACOMPANHAMENTO&lt;&gt;"PLE",0,SUMPRODUCT((OFFSET(CÁLCULO!$AX$15:$BH$15,$A23,0,$B23)&lt;=PLE.Medicao)*OFFSET(CÁLCULO!$AB$15:$AL$15,$A23,0,$B23)*OFFSET(ORÇAMENTO!$AB$15,$A23,0,$B23)/(OFFSET(ORÇAMENTO!$X$15,$A23,0,$B23)+10^-12))+IF(AUTOEVENTO="Manual",SUMPRODUCT((OFFSET(CÁLCULO!$M$15,$A23,0,$B23)=1)*OFFSET(ORÇAMENTO!$AB$15,$A23,0,$B23)*PLE!$AE$9),0))</f>
        <v>#N/A</v>
      </c>
      <c r="AH23" s="182" t="e">
        <f ca="1">ROUND(IF(ACOMPANHAMENTO&lt;&gt;"PLE",0,SUMIF(OFFSET(CÁLCULO!$AX$15:$BH$15,$A23,0,$B23),"&lt;="&amp;PLE.Medicao,OFFSET(CÁLCULO!$AB$15:$AL$15,$A23,0,$B23))+IF(AdmLocal="Automática",SUMIF(OFFSET(CÁLCULO!$M$15,$A23,0,$B23),1,OFFSET(ORÇAMENTO!$X$15,$A23,0,$B23))*PLE!$AE$9,0)),2)</f>
        <v>#N/A</v>
      </c>
      <c r="AJ23" s="182" cm="1">
        <f t="array" aca="1" ref="AJ23" ca="1">IF(ACOMPANHAMENTO&lt;&gt;"BM",0,SUMPRODUCT(OFFSET(BM!$M$15,$A23,0,$B23)*(OFFSET(BM!$A$15,$A23,0,$B23)="S")*OFFSET(ORÇAMENTO!AA$15,$A23,0,$B23)/(OFFSET(ORÇAMENTO!$X$15,$A23,0,$B23)+10^-12)))</f>
        <v>0</v>
      </c>
      <c r="AK23" s="182" cm="1">
        <f t="array" aca="1" ref="AK23" ca="1">IF(ACOMPANHAMENTO&lt;&gt;"BM",0,SUMPRODUCT(OFFSET(BM!$M$15,$A23,0,$B23)*(OFFSET(BM!$A$15,$A23,0,$B23)="S")*OFFSET(ORÇAMENTO!AB$15,$A23,0,$B23)/(OFFSET(ORÇAMENTO!$X$15,$A23,0,$B23)+10^-12)))</f>
        <v>0</v>
      </c>
      <c r="AL23" s="182">
        <f ca="1">IF(ACOMPANHAMENTO&lt;&gt;"BM",0,OFFSET(BM!$M$15,$A23,0))</f>
        <v>0</v>
      </c>
      <c r="AM23" s="182" cm="1">
        <f t="array" aca="1" ref="AM23" ca="1">IF(ACOMPANHAMENTO&lt;&gt;"BM",0,SUMPRODUCT(OFFSET(BM!$O$15,$A23,0,$B23)*(OFFSET(BM!$A$15,$A23,0,$B23)="S")*OFFSET(ORÇAMENTO!AA$15,$A23,0,$B23)/(OFFSET(ORÇAMENTO!$X$15,$A23,0,$B23)+10^-12)))</f>
        <v>0</v>
      </c>
      <c r="AN23" s="182" cm="1">
        <f t="array" aca="1" ref="AN23" ca="1">IF(ACOMPANHAMENTO&lt;&gt;"BM",0,SUMPRODUCT(OFFSET(BM!$O$15,$A23,0,$B23)*(OFFSET(BM!$A$15,$A23,0,$B23)="S")*OFFSET(ORÇAMENTO!AB$15,$A23,0,$B23)/(OFFSET(ORÇAMENTO!$X$15,$A23,0,$B23)+10^-12)))</f>
        <v>0</v>
      </c>
      <c r="AO23" s="182">
        <f ca="1">IF(ACOMPANHAMENTO&lt;&gt;"BM",0,OFFSET(BM!$O$15,$A23,0))</f>
        <v>0</v>
      </c>
    </row>
    <row r="24" spans="1:41" ht="12.95" customHeight="1" x14ac:dyDescent="0.2">
      <c r="D24" t="s">
        <v>536</v>
      </c>
      <c r="E24" s="1"/>
      <c r="F24" s="1"/>
      <c r="G24" s="1"/>
      <c r="H24" s="1"/>
      <c r="I24" s="2"/>
      <c r="J24" s="825" t="s">
        <v>889</v>
      </c>
      <c r="K24" s="826"/>
      <c r="L24" s="368">
        <f ca="1">IF(ISERROR(L28/$L28),0,ROUND(L28/$L28,4))</f>
        <v>1</v>
      </c>
      <c r="M24" s="370">
        <f ca="1">IF(ISERROR(M28/$L28),0,ROUND(M28/$L28,4))</f>
        <v>0</v>
      </c>
      <c r="N24" s="369">
        <f ca="1">IF(ISERROR(N28/$L28),0,ROUND(N28/$L28,4))</f>
        <v>0</v>
      </c>
      <c r="O24" s="371">
        <f ca="1">IF(ISERROR(O28/$L28),0,ROUND(O28/$L28,4))</f>
        <v>0</v>
      </c>
      <c r="P24" s="827">
        <f ca="1">O28/(L28+10^-12)</f>
        <v>0</v>
      </c>
      <c r="X24" s="301"/>
      <c r="Y24" s="303"/>
      <c r="Z24" s="304"/>
    </row>
    <row r="25" spans="1:41" ht="12.95" customHeight="1" x14ac:dyDescent="0.2">
      <c r="D25" t="s">
        <v>536</v>
      </c>
      <c r="I25" s="4"/>
      <c r="J25" s="828" t="str">
        <f>IF(import.recurso="FGTS","Financiamento","Repasse")</f>
        <v>Repasse</v>
      </c>
      <c r="K25" s="829"/>
      <c r="L25" s="285">
        <f ca="1">QCI!L24</f>
        <v>1061163.8400000001</v>
      </c>
      <c r="M25" s="282">
        <f ca="1">M28-M27-M26</f>
        <v>0</v>
      </c>
      <c r="N25" s="283">
        <f ca="1">O25-M25</f>
        <v>0</v>
      </c>
      <c r="O25" s="284">
        <f ca="1">O28-O27-O26</f>
        <v>0</v>
      </c>
      <c r="P25" s="827"/>
      <c r="X25" s="372"/>
      <c r="Y25" s="373" t="s">
        <v>890</v>
      </c>
      <c r="Z25" s="374" t="s">
        <v>891</v>
      </c>
      <c r="AC25" s="375" t="s">
        <v>892</v>
      </c>
      <c r="AD25" s="375" t="s">
        <v>893</v>
      </c>
    </row>
    <row r="26" spans="1:41" ht="12.95" customHeight="1" x14ac:dyDescent="0.2">
      <c r="D26" t="s">
        <v>536</v>
      </c>
      <c r="I26" s="4"/>
      <c r="J26" s="830" t="s">
        <v>894</v>
      </c>
      <c r="K26" s="831"/>
      <c r="L26" s="376">
        <f ca="1">QCI!M24</f>
        <v>3000</v>
      </c>
      <c r="M26" s="377">
        <f ca="1">ROUND(IF(OFFSET($X$26,0,1)&lt;&gt;"",OFFSET($X$26,0,1),SUM(R13:OFFSET(R24,-1,0))),2)</f>
        <v>0</v>
      </c>
      <c r="N26" s="378">
        <f ca="1">O26-M26</f>
        <v>0</v>
      </c>
      <c r="O26" s="379">
        <f ca="1">IF(OFFSET($X$26,0,2)&lt;&gt;"",OFFSET($X$26,0,2),$AE$3)</f>
        <v>0</v>
      </c>
      <c r="P26" s="827"/>
      <c r="X26" s="380" t="s">
        <v>456</v>
      </c>
      <c r="Y26" s="443"/>
      <c r="Z26" s="444"/>
      <c r="AC26" s="381">
        <f ca="1">MIN($L26,$O$28-OFFSET($X$27,0,1))</f>
        <v>0</v>
      </c>
      <c r="AD26" s="381">
        <f ca="1">MIN($L26,$O$28-OFFSET($X$27,0,2))</f>
        <v>0</v>
      </c>
    </row>
    <row r="27" spans="1:41" ht="12.95" customHeight="1" x14ac:dyDescent="0.2">
      <c r="D27" t="s">
        <v>536</v>
      </c>
      <c r="I27" s="4"/>
      <c r="J27" s="832" t="s">
        <v>871</v>
      </c>
      <c r="K27" s="833"/>
      <c r="L27" s="382">
        <f ca="1">QCI!N24</f>
        <v>0</v>
      </c>
      <c r="M27" s="383">
        <f ca="1">ROUND(IF(OFFSET($X$27,0,1)&lt;&gt;"",OFFSET($X$27,0,1),SUM(S13:OFFSET(S24,-1,0))),2)</f>
        <v>0</v>
      </c>
      <c r="N27" s="384">
        <f ca="1">O27-M27</f>
        <v>0</v>
      </c>
      <c r="O27" s="385">
        <f ca="1">IF(OFFSET($X$27,0,2)&lt;&gt;"",OFFSET($X$27,0,2),$AE$4)</f>
        <v>0</v>
      </c>
      <c r="P27" s="827"/>
      <c r="X27" s="386" t="s">
        <v>794</v>
      </c>
      <c r="Y27" s="445"/>
      <c r="Z27" s="446"/>
      <c r="AC27" s="381">
        <f ca="1">MIN($L27,$O$28-OFFSET($X$26,0,1))</f>
        <v>0</v>
      </c>
      <c r="AD27" s="381">
        <f ca="1">MIN($L27,$O$28-OFFSET($X$26,0,2))</f>
        <v>0</v>
      </c>
    </row>
    <row r="28" spans="1:41" ht="15" x14ac:dyDescent="0.2">
      <c r="D28" t="s">
        <v>536</v>
      </c>
      <c r="I28" s="4"/>
      <c r="J28" s="834" t="s">
        <v>873</v>
      </c>
      <c r="K28" s="835"/>
      <c r="L28" s="387">
        <f ca="1">SUM(L13:OFFSET(L24,-1,0))</f>
        <v>1064163.8400000001</v>
      </c>
      <c r="M28" s="647">
        <f ca="1">ROUND(SUM(M13:OFFSET(M24,-1,0)),2)</f>
        <v>0</v>
      </c>
      <c r="N28" s="648">
        <f ca="1">O28-M28</f>
        <v>0</v>
      </c>
      <c r="O28" s="388">
        <f ca="1">SUM(O13:OFFSET(O24,-1,0))</f>
        <v>0</v>
      </c>
      <c r="P28" s="827"/>
      <c r="X28" s="313"/>
      <c r="Y28" s="315"/>
      <c r="Z28" s="316"/>
    </row>
    <row r="29" spans="1:41" x14ac:dyDescent="0.2">
      <c r="O29" s="836" t="str">
        <f ca="1">"Acumulado Anterior:  "&amp;TEXT($M$28/($L$28+10^-12),"0,00%")</f>
        <v>Acumulado Anterior:  0,00%</v>
      </c>
      <c r="P29" s="836"/>
    </row>
    <row r="30" spans="1:41" ht="14.25" x14ac:dyDescent="0.2">
      <c r="E30" s="134" t="s">
        <v>689</v>
      </c>
      <c r="P30" s="413"/>
    </row>
    <row r="31" spans="1:41" ht="12.75" customHeight="1" x14ac:dyDescent="0.2">
      <c r="E31" s="819"/>
      <c r="F31" s="820"/>
      <c r="G31" s="820"/>
      <c r="H31" s="820"/>
      <c r="I31" s="820"/>
      <c r="J31" s="820"/>
      <c r="K31" s="820"/>
      <c r="L31" s="820"/>
      <c r="M31" s="820"/>
      <c r="N31" s="820"/>
      <c r="O31" s="820"/>
      <c r="P31" s="821"/>
    </row>
    <row r="32" spans="1:41" ht="12.75" customHeight="1" x14ac:dyDescent="0.2">
      <c r="E32" s="819"/>
      <c r="F32" s="820"/>
      <c r="G32" s="820"/>
      <c r="H32" s="820"/>
      <c r="I32" s="820"/>
      <c r="J32" s="820"/>
      <c r="K32" s="820"/>
      <c r="L32" s="820"/>
      <c r="M32" s="820"/>
      <c r="N32" s="820"/>
      <c r="O32" s="820"/>
      <c r="P32" s="821"/>
      <c r="Y32" s="389"/>
      <c r="Z32" s="389"/>
    </row>
    <row r="33" spans="5:16" ht="12.75" customHeight="1" x14ac:dyDescent="0.2">
      <c r="E33" s="822"/>
      <c r="F33" s="823"/>
      <c r="G33" s="823"/>
      <c r="H33" s="823"/>
      <c r="I33" s="823"/>
      <c r="J33" s="823"/>
      <c r="K33" s="823"/>
      <c r="L33" s="823"/>
      <c r="M33" s="823"/>
      <c r="N33" s="823"/>
      <c r="O33" s="823"/>
      <c r="P33" s="824"/>
    </row>
    <row r="34" spans="5:16" x14ac:dyDescent="0.2">
      <c r="L34" s="570" t="str">
        <f>IF(L35=0,"Preencher a data de fechamento do RRE na aba DADOS (célula "&amp;ADDRESS(ROW(Import.DataFechaRRE),COLUMN(Import.DataFechaRRE),4)&amp;")","")</f>
        <v>Preencher a data de fechamento do RRE na aba DADOS (célula C48)</v>
      </c>
    </row>
    <row r="35" spans="5:16" ht="15" x14ac:dyDescent="0.2">
      <c r="E35" s="722" t="str">
        <f>Import.Município</f>
        <v>Liberdade - MG</v>
      </c>
      <c r="F35" s="722"/>
      <c r="G35" s="722"/>
      <c r="I35" s="390"/>
      <c r="K35" s="583"/>
      <c r="L35" s="770">
        <f>DADOS!$C$48</f>
        <v>0</v>
      </c>
      <c r="M35" s="770"/>
      <c r="N35" s="770"/>
      <c r="O35" s="770"/>
    </row>
    <row r="36" spans="5:16" x14ac:dyDescent="0.2">
      <c r="E36" s="9" t="s">
        <v>693</v>
      </c>
      <c r="L36" s="9" t="s">
        <v>694</v>
      </c>
    </row>
    <row r="38" spans="5:16" x14ac:dyDescent="0.2">
      <c r="E38" s="179"/>
      <c r="F38" s="179"/>
      <c r="G38" s="179"/>
      <c r="L38" s="179"/>
      <c r="M38" s="179"/>
      <c r="N38" s="179"/>
      <c r="O38" s="179"/>
    </row>
    <row r="39" spans="5:16" x14ac:dyDescent="0.2">
      <c r="E39" s="391" t="str">
        <f>IF(CAIXA.Modo,"Responsável Gerencial CAIXA","Representante Tomador")</f>
        <v>Representante Tomador</v>
      </c>
      <c r="F39" s="7"/>
      <c r="L39" s="391" t="str">
        <f>IF(CAIXA.Modo,"Responsável Técnico CAIXA","Responsável Técnico pela Fiscalização")</f>
        <v>Responsável Técnico pela Fiscalização</v>
      </c>
    </row>
    <row r="40" spans="5:16" x14ac:dyDescent="0.2">
      <c r="E40" s="76" t="s">
        <v>240</v>
      </c>
      <c r="F40" s="270" t="str">
        <f>IF(CAIXA.Modo,DADOS!C60,DADOS!C28)</f>
        <v>Lucas de Souza Garcia</v>
      </c>
      <c r="L40" s="76" t="s">
        <v>240</v>
      </c>
      <c r="M40" s="805" t="str">
        <f>IF(CAIXA.Modo,BM!X67,DADOS!C51)</f>
        <v>Antônio Carlos Sampaio Alves</v>
      </c>
      <c r="N40" s="805"/>
      <c r="O40" s="805"/>
    </row>
    <row r="41" spans="5:16" x14ac:dyDescent="0.2">
      <c r="E41" s="76" t="str">
        <f>IF(CAIXA.Modo,"Função:","Cargo:")</f>
        <v>Cargo:</v>
      </c>
      <c r="F41" s="270" t="str">
        <f>IF(CAIXA.Modo,DADOS!C61,DADOS!C29)</f>
        <v>Prefeito</v>
      </c>
      <c r="L41" s="76" t="str">
        <f>IF(CAIXA.Modo,"Matrícula:","Profissão:")</f>
        <v>Profissão:</v>
      </c>
      <c r="M41" s="805" t="str">
        <f>IF(CAIXA.Modo,BM!X68,DADOS!C52)</f>
        <v>Engenheiro Civil</v>
      </c>
      <c r="N41" s="805"/>
      <c r="O41" s="805"/>
    </row>
    <row r="42" spans="5:16" x14ac:dyDescent="0.2">
      <c r="L42" s="76" t="s">
        <v>243</v>
      </c>
      <c r="M42" s="805" t="str">
        <f>IF(CAIXA.Modo,BM!X69,DADOS!C53)</f>
        <v>214010-D</v>
      </c>
      <c r="N42" s="805"/>
      <c r="O42" s="805"/>
    </row>
    <row r="43" spans="5:16" x14ac:dyDescent="0.2">
      <c r="L43" s="76" t="str">
        <f>IF(CAIXA.Modo,"","ART/RRT:")</f>
        <v>ART/RRT:</v>
      </c>
      <c r="M43" s="12" t="str">
        <f>IF(CAIXA.Modo,"",DADOS!C54)</f>
        <v>MG 20254192207</v>
      </c>
    </row>
    <row r="45" spans="5:16" x14ac:dyDescent="0.2">
      <c r="E45" s="179"/>
      <c r="F45" s="179"/>
      <c r="G45" s="179"/>
      <c r="L45" s="179"/>
      <c r="M45" s="179"/>
      <c r="N45" s="179"/>
      <c r="O45" s="179"/>
    </row>
    <row r="46" spans="5:16" x14ac:dyDescent="0.2">
      <c r="E46" t="str">
        <f>IF(CAIXA.Modo,"Responsável Social CAIXA","Responsável Social")</f>
        <v>Responsável Social</v>
      </c>
      <c r="L46" t="str">
        <f>IF(CAIXA.Modo,"Responsável Operacional CAIXA","Responsável Financeiro")</f>
        <v>Responsável Financeiro</v>
      </c>
    </row>
    <row r="47" spans="5:16" x14ac:dyDescent="0.2">
      <c r="E47" s="76" t="s">
        <v>240</v>
      </c>
      <c r="F47" s="804"/>
      <c r="G47" s="804"/>
      <c r="L47" s="76" t="s">
        <v>240</v>
      </c>
      <c r="M47" s="804"/>
      <c r="N47" s="804"/>
      <c r="O47" s="804"/>
    </row>
    <row r="48" spans="5:16" x14ac:dyDescent="0.2">
      <c r="E48" s="76" t="str">
        <f>IF(CAIXA.Modo,"Função:","Cargo:")</f>
        <v>Cargo:</v>
      </c>
      <c r="F48" s="804"/>
      <c r="G48" s="804"/>
      <c r="L48" s="76" t="str">
        <f>IF(CAIXA.Modo,"Função:","Cargo:")</f>
        <v>Cargo:</v>
      </c>
      <c r="M48" s="804"/>
      <c r="N48" s="804"/>
      <c r="O48" s="804"/>
    </row>
    <row r="49" spans="5:15" x14ac:dyDescent="0.2">
      <c r="E49" s="76" t="str">
        <f>IF(CAIXA.Modo,"Matr:","")</f>
        <v/>
      </c>
      <c r="F49" s="804"/>
      <c r="G49" s="804"/>
      <c r="L49" s="76" t="str">
        <f>IF(CAIXA.Modo,"Matrícula:","")</f>
        <v/>
      </c>
      <c r="M49" s="804"/>
      <c r="N49" s="804"/>
      <c r="O49" s="804"/>
    </row>
  </sheetData>
  <sheetProtection algorithmName="SHA-512" hashValue="eRernGb2yvs5Loqjy8vl+YMGqhkcGSuZUFigTB5D5i2Io1g03ZZpmUr8SHnEuFUpzH/cjJxsmuMKJwFw0aa3eg==" saltValue="EdX249RKgIcvgiHBe5+hGw==" spinCount="100000" sheet="1" objects="1" scenarios="1" autoFilter="0"/>
  <autoFilter ref="D13:D30"/>
  <mergeCells count="40">
    <mergeCell ref="E6:H6"/>
    <mergeCell ref="I6:L6"/>
    <mergeCell ref="E3:H3"/>
    <mergeCell ref="I3:K3"/>
    <mergeCell ref="E4:H4"/>
    <mergeCell ref="I4:K4"/>
    <mergeCell ref="D7:D11"/>
    <mergeCell ref="E7:H7"/>
    <mergeCell ref="I7:L7"/>
    <mergeCell ref="G9:H9"/>
    <mergeCell ref="I9:J9"/>
    <mergeCell ref="L9:L10"/>
    <mergeCell ref="G10:H10"/>
    <mergeCell ref="AJ10:AO10"/>
    <mergeCell ref="Y11:Z11"/>
    <mergeCell ref="AC11:AE11"/>
    <mergeCell ref="AF11:AH11"/>
    <mergeCell ref="AJ11:AL11"/>
    <mergeCell ref="AM11:AO11"/>
    <mergeCell ref="J27:K27"/>
    <mergeCell ref="J28:K28"/>
    <mergeCell ref="O29:P29"/>
    <mergeCell ref="M48:O48"/>
    <mergeCell ref="AC10:AH10"/>
    <mergeCell ref="M4:O4"/>
    <mergeCell ref="M49:O49"/>
    <mergeCell ref="E31:P33"/>
    <mergeCell ref="L35:O35"/>
    <mergeCell ref="M40:O40"/>
    <mergeCell ref="M41:O41"/>
    <mergeCell ref="M42:O42"/>
    <mergeCell ref="M47:O47"/>
    <mergeCell ref="F49:G49"/>
    <mergeCell ref="E35:G35"/>
    <mergeCell ref="F47:G47"/>
    <mergeCell ref="F48:G48"/>
    <mergeCell ref="J24:K24"/>
    <mergeCell ref="P24:P28"/>
    <mergeCell ref="J25:K25"/>
    <mergeCell ref="J26:K26"/>
  </mergeCells>
  <phoneticPr fontId="38" type="noConversion"/>
  <conditionalFormatting sqref="X12:Z12">
    <cfRule type="expression" dxfId="46" priority="472" stopIfTrue="1">
      <formula>OR($C12="Automático",$C12="Branco")</formula>
    </cfRule>
  </conditionalFormatting>
  <conditionalFormatting sqref="F49:G49 M49:O49">
    <cfRule type="expression" dxfId="45" priority="473" stopIfTrue="1">
      <formula>CAIXA.Modo=FALSE</formula>
    </cfRule>
  </conditionalFormatting>
  <conditionalFormatting sqref="M12 M25:M28 O12 O25:O28">
    <cfRule type="cellIs" dxfId="44" priority="474" stopIfTrue="1" operator="notBetween">
      <formula>0</formula>
      <formula>$L12</formula>
    </cfRule>
  </conditionalFormatting>
  <conditionalFormatting sqref="M10:N10">
    <cfRule type="cellIs" dxfId="43" priority="475" stopIfTrue="1" operator="lessThan">
      <formula>0</formula>
    </cfRule>
  </conditionalFormatting>
  <conditionalFormatting sqref="X14:Z22">
    <cfRule type="expression" dxfId="42" priority="3" stopIfTrue="1">
      <formula>OR($C14="Automático",$C14="Branco")</formula>
    </cfRule>
  </conditionalFormatting>
  <conditionalFormatting sqref="M14:M22 O14:O22">
    <cfRule type="cellIs" dxfId="41" priority="4" stopIfTrue="1" operator="notBetween">
      <formula>0</formula>
      <formula>$L14</formula>
    </cfRule>
  </conditionalFormatting>
  <conditionalFormatting sqref="X23:Z23">
    <cfRule type="expression" dxfId="40" priority="1" stopIfTrue="1">
      <formula>OR($C23="Automático",$C23="Branco")</formula>
    </cfRule>
  </conditionalFormatting>
  <conditionalFormatting sqref="M23 O23">
    <cfRule type="cellIs" dxfId="39" priority="2" stopIfTrue="1" operator="notBetween">
      <formula>0</formula>
      <formula>$L23</formula>
    </cfRule>
  </conditionalFormatting>
  <dataValidations disablePrompts="1" count="5">
    <dataValidation type="decimal" errorStyle="warning" allowBlank="1" showInputMessage="1" showErrorMessage="1" errorTitle="Erro de valor" error="Valor menor que 0,00 ou maior que o valor da Contrapartida/Outros." promptTitle="Contrapartida Anterior:" prompt="Deixe essa célula em branco para o cálculo automático. Preencha somente para valores de CP diferentes do previsto." sqref="Y26">
      <formula1>0</formula1>
      <formula2>RRE.MaxCPAnt</formula2>
    </dataValidation>
    <dataValidation type="decimal" errorStyle="warning" allowBlank="1" showInputMessage="1" showErrorMessage="1" errorTitle="Erro de valor" error="Valor menor que 0,00 ou maior que o valor da Contrapartida/Outros." promptTitle="Contrapartida Acumulada:" prompt="Deixe essa célula em branco para o cálculo automático. Preencha somente para valores de CP diferentes do previsto." sqref="Z26">
      <formula1>0</formula1>
      <formula2>RRE.MaxCPAcum</formula2>
    </dataValidation>
    <dataValidation type="decimal" errorStyle="warning" allowBlank="1" showInputMessage="1" showErrorMessage="1" errorTitle="Erro de valor" error="Valor menor que 0,00 ou maior que o valor da Contrapartida/Outros." promptTitle="Outros Anterior:" prompt="Deixe essa célula em branco para o cálculo automático. Preencha somente para valores de Outros diferentes do previsto." sqref="Y27">
      <formula1>0</formula1>
      <formula2>RRE.MaxOUAnt</formula2>
    </dataValidation>
    <dataValidation type="decimal" errorStyle="warning" allowBlank="1" showInputMessage="1" showErrorMessage="1" errorTitle="Erro de valor" error="Valor menor que 0,00 ou maior que o valor da Contrapartida/Outros." promptTitle="Outros Acumulada:" prompt="Deixe essa célula em branco para o cálculo automático. Preencha somente para valores de Outros diferentes do previsto." sqref="Z27">
      <formula1>0</formula1>
      <formula2>RRE.MaxOUAcum</formula2>
    </dataValidation>
    <dataValidation type="decimal" allowBlank="1" showInputMessage="1" showErrorMessage="1" sqref="Y12:Z12 Y14:Z23">
      <formula1>0</formula1>
      <formula2>RRE.VIMeta</formula2>
    </dataValidation>
  </dataValidations>
  <pageMargins left="0.78740157480314998" right="0.78740157480314998" top="0.78740157480314998" bottom="0.78740157480314998" header="0.59055118110236204" footer="0.59055118110236204"/>
  <pageSetup paperSize="9" scale="73" firstPageNumber="0" fitToHeight="0" orientation="landscape" horizontalDpi="300" verticalDpi="300" r:id="rId1"/>
  <headerFooter alignWithMargins="0">
    <oddHeader>&amp;L_&amp;C&amp;14I</oddHeader>
    <oddFooter>&amp;LPMv3.14&amp;R&amp;P / &amp;N</oddFooter>
  </headerFooter>
  <colBreaks count="1" manualBreakCount="1">
    <brk id="15" max="1048575" man="1"/>
  </col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2"/>
  <dimension ref="B1:M56"/>
  <sheetViews>
    <sheetView showGridLines="0" zoomScaleNormal="100" zoomScaleSheetLayoutView="100" workbookViewId="0"/>
  </sheetViews>
  <sheetFormatPr defaultRowHeight="12.75" x14ac:dyDescent="0.2"/>
  <cols>
    <col min="1" max="1" width="2" customWidth="1"/>
    <col min="2" max="2" width="15.5703125" customWidth="1"/>
    <col min="3" max="3" width="6.5703125" customWidth="1"/>
    <col min="4" max="5" width="20.5703125" customWidth="1"/>
    <col min="6" max="6" width="8.5703125" customWidth="1"/>
    <col min="7" max="7" width="12.5703125" customWidth="1"/>
    <col min="8" max="8" width="20.5703125" customWidth="1"/>
    <col min="10" max="10" width="14.140625" customWidth="1"/>
  </cols>
  <sheetData>
    <row r="1" spans="2:13" x14ac:dyDescent="0.2">
      <c r="B1" s="861"/>
      <c r="C1" s="861"/>
      <c r="D1" s="48"/>
      <c r="E1" s="48"/>
      <c r="F1" s="48"/>
      <c r="G1" s="51" t="s">
        <v>644</v>
      </c>
    </row>
    <row r="2" spans="2:13" x14ac:dyDescent="0.2">
      <c r="B2" s="861"/>
      <c r="C2" s="861"/>
      <c r="D2" s="48"/>
      <c r="E2" s="48"/>
      <c r="F2" s="48"/>
      <c r="G2" s="11" t="s">
        <v>895</v>
      </c>
    </row>
    <row r="3" spans="2:13" ht="26.1" customHeight="1" x14ac:dyDescent="0.2">
      <c r="B3" s="861"/>
      <c r="C3" s="861"/>
      <c r="D3" s="48"/>
      <c r="E3" s="48"/>
      <c r="F3" s="48"/>
      <c r="G3" s="392"/>
    </row>
    <row r="4" spans="2:13" ht="12.75" customHeight="1" x14ac:dyDescent="0.2">
      <c r="B4" s="861"/>
      <c r="C4" s="861"/>
      <c r="D4" s="48"/>
      <c r="E4" s="48"/>
      <c r="F4" s="48"/>
      <c r="G4" s="48"/>
    </row>
    <row r="5" spans="2:13" x14ac:dyDescent="0.2">
      <c r="C5" s="570" t="str">
        <f>IF(Import.Ofício.Num=0,"Preencher o número do Ofício","")</f>
        <v>Preencher o número do Ofício</v>
      </c>
    </row>
    <row r="6" spans="2:13" x14ac:dyDescent="0.2">
      <c r="B6" s="393" t="s">
        <v>896</v>
      </c>
      <c r="C6" s="859"/>
      <c r="D6" s="859"/>
      <c r="E6" s="393"/>
      <c r="F6" s="393"/>
      <c r="G6" s="48"/>
      <c r="J6" s="9"/>
    </row>
    <row r="7" spans="2:13" x14ac:dyDescent="0.2">
      <c r="B7" s="48"/>
      <c r="C7" s="48"/>
      <c r="D7" s="48"/>
      <c r="E7" s="48"/>
      <c r="F7" s="48"/>
      <c r="G7" s="48"/>
    </row>
    <row r="8" spans="2:13" x14ac:dyDescent="0.2">
      <c r="B8" s="860" t="str">
        <f>CONCATENATE(RRE!$E$35,", ",TEXT(RRE!$L$35,"dd"" de ""mmmm"" de ""aaaa"))</f>
        <v>Liberdade - MG, 00 de janeiro de 1900</v>
      </c>
      <c r="C8" s="860"/>
      <c r="D8" s="860"/>
      <c r="E8" s="860"/>
      <c r="F8" s="860"/>
      <c r="G8" s="860"/>
      <c r="H8" s="394"/>
      <c r="J8" s="394"/>
      <c r="K8" s="394"/>
      <c r="L8" s="394"/>
      <c r="M8" s="394"/>
    </row>
    <row r="9" spans="2:13" x14ac:dyDescent="0.2">
      <c r="B9" s="395" t="s">
        <v>897</v>
      </c>
      <c r="C9" s="48"/>
      <c r="D9" s="48"/>
      <c r="G9" s="48"/>
      <c r="H9" s="394"/>
      <c r="J9" s="394"/>
      <c r="K9" s="394"/>
      <c r="L9" s="394"/>
      <c r="M9" s="394"/>
    </row>
    <row r="10" spans="2:13" x14ac:dyDescent="0.2">
      <c r="B10" s="854" t="s">
        <v>898</v>
      </c>
      <c r="C10" s="854"/>
      <c r="D10" s="854"/>
      <c r="G10" s="48"/>
      <c r="H10" s="394"/>
      <c r="J10" s="394"/>
      <c r="K10" s="394"/>
      <c r="L10" s="394"/>
      <c r="M10" s="394"/>
    </row>
    <row r="11" spans="2:13" x14ac:dyDescent="0.2">
      <c r="B11" s="396" t="s">
        <v>899</v>
      </c>
      <c r="C11" s="804"/>
      <c r="D11" s="804"/>
      <c r="G11" s="48"/>
      <c r="H11" s="394"/>
      <c r="J11" s="394"/>
      <c r="K11" s="394"/>
      <c r="L11" s="394"/>
      <c r="M11" s="394"/>
    </row>
    <row r="12" spans="2:13" x14ac:dyDescent="0.2">
      <c r="B12" s="397"/>
      <c r="C12" s="397"/>
      <c r="D12" s="397"/>
      <c r="E12" s="397"/>
      <c r="F12" s="397"/>
      <c r="G12" s="48"/>
      <c r="H12" s="394"/>
      <c r="J12" s="394"/>
      <c r="K12" s="394"/>
      <c r="L12" s="394"/>
      <c r="M12" s="394"/>
    </row>
    <row r="13" spans="2:13" x14ac:dyDescent="0.2">
      <c r="B13" s="48"/>
      <c r="C13" s="48"/>
      <c r="D13" s="48"/>
      <c r="E13" s="48"/>
      <c r="F13" s="48"/>
      <c r="G13" s="48"/>
    </row>
    <row r="14" spans="2:13" x14ac:dyDescent="0.2">
      <c r="B14" s="395" t="s">
        <v>900</v>
      </c>
      <c r="C14" s="854" t="str" cm="1">
        <f t="array" aca="1" ref="C14" ca="1">CONCATENATE(RRE.Numero,"ª"," Solicitação de ",IF(import.recurso="OGU","Desbloqueio","Desembolso")," de Recursos.")</f>
        <v>1ª Solicitação de Desbloqueio de Recursos.</v>
      </c>
      <c r="D14" s="854"/>
      <c r="E14" s="854"/>
      <c r="F14" s="854"/>
      <c r="G14" s="854"/>
    </row>
    <row r="15" spans="2:13" ht="12.75" customHeight="1" x14ac:dyDescent="0.2">
      <c r="B15" s="395" t="s">
        <v>901</v>
      </c>
      <c r="C15" s="855" t="str">
        <f>CONCATENATE("Contrato de ",IF(import.recurso="OGU","Repasse","Financiamento")," - Operação nº ",Import.CR,IF(Import.TransfereGOV="","",CONCATENATE(" - TransfereGOV nº ",Import.TransfereGOV)))</f>
        <v>Contrato de Repasse - Operação nº  - TransfereGOV nº 948148</v>
      </c>
      <c r="D15" s="855"/>
      <c r="E15" s="855"/>
      <c r="F15" s="855"/>
      <c r="G15" s="855"/>
    </row>
    <row r="16" spans="2:13" x14ac:dyDescent="0.2">
      <c r="B16" s="395"/>
      <c r="C16" s="855"/>
      <c r="D16" s="855"/>
      <c r="E16" s="855"/>
      <c r="F16" s="855"/>
      <c r="G16" s="855"/>
    </row>
    <row r="17" spans="2:7" x14ac:dyDescent="0.2">
      <c r="B17" s="48"/>
      <c r="C17" s="48"/>
      <c r="D17" s="48"/>
      <c r="E17" s="48"/>
      <c r="F17" s="48"/>
      <c r="G17" s="48"/>
    </row>
    <row r="18" spans="2:7" ht="12.75" customHeight="1" x14ac:dyDescent="0.2">
      <c r="B18" s="270" t="s">
        <v>902</v>
      </c>
      <c r="C18" s="856" t="str">
        <f>Import.DescLote</f>
        <v>Infraestrutura</v>
      </c>
      <c r="D18" s="856"/>
      <c r="E18" s="856"/>
      <c r="F18" s="856"/>
      <c r="G18" s="856"/>
    </row>
    <row r="19" spans="2:7" ht="12.75" customHeight="1" x14ac:dyDescent="0.2">
      <c r="B19" s="852" t="s">
        <v>903</v>
      </c>
      <c r="C19" s="853" t="str">
        <f>Import.Proponente</f>
        <v>18.029.165/0001-51</v>
      </c>
      <c r="D19" s="853"/>
      <c r="E19" s="853"/>
      <c r="F19" s="853"/>
      <c r="G19" s="853"/>
    </row>
    <row r="20" spans="2:7" x14ac:dyDescent="0.2">
      <c r="B20" s="852"/>
      <c r="C20" s="853"/>
      <c r="D20" s="853"/>
      <c r="E20" s="853"/>
      <c r="F20" s="853"/>
      <c r="G20" s="853"/>
    </row>
    <row r="21" spans="2:7" x14ac:dyDescent="0.2">
      <c r="B21" s="48"/>
      <c r="C21" s="48"/>
      <c r="D21" s="48"/>
      <c r="E21" s="48"/>
      <c r="F21" s="48"/>
      <c r="G21" s="48"/>
    </row>
    <row r="22" spans="2:7" x14ac:dyDescent="0.2">
      <c r="B22" t="str">
        <f>IF(B11="GIGOV","Senhor Gerente","Senhor Superintendente")</f>
        <v>Senhor Gerente</v>
      </c>
      <c r="D22" s="48"/>
      <c r="E22" s="48"/>
      <c r="F22" s="48"/>
      <c r="G22" s="48"/>
    </row>
    <row r="23" spans="2:7" x14ac:dyDescent="0.2">
      <c r="B23" s="48"/>
      <c r="C23" s="48"/>
      <c r="D23" s="48"/>
      <c r="E23" s="48"/>
      <c r="F23" s="48"/>
      <c r="G23" s="48"/>
    </row>
    <row r="24" spans="2:7" ht="12.75" customHeight="1" x14ac:dyDescent="0.2">
      <c r="B24" s="856" t="str">
        <f>CONCATENATE("1. Vimos pelo presente, solicitar à Caixa Econômica Federal autorização para ",IF(import.recurso="OGU","desbloqueio","desembolso")," da parcela de recursos relativa ao Contrato de ",IF(import.recurso="OGU","Repasse","Financiamento")," em referência, conforme valores abaixo discriminados e, para tanto, anexamos a documentação necessária ao pleito.")</f>
        <v>1. Vimos pelo presente, solicitar à Caixa Econômica Federal autorização para desbloqueio da parcela de recursos relativa ao Contrato de Repasse em referência, conforme valores abaixo discriminados e, para tanto, anexamos a documentação necessária ao pleito.</v>
      </c>
      <c r="C24" s="856"/>
      <c r="D24" s="856"/>
      <c r="E24" s="856"/>
      <c r="F24" s="856"/>
      <c r="G24" s="856"/>
    </row>
    <row r="25" spans="2:7" x14ac:dyDescent="0.2">
      <c r="B25" s="856"/>
      <c r="C25" s="856"/>
      <c r="D25" s="856"/>
      <c r="E25" s="856"/>
      <c r="F25" s="856"/>
      <c r="G25" s="856"/>
    </row>
    <row r="26" spans="2:7" x14ac:dyDescent="0.2">
      <c r="B26" s="856"/>
      <c r="C26" s="856"/>
      <c r="D26" s="856"/>
      <c r="E26" s="856"/>
      <c r="F26" s="856"/>
      <c r="G26" s="856"/>
    </row>
    <row r="27" spans="2:7" x14ac:dyDescent="0.2">
      <c r="B27" s="48"/>
      <c r="C27" s="48"/>
      <c r="D27" s="48"/>
      <c r="E27" s="48"/>
      <c r="F27" s="48"/>
      <c r="G27" s="48"/>
    </row>
    <row r="28" spans="2:7" ht="12.75" customHeight="1" x14ac:dyDescent="0.2">
      <c r="B28" s="851"/>
      <c r="C28" s="851"/>
      <c r="D28" s="857" t="s">
        <v>904</v>
      </c>
      <c r="E28" s="857" t="str" cm="1">
        <f t="array" aca="1" ref="E28" ca="1">"Evolução da "&amp;RRE.Numero&amp;"ª Medição"</f>
        <v>Evolução da 1ª Medição</v>
      </c>
      <c r="F28" s="858" t="s">
        <v>905</v>
      </c>
      <c r="G28" s="858"/>
    </row>
    <row r="29" spans="2:7" x14ac:dyDescent="0.2">
      <c r="B29" s="851"/>
      <c r="C29" s="851"/>
      <c r="D29" s="857"/>
      <c r="E29" s="857"/>
      <c r="F29" s="858"/>
      <c r="G29" s="858"/>
    </row>
    <row r="30" spans="2:7" x14ac:dyDescent="0.2">
      <c r="B30" s="846" t="str">
        <f>IF(import.recurso="FGTS","Financiamento:","Repasse:")</f>
        <v>Repasse:</v>
      </c>
      <c r="C30" s="846"/>
      <c r="D30" s="398">
        <f ca="1">RRE!L25</f>
        <v>1061163.8400000001</v>
      </c>
      <c r="E30" s="398">
        <f ca="1">RRE!N25</f>
        <v>0</v>
      </c>
      <c r="F30" s="847">
        <f ca="1">RRE!O25</f>
        <v>0</v>
      </c>
      <c r="G30" s="847"/>
    </row>
    <row r="31" spans="2:7" x14ac:dyDescent="0.2">
      <c r="B31" s="846" t="s">
        <v>906</v>
      </c>
      <c r="C31" s="846"/>
      <c r="D31" s="398">
        <f ca="1">RRE!L26</f>
        <v>3000</v>
      </c>
      <c r="E31" s="398">
        <f ca="1">RRE!N26</f>
        <v>0</v>
      </c>
      <c r="F31" s="847">
        <f ca="1">RRE!O26</f>
        <v>0</v>
      </c>
      <c r="G31" s="847"/>
    </row>
    <row r="32" spans="2:7" x14ac:dyDescent="0.2">
      <c r="B32" s="846" t="s">
        <v>801</v>
      </c>
      <c r="C32" s="846"/>
      <c r="D32" s="398">
        <f ca="1">RRE!L27</f>
        <v>0</v>
      </c>
      <c r="E32" s="398">
        <f ca="1">RRE!N27</f>
        <v>0</v>
      </c>
      <c r="F32" s="847">
        <f ca="1">RRE!O27</f>
        <v>0</v>
      </c>
      <c r="G32" s="847"/>
    </row>
    <row r="33" spans="2:7" x14ac:dyDescent="0.2">
      <c r="B33" s="846" t="s">
        <v>802</v>
      </c>
      <c r="C33" s="846"/>
      <c r="D33" s="398">
        <f ca="1">RRE!L28</f>
        <v>1064163.8400000001</v>
      </c>
      <c r="E33" s="398">
        <f ca="1">RRE!N28</f>
        <v>0</v>
      </c>
      <c r="F33" s="847">
        <f ca="1">RRE!O28</f>
        <v>0</v>
      </c>
      <c r="G33" s="847"/>
    </row>
    <row r="34" spans="2:7" x14ac:dyDescent="0.2">
      <c r="B34" s="848" t="s">
        <v>907</v>
      </c>
      <c r="C34" s="848"/>
      <c r="D34" s="399" t="s">
        <v>688</v>
      </c>
      <c r="E34" s="400">
        <f ca="1">RRE!$N$28/(RRE!$L$28+10^-12)</f>
        <v>0</v>
      </c>
      <c r="F34" s="849">
        <f ca="1">RRE!P24</f>
        <v>0</v>
      </c>
      <c r="G34" s="849"/>
    </row>
    <row r="35" spans="2:7" x14ac:dyDescent="0.2">
      <c r="B35" s="180"/>
      <c r="C35" s="48"/>
      <c r="D35" s="48"/>
      <c r="E35" s="48"/>
      <c r="F35" s="48"/>
      <c r="G35" s="48"/>
    </row>
    <row r="36" spans="2:7" x14ac:dyDescent="0.2">
      <c r="B36" s="180"/>
      <c r="C36" s="180"/>
      <c r="D36" s="180"/>
      <c r="E36" s="180"/>
      <c r="F36" s="180"/>
      <c r="G36" s="48"/>
    </row>
    <row r="37" spans="2:7" x14ac:dyDescent="0.2">
      <c r="B37" s="850" t="str" cm="1">
        <f t="array" aca="1" ref="B37" ca="1">IF(RRE.Numero&gt;1,"2. Encaminhamos ainda a documentação relativa à prestação de contas da etapa físico-financeira anterior.","")</f>
        <v/>
      </c>
      <c r="C37" s="850"/>
      <c r="D37" s="850"/>
      <c r="E37" s="850"/>
      <c r="F37" s="850"/>
      <c r="G37" s="850"/>
    </row>
    <row r="38" spans="2:7" x14ac:dyDescent="0.2">
      <c r="B38" s="850"/>
      <c r="C38" s="850"/>
      <c r="D38" s="850"/>
      <c r="E38" s="850"/>
      <c r="F38" s="850"/>
      <c r="G38" s="850"/>
    </row>
    <row r="39" spans="2:7" ht="12.75" customHeight="1" x14ac:dyDescent="0.2">
      <c r="B39" s="850" t="str" cm="1">
        <f t="array" aca="1" ref="B39" ca="1">IF(AND(RRE.Numero&gt;1,NOT(ISBLANK(Import.TransfereGOV))),"3. Na oportunidade, informamos que a execução financeira da parcela anterior está devidamente comprovada no TransfereGOV.","")</f>
        <v/>
      </c>
      <c r="C39" s="850"/>
      <c r="D39" s="850"/>
      <c r="E39" s="850"/>
      <c r="F39" s="850"/>
      <c r="G39" s="850"/>
    </row>
    <row r="40" spans="2:7" x14ac:dyDescent="0.2">
      <c r="B40" s="850"/>
      <c r="C40" s="850"/>
      <c r="D40" s="850"/>
      <c r="E40" s="850"/>
      <c r="F40" s="850"/>
      <c r="G40" s="850"/>
    </row>
    <row r="41" spans="2:7" x14ac:dyDescent="0.2">
      <c r="B41" s="401"/>
      <c r="C41" s="396"/>
      <c r="D41" s="396"/>
      <c r="E41" s="396"/>
      <c r="F41" s="396"/>
      <c r="G41" s="396"/>
    </row>
    <row r="42" spans="2:7" ht="12.75" customHeight="1" x14ac:dyDescent="0.2">
      <c r="B42" s="850" t="str">
        <f ca="1">IF($B$37="",0,1)+IF($B$39="",0,1)+2&amp;". Informamos também a manutenção da Placa de Obra em local visível e de acordo com padrão estabelecido pela Presidência da República, constante do Manual Visual de Placas e Adesivos de Obra."</f>
        <v>2. Informamos também a manutenção da Placa de Obra em local visível e de acordo com padrão estabelecido pela Presidência da República, constante do Manual Visual de Placas e Adesivos de Obra.</v>
      </c>
      <c r="C42" s="850"/>
      <c r="D42" s="850"/>
      <c r="E42" s="850"/>
      <c r="F42" s="850"/>
      <c r="G42" s="850"/>
    </row>
    <row r="43" spans="2:7" x14ac:dyDescent="0.2">
      <c r="B43" s="850"/>
      <c r="C43" s="850"/>
      <c r="D43" s="850"/>
      <c r="E43" s="850"/>
      <c r="F43" s="850"/>
      <c r="G43" s="850"/>
    </row>
    <row r="44" spans="2:7" x14ac:dyDescent="0.2">
      <c r="B44" s="850"/>
      <c r="C44" s="850"/>
      <c r="D44" s="850"/>
      <c r="E44" s="850"/>
      <c r="F44" s="850"/>
      <c r="G44" s="850"/>
    </row>
    <row r="45" spans="2:7" x14ac:dyDescent="0.2">
      <c r="B45" s="850"/>
      <c r="C45" s="850"/>
      <c r="D45" s="850"/>
      <c r="E45" s="850"/>
      <c r="F45" s="850"/>
      <c r="G45" s="850"/>
    </row>
    <row r="46" spans="2:7" x14ac:dyDescent="0.2">
      <c r="B46" s="850"/>
      <c r="C46" s="850"/>
      <c r="D46" s="850"/>
      <c r="E46" s="850"/>
      <c r="F46" s="850"/>
      <c r="G46" s="850"/>
    </row>
    <row r="47" spans="2:7" x14ac:dyDescent="0.2">
      <c r="G47" s="276"/>
    </row>
    <row r="48" spans="2:7" x14ac:dyDescent="0.2">
      <c r="G48" s="276"/>
    </row>
    <row r="49" spans="2:7" x14ac:dyDescent="0.2">
      <c r="B49" s="48" t="s">
        <v>908</v>
      </c>
      <c r="G49" s="276"/>
    </row>
    <row r="50" spans="2:7" x14ac:dyDescent="0.2">
      <c r="B50" s="276"/>
      <c r="C50" s="276"/>
      <c r="D50" s="276"/>
      <c r="E50" s="276"/>
      <c r="F50" s="276"/>
      <c r="G50" s="276"/>
    </row>
    <row r="51" spans="2:7" x14ac:dyDescent="0.2">
      <c r="B51" s="48"/>
      <c r="C51" s="48"/>
      <c r="D51" s="48"/>
      <c r="E51" s="48"/>
      <c r="F51" s="48"/>
      <c r="G51" s="48"/>
    </row>
    <row r="52" spans="2:7" x14ac:dyDescent="0.2">
      <c r="B52" s="48"/>
      <c r="C52" s="48"/>
      <c r="D52" s="48"/>
      <c r="E52" s="48"/>
      <c r="F52" s="48"/>
      <c r="G52" s="48"/>
    </row>
    <row r="53" spans="2:7" x14ac:dyDescent="0.2">
      <c r="B53" s="402"/>
      <c r="C53" s="402"/>
      <c r="D53" s="402"/>
      <c r="E53" s="48"/>
      <c r="F53" s="48"/>
      <c r="G53" s="48"/>
    </row>
    <row r="54" spans="2:7" x14ac:dyDescent="0.2">
      <c r="B54" s="844" t="str">
        <f>DADOS!$C$28</f>
        <v>Lucas de Souza Garcia</v>
      </c>
      <c r="C54" s="844"/>
      <c r="D54" s="844"/>
      <c r="E54" s="844"/>
      <c r="F54" s="844"/>
      <c r="G54" s="844"/>
    </row>
    <row r="55" spans="2:7" x14ac:dyDescent="0.2">
      <c r="B55" s="844" t="str">
        <f>DADOS!$C$29</f>
        <v>Prefeito</v>
      </c>
      <c r="C55" s="844"/>
      <c r="D55" s="844"/>
      <c r="E55" s="844"/>
      <c r="F55" s="844"/>
      <c r="G55" s="844"/>
    </row>
    <row r="56" spans="2:7" x14ac:dyDescent="0.2">
      <c r="B56" s="845"/>
      <c r="C56" s="845"/>
      <c r="D56" s="845"/>
      <c r="E56" s="845"/>
      <c r="F56" s="845"/>
      <c r="G56" s="845"/>
    </row>
  </sheetData>
  <sheetProtection algorithmName="SHA-512" hashValue="OBiLzpZ3vGmXi+T/wPwY2wuu1p5ll1tIcl8EHCkse9Amuz6BfkgXsg95w0n8Wc0oH0dhjc2LRkL0gvPoh6hG2A==" saltValue="KgQu1Tx8KEAithnWUPkyBQ==" spinCount="100000" sheet="1" objects="1" scenarios="1" autoFilter="0"/>
  <mergeCells count="30">
    <mergeCell ref="C6:D6"/>
    <mergeCell ref="B8:G8"/>
    <mergeCell ref="B10:D10"/>
    <mergeCell ref="B1:C4"/>
    <mergeCell ref="B24:G26"/>
    <mergeCell ref="B28:C29"/>
    <mergeCell ref="B19:B20"/>
    <mergeCell ref="C19:G20"/>
    <mergeCell ref="C11:D11"/>
    <mergeCell ref="C14:G14"/>
    <mergeCell ref="C15:G16"/>
    <mergeCell ref="C18:G18"/>
    <mergeCell ref="D28:D29"/>
    <mergeCell ref="E28:E29"/>
    <mergeCell ref="F28:G29"/>
    <mergeCell ref="B31:C31"/>
    <mergeCell ref="F31:G31"/>
    <mergeCell ref="B30:C30"/>
    <mergeCell ref="F30:G30"/>
    <mergeCell ref="B54:G54"/>
    <mergeCell ref="B32:C32"/>
    <mergeCell ref="F32:G32"/>
    <mergeCell ref="B55:G56"/>
    <mergeCell ref="B33:C33"/>
    <mergeCell ref="F33:G33"/>
    <mergeCell ref="B34:C34"/>
    <mergeCell ref="F34:G34"/>
    <mergeCell ref="B37:G38"/>
    <mergeCell ref="B39:G40"/>
    <mergeCell ref="B42:G46"/>
  </mergeCells>
  <phoneticPr fontId="38" type="noConversion"/>
  <conditionalFormatting sqref="D30:D33 F30:G33">
    <cfRule type="cellIs" dxfId="38" priority="2" stopIfTrue="1" operator="notBetween">
      <formula>0</formula>
      <formula>D$33</formula>
    </cfRule>
  </conditionalFormatting>
  <dataValidations count="1">
    <dataValidation type="list" allowBlank="1" showErrorMessage="1" sqref="B11">
      <formula1>"GIGOV,SR"</formula1>
      <formula2>0</formula2>
    </dataValidation>
  </dataValidations>
  <pageMargins left="0.78740157480314998" right="0.78740157480314998" top="0.78740157480314998" bottom="0.78740157480314998" header="5.7086614173228396" footer="0.59055118110236204"/>
  <pageSetup paperSize="9" scale="97" firstPageNumber="0" orientation="portrait" horizontalDpi="300" verticalDpi="300" r:id="rId1"/>
  <headerFooter alignWithMargins="0">
    <oddHeader>&amp;L_</oddHeader>
    <oddFooter>&amp;LPMv3.14&amp;R&amp;P /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1:S2"/>
  <sheetViews>
    <sheetView workbookViewId="0">
      <pane ySplit="1" topLeftCell="A2" activePane="bottomLeft" state="frozen"/>
      <selection pane="bottomLeft"/>
    </sheetView>
  </sheetViews>
  <sheetFormatPr defaultColWidth="9.140625" defaultRowHeight="15" x14ac:dyDescent="0.25"/>
  <cols>
    <col min="1" max="1" width="15" style="515" customWidth="1"/>
    <col min="2" max="2" width="25" style="515" customWidth="1"/>
    <col min="3" max="3" width="12" style="515" customWidth="1"/>
    <col min="4" max="4" width="15.5703125" style="517" customWidth="1"/>
    <col min="5" max="5" width="70" style="515" customWidth="1"/>
    <col min="6" max="6" width="20" style="515" customWidth="1"/>
    <col min="7" max="7" width="10" style="515" customWidth="1"/>
    <col min="8" max="8" width="25" style="515" customWidth="1"/>
    <col min="9" max="9" width="15" style="515" customWidth="1"/>
    <col min="10" max="10" width="13" style="515" customWidth="1"/>
    <col min="11" max="12" width="35" style="515" customWidth="1"/>
    <col min="13" max="13" width="20" style="515" customWidth="1"/>
    <col min="14" max="14" width="15" style="515" customWidth="1"/>
    <col min="15" max="15" width="50" style="515" customWidth="1"/>
    <col min="16" max="16" width="20" style="515" customWidth="1"/>
    <col min="17" max="17" width="50" style="515" customWidth="1"/>
    <col min="18" max="18" width="15" style="515" customWidth="1"/>
    <col min="19" max="19" width="17.5703125" style="515" customWidth="1"/>
    <col min="20" max="16384" width="9.140625" style="515"/>
  </cols>
  <sheetData>
    <row r="1" spans="1:19" x14ac:dyDescent="0.25">
      <c r="A1" s="514" t="s">
        <v>909</v>
      </c>
      <c r="B1" s="514" t="s">
        <v>910</v>
      </c>
      <c r="C1" s="514" t="s">
        <v>736</v>
      </c>
      <c r="D1" s="516" t="s">
        <v>737</v>
      </c>
      <c r="E1" s="514" t="s">
        <v>911</v>
      </c>
      <c r="F1" s="514" t="s">
        <v>912</v>
      </c>
      <c r="G1" s="514" t="s">
        <v>913</v>
      </c>
      <c r="H1" s="514" t="s">
        <v>914</v>
      </c>
      <c r="I1" s="514" t="s">
        <v>915</v>
      </c>
      <c r="J1" s="514" t="s">
        <v>23</v>
      </c>
      <c r="K1" s="514" t="s">
        <v>916</v>
      </c>
      <c r="L1" s="514" t="s">
        <v>917</v>
      </c>
      <c r="M1" s="514" t="s">
        <v>918</v>
      </c>
      <c r="N1" s="514" t="s">
        <v>919</v>
      </c>
      <c r="O1" s="514" t="s">
        <v>920</v>
      </c>
      <c r="P1" s="514" t="s">
        <v>921</v>
      </c>
      <c r="Q1" s="514" t="s">
        <v>922</v>
      </c>
      <c r="R1" s="514" t="s">
        <v>923</v>
      </c>
      <c r="S1" s="514" t="s">
        <v>924</v>
      </c>
    </row>
    <row r="2" spans="1:19" ht="45" customHeight="1" x14ac:dyDescent="0.25">
      <c r="A2" s="666"/>
      <c r="B2" s="667"/>
      <c r="C2" s="666"/>
      <c r="D2" s="666"/>
      <c r="E2" s="666"/>
      <c r="F2" s="668"/>
      <c r="G2" s="666"/>
      <c r="H2" s="669"/>
      <c r="I2" s="669"/>
      <c r="J2" s="670"/>
      <c r="K2" s="671"/>
      <c r="L2" s="672"/>
      <c r="M2" s="666"/>
      <c r="N2" s="673"/>
      <c r="O2" s="666"/>
      <c r="P2" s="673"/>
      <c r="Q2" s="666"/>
      <c r="R2" s="674"/>
      <c r="S2" s="671"/>
    </row>
  </sheetData>
  <sheetProtection algorithmName="SHA-512" hashValue="2TCkZwjhkJgU8jJFB2D4yYqBZ9PnGupw0yHICmaFPYhN3mPbg2k6pntCk4diOz8g/WWRpxKnYuOAezAgkh29Sg==" saltValue="1hSWCPXWTTefFqSPrXAicQ==" spinCount="100000" sheet="1" objects="1" scenarios="1"/>
  <conditionalFormatting sqref="A2:S2">
    <cfRule type="expression" dxfId="37" priority="77">
      <formula>$A2="Macrosserviço"</formula>
    </cfRule>
  </conditionalFormatting>
  <conditionalFormatting sqref="E2">
    <cfRule type="expression" dxfId="36" priority="83">
      <formula>IF($A2="Macrosserviço",LEN($E2)&gt;100,LEN($E2)&gt;500)</formula>
    </cfRule>
  </conditionalFormatting>
  <conditionalFormatting sqref="M2">
    <cfRule type="expression" dxfId="35" priority="78">
      <formula>IF($A2="Serviço",LEN(M2)&gt;500,M2&lt;&gt;"")</formula>
    </cfRule>
  </conditionalFormatting>
  <conditionalFormatting sqref="A2">
    <cfRule type="expression" dxfId="34" priority="70">
      <formula>AND(A2&lt;&gt;"Macrosserviço",A2&lt;&gt;"Serviço",A2&lt;&gt;"")</formula>
    </cfRule>
  </conditionalFormatting>
  <conditionalFormatting sqref="C2">
    <cfRule type="expression" dxfId="33" priority="69">
      <formula>IF($A2="Serviço",AND(C2&lt;&gt;"Composição",C2&lt;&gt;"Cotação",C2&lt;&gt;"SINAPI",C2&lt;&gt;"Outros"),C2&lt;&gt;"")</formula>
    </cfRule>
  </conditionalFormatting>
  <conditionalFormatting sqref="D2">
    <cfRule type="expression" dxfId="32" priority="68">
      <formula>IF($A2="Serviço",OR(D2="",LEN($D2)&gt;13),D2&lt;&gt;"")</formula>
    </cfRule>
  </conditionalFormatting>
  <conditionalFormatting sqref="H2">
    <cfRule type="expression" dxfId="31" priority="67">
      <formula>IF(A2="Serviço",OR(NOT(ISNUMBER(H2)),H2&lt;&gt;ROUND(H2,2),AND(C2&lt;&gt;"SINAPI",H2=0),H2&lt;0,H2&gt;9999999999.99),H2&lt;&gt;"")</formula>
    </cfRule>
  </conditionalFormatting>
  <conditionalFormatting sqref="I2">
    <cfRule type="expression" dxfId="30" priority="66">
      <formula>IF($A2="Serviço",OR(NOT(ISNUMBER(I2)),I2&lt;&gt;ROUND(I2,2),I2&lt;=0,I2&gt;9999999999.99,AND(I2&gt;H2,H2&gt;0)),I2&lt;&gt;"")</formula>
    </cfRule>
  </conditionalFormatting>
  <conditionalFormatting sqref="J2">
    <cfRule type="expression" dxfId="29" priority="65">
      <formula>IF($A2="Serviço",OR(NOT(ISNUMBER(VALUE(J2))),VALUE(J2)&lt;&gt;ROUND(VALUE(J2),4),VALUE(J2)&lt;=0,VALUE(J2)&gt;100%),J2&lt;&gt;"")</formula>
    </cfRule>
  </conditionalFormatting>
  <conditionalFormatting sqref="N2">
    <cfRule type="expression" dxfId="28" priority="64">
      <formula>IF($A2="Serviço",OR(NOT(ISNUMBER(N2)),N2&lt;&gt;ROUND(N2,0),N2&lt;1,N2&gt;999),N2&lt;&gt;"")</formula>
    </cfRule>
  </conditionalFormatting>
  <conditionalFormatting sqref="O2">
    <cfRule type="expression" dxfId="27" priority="63">
      <formula>IF($A2="Serviço",OR(O2="",LEN(O2)&gt;100),O2&lt;&gt;"")</formula>
    </cfRule>
  </conditionalFormatting>
  <conditionalFormatting sqref="P2">
    <cfRule type="expression" dxfId="26" priority="62">
      <formula>IF($A2="Macrosserviço",P2&lt;&gt;"",OR(NOT(ISNUMBER(P2)),P2&lt;&gt;ROUND(P2,0),P2&lt;1,P2&gt;999))</formula>
    </cfRule>
  </conditionalFormatting>
  <conditionalFormatting sqref="Q2">
    <cfRule type="expression" dxfId="25" priority="61">
      <formula>IF($A2="Macrosserviço",Q2&lt;&gt;"",OR(Q2="",LEN(Q2)&gt;100))</formula>
    </cfRule>
  </conditionalFormatting>
  <conditionalFormatting sqref="R2">
    <cfRule type="expression" dxfId="24" priority="52">
      <formula>IF($A2="Macrosserviço",R2&lt;&gt;"",OR(NOT(ISNUMBER(R2)),R2&lt;&gt;ROUND(R2,2),R2&lt;=0,R2&gt;99999999.99))</formula>
    </cfRule>
  </conditionalFormatting>
  <pageMargins left="0.78740157480314998" right="0.78740157480314998" top="0.78740157480314998" bottom="0.78740157480314998" header="5.7086614173228396" footer="0.59055118110236204"/>
  <pageSetup paperSize="9" orientation="portrait" r:id="rId1"/>
  <headerFooter>
    <oddHeader>&amp;L_</oddHeader>
    <oddFooter>&amp;LPMv3.14&amp;R&amp;P / &amp;N</oddFooter>
  </headerFooter>
  <extLst>
    <ext xmlns:x14="http://schemas.microsoft.com/office/spreadsheetml/2009/9/main" uri="{78C0D931-6437-407d-A8EE-F0AAD7539E65}">
      <x14:conditionalFormattings>
        <x14:conditionalFormatting xmlns:xm="http://schemas.microsoft.com/office/excel/2006/main">
          <x14:cfRule type="expression" priority="12749" id="{25CCDBA9-1706-4691-BF49-13343E4655EF}">
            <xm:f>AND($A2="Serviço",OR($G2="",ISNA(MATCH($G2,DADOS!$AV$3:$AV$221,0))))</xm:f>
            <x14:dxf>
              <fill>
                <patternFill>
                  <bgColor rgb="FFFF0000"/>
                </patternFill>
              </fill>
            </x14:dxf>
          </x14:cfRule>
          <xm:sqref>G2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E2"/>
  <sheetViews>
    <sheetView workbookViewId="0"/>
  </sheetViews>
  <sheetFormatPr defaultColWidth="9.140625" defaultRowHeight="15" x14ac:dyDescent="0.25"/>
  <cols>
    <col min="1" max="1" width="15" style="515" customWidth="1"/>
    <col min="2" max="2" width="50" style="515" customWidth="1"/>
    <col min="3" max="3" width="20" style="515" customWidth="1"/>
    <col min="4" max="4" width="50" style="515" customWidth="1"/>
    <col min="5" max="5" width="35" style="515" customWidth="1"/>
    <col min="6" max="16384" width="9.140625" style="515"/>
  </cols>
  <sheetData>
    <row r="1" spans="1:5" x14ac:dyDescent="0.25">
      <c r="A1" s="514" t="s">
        <v>925</v>
      </c>
      <c r="B1" s="514" t="s">
        <v>761</v>
      </c>
      <c r="C1" s="514" t="s">
        <v>926</v>
      </c>
      <c r="D1" s="514" t="s">
        <v>922</v>
      </c>
      <c r="E1" s="514" t="s">
        <v>927</v>
      </c>
    </row>
    <row r="2" spans="1:5" ht="45" customHeight="1" x14ac:dyDescent="0.25">
      <c r="A2" s="665"/>
      <c r="B2" s="665"/>
      <c r="C2" s="665"/>
      <c r="D2" s="665"/>
      <c r="E2" s="665"/>
    </row>
  </sheetData>
  <sheetProtection algorithmName="SHA-512" hashValue="pRLXaujgvk51ELVPtNyhYva1Ot6L0yldVYqWWtEeKf81gZ13iXkHhbCuQvs6+dv7dVEF+FO8A+t2fAEeX76ILw==" saltValue="AcmedLjPGf3ZkNooBE8kSg==" spinCount="100000" sheet="1" objects="1" scenarios="1"/>
  <conditionalFormatting sqref="A2">
    <cfRule type="expression" dxfId="22" priority="5">
      <formula>OR(NOT(ISNUMBER(A2)),A2&lt;&gt;ROUND(A2,0),A2&lt;1,A2&gt;999)</formula>
    </cfRule>
  </conditionalFormatting>
  <conditionalFormatting sqref="B2">
    <cfRule type="expression" dxfId="21" priority="4">
      <formula>OR(B2="",LEN(B2)&gt;100)</formula>
    </cfRule>
  </conditionalFormatting>
  <conditionalFormatting sqref="C2">
    <cfRule type="expression" dxfId="20" priority="3">
      <formula>OR(NOT(ISNUMBER(C2)),C2&lt;&gt;ROUND(C2,0),C2&lt;1,C2&gt;999)</formula>
    </cfRule>
  </conditionalFormatting>
  <conditionalFormatting sqref="D2">
    <cfRule type="expression" dxfId="19" priority="2">
      <formula>OR(D2="",LEN(D2)&gt;100)</formula>
    </cfRule>
  </conditionalFormatting>
  <conditionalFormatting sqref="E2">
    <cfRule type="expression" dxfId="18" priority="1">
      <formula>OR(NOT(ISNUMBER(E2)),E2&lt;&gt;ROUND(E2,0),E2&lt;1,E2&gt;120)</formula>
    </cfRule>
  </conditionalFormatting>
  <pageMargins left="0.78740157480314998" right="0.78740157480314998" top="0.78740157480314998" bottom="0.78740157480314998" header="5.7086614173228396" footer="0.59055118110236204"/>
  <pageSetup paperSize="9" orientation="portrait" r:id="rId1"/>
  <headerFooter>
    <oddHeader>&amp;L_</oddHeader>
    <oddFooter>&amp;LPMv3.14&amp;R&amp;P /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
  <dimension ref="A1:Q2"/>
  <sheetViews>
    <sheetView workbookViewId="0">
      <pane ySplit="1" topLeftCell="A2" activePane="bottomLeft" state="frozen"/>
      <selection activeCell="K1" sqref="K1"/>
      <selection pane="bottomLeft"/>
    </sheetView>
  </sheetViews>
  <sheetFormatPr defaultColWidth="9.140625" defaultRowHeight="15" x14ac:dyDescent="0.25"/>
  <cols>
    <col min="1" max="1" width="15" style="515" customWidth="1"/>
    <col min="2" max="2" width="25" style="515" customWidth="1"/>
    <col min="3" max="3" width="12" style="515" customWidth="1"/>
    <col min="4" max="4" width="15.5703125" style="517" customWidth="1"/>
    <col min="5" max="5" width="70" style="515" customWidth="1"/>
    <col min="6" max="6" width="20" style="515" customWidth="1"/>
    <col min="7" max="7" width="10" style="515" customWidth="1"/>
    <col min="8" max="8" width="25" style="515" customWidth="1"/>
    <col min="9" max="9" width="15" style="515" customWidth="1"/>
    <col min="10" max="10" width="13" style="515" customWidth="1"/>
    <col min="11" max="12" width="35" style="515" customWidth="1"/>
    <col min="13" max="14" width="20" style="515" customWidth="1"/>
    <col min="15" max="15" width="50" style="515" customWidth="1"/>
    <col min="16" max="16" width="15" style="515" customWidth="1"/>
    <col min="17" max="17" width="17.5703125" style="515" customWidth="1"/>
    <col min="18" max="16384" width="9.140625" style="515"/>
  </cols>
  <sheetData>
    <row r="1" spans="1:17" x14ac:dyDescent="0.25">
      <c r="A1" s="514" t="s">
        <v>909</v>
      </c>
      <c r="B1" s="514" t="s">
        <v>910</v>
      </c>
      <c r="C1" s="514" t="s">
        <v>736</v>
      </c>
      <c r="D1" s="516" t="s">
        <v>737</v>
      </c>
      <c r="E1" s="514" t="s">
        <v>911</v>
      </c>
      <c r="F1" s="514" t="s">
        <v>912</v>
      </c>
      <c r="G1" s="514" t="s">
        <v>913</v>
      </c>
      <c r="H1" s="514" t="s">
        <v>914</v>
      </c>
      <c r="I1" s="514" t="s">
        <v>915</v>
      </c>
      <c r="J1" s="514" t="s">
        <v>23</v>
      </c>
      <c r="K1" s="514" t="s">
        <v>916</v>
      </c>
      <c r="L1" s="514" t="s">
        <v>917</v>
      </c>
      <c r="M1" s="514" t="s">
        <v>918</v>
      </c>
      <c r="N1" s="514" t="s">
        <v>921</v>
      </c>
      <c r="O1" s="514" t="s">
        <v>922</v>
      </c>
      <c r="P1" s="514" t="s">
        <v>923</v>
      </c>
      <c r="Q1" s="514" t="s">
        <v>924</v>
      </c>
    </row>
    <row r="2" spans="1:17" ht="45" customHeight="1" x14ac:dyDescent="0.25">
      <c r="A2" s="587"/>
      <c r="B2" s="588"/>
      <c r="C2" s="587"/>
      <c r="D2" s="587"/>
      <c r="E2" s="587"/>
      <c r="F2" s="589"/>
      <c r="G2" s="587"/>
      <c r="H2" s="590"/>
      <c r="I2" s="590"/>
      <c r="J2" s="591"/>
      <c r="K2" s="592"/>
      <c r="L2" s="592"/>
      <c r="M2" s="587"/>
      <c r="N2" s="593"/>
      <c r="O2" s="587"/>
      <c r="P2" s="594"/>
      <c r="Q2" s="592"/>
    </row>
  </sheetData>
  <sheetProtection algorithmName="SHA-512" hashValue="FDC7LfsVyh76vNX7tJIllZVJXaV1AiD1ODtRvE1H0lKxihQzmE4Nw2hBNnV6kBICAFd4uY07Ao8FMQy/BAHc4w==" saltValue="JYZ/MQ7gSUX+m6lRIA4/sg==" spinCount="100000" sheet="1" objects="1" scenarios="1"/>
  <conditionalFormatting sqref="A2:Q2">
    <cfRule type="expression" dxfId="17" priority="38">
      <formula>$A2="Macrosserviço"</formula>
    </cfRule>
  </conditionalFormatting>
  <conditionalFormatting sqref="E2">
    <cfRule type="expression" dxfId="16" priority="40">
      <formula>OR(E2="",IF($A2="Macrosserviço",LEN($E2)&gt;100,LEN($E2)&gt;500))</formula>
    </cfRule>
  </conditionalFormatting>
  <conditionalFormatting sqref="M2">
    <cfRule type="expression" dxfId="15" priority="39">
      <formula>IF($A2="Serviço",LEN(M2)&gt;500,M2&lt;&gt;"")</formula>
    </cfRule>
  </conditionalFormatting>
  <conditionalFormatting sqref="A2">
    <cfRule type="expression" dxfId="14" priority="37">
      <formula>AND(A2&lt;&gt;"Macrosserviço",A2&lt;&gt;"Serviço")</formula>
    </cfRule>
  </conditionalFormatting>
  <conditionalFormatting sqref="C2">
    <cfRule type="expression" dxfId="13" priority="36">
      <formula>IF($A2="Serviço",AND(C2&lt;&gt;"Composição",C2&lt;&gt;"Cotação",C2&lt;&gt;"SINAPI",C2&lt;&gt;"Outros"),C2&lt;&gt;"")</formula>
    </cfRule>
  </conditionalFormatting>
  <conditionalFormatting sqref="D2">
    <cfRule type="expression" dxfId="12" priority="35">
      <formula>IF($A2="Serviço",OR(D2="",LEN($D2)&gt;13),D2&lt;&gt;"")</formula>
    </cfRule>
  </conditionalFormatting>
  <conditionalFormatting sqref="H2">
    <cfRule type="expression" dxfId="11" priority="34">
      <formula>IF(A2="Serviço",OR(NOT(ISNUMBER(H2)),H2&lt;&gt;ROUND(H2,2),AND(C2&lt;&gt;"SINAPI",H2=0),H2&lt;0,H2&gt;9999999999.99),H2&lt;&gt;"")</formula>
    </cfRule>
  </conditionalFormatting>
  <conditionalFormatting sqref="I2">
    <cfRule type="expression" dxfId="10" priority="33">
      <formula>IF($A2="Serviço",OR(NOT(ISNUMBER(I2)),I2&lt;&gt;ROUND(I2,2),I2&lt;=0,I2&gt;9999999999.99,AND(I2&gt;H2,H2&gt;0)),I2&lt;&gt;"")</formula>
    </cfRule>
  </conditionalFormatting>
  <conditionalFormatting sqref="J2">
    <cfRule type="expression" dxfId="9" priority="32">
      <formula>IF($A2="Serviço",OR(NOT(ISNUMBER(VALUE(J2))),VALUE(J2)&lt;&gt;ROUND(VALUE(J2),4),VALUE(J2)&lt;=0,VALUE(J2)&gt;100%),J2&lt;&gt;"")</formula>
    </cfRule>
  </conditionalFormatting>
  <conditionalFormatting sqref="B2">
    <cfRule type="cellIs" dxfId="8" priority="31" operator="equal">
      <formula>""</formula>
    </cfRule>
  </conditionalFormatting>
  <conditionalFormatting sqref="N2">
    <cfRule type="expression" dxfId="7" priority="29">
      <formula>IF($A2="Macrosserviço",N2&lt;&gt;"",OR(NOT(ISNUMBER(N2)),N2&lt;&gt;ROUND(N2,0),N2&lt;1,N2&gt;999))</formula>
    </cfRule>
  </conditionalFormatting>
  <conditionalFormatting sqref="O2">
    <cfRule type="expression" dxfId="6" priority="28">
      <formula>IF($A2="Macrosserviço",O2&lt;&gt;"",OR(O2="",LEN(O2)&gt;100))</formula>
    </cfRule>
  </conditionalFormatting>
  <conditionalFormatting sqref="P2">
    <cfRule type="expression" dxfId="5" priority="27">
      <formula>IF($A2="Macrosserviço",P2&lt;&gt;"",OR(NOT(ISNUMBER(P2)),P2&lt;&gt;ROUND(P2,2),P2&lt;=0,P2&gt;99999999.99))</formula>
    </cfRule>
  </conditionalFormatting>
  <pageMargins left="0.78740157480314998" right="0.78740157480314998" top="0.78740157480314998" bottom="0.78740157480314998" header="5.7086614173228396" footer="0.59055118110236204"/>
  <pageSetup paperSize="9" orientation="portrait" r:id="rId1"/>
  <headerFooter>
    <oddHeader>&amp;L_</oddHeader>
    <oddFooter>&amp;LPMv3.14&amp;R&amp;P / &amp;N</oddFooter>
  </headerFooter>
  <extLst>
    <ext xmlns:x14="http://schemas.microsoft.com/office/spreadsheetml/2009/9/main" uri="{78C0D931-6437-407d-A8EE-F0AAD7539E65}">
      <x14:conditionalFormattings>
        <x14:conditionalFormatting xmlns:xm="http://schemas.microsoft.com/office/excel/2006/main">
          <x14:cfRule type="expression" priority="41" id="{8B16C818-3B51-449F-9B38-9895E3A34848}">
            <xm:f>AND($A2="Serviço",OR($G2="",ISNA(MATCH($G2,DADOS!$AV$3:$AV$221,0))))</xm:f>
            <x14:dxf>
              <fill>
                <patternFill>
                  <bgColor rgb="FFFF0000"/>
                </patternFill>
              </fill>
            </x14:dxf>
          </x14:cfRule>
          <xm:sqref>G2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dimension ref="A1:D2"/>
  <sheetViews>
    <sheetView workbookViewId="0"/>
  </sheetViews>
  <sheetFormatPr defaultColWidth="9.140625" defaultRowHeight="15" x14ac:dyDescent="0.25"/>
  <cols>
    <col min="1" max="1" width="15" style="515" customWidth="1"/>
    <col min="2" max="2" width="70" style="515" customWidth="1"/>
    <col min="3" max="3" width="10" style="515" customWidth="1"/>
    <col min="4" max="4" width="20" style="515" customWidth="1"/>
    <col min="5" max="16384" width="9.140625" style="515"/>
  </cols>
  <sheetData>
    <row r="1" spans="1:4" x14ac:dyDescent="0.25">
      <c r="A1" s="514" t="s">
        <v>928</v>
      </c>
      <c r="B1" s="514" t="s">
        <v>929</v>
      </c>
      <c r="C1" s="514" t="s">
        <v>780</v>
      </c>
      <c r="D1" s="514" t="s">
        <v>930</v>
      </c>
    </row>
    <row r="2" spans="1:4" ht="45" customHeight="1" x14ac:dyDescent="0.25">
      <c r="A2" s="597"/>
      <c r="B2" s="597"/>
      <c r="C2" s="649"/>
      <c r="D2" s="595"/>
    </row>
  </sheetData>
  <sheetProtection algorithmName="SHA-512" hashValue="XvvDSYptOd4RVkzm6n0NeavGp+h+zp1UfRslAvcQfPAptm5poqeEiY3GEcYmNjFM/SXLqGP3hPOyf/b4QIJ35w==" saltValue="INkVfvKwRYK3amraqQKa4A==" spinCount="100000" sheet="1" objects="1" scenarios="1"/>
  <conditionalFormatting sqref="A2 C2">
    <cfRule type="expression" dxfId="3" priority="5">
      <formula>OR(NOT(ISNUMBER(A2)),A2&lt;&gt;ROUND(A2,0),A2&lt;1,A2&gt;999)</formula>
    </cfRule>
  </conditionalFormatting>
  <conditionalFormatting sqref="B2">
    <cfRule type="expression" dxfId="2" priority="4">
      <formula>OR(B2="",LEN(B2)&gt;100)</formula>
    </cfRule>
  </conditionalFormatting>
  <conditionalFormatting sqref="D2">
    <cfRule type="expression" dxfId="1" priority="2">
      <formula>$A2="Macrosserviço"</formula>
    </cfRule>
  </conditionalFormatting>
  <conditionalFormatting sqref="D2">
    <cfRule type="expression" dxfId="0" priority="1">
      <formula>OR(NOT(ISNUMBER(D2)),D2&lt;&gt;ROUND(D2,2),D2&lt;=0,D2&gt;100)</formula>
    </cfRule>
  </conditionalFormatting>
  <pageMargins left="0.78740157480314998" right="0.78740157480314998" top="0.78740157480314998" bottom="0.78740157480314998" header="5.7086614173228396" footer="0.59055118110236204"/>
  <pageSetup paperSize="9" orientation="portrait" r:id="rId1"/>
  <headerFooter>
    <oddHeader>&amp;L_</oddHeader>
    <oddFooter>&amp;LPMv3.14&amp;R&amp;P /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15"/>
  <dimension ref="A1:O25"/>
  <sheetViews>
    <sheetView showGridLines="0" topLeftCell="A4" zoomScaleNormal="100" zoomScaleSheetLayoutView="85" workbookViewId="0"/>
  </sheetViews>
  <sheetFormatPr defaultRowHeight="12.75" x14ac:dyDescent="0.2"/>
  <cols>
    <col min="1" max="1" width="2.85546875" customWidth="1"/>
    <col min="2" max="2" width="5.5703125" customWidth="1"/>
    <col min="3" max="3" width="38.5703125" customWidth="1"/>
    <col min="4" max="4" width="5.5703125" customWidth="1"/>
    <col min="5" max="5" width="38.5703125" customWidth="1"/>
    <col min="6" max="6" width="5.5703125" customWidth="1"/>
    <col min="7" max="7" width="38.5703125" customWidth="1"/>
    <col min="8" max="8" width="5.5703125" customWidth="1"/>
    <col min="9" max="9" width="2.85546875" customWidth="1"/>
    <col min="10" max="10" width="19" customWidth="1"/>
    <col min="11" max="11" width="3" customWidth="1"/>
    <col min="13" max="13" width="1.5703125" customWidth="1"/>
    <col min="14" max="14" width="38.85546875" customWidth="1"/>
  </cols>
  <sheetData>
    <row r="1" spans="1:15" ht="15" customHeight="1" x14ac:dyDescent="0.2">
      <c r="A1" s="403"/>
      <c r="B1" s="403"/>
      <c r="C1" s="403"/>
      <c r="D1" s="403"/>
      <c r="E1" s="403"/>
      <c r="F1" s="403"/>
      <c r="G1" s="403"/>
      <c r="H1" s="403"/>
      <c r="I1" s="403"/>
      <c r="J1" s="490" t="s">
        <v>84</v>
      </c>
      <c r="K1" s="509" t="b">
        <v>1</v>
      </c>
    </row>
    <row r="2" spans="1:15" ht="22.5" customHeight="1" x14ac:dyDescent="0.2">
      <c r="A2" s="403"/>
      <c r="B2" s="405"/>
      <c r="C2" s="405"/>
      <c r="D2" s="405"/>
      <c r="E2" s="676" t="str">
        <f>CHOOSE(MATCH(Objeto,{"PM","PO"}),"PLANILHA MÚLTIPLA ","PLANILHA ORÇAMENTÁRIA ")&amp; Versao</f>
        <v>PLANILHA MÚLTIPLA v3.14</v>
      </c>
      <c r="F2" s="676"/>
      <c r="G2" s="676"/>
      <c r="H2" s="407"/>
      <c r="I2" s="405"/>
      <c r="J2" s="490" t="s">
        <v>998</v>
      </c>
      <c r="K2" s="509" t="b">
        <v>1</v>
      </c>
    </row>
    <row r="3" spans="1:15" ht="22.5" customHeight="1" x14ac:dyDescent="0.2">
      <c r="A3" s="403"/>
      <c r="B3" s="405"/>
      <c r="C3" s="405"/>
      <c r="D3" s="405"/>
      <c r="E3" s="676"/>
      <c r="F3" s="676"/>
      <c r="G3" s="676"/>
      <c r="H3" s="407"/>
      <c r="I3" s="405"/>
      <c r="O3" s="605">
        <v>1</v>
      </c>
    </row>
    <row r="4" spans="1:15" ht="17.100000000000001" customHeight="1" x14ac:dyDescent="0.2">
      <c r="A4" s="403"/>
      <c r="B4" s="405"/>
      <c r="C4" s="405"/>
      <c r="D4" s="405"/>
      <c r="E4" s="405"/>
      <c r="F4" s="406"/>
      <c r="G4" s="407"/>
      <c r="H4" s="407"/>
      <c r="I4" s="405"/>
      <c r="J4" s="150" t="str">
        <f>IF(VALUE(MENU!$O$4)=2,"BM","PLE")</f>
        <v>PLE</v>
      </c>
      <c r="O4" s="605">
        <v>1</v>
      </c>
    </row>
    <row r="5" spans="1:15" ht="17.100000000000001" customHeight="1" thickBot="1" x14ac:dyDescent="0.25">
      <c r="A5" s="403"/>
      <c r="B5" s="405"/>
      <c r="C5" s="405"/>
      <c r="D5" s="405"/>
      <c r="E5" s="405"/>
      <c r="F5" s="406"/>
      <c r="G5" s="407"/>
      <c r="H5" s="407"/>
      <c r="I5" s="405"/>
      <c r="J5" s="150" t="s">
        <v>85</v>
      </c>
    </row>
    <row r="6" spans="1:15" ht="21" customHeight="1" thickBot="1" x14ac:dyDescent="0.25">
      <c r="A6" s="403"/>
      <c r="B6" s="403"/>
      <c r="C6" s="403"/>
      <c r="D6" s="403"/>
      <c r="E6" s="508" t="s">
        <v>86</v>
      </c>
      <c r="F6" s="404"/>
      <c r="G6" s="508" t="s">
        <v>87</v>
      </c>
      <c r="H6" s="403"/>
      <c r="I6" s="403"/>
      <c r="J6" s="150" t="s">
        <v>88</v>
      </c>
    </row>
    <row r="7" spans="1:15" x14ac:dyDescent="0.2">
      <c r="A7" s="403"/>
      <c r="B7" s="403"/>
      <c r="C7" s="403"/>
      <c r="D7" s="403"/>
      <c r="E7" s="403"/>
      <c r="F7" s="403"/>
      <c r="G7" s="403"/>
      <c r="H7" s="403"/>
      <c r="I7" s="403"/>
      <c r="J7" s="150" t="s">
        <v>76</v>
      </c>
      <c r="K7" s="606"/>
      <c r="L7" s="607"/>
      <c r="M7" s="607"/>
      <c r="N7" s="608"/>
    </row>
    <row r="8" spans="1:15" ht="21" customHeight="1" x14ac:dyDescent="0.2">
      <c r="A8" s="405"/>
      <c r="B8" s="675" t="str">
        <f>IF($O$3&lt;&gt;2,"DOCUMENTAÇÃO DA PROPOSTA","PROPOSTA: Para visualizar/preencher esta seção, altere o TIPO DE ORÇAMENTO para 'Proposto'")</f>
        <v>DOCUMENTAÇÃO DA PROPOSTA</v>
      </c>
      <c r="C8" s="675"/>
      <c r="D8" s="675"/>
      <c r="E8" s="675"/>
      <c r="F8" s="675"/>
      <c r="G8" s="675"/>
      <c r="H8" s="675"/>
      <c r="I8" s="403"/>
      <c r="J8" s="150" t="s">
        <v>78</v>
      </c>
      <c r="K8" s="411"/>
      <c r="L8" s="412" t="s">
        <v>89</v>
      </c>
      <c r="M8" s="412"/>
      <c r="N8" s="413"/>
    </row>
    <row r="9" spans="1:15" ht="13.5" thickBot="1" x14ac:dyDescent="0.25">
      <c r="A9" s="403"/>
      <c r="B9" s="403"/>
      <c r="C9" s="403"/>
      <c r="D9" s="403"/>
      <c r="E9" s="403"/>
      <c r="F9" s="403"/>
      <c r="G9" s="403"/>
      <c r="H9" s="403"/>
      <c r="I9" s="403"/>
      <c r="K9" s="411"/>
      <c r="L9" t="s">
        <v>90</v>
      </c>
      <c r="N9" s="413"/>
    </row>
    <row r="10" spans="1:15" ht="21" customHeight="1" thickBot="1" x14ac:dyDescent="0.25">
      <c r="A10" s="403"/>
      <c r="B10" s="403"/>
      <c r="C10" s="477" t="str" cm="1">
        <f t="array" ref="C10">IF(TIPOORCAMENTO&lt;&gt;"Proposto","","                    BDI                    ")</f>
        <v xml:space="preserve">                    BDI                    </v>
      </c>
      <c r="D10" s="404"/>
      <c r="E10" s="477" t="str" cm="1">
        <f t="array" ref="E10">IF(TIPOORCAMENTO&lt;&gt;"Proposto","","             ORÇAMENTO             ")</f>
        <v xml:space="preserve">             ORÇAMENTO             </v>
      </c>
      <c r="F10" s="404"/>
      <c r="G10" s="479" t="str" cm="1">
        <f t="array" ref="G10">IF(TIPOORCAMENTO&lt;&gt;"Proposto","","MEMÓRIA DE CÁLCULO / PLQ")</f>
        <v>MEMÓRIA DE CÁLCULO / PLQ</v>
      </c>
      <c r="H10" s="403"/>
      <c r="I10" s="403"/>
      <c r="K10" s="411"/>
      <c r="L10" s="5"/>
      <c r="M10" s="3"/>
      <c r="N10" s="414" t="s">
        <v>91</v>
      </c>
    </row>
    <row r="11" spans="1:15" ht="13.5" thickBot="1" x14ac:dyDescent="0.25">
      <c r="A11" s="403"/>
      <c r="B11" s="403"/>
      <c r="C11" s="404"/>
      <c r="D11" s="404"/>
      <c r="E11" s="404"/>
      <c r="F11" s="404"/>
      <c r="G11" s="404"/>
      <c r="H11" s="403"/>
      <c r="I11" s="403"/>
      <c r="K11" s="411"/>
      <c r="N11" s="413"/>
    </row>
    <row r="12" spans="1:15" ht="21" customHeight="1" thickBot="1" x14ac:dyDescent="0.25">
      <c r="A12" s="403"/>
      <c r="B12" s="403"/>
      <c r="C12" s="477" t="str" cm="1">
        <f t="array" ref="C12">IF(TIPOORCAMENTO&lt;&gt;"Proposto","","                    QCI                    ")</f>
        <v xml:space="preserve">                    QCI                    </v>
      </c>
      <c r="D12" s="404"/>
      <c r="E12" s="478" t="str" cm="1">
        <f t="array" ref="E12">IF(TIPOORCAMENTO&lt;&gt;"Proposto","","CRONOGRAMA FÍSICO-FINANCEIRO")</f>
        <v>CRONOGRAMA FÍSICO-FINANCEIRO</v>
      </c>
      <c r="F12" s="404"/>
      <c r="G12" s="404"/>
      <c r="H12" s="403"/>
      <c r="I12" s="403"/>
      <c r="K12" s="411"/>
      <c r="L12" s="6"/>
      <c r="M12" s="3"/>
      <c r="N12" s="414" t="s">
        <v>92</v>
      </c>
    </row>
    <row r="13" spans="1:15" x14ac:dyDescent="0.2">
      <c r="A13" s="403"/>
      <c r="B13" s="403"/>
      <c r="C13" s="403"/>
      <c r="D13" s="403"/>
      <c r="E13" s="403"/>
      <c r="F13" s="403"/>
      <c r="G13" s="403"/>
      <c r="H13" s="403"/>
      <c r="I13" s="403"/>
      <c r="K13" s="411"/>
      <c r="N13" s="413"/>
    </row>
    <row r="14" spans="1:15" x14ac:dyDescent="0.2">
      <c r="A14" s="403"/>
      <c r="B14" s="403"/>
      <c r="C14" s="403" t="str" cm="1">
        <f t="array" aca="1" ref="C14" ca="1">IF(TIPOORCAMENTO&lt;&gt;"Proposto","","Obs: Composições e Cotações devem ser preenchidas diretamente no arquivo Referência "&amp;IF(ISBLANK(Import.DataBase),"mm-aaaa",TEXT(Import.DataBase,"mm-aaaa"))&amp;".xlsm.")</f>
        <v>Obs: Composições e Cotações devem ser preenchidas diretamente no arquivo Referência 06-2025.xlsm.</v>
      </c>
      <c r="D14" s="403"/>
      <c r="E14" s="403"/>
      <c r="F14" s="403"/>
      <c r="G14" s="403"/>
      <c r="H14" s="403"/>
      <c r="I14" s="403"/>
      <c r="K14" s="411"/>
      <c r="N14" s="413"/>
    </row>
    <row r="15" spans="1:15" x14ac:dyDescent="0.2">
      <c r="A15" s="403"/>
      <c r="B15" s="403"/>
      <c r="C15" s="403"/>
      <c r="D15" s="403"/>
      <c r="E15" s="403"/>
      <c r="F15" s="403"/>
      <c r="G15" s="403"/>
      <c r="H15" s="403"/>
      <c r="I15" s="403"/>
      <c r="K15" s="411"/>
      <c r="L15" t="s">
        <v>93</v>
      </c>
      <c r="N15" s="413"/>
    </row>
    <row r="16" spans="1:15" ht="21" customHeight="1" x14ac:dyDescent="0.2">
      <c r="A16" s="403"/>
      <c r="B16" s="675" t="str">
        <f>IF($O$3&lt;&gt;2,"PÓS-LICITADO: Para visualizar/preencher esta seção, altere o TIPO DE ORÇAMENTO para 'Licitado'","RESULTADO DO PROCESSO LICITATÓRIO")</f>
        <v>PÓS-LICITADO: Para visualizar/preencher esta seção, altere o TIPO DE ORÇAMENTO para 'Licitado'</v>
      </c>
      <c r="C16" s="675"/>
      <c r="D16" s="675"/>
      <c r="E16" s="675"/>
      <c r="F16" s="675"/>
      <c r="G16" s="675"/>
      <c r="H16" s="675"/>
      <c r="I16" s="403"/>
      <c r="K16" s="411"/>
      <c r="L16" s="480"/>
      <c r="M16" s="3"/>
      <c r="N16" s="414" t="s">
        <v>94</v>
      </c>
    </row>
    <row r="17" spans="1:14" ht="13.5" thickBot="1" x14ac:dyDescent="0.25">
      <c r="A17" s="403"/>
      <c r="B17" s="403"/>
      <c r="C17" s="403"/>
      <c r="D17" s="403"/>
      <c r="E17" s="403"/>
      <c r="F17" s="403"/>
      <c r="G17" s="403"/>
      <c r="H17" s="403"/>
      <c r="I17" s="403"/>
      <c r="K17" s="411"/>
      <c r="N17" s="413"/>
    </row>
    <row r="18" spans="1:14" ht="21" customHeight="1" thickBot="1" x14ac:dyDescent="0.25">
      <c r="A18" s="403"/>
      <c r="B18" s="403"/>
      <c r="C18" s="477" t="str" cm="1">
        <f t="array" ref="C18">IF(TIPOORCAMENTO&lt;&gt;"Licitado","","             ORÇAMENTO             ")</f>
        <v/>
      </c>
      <c r="D18" s="404"/>
      <c r="E18" s="477" t="str" cm="1">
        <f t="array" ref="E18">IF(TIPOORCAMENTO&lt;&gt;"Licitado","","                    QCI                    ")</f>
        <v/>
      </c>
      <c r="F18" s="404"/>
      <c r="G18" s="478" t="str" cm="1">
        <f t="array" ref="G18">IF(TIPOORCAMENTO&lt;&gt;"Licitado","","CRONOGRAMA FÍSICO-FINANCEIRO")</f>
        <v/>
      </c>
      <c r="H18" s="403"/>
      <c r="I18" s="403"/>
      <c r="K18" s="411"/>
      <c r="L18" s="408"/>
      <c r="M18" s="3"/>
      <c r="N18" s="414" t="s">
        <v>95</v>
      </c>
    </row>
    <row r="19" spans="1:14" x14ac:dyDescent="0.2">
      <c r="A19" s="403"/>
      <c r="B19" s="403"/>
      <c r="C19" s="403"/>
      <c r="D19" s="403"/>
      <c r="E19" s="403"/>
      <c r="F19" s="403"/>
      <c r="G19" s="403"/>
      <c r="H19" s="403"/>
      <c r="I19" s="403"/>
      <c r="K19" s="415"/>
      <c r="L19" s="416"/>
      <c r="M19" s="416"/>
      <c r="N19" s="417"/>
    </row>
    <row r="20" spans="1:14" ht="21" customHeight="1" x14ac:dyDescent="0.2">
      <c r="A20" s="405"/>
      <c r="B20" s="675" t="str">
        <f>IF($O$3&lt;&gt;2,"ACOMPANHAMENTO: Para visualizar/preencher esta seção, altere o TIPO DE ORÇAMENTO para 'Licitado'","ACOMPANHAMENTO DO EMPREENDIMENTO")</f>
        <v>ACOMPANHAMENTO: Para visualizar/preencher esta seção, altere o TIPO DE ORÇAMENTO para 'Licitado'</v>
      </c>
      <c r="C20" s="675"/>
      <c r="D20" s="675"/>
      <c r="E20" s="675"/>
      <c r="F20" s="675"/>
      <c r="G20" s="675"/>
      <c r="H20" s="675"/>
      <c r="I20" s="403"/>
    </row>
    <row r="21" spans="1:14" ht="13.5" thickBot="1" x14ac:dyDescent="0.25">
      <c r="A21" s="403"/>
      <c r="B21" s="403"/>
      <c r="C21" s="403"/>
      <c r="D21" s="403"/>
      <c r="E21" s="403"/>
      <c r="F21" s="403"/>
      <c r="G21" s="403"/>
      <c r="H21" s="403"/>
      <c r="I21" s="403"/>
    </row>
    <row r="22" spans="1:14" ht="21" customHeight="1" thickBot="1" x14ac:dyDescent="0.25">
      <c r="A22" s="403"/>
      <c r="B22" s="403"/>
      <c r="C22" s="481" t="str" cm="1">
        <f t="array" ref="C22">IF(OR(TIPOORCAMENTO&lt;&gt;"Licitado",ACOMPANHAMENTO&lt;&gt;"PLE"),"","PLAN. DE LEVANT. DE EVENTOS - PLE")</f>
        <v/>
      </c>
      <c r="D22" s="404"/>
      <c r="E22" s="477" t="str" cm="1">
        <f t="array" ref="E22">IF(TIPOORCAMENTO&lt;&gt;"Licitado","","                    RRE                    ")</f>
        <v/>
      </c>
      <c r="F22" s="404"/>
      <c r="G22" s="479" t="str" cm="1">
        <f t="array" ref="G22">IF(OR(TIPOORCAMENTO&lt;&gt;"Licitado",ACOMPANHAMENTO&lt;&gt;"BM"),"","  BOLETIM DE MEDIÇÃO - BM  ")</f>
        <v/>
      </c>
      <c r="H22" s="403"/>
      <c r="I22" s="403"/>
    </row>
    <row r="23" spans="1:14" ht="13.5" thickBot="1" x14ac:dyDescent="0.25">
      <c r="A23" s="403"/>
      <c r="B23" s="403"/>
      <c r="C23" s="404"/>
      <c r="D23" s="404"/>
      <c r="E23" s="404"/>
      <c r="F23" s="404"/>
      <c r="G23" s="404"/>
      <c r="H23" s="403"/>
      <c r="I23" s="403"/>
    </row>
    <row r="24" spans="1:14" ht="21" customHeight="1" thickBot="1" x14ac:dyDescent="0.25">
      <c r="A24" s="403"/>
      <c r="B24" s="403"/>
      <c r="C24" s="404"/>
      <c r="D24" s="404"/>
      <c r="E24" s="481" t="str" cm="1">
        <f t="array" ref="E24">IF(TIPOORCAMENTO&lt;&gt;"Licitado","","OF. DE SOLICITAÇÃO DE DESBLOQUEIO")</f>
        <v/>
      </c>
      <c r="F24" s="404"/>
      <c r="G24" s="404"/>
      <c r="H24" s="403"/>
      <c r="I24" s="403"/>
    </row>
    <row r="25" spans="1:14" x14ac:dyDescent="0.2">
      <c r="A25" s="403"/>
      <c r="B25" s="403"/>
      <c r="C25" s="403"/>
      <c r="D25" s="403"/>
      <c r="E25" s="403"/>
      <c r="F25" s="403"/>
      <c r="G25" s="403"/>
      <c r="H25" s="403"/>
      <c r="I25" s="403"/>
    </row>
  </sheetData>
  <sheetProtection algorithmName="SHA-512" hashValue="umwiKBzItBzDZHBfCGKzKqff4xgHrCAPk3cbwDhTi3D5F9spHXLvsgqj6dKd5Lmv2HXFbnHxkoGZq+3IUU1MUA==" saltValue="ZHFfvqXJ/VXmUKaEJmjTJA==" spinCount="100000" sheet="1" objects="1" scenarios="1" autoFilter="0"/>
  <mergeCells count="4">
    <mergeCell ref="B20:H20"/>
    <mergeCell ref="B8:H8"/>
    <mergeCell ref="E2:G3"/>
    <mergeCell ref="B16:H16"/>
  </mergeCells>
  <phoneticPr fontId="38" type="noConversion"/>
  <conditionalFormatting sqref="C10:G14">
    <cfRule type="expression" dxfId="450" priority="70" stopIfTrue="1">
      <formula>TIPOORCAMENTO="Licitado"</formula>
    </cfRule>
  </conditionalFormatting>
  <conditionalFormatting sqref="C18:G18 E22:E24">
    <cfRule type="expression" dxfId="449" priority="71" stopIfTrue="1">
      <formula>TIPOORCAMENTO&lt;&gt;"Licitado"</formula>
    </cfRule>
  </conditionalFormatting>
  <conditionalFormatting sqref="C22">
    <cfRule type="expression" dxfId="448" priority="73" stopIfTrue="1">
      <formula>OR(TIPOORCAMENTO&lt;&gt;"Licitado",ACOMPANHAMENTO&lt;&gt;"PLE")</formula>
    </cfRule>
  </conditionalFormatting>
  <conditionalFormatting sqref="G22">
    <cfRule type="expression" dxfId="447" priority="74" stopIfTrue="1">
      <formula>OR(TIPOORCAMENTO&lt;&gt;"Licitado",ACOMPANHAMENTO&lt;&gt;"BM")</formula>
    </cfRule>
  </conditionalFormatting>
  <conditionalFormatting sqref="B16:H16 B20:H20">
    <cfRule type="expression" dxfId="446" priority="599" stopIfTrue="1">
      <formula>$O$3&lt;&gt;2</formula>
    </cfRule>
  </conditionalFormatting>
  <conditionalFormatting sqref="B8:H8">
    <cfRule type="expression" dxfId="445" priority="601" stopIfTrue="1">
      <formula>$O$3&lt;&gt;1</formula>
    </cfRule>
  </conditionalFormatting>
  <hyperlinks>
    <hyperlink ref="E6" location="DADOS!E3" display="DADOS DO CONTRATO"/>
    <hyperlink ref="G6" location="Novo!A1" display="NOVIDADES DA VERSÃO"/>
    <hyperlink ref="C10" location="BDI!Q11" display="BDI!Q11"/>
    <hyperlink ref="E10" location="ORÇAMENTO!M13" display="ORÇAMENTO"/>
    <hyperlink ref="G10" location="CÁLCULO!D13" display="MEMÓRIA DE CÁLCULO / PLQ"/>
    <hyperlink ref="E12" location="CRONO!G12" display="CRONOGRAMA FÍSICO-FINANCEIRO"/>
    <hyperlink ref="C18" location="ORÇAMENTO!AM15" display="             ORÇAMENTO             "/>
    <hyperlink ref="E18" location="QCI!D13" display="                    QCI                    "/>
    <hyperlink ref="G18" location="CRONO!G12" display="CRONOGRAMA FÍSICO-FINANCEIRO"/>
    <hyperlink ref="E22" location="RRE!E13" display="                    RRE                    "/>
    <hyperlink ref="G22" location="BM!D13" display="BM!D13"/>
    <hyperlink ref="E24" location="Ofício!C6" display="OF. DE SOLICITAÇÃO DE DESBLOQUEIO"/>
    <hyperlink ref="C12" location="QCI!D13" display="QCI!D13"/>
    <hyperlink ref="C22" location="PLE!J8" display="PLAN. DE LEVANT. DE EVENTOS - PLE"/>
  </hyperlinks>
  <pageMargins left="0.78740157480314998" right="0.78740157480314998" top="0.78740157480314998" bottom="0.78740157480314998" header="5.7086614173228396" footer="0.59055118110236204"/>
  <pageSetup paperSize="9" scale="58" firstPageNumber="0" orientation="portrait" horizontalDpi="300" verticalDpi="300" r:id="rId1"/>
  <headerFooter alignWithMargins="0">
    <oddHeader>&amp;L_</oddHeader>
    <oddFooter>&amp;LPMv3.14&amp;R&amp;P / &amp;N</oddFooter>
  </headerFooter>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5384" r:id="rId4" name="Group Box 24">
              <controlPr defaultSize="0" autoFill="0" autoPict="0">
                <anchor moveWithCells="1" sizeWithCells="1">
                  <from>
                    <xdr:col>2</xdr:col>
                    <xdr:colOff>1362075</xdr:colOff>
                    <xdr:row>4</xdr:row>
                    <xdr:rowOff>0</xdr:rowOff>
                  </from>
                  <to>
                    <xdr:col>3</xdr:col>
                    <xdr:colOff>19050</xdr:colOff>
                    <xdr:row>6</xdr:row>
                    <xdr:rowOff>9525</xdr:rowOff>
                  </to>
                </anchor>
              </controlPr>
            </control>
          </mc:Choice>
        </mc:AlternateContent>
        <mc:AlternateContent xmlns:mc="http://schemas.openxmlformats.org/markup-compatibility/2006">
          <mc:Choice Requires="x14">
            <control shapeId="15454" r:id="rId5" name="Drop Down 94">
              <controlPr defaultSize="0" autoLine="0" autoPict="0" macro="[0]!Exibir_Ocultar_Abas">
                <anchor moveWithCells="1" sizeWithCells="1">
                  <from>
                    <xdr:col>2</xdr:col>
                    <xdr:colOff>1485900</xdr:colOff>
                    <xdr:row>4</xdr:row>
                    <xdr:rowOff>161925</xdr:rowOff>
                  </from>
                  <to>
                    <xdr:col>2</xdr:col>
                    <xdr:colOff>2419350</xdr:colOff>
                    <xdr:row>5</xdr:row>
                    <xdr:rowOff>171450</xdr:rowOff>
                  </to>
                </anchor>
              </controlPr>
            </control>
          </mc:Choice>
        </mc:AlternateContent>
        <mc:AlternateContent xmlns:mc="http://schemas.openxmlformats.org/markup-compatibility/2006">
          <mc:Choice Requires="x14">
            <control shapeId="15377" r:id="rId6" name="Group Box 17">
              <controlPr defaultSize="0" autoFill="0" autoPict="0" altText="Tipo de Orçamento          ">
                <anchor moveWithCells="1" sizeWithCells="1">
                  <from>
                    <xdr:col>2</xdr:col>
                    <xdr:colOff>9525</xdr:colOff>
                    <xdr:row>4</xdr:row>
                    <xdr:rowOff>0</xdr:rowOff>
                  </from>
                  <to>
                    <xdr:col>2</xdr:col>
                    <xdr:colOff>1266825</xdr:colOff>
                    <xdr:row>6</xdr:row>
                    <xdr:rowOff>9525</xdr:rowOff>
                  </to>
                </anchor>
              </controlPr>
            </control>
          </mc:Choice>
        </mc:AlternateContent>
        <mc:AlternateContent xmlns:mc="http://schemas.openxmlformats.org/markup-compatibility/2006">
          <mc:Choice Requires="x14">
            <control shapeId="15453" r:id="rId7" name="Drop Down 93">
              <controlPr defaultSize="0" autoLine="0" autoPict="0" macro="[0]!Exibir_Ocultar_Abas">
                <anchor moveWithCells="1" sizeWithCells="1">
                  <from>
                    <xdr:col>2</xdr:col>
                    <xdr:colOff>133350</xdr:colOff>
                    <xdr:row>4</xdr:row>
                    <xdr:rowOff>161925</xdr:rowOff>
                  </from>
                  <to>
                    <xdr:col>2</xdr:col>
                    <xdr:colOff>1114425</xdr:colOff>
                    <xdr:row>5</xdr:row>
                    <xdr:rowOff>171450</xdr:rowOff>
                  </to>
                </anchor>
              </controlPr>
            </control>
          </mc:Choice>
        </mc:AlternateContent>
        <mc:AlternateContent xmlns:mc="http://schemas.openxmlformats.org/markup-compatibility/2006">
          <mc:Choice Requires="x14">
            <control shapeId="15455" r:id="rId8" name="Check Box 95">
              <controlPr defaultSize="0" autoFill="0" autoLine="0" autoPict="0">
                <anchor moveWithCells="1">
                  <from>
                    <xdr:col>10</xdr:col>
                    <xdr:colOff>38100</xdr:colOff>
                    <xdr:row>0</xdr:row>
                    <xdr:rowOff>47625</xdr:rowOff>
                  </from>
                  <to>
                    <xdr:col>13</xdr:col>
                    <xdr:colOff>2371725</xdr:colOff>
                    <xdr:row>1</xdr:row>
                    <xdr:rowOff>28575</xdr:rowOff>
                  </to>
                </anchor>
              </controlPr>
            </control>
          </mc:Choice>
        </mc:AlternateContent>
        <mc:AlternateContent xmlns:mc="http://schemas.openxmlformats.org/markup-compatibility/2006">
          <mc:Choice Requires="x14">
            <control shapeId="15456" r:id="rId9" name="Check Box 96">
              <controlPr defaultSize="0" autoFill="0" autoLine="0" autoPict="0">
                <anchor moveWithCells="1">
                  <from>
                    <xdr:col>10</xdr:col>
                    <xdr:colOff>38100</xdr:colOff>
                    <xdr:row>1</xdr:row>
                    <xdr:rowOff>66675</xdr:rowOff>
                  </from>
                  <to>
                    <xdr:col>13</xdr:col>
                    <xdr:colOff>2390775</xdr:colOff>
                    <xdr:row>1</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2">
    <pageSetUpPr fitToPage="1"/>
  </sheetPr>
  <dimension ref="B1:AW222"/>
  <sheetViews>
    <sheetView showGridLines="0" topLeftCell="B1" zoomScaleNormal="100" workbookViewId="0">
      <pane ySplit="2" topLeftCell="A3" activePane="bottomLeft" state="frozen"/>
      <selection pane="bottomLeft"/>
    </sheetView>
  </sheetViews>
  <sheetFormatPr defaultRowHeight="12.75" x14ac:dyDescent="0.2"/>
  <cols>
    <col min="1" max="1" width="10.5703125" customWidth="1"/>
    <col min="2" max="2" width="42.5703125" style="3" customWidth="1"/>
    <col min="3" max="3" width="53.42578125" style="3" customWidth="1"/>
    <col min="4" max="4" width="80.5703125" customWidth="1"/>
    <col min="5" max="6" width="9.140625" customWidth="1"/>
    <col min="7" max="10" width="30.7109375" hidden="1" customWidth="1"/>
    <col min="11" max="11" width="9.140625" hidden="1" customWidth="1"/>
    <col min="12" max="12" width="14.42578125" hidden="1" customWidth="1"/>
    <col min="13" max="15" width="9.140625" hidden="1" customWidth="1"/>
    <col min="16" max="16" width="9.140625" style="7" hidden="1" customWidth="1"/>
    <col min="17" max="48" width="9.140625" hidden="1" customWidth="1"/>
    <col min="49" max="49" width="15.5703125" hidden="1" customWidth="1"/>
    <col min="50" max="50" width="9.140625" customWidth="1"/>
  </cols>
  <sheetData>
    <row r="1" spans="2:49" ht="15.75" customHeight="1" x14ac:dyDescent="0.25">
      <c r="B1" s="8" t="s">
        <v>96</v>
      </c>
      <c r="C1" s="563"/>
      <c r="D1" s="520" t="str">
        <f ca="1">IF(D3&lt;&gt;"","Falta preencher os Dados do Contrato",IF(D15&lt;&gt;"","Falta preencher os Dados do Empreendimento",IF(D21&lt;&gt;"","Falta preencher os Dados do Responsável pelo Orçamento",IF(D27&lt;&gt;"","Falta preencher os Dados do Responsável pelo Tomador",IF(D31&lt;&gt;"","Falta definir o método de arredondamento das frentes de obra",IF(D35&lt;&gt;"","Falta preencher os Dados da Licitação",IF(D46&lt;&gt;"","Falta preencher os Dados da Obra",IF(D50&lt;&gt;"","Falta preencher os Dados do Responsável pela Fiscalização",""))))))))</f>
        <v>Falta preencher os Dados do Contrato</v>
      </c>
      <c r="G1" s="9" t="s">
        <v>138</v>
      </c>
      <c r="H1" s="9" t="s">
        <v>959</v>
      </c>
      <c r="I1" s="9" t="s">
        <v>960</v>
      </c>
      <c r="J1" s="9" t="s">
        <v>709</v>
      </c>
      <c r="M1" s="609"/>
      <c r="N1" s="678" t="s">
        <v>97</v>
      </c>
      <c r="O1" s="678"/>
      <c r="P1" s="678"/>
      <c r="Q1" s="678"/>
      <c r="R1" s="678"/>
      <c r="S1" s="678"/>
      <c r="T1" s="678"/>
      <c r="U1" s="678"/>
      <c r="V1" s="678"/>
      <c r="W1" s="678"/>
      <c r="X1" s="678"/>
      <c r="Y1" s="678"/>
      <c r="Z1" s="678"/>
      <c r="AA1" s="678"/>
      <c r="AB1" s="678"/>
      <c r="AC1" s="678"/>
      <c r="AD1" s="678"/>
      <c r="AE1" s="678"/>
      <c r="AF1" s="678"/>
      <c r="AG1" s="678"/>
      <c r="AH1" s="678"/>
      <c r="AI1" s="678"/>
      <c r="AJ1" s="678"/>
      <c r="AK1" s="678"/>
      <c r="AL1" s="678"/>
      <c r="AM1" s="678"/>
      <c r="AN1" s="678"/>
      <c r="AO1" s="678"/>
      <c r="AP1" s="678"/>
      <c r="AQ1" s="678"/>
      <c r="AR1" s="678"/>
      <c r="AS1" s="678"/>
      <c r="AT1" s="678"/>
      <c r="AV1" s="610" t="s">
        <v>98</v>
      </c>
      <c r="AW1" s="611"/>
    </row>
    <row r="2" spans="2:49" ht="12.75" customHeight="1" thickBot="1" x14ac:dyDescent="0.25">
      <c r="B2" s="8"/>
      <c r="G2" t="s">
        <v>139</v>
      </c>
      <c r="H2" t="s">
        <v>139</v>
      </c>
      <c r="I2" t="s">
        <v>139</v>
      </c>
      <c r="J2" t="s">
        <v>961</v>
      </c>
      <c r="L2" s="9" t="s">
        <v>99</v>
      </c>
      <c r="M2" s="10" t="s">
        <v>100</v>
      </c>
      <c r="N2" s="11">
        <f>COUNTA(M:M)-1</f>
        <v>3</v>
      </c>
      <c r="O2" s="10" t="s">
        <v>101</v>
      </c>
      <c r="P2" s="11">
        <f>COUNTA(O:O)-1</f>
        <v>6</v>
      </c>
      <c r="Q2" s="10" t="s">
        <v>102</v>
      </c>
      <c r="R2" s="11">
        <f>COUNTA(Q:Q)-1</f>
        <v>6</v>
      </c>
      <c r="S2" s="10" t="s">
        <v>103</v>
      </c>
      <c r="T2" s="11">
        <f>COUNTA(S:S)-1</f>
        <v>6</v>
      </c>
      <c r="U2" s="10" t="s">
        <v>104</v>
      </c>
      <c r="V2" s="11">
        <f>COUNTA(U:U)-1</f>
        <v>11</v>
      </c>
      <c r="W2" s="10" t="s">
        <v>105</v>
      </c>
      <c r="X2" s="11">
        <f>COUNTA(W:W)-1</f>
        <v>8</v>
      </c>
      <c r="Y2" s="10" t="s">
        <v>106</v>
      </c>
      <c r="Z2" s="11">
        <f>COUNTA(Y:Y)-1</f>
        <v>4</v>
      </c>
      <c r="AA2" s="10" t="s">
        <v>107</v>
      </c>
      <c r="AB2" s="11">
        <f>COUNTA(AA:AA)-1</f>
        <v>6</v>
      </c>
      <c r="AC2" s="10" t="s">
        <v>108</v>
      </c>
      <c r="AD2" s="11">
        <f>COUNTA(AC:AC)-1</f>
        <v>2</v>
      </c>
      <c r="AE2" s="10" t="s">
        <v>109</v>
      </c>
      <c r="AF2" s="11">
        <f>COUNTA(AE:AE)-1</f>
        <v>2</v>
      </c>
      <c r="AG2" s="10" t="s">
        <v>110</v>
      </c>
      <c r="AH2" s="11">
        <f>COUNTA(AG:AG)-1</f>
        <v>2</v>
      </c>
      <c r="AI2" s="10" t="s">
        <v>111</v>
      </c>
      <c r="AJ2" s="11">
        <f>COUNTA(AI:AI)-1</f>
        <v>1</v>
      </c>
      <c r="AK2" s="10" t="s">
        <v>112</v>
      </c>
      <c r="AL2" s="11">
        <f>COUNTA(AK:AK)-1</f>
        <v>1</v>
      </c>
      <c r="AM2" s="10" t="s">
        <v>113</v>
      </c>
      <c r="AN2" s="11">
        <f>COUNTA(AM:AM)-1</f>
        <v>1</v>
      </c>
      <c r="AO2" s="10" t="s">
        <v>114</v>
      </c>
      <c r="AP2" s="11">
        <f>COUNTA(AO:AO)-1</f>
        <v>3</v>
      </c>
      <c r="AQ2" s="10" t="s">
        <v>115</v>
      </c>
      <c r="AR2" s="11">
        <f>COUNTA(AQ:AQ)-1</f>
        <v>1</v>
      </c>
      <c r="AS2" s="10" t="s">
        <v>116</v>
      </c>
      <c r="AT2" s="11">
        <f>COUNTA(AS:AS)-1</f>
        <v>4</v>
      </c>
      <c r="AV2" s="518" t="s">
        <v>117</v>
      </c>
      <c r="AW2" s="83" t="s">
        <v>118</v>
      </c>
    </row>
    <row r="3" spans="2:49" ht="15.75" thickBot="1" x14ac:dyDescent="0.3">
      <c r="B3" s="677" t="s">
        <v>119</v>
      </c>
      <c r="C3" s="677"/>
      <c r="D3" s="561" t="str">
        <f ca="1">IF(COUNTIF(D4:D13,"◄")=0,"","Falta preencher a linha "&amp;MATCH("◄",D4:D13,0)+ROW(D3))</f>
        <v>Falta preencher a linha 7</v>
      </c>
      <c r="G3" t="s">
        <v>962</v>
      </c>
      <c r="H3" t="s">
        <v>964</v>
      </c>
      <c r="I3" t="s">
        <v>967</v>
      </c>
      <c r="J3" t="s">
        <v>950</v>
      </c>
      <c r="L3" s="12" t="s">
        <v>100</v>
      </c>
      <c r="M3" t="s">
        <v>120</v>
      </c>
      <c r="N3" s="7" t="s">
        <v>121</v>
      </c>
      <c r="O3" s="12" t="s">
        <v>122</v>
      </c>
      <c r="P3" s="7" t="s">
        <v>123</v>
      </c>
      <c r="Q3" t="s">
        <v>124</v>
      </c>
      <c r="R3" s="7" t="s">
        <v>123</v>
      </c>
      <c r="S3" t="s">
        <v>125</v>
      </c>
      <c r="T3" s="7" t="s">
        <v>126</v>
      </c>
      <c r="U3" t="s">
        <v>127</v>
      </c>
      <c r="V3" s="7" t="s">
        <v>128</v>
      </c>
      <c r="W3" t="s">
        <v>129</v>
      </c>
      <c r="X3" s="7" t="s">
        <v>121</v>
      </c>
      <c r="Y3" t="s">
        <v>130</v>
      </c>
      <c r="Z3" s="7" t="s">
        <v>121</v>
      </c>
      <c r="AA3" t="s">
        <v>131</v>
      </c>
      <c r="AB3" s="7" t="s">
        <v>121</v>
      </c>
      <c r="AC3" t="s">
        <v>132</v>
      </c>
      <c r="AD3" s="7" t="s">
        <v>123</v>
      </c>
      <c r="AE3" t="s">
        <v>133</v>
      </c>
      <c r="AF3" s="7" t="s">
        <v>123</v>
      </c>
      <c r="AG3" t="s">
        <v>110</v>
      </c>
      <c r="AH3" s="7" t="s">
        <v>123</v>
      </c>
      <c r="AI3" t="s">
        <v>111</v>
      </c>
      <c r="AJ3" s="7" t="s">
        <v>121</v>
      </c>
      <c r="AK3" t="s">
        <v>112</v>
      </c>
      <c r="AL3" s="7" t="s">
        <v>121</v>
      </c>
      <c r="AM3" t="s">
        <v>113</v>
      </c>
      <c r="AN3" s="7" t="s">
        <v>121</v>
      </c>
      <c r="AO3" t="s">
        <v>134</v>
      </c>
      <c r="AP3" s="7" t="s">
        <v>121</v>
      </c>
      <c r="AQ3" t="s">
        <v>115</v>
      </c>
      <c r="AR3" s="7" t="s">
        <v>135</v>
      </c>
      <c r="AS3" t="s">
        <v>136</v>
      </c>
      <c r="AT3" s="7" t="s">
        <v>137</v>
      </c>
      <c r="AV3" t="s">
        <v>135</v>
      </c>
      <c r="AW3" t="s">
        <v>135</v>
      </c>
    </row>
    <row r="4" spans="2:49" x14ac:dyDescent="0.2">
      <c r="B4" s="13" t="s">
        <v>138</v>
      </c>
      <c r="C4" s="14" t="s">
        <v>962</v>
      </c>
      <c r="D4" s="562" t="str">
        <f ca="1">IF(OR(OFFSET(D4,0,-1)="",OFFSET(D4,0,-1)="(SELECIONAR)"),"◄","")</f>
        <v/>
      </c>
      <c r="G4" t="s">
        <v>963</v>
      </c>
      <c r="H4" t="s">
        <v>965</v>
      </c>
      <c r="I4" t="s">
        <v>968</v>
      </c>
      <c r="L4" s="12" t="s">
        <v>101</v>
      </c>
      <c r="M4" t="s">
        <v>140</v>
      </c>
      <c r="N4" s="7" t="s">
        <v>121</v>
      </c>
      <c r="O4" t="s">
        <v>141</v>
      </c>
      <c r="P4" s="7" t="s">
        <v>123</v>
      </c>
      <c r="Q4" t="s">
        <v>142</v>
      </c>
      <c r="R4" s="7" t="s">
        <v>123</v>
      </c>
      <c r="S4" t="s">
        <v>143</v>
      </c>
      <c r="T4" s="7" t="s">
        <v>126</v>
      </c>
      <c r="U4" t="s">
        <v>144</v>
      </c>
      <c r="V4" s="7" t="s">
        <v>128</v>
      </c>
      <c r="W4" t="s">
        <v>145</v>
      </c>
      <c r="X4" s="7" t="s">
        <v>126</v>
      </c>
      <c r="Y4" t="s">
        <v>146</v>
      </c>
      <c r="Z4" s="7" t="s">
        <v>121</v>
      </c>
      <c r="AA4" t="s">
        <v>147</v>
      </c>
      <c r="AB4" s="7" t="s">
        <v>148</v>
      </c>
      <c r="AC4" t="s">
        <v>149</v>
      </c>
      <c r="AD4" s="7" t="s">
        <v>123</v>
      </c>
      <c r="AE4" t="s">
        <v>150</v>
      </c>
      <c r="AF4" s="7" t="s">
        <v>123</v>
      </c>
      <c r="AG4" t="s">
        <v>151</v>
      </c>
      <c r="AH4" s="7" t="s">
        <v>123</v>
      </c>
      <c r="AJ4" s="7"/>
      <c r="AL4" s="7"/>
      <c r="AN4" s="7"/>
      <c r="AO4" t="s">
        <v>152</v>
      </c>
      <c r="AP4" s="7" t="s">
        <v>121</v>
      </c>
      <c r="AS4" t="s">
        <v>153</v>
      </c>
      <c r="AT4" s="7" t="s">
        <v>137</v>
      </c>
      <c r="AV4" t="s">
        <v>154</v>
      </c>
      <c r="AW4" t="s">
        <v>155</v>
      </c>
    </row>
    <row r="5" spans="2:49" x14ac:dyDescent="0.2">
      <c r="B5" s="15" t="s">
        <v>156</v>
      </c>
      <c r="C5" s="16" t="s">
        <v>1072</v>
      </c>
      <c r="D5" s="562" t="str">
        <f t="shared" ref="D5:D11" ca="1" si="0">IF(OFFSET(D5,0,-1)="","◄","")</f>
        <v/>
      </c>
      <c r="H5" t="s">
        <v>966</v>
      </c>
      <c r="I5" t="s">
        <v>969</v>
      </c>
      <c r="L5" s="12" t="s">
        <v>102</v>
      </c>
      <c r="M5" t="s">
        <v>157</v>
      </c>
      <c r="N5" s="7" t="s">
        <v>121</v>
      </c>
      <c r="O5" t="s">
        <v>158</v>
      </c>
      <c r="P5" s="7" t="s">
        <v>123</v>
      </c>
      <c r="Q5" t="s">
        <v>159</v>
      </c>
      <c r="R5" s="7" t="s">
        <v>126</v>
      </c>
      <c r="S5" t="s">
        <v>160</v>
      </c>
      <c r="T5" s="7" t="s">
        <v>126</v>
      </c>
      <c r="U5" t="s">
        <v>161</v>
      </c>
      <c r="V5" s="7" t="s">
        <v>128</v>
      </c>
      <c r="W5" t="s">
        <v>162</v>
      </c>
      <c r="X5" s="7" t="s">
        <v>126</v>
      </c>
      <c r="Y5" t="s">
        <v>163</v>
      </c>
      <c r="Z5" s="7" t="s">
        <v>126</v>
      </c>
      <c r="AA5" t="s">
        <v>164</v>
      </c>
      <c r="AB5" s="7" t="s">
        <v>148</v>
      </c>
      <c r="AD5" s="7"/>
      <c r="AF5" s="7"/>
      <c r="AH5" s="7"/>
      <c r="AJ5" s="7"/>
      <c r="AL5" s="7"/>
      <c r="AN5" s="7"/>
      <c r="AO5" t="s">
        <v>165</v>
      </c>
      <c r="AP5" s="7" t="s">
        <v>121</v>
      </c>
      <c r="AS5" t="s">
        <v>166</v>
      </c>
      <c r="AT5" s="7" t="s">
        <v>137</v>
      </c>
      <c r="AV5" t="s">
        <v>167</v>
      </c>
      <c r="AW5" t="s">
        <v>168</v>
      </c>
    </row>
    <row r="6" spans="2:49" x14ac:dyDescent="0.2">
      <c r="B6" s="15" t="s">
        <v>169</v>
      </c>
      <c r="C6" s="16" t="s">
        <v>1004</v>
      </c>
      <c r="D6" s="562" t="str">
        <f t="shared" ca="1" si="0"/>
        <v/>
      </c>
      <c r="I6" t="s">
        <v>970</v>
      </c>
      <c r="L6" s="12" t="s">
        <v>103</v>
      </c>
      <c r="O6" t="s">
        <v>170</v>
      </c>
      <c r="P6" s="7" t="s">
        <v>123</v>
      </c>
      <c r="Q6" t="s">
        <v>171</v>
      </c>
      <c r="R6" s="7" t="s">
        <v>123</v>
      </c>
      <c r="S6" t="s">
        <v>172</v>
      </c>
      <c r="T6" s="7" t="s">
        <v>123</v>
      </c>
      <c r="U6" t="s">
        <v>173</v>
      </c>
      <c r="V6" s="7" t="s">
        <v>126</v>
      </c>
      <c r="W6" t="s">
        <v>174</v>
      </c>
      <c r="X6" s="7" t="s">
        <v>126</v>
      </c>
      <c r="Y6" t="s">
        <v>175</v>
      </c>
      <c r="Z6" s="7" t="s">
        <v>126</v>
      </c>
      <c r="AA6" t="s">
        <v>176</v>
      </c>
      <c r="AB6" s="7" t="s">
        <v>121</v>
      </c>
      <c r="AS6" t="s">
        <v>177</v>
      </c>
      <c r="AT6" s="7" t="s">
        <v>137</v>
      </c>
      <c r="AV6" t="s">
        <v>178</v>
      </c>
      <c r="AW6" t="s">
        <v>179</v>
      </c>
    </row>
    <row r="7" spans="2:49" x14ac:dyDescent="0.2">
      <c r="B7" s="17" t="s">
        <v>180</v>
      </c>
      <c r="C7" s="18"/>
      <c r="D7" s="562" t="str">
        <f t="shared" ca="1" si="0"/>
        <v>◄</v>
      </c>
      <c r="I7" t="s">
        <v>971</v>
      </c>
      <c r="L7" s="12" t="s">
        <v>104</v>
      </c>
      <c r="O7" t="s">
        <v>181</v>
      </c>
      <c r="P7" s="7" t="s">
        <v>123</v>
      </c>
      <c r="Q7" t="s">
        <v>182</v>
      </c>
      <c r="R7" s="7" t="s">
        <v>123</v>
      </c>
      <c r="S7" t="s">
        <v>183</v>
      </c>
      <c r="T7" s="7" t="s">
        <v>148</v>
      </c>
      <c r="U7" t="s">
        <v>184</v>
      </c>
      <c r="V7" s="7" t="s">
        <v>128</v>
      </c>
      <c r="W7" t="s">
        <v>185</v>
      </c>
      <c r="X7" s="7" t="s">
        <v>128</v>
      </c>
      <c r="AA7" t="s">
        <v>186</v>
      </c>
      <c r="AB7" s="7" t="s">
        <v>121</v>
      </c>
      <c r="AV7" t="s">
        <v>187</v>
      </c>
      <c r="AW7" t="s">
        <v>188</v>
      </c>
    </row>
    <row r="8" spans="2:49" x14ac:dyDescent="0.2">
      <c r="B8" s="17" t="s">
        <v>189</v>
      </c>
      <c r="C8" s="18" t="s">
        <v>1073</v>
      </c>
      <c r="D8" s="562" t="str">
        <f ca="1">IF(AND(Import.TipoArredondamento="TransfereGOV",OFFSET(D8,0,-1)=""),"◄","")</f>
        <v/>
      </c>
      <c r="I8" t="s">
        <v>972</v>
      </c>
      <c r="L8" s="12" t="s">
        <v>105</v>
      </c>
      <c r="O8" t="s">
        <v>190</v>
      </c>
      <c r="P8" s="7" t="s">
        <v>123</v>
      </c>
      <c r="Q8" t="s">
        <v>191</v>
      </c>
      <c r="R8" s="7" t="s">
        <v>123</v>
      </c>
      <c r="S8" t="s">
        <v>192</v>
      </c>
      <c r="T8" s="7" t="s">
        <v>128</v>
      </c>
      <c r="U8" t="s">
        <v>193</v>
      </c>
      <c r="V8" s="7" t="s">
        <v>128</v>
      </c>
      <c r="W8" t="s">
        <v>194</v>
      </c>
      <c r="X8" s="7" t="s">
        <v>128</v>
      </c>
      <c r="AA8" t="s">
        <v>195</v>
      </c>
      <c r="AB8" s="7" t="s">
        <v>123</v>
      </c>
      <c r="AV8" t="s">
        <v>196</v>
      </c>
      <c r="AW8" t="s">
        <v>197</v>
      </c>
    </row>
    <row r="9" spans="2:49" x14ac:dyDescent="0.2">
      <c r="B9" s="17" t="str">
        <f>IF(C4="FGTS","Valor de Financiamento Contratado (R$):","Valor do Repasse Contratado (R$):")</f>
        <v>Valor do Repasse Contratado (R$):</v>
      </c>
      <c r="C9" s="19">
        <v>1249036</v>
      </c>
      <c r="D9" s="562" t="str">
        <f t="shared" ca="1" si="0"/>
        <v/>
      </c>
      <c r="I9" t="s">
        <v>973</v>
      </c>
      <c r="L9" s="12" t="s">
        <v>106</v>
      </c>
      <c r="U9" t="s">
        <v>198</v>
      </c>
      <c r="V9" s="7" t="s">
        <v>126</v>
      </c>
      <c r="W9" t="s">
        <v>199</v>
      </c>
      <c r="X9" s="7" t="s">
        <v>128</v>
      </c>
      <c r="AV9" t="s">
        <v>200</v>
      </c>
      <c r="AW9" t="s">
        <v>201</v>
      </c>
    </row>
    <row r="10" spans="2:49" x14ac:dyDescent="0.2">
      <c r="B10" s="17" t="s">
        <v>202</v>
      </c>
      <c r="C10" s="19">
        <v>5462.18</v>
      </c>
      <c r="D10" s="562" t="str">
        <f t="shared" ca="1" si="0"/>
        <v/>
      </c>
      <c r="L10" s="12" t="s">
        <v>107</v>
      </c>
      <c r="U10" t="s">
        <v>203</v>
      </c>
      <c r="V10" s="7" t="s">
        <v>148</v>
      </c>
      <c r="W10" t="s">
        <v>204</v>
      </c>
      <c r="X10" s="7" t="s">
        <v>121</v>
      </c>
      <c r="AV10" t="s">
        <v>205</v>
      </c>
      <c r="AW10" t="s">
        <v>206</v>
      </c>
    </row>
    <row r="11" spans="2:49" x14ac:dyDescent="0.2">
      <c r="B11" s="17" t="s">
        <v>207</v>
      </c>
      <c r="C11" s="20">
        <v>1E-3</v>
      </c>
      <c r="D11" s="562" t="str">
        <f t="shared" ca="1" si="0"/>
        <v/>
      </c>
      <c r="L11" s="12" t="s">
        <v>108</v>
      </c>
      <c r="U11" t="s">
        <v>208</v>
      </c>
      <c r="V11" s="7" t="s">
        <v>126</v>
      </c>
      <c r="AV11" t="s">
        <v>209</v>
      </c>
      <c r="AW11" t="s">
        <v>210</v>
      </c>
    </row>
    <row r="12" spans="2:49" x14ac:dyDescent="0.2">
      <c r="B12" s="17" t="s">
        <v>211</v>
      </c>
      <c r="C12" s="19">
        <v>3000</v>
      </c>
      <c r="L12" s="12" t="s">
        <v>109</v>
      </c>
      <c r="U12" t="s">
        <v>129</v>
      </c>
      <c r="V12" s="7" t="s">
        <v>121</v>
      </c>
      <c r="AV12" t="s">
        <v>212</v>
      </c>
      <c r="AW12" t="s">
        <v>213</v>
      </c>
    </row>
    <row r="13" spans="2:49" ht="13.5" thickBot="1" x14ac:dyDescent="0.25">
      <c r="B13" s="21" t="s">
        <v>214</v>
      </c>
      <c r="C13" s="22"/>
      <c r="L13" s="12" t="s">
        <v>110</v>
      </c>
      <c r="U13" t="s">
        <v>215</v>
      </c>
      <c r="V13" s="7" t="s">
        <v>126</v>
      </c>
      <c r="AV13" t="s">
        <v>216</v>
      </c>
      <c r="AW13" t="s">
        <v>217</v>
      </c>
    </row>
    <row r="14" spans="2:49" ht="13.5" thickBot="1" x14ac:dyDescent="0.25">
      <c r="C14" s="23"/>
      <c r="L14" s="12" t="s">
        <v>111</v>
      </c>
      <c r="AV14" t="s">
        <v>218</v>
      </c>
      <c r="AW14" t="s">
        <v>219</v>
      </c>
    </row>
    <row r="15" spans="2:49" ht="15.75" thickBot="1" x14ac:dyDescent="0.3">
      <c r="B15" s="677" t="s">
        <v>220</v>
      </c>
      <c r="C15" s="677"/>
      <c r="D15" s="561" t="str">
        <f ca="1">IF(COUNTIF(D16:D19,"◄")=0,"","Falta preencher a linha "&amp;MATCH("◄",D16:D19,0)+ROW(D15))</f>
        <v/>
      </c>
      <c r="L15" s="12" t="s">
        <v>112</v>
      </c>
      <c r="AV15" t="s">
        <v>221</v>
      </c>
      <c r="AW15" t="s">
        <v>222</v>
      </c>
    </row>
    <row r="16" spans="2:49" x14ac:dyDescent="0.2">
      <c r="B16" s="24" t="s">
        <v>223</v>
      </c>
      <c r="C16" s="25" t="s">
        <v>1078</v>
      </c>
      <c r="D16" s="562" t="str">
        <f t="shared" ref="D16:D19" ca="1" si="1">IF(OFFSET(D16,0,-1)="","◄","")</f>
        <v/>
      </c>
      <c r="L16" s="12" t="s">
        <v>113</v>
      </c>
      <c r="AV16" t="s">
        <v>224</v>
      </c>
      <c r="AW16" t="s">
        <v>225</v>
      </c>
    </row>
    <row r="17" spans="2:49" x14ac:dyDescent="0.2">
      <c r="B17" s="17" t="s">
        <v>226</v>
      </c>
      <c r="C17" s="26" t="s">
        <v>1010</v>
      </c>
      <c r="D17" s="562" t="str">
        <f t="shared" ca="1" si="1"/>
        <v/>
      </c>
      <c r="L17" s="12" t="s">
        <v>114</v>
      </c>
      <c r="AV17" t="s">
        <v>227</v>
      </c>
      <c r="AW17" t="s">
        <v>228</v>
      </c>
    </row>
    <row r="18" spans="2:49" x14ac:dyDescent="0.2">
      <c r="B18" s="17" t="s">
        <v>229</v>
      </c>
      <c r="C18" s="27" t="s">
        <v>966</v>
      </c>
      <c r="D18" s="562" t="str">
        <f ca="1">IF(OR(OFFSET(D18,0,-1)="",OFFSET(D18,0,-1)="(SELECIONAR)"),"◄","")</f>
        <v/>
      </c>
      <c r="L18" s="12" t="s">
        <v>115</v>
      </c>
      <c r="AV18" t="s">
        <v>230</v>
      </c>
      <c r="AW18" t="s">
        <v>231</v>
      </c>
    </row>
    <row r="19" spans="2:49" ht="13.5" thickBot="1" x14ac:dyDescent="0.25">
      <c r="B19" s="28" t="s">
        <v>232</v>
      </c>
      <c r="C19" s="29">
        <v>45809</v>
      </c>
      <c r="D19" s="562" t="str">
        <f t="shared" ca="1" si="1"/>
        <v/>
      </c>
      <c r="L19" s="12" t="s">
        <v>116</v>
      </c>
      <c r="AV19" t="s">
        <v>233</v>
      </c>
      <c r="AW19" t="s">
        <v>234</v>
      </c>
    </row>
    <row r="20" spans="2:49" ht="13.5" thickBot="1" x14ac:dyDescent="0.25">
      <c r="C20" s="30"/>
      <c r="L20" s="12"/>
      <c r="AV20" t="s">
        <v>235</v>
      </c>
      <c r="AW20" t="s">
        <v>236</v>
      </c>
    </row>
    <row r="21" spans="2:49" ht="15.75" thickBot="1" x14ac:dyDescent="0.3">
      <c r="B21" s="677" t="s">
        <v>237</v>
      </c>
      <c r="C21" s="677"/>
      <c r="D21" s="561" t="str">
        <f ca="1">IF(COUNTIF(D22:D25,"◄")=0,"","Falta preencher a linha "&amp;MATCH("◄",D22:D25,0)+ROW(D21))</f>
        <v/>
      </c>
      <c r="L21" s="12"/>
      <c r="AV21" t="s">
        <v>238</v>
      </c>
      <c r="AW21" t="s">
        <v>239</v>
      </c>
    </row>
    <row r="22" spans="2:49" x14ac:dyDescent="0.2">
      <c r="B22" s="15" t="s">
        <v>240</v>
      </c>
      <c r="C22" s="37" t="s">
        <v>1009</v>
      </c>
      <c r="D22" s="562" t="str">
        <f t="shared" ref="D22:D24" ca="1" si="2">IF(OFFSET(D22,0,-1)="","◄","")</f>
        <v/>
      </c>
      <c r="AV22" t="s">
        <v>241</v>
      </c>
      <c r="AW22" t="s">
        <v>242</v>
      </c>
    </row>
    <row r="23" spans="2:49" x14ac:dyDescent="0.2">
      <c r="B23" s="17" t="s">
        <v>243</v>
      </c>
      <c r="C23" s="18" t="s">
        <v>1008</v>
      </c>
      <c r="D23" s="562" t="str">
        <f t="shared" ca="1" si="2"/>
        <v/>
      </c>
      <c r="AV23" t="s">
        <v>244</v>
      </c>
      <c r="AW23" t="s">
        <v>245</v>
      </c>
    </row>
    <row r="24" spans="2:49" x14ac:dyDescent="0.2">
      <c r="B24" s="17" t="s">
        <v>246</v>
      </c>
      <c r="C24" s="18" t="s">
        <v>1075</v>
      </c>
      <c r="D24" s="562" t="str">
        <f t="shared" ca="1" si="2"/>
        <v/>
      </c>
      <c r="AV24" t="s">
        <v>247</v>
      </c>
      <c r="AW24" t="s">
        <v>248</v>
      </c>
    </row>
    <row r="25" spans="2:49" ht="13.5" thickBot="1" x14ac:dyDescent="0.25">
      <c r="B25" s="21" t="s">
        <v>249</v>
      </c>
      <c r="C25" s="31">
        <v>45880</v>
      </c>
      <c r="D25" s="562" t="s">
        <v>250</v>
      </c>
      <c r="AV25" t="s">
        <v>251</v>
      </c>
      <c r="AW25" t="s">
        <v>252</v>
      </c>
    </row>
    <row r="26" spans="2:49" ht="13.5" thickBot="1" x14ac:dyDescent="0.25">
      <c r="AV26" t="s">
        <v>253</v>
      </c>
      <c r="AW26" t="s">
        <v>254</v>
      </c>
    </row>
    <row r="27" spans="2:49" ht="15.75" thickBot="1" x14ac:dyDescent="0.3">
      <c r="B27" s="677" t="s">
        <v>255</v>
      </c>
      <c r="C27" s="677"/>
      <c r="D27" s="561" t="str">
        <f ca="1">IF(COUNTIF(D28:D29,"◄")=0,"","Falta preencher a linha "&amp;MATCH("◄",D28:D29,0)+ROW(D27))</f>
        <v/>
      </c>
      <c r="AV27" t="s">
        <v>256</v>
      </c>
      <c r="AW27" t="s">
        <v>257</v>
      </c>
    </row>
    <row r="28" spans="2:49" x14ac:dyDescent="0.2">
      <c r="B28" s="13" t="s">
        <v>240</v>
      </c>
      <c r="C28" s="32" t="s">
        <v>1005</v>
      </c>
      <c r="D28" s="562" t="str">
        <f t="shared" ref="D28:D29" ca="1" si="3">IF(OFFSET(D28,0,-1)="","◄","")</f>
        <v/>
      </c>
      <c r="AV28" t="s">
        <v>258</v>
      </c>
      <c r="AW28" t="s">
        <v>259</v>
      </c>
    </row>
    <row r="29" spans="2:49" ht="13.5" thickBot="1" x14ac:dyDescent="0.25">
      <c r="B29" s="21" t="s">
        <v>260</v>
      </c>
      <c r="C29" s="33" t="s">
        <v>1006</v>
      </c>
      <c r="D29" s="562" t="str">
        <f t="shared" ca="1" si="3"/>
        <v/>
      </c>
      <c r="AV29" t="s">
        <v>261</v>
      </c>
      <c r="AW29" t="s">
        <v>262</v>
      </c>
    </row>
    <row r="30" spans="2:49" ht="16.5" thickBot="1" x14ac:dyDescent="0.25">
      <c r="B30" s="8"/>
      <c r="AV30" t="s">
        <v>263</v>
      </c>
      <c r="AW30" t="s">
        <v>262</v>
      </c>
    </row>
    <row r="31" spans="2:49" ht="13.5" thickBot="1" x14ac:dyDescent="0.25">
      <c r="B31" s="473" t="s">
        <v>264</v>
      </c>
      <c r="C31" s="474" t="s">
        <v>950</v>
      </c>
      <c r="D31" s="562" t="str">
        <f ca="1">IF(OFFSET(D31,0,-1)="","◄ Falta definir o método de arredondamento.","")</f>
        <v/>
      </c>
      <c r="AV31" t="s">
        <v>265</v>
      </c>
      <c r="AW31" t="s">
        <v>266</v>
      </c>
    </row>
    <row r="32" spans="2:49" ht="12.75" customHeight="1" x14ac:dyDescent="0.2">
      <c r="B32" s="8"/>
      <c r="AV32" t="s">
        <v>267</v>
      </c>
      <c r="AW32" t="s">
        <v>268</v>
      </c>
    </row>
    <row r="33" spans="2:49" ht="12.75" customHeight="1" x14ac:dyDescent="0.2">
      <c r="B33" s="8" t="s">
        <v>269</v>
      </c>
      <c r="AV33" t="s">
        <v>270</v>
      </c>
      <c r="AW33" t="s">
        <v>271</v>
      </c>
    </row>
    <row r="34" spans="2:49" ht="16.5" thickBot="1" x14ac:dyDescent="0.25">
      <c r="B34" s="8"/>
      <c r="AV34" t="s">
        <v>272</v>
      </c>
      <c r="AW34" t="s">
        <v>270</v>
      </c>
    </row>
    <row r="35" spans="2:49" ht="12.75" customHeight="1" thickBot="1" x14ac:dyDescent="0.3">
      <c r="B35" s="677" t="s">
        <v>273</v>
      </c>
      <c r="C35" s="677"/>
      <c r="D35" s="561" t="str">
        <f ca="1">IF(COUNTIF(D36:D39,"◄")=0,"","Falta preencher a linha "&amp;MATCH("◄",D36:D39,0)+ROW(D35))</f>
        <v/>
      </c>
      <c r="AV35" t="s">
        <v>274</v>
      </c>
      <c r="AW35" t="s">
        <v>275</v>
      </c>
    </row>
    <row r="36" spans="2:49" x14ac:dyDescent="0.2">
      <c r="B36" s="13" t="s">
        <v>276</v>
      </c>
      <c r="C36" s="34"/>
      <c r="D36" s="562" t="str" cm="1">
        <f t="array" aca="1" ref="D36" ca="1">IF(AND(TIPOORCAMENTO="Licitado",OFFSET(D36,0,-1)=""),"◄","")</f>
        <v/>
      </c>
      <c r="AV36" t="s">
        <v>277</v>
      </c>
      <c r="AW36" t="s">
        <v>278</v>
      </c>
    </row>
    <row r="37" spans="2:49" x14ac:dyDescent="0.2">
      <c r="B37" s="15" t="s">
        <v>279</v>
      </c>
      <c r="C37" s="16"/>
      <c r="D37" s="562" t="str" cm="1">
        <f t="array" aca="1" ref="D37" ca="1">IF(AND(TIPOORCAMENTO="Licitado",OFFSET(D37,0,-1)=""),"◄","")</f>
        <v/>
      </c>
      <c r="AV37" t="s">
        <v>280</v>
      </c>
      <c r="AW37" t="s">
        <v>281</v>
      </c>
    </row>
    <row r="38" spans="2:49" x14ac:dyDescent="0.2">
      <c r="B38" s="17" t="s">
        <v>282</v>
      </c>
      <c r="C38" s="18"/>
      <c r="D38" s="562" t="str" cm="1">
        <f t="array" aca="1" ref="D38" ca="1">IF(AND(TIPOORCAMENTO="Licitado",OFFSET(D38,0,-1)=""),"◄","")</f>
        <v/>
      </c>
      <c r="AV38" t="s">
        <v>283</v>
      </c>
      <c r="AW38" t="s">
        <v>284</v>
      </c>
    </row>
    <row r="39" spans="2:49" x14ac:dyDescent="0.2">
      <c r="B39" s="17" t="s">
        <v>285</v>
      </c>
      <c r="C39" s="18"/>
      <c r="D39" s="562" t="str" cm="1">
        <f t="array" aca="1" ref="D39" ca="1">IF(AND(TIPOORCAMENTO="Licitado",OFFSET(D39,0,-1)=""),"◄","")</f>
        <v/>
      </c>
      <c r="AV39" t="s">
        <v>286</v>
      </c>
      <c r="AW39" t="s">
        <v>287</v>
      </c>
    </row>
    <row r="40" spans="2:49" x14ac:dyDescent="0.2">
      <c r="B40" s="17" t="s">
        <v>288</v>
      </c>
      <c r="C40" s="27" t="s">
        <v>139</v>
      </c>
      <c r="D40" s="562" t="str" cm="1">
        <f t="array" aca="1" ref="D40" ca="1">IF(AND(TIPOORCAMENTO="Licitado",OR(OFFSET(D40,0,-1)="",OFFSET(D40,0,-1)="(SELECIONAR)")),"◄","")</f>
        <v/>
      </c>
      <c r="AV40" t="s">
        <v>289</v>
      </c>
      <c r="AW40" t="s">
        <v>290</v>
      </c>
    </row>
    <row r="41" spans="2:49" ht="13.5" thickBot="1" x14ac:dyDescent="0.25">
      <c r="B41" s="28" t="s">
        <v>291</v>
      </c>
      <c r="C41" s="35"/>
      <c r="D41" s="562" t="str" cm="1">
        <f t="array" aca="1" ref="D41" ca="1">IF(AND(TIPOORCAMENTO="Licitado",OFFSET(D41,0,-1)=""),"◄","")</f>
        <v/>
      </c>
      <c r="AV41" t="s">
        <v>292</v>
      </c>
      <c r="AW41" t="s">
        <v>293</v>
      </c>
    </row>
    <row r="42" spans="2:49" ht="15.75" x14ac:dyDescent="0.2">
      <c r="B42" s="8"/>
      <c r="AV42" t="s">
        <v>294</v>
      </c>
      <c r="AW42" t="s">
        <v>295</v>
      </c>
    </row>
    <row r="43" spans="2:49" ht="12.75" customHeight="1" x14ac:dyDescent="0.2">
      <c r="B43" s="8"/>
      <c r="AV43" t="s">
        <v>296</v>
      </c>
      <c r="AW43" t="s">
        <v>297</v>
      </c>
    </row>
    <row r="44" spans="2:49" ht="12.75" customHeight="1" x14ac:dyDescent="0.2">
      <c r="B44" s="8" t="s">
        <v>298</v>
      </c>
      <c r="AV44" t="s">
        <v>299</v>
      </c>
      <c r="AW44" t="s">
        <v>300</v>
      </c>
    </row>
    <row r="45" spans="2:49" ht="16.5" thickBot="1" x14ac:dyDescent="0.25">
      <c r="B45" s="8"/>
      <c r="AV45" t="s">
        <v>301</v>
      </c>
      <c r="AW45" t="s">
        <v>302</v>
      </c>
    </row>
    <row r="46" spans="2:49" ht="12.75" customHeight="1" thickBot="1" x14ac:dyDescent="0.3">
      <c r="B46" s="677" t="s">
        <v>303</v>
      </c>
      <c r="C46" s="677"/>
      <c r="D46" s="561" t="str">
        <f ca="1">IF(COUNTIF(D47:D48,"◄")=0,"","Falta preencher a linha "&amp;MATCH("◄",D47:D48,0)+ROW(D46))</f>
        <v/>
      </c>
      <c r="AV46" t="s">
        <v>304</v>
      </c>
      <c r="AW46" t="s">
        <v>305</v>
      </c>
    </row>
    <row r="47" spans="2:49" x14ac:dyDescent="0.2">
      <c r="B47" s="13" t="s">
        <v>306</v>
      </c>
      <c r="C47" s="34"/>
      <c r="D47" s="562" t="str" cm="1">
        <f t="array" aca="1" ref="D47" ca="1">IF(AND(TIPOORCAMENTO="Licitado",OFFSET(D47,0,-1)="",IFERROR(RRE!$O$28,0)&gt;0),"◄","")</f>
        <v/>
      </c>
      <c r="AV47" t="s">
        <v>307</v>
      </c>
      <c r="AW47" t="s">
        <v>308</v>
      </c>
    </row>
    <row r="48" spans="2:49" ht="13.5" thickBot="1" x14ac:dyDescent="0.25">
      <c r="B48" s="28" t="s">
        <v>309</v>
      </c>
      <c r="C48" s="36"/>
      <c r="D48" s="562" t="str" cm="1">
        <f t="array" aca="1" ref="D48" ca="1">IF(AND(TIPOORCAMENTO="Licitado",OFFSET(D48,0,-1)="",IFERROR(RRE!$O$28,0)&gt;0),"◄","")</f>
        <v/>
      </c>
      <c r="AV48" t="s">
        <v>310</v>
      </c>
      <c r="AW48" t="s">
        <v>311</v>
      </c>
    </row>
    <row r="49" spans="2:49" ht="16.5" thickBot="1" x14ac:dyDescent="0.25">
      <c r="B49" s="8"/>
      <c r="AV49" t="s">
        <v>312</v>
      </c>
      <c r="AW49" t="s">
        <v>313</v>
      </c>
    </row>
    <row r="50" spans="2:49" ht="12.75" customHeight="1" thickBot="1" x14ac:dyDescent="0.3">
      <c r="B50" s="677" t="s">
        <v>314</v>
      </c>
      <c r="C50" s="677"/>
      <c r="D50" s="561" t="str">
        <f ca="1">IF(COUNTIF(D51:D54,"◄")=0,"","Falta preencher a linha "&amp;MATCH("◄",D51:D54,0)+ROW(D50))</f>
        <v/>
      </c>
      <c r="AV50" t="s">
        <v>315</v>
      </c>
      <c r="AW50" t="s">
        <v>316</v>
      </c>
    </row>
    <row r="51" spans="2:49" x14ac:dyDescent="0.2">
      <c r="B51" s="13" t="s">
        <v>240</v>
      </c>
      <c r="C51" s="37" t="s">
        <v>1009</v>
      </c>
      <c r="D51" s="562" t="str" cm="1">
        <f t="array" aca="1" ref="D51" ca="1">IF(AND(TIPOORCAMENTO="Licitado",OFFSET(D51,0,-1)="",IFERROR(RRE!$O$28,0)&gt;0),"◄","")</f>
        <v/>
      </c>
      <c r="AV51" t="s">
        <v>317</v>
      </c>
      <c r="AW51" t="s">
        <v>318</v>
      </c>
    </row>
    <row r="52" spans="2:49" x14ac:dyDescent="0.2">
      <c r="B52" s="17" t="s">
        <v>319</v>
      </c>
      <c r="C52" s="18" t="s">
        <v>1007</v>
      </c>
      <c r="D52" s="562" t="str" cm="1">
        <f t="array" aca="1" ref="D52" ca="1">IF(AND(TIPOORCAMENTO="Licitado",OFFSET(D52,0,-1)="",IFERROR(RRE!$O$28,0)&gt;0),"◄","")</f>
        <v/>
      </c>
      <c r="AV52" t="s">
        <v>320</v>
      </c>
      <c r="AW52" t="s">
        <v>321</v>
      </c>
    </row>
    <row r="53" spans="2:49" x14ac:dyDescent="0.2">
      <c r="B53" s="17" t="s">
        <v>322</v>
      </c>
      <c r="C53" s="18" t="s">
        <v>1008</v>
      </c>
      <c r="D53" s="562" t="str" cm="1">
        <f t="array" aca="1" ref="D53" ca="1">IF(AND(TIPOORCAMENTO="Licitado",OFFSET(D53,0,-1)="",IFERROR(RRE!$O$28,0)&gt;0),"◄","")</f>
        <v/>
      </c>
      <c r="AV53" t="s">
        <v>323</v>
      </c>
      <c r="AW53" t="s">
        <v>324</v>
      </c>
    </row>
    <row r="54" spans="2:49" ht="13.5" thickBot="1" x14ac:dyDescent="0.25">
      <c r="B54" s="21" t="s">
        <v>325</v>
      </c>
      <c r="C54" s="38" t="s">
        <v>1075</v>
      </c>
      <c r="D54" s="562" t="str" cm="1">
        <f t="array" aca="1" ref="D54" ca="1">IF(AND(TIPOORCAMENTO="Licitado",OFFSET(D54,0,-1)="",IFERROR(RRE!$O$28,0)&gt;0),"◄","")</f>
        <v/>
      </c>
      <c r="AV54" t="s">
        <v>326</v>
      </c>
      <c r="AW54" t="s">
        <v>327</v>
      </c>
    </row>
    <row r="55" spans="2:49" x14ac:dyDescent="0.2">
      <c r="C55" s="30"/>
      <c r="AV55" t="s">
        <v>328</v>
      </c>
      <c r="AW55" t="s">
        <v>329</v>
      </c>
    </row>
    <row r="56" spans="2:49" x14ac:dyDescent="0.2">
      <c r="AV56" t="s">
        <v>330</v>
      </c>
      <c r="AW56" t="s">
        <v>331</v>
      </c>
    </row>
    <row r="57" spans="2:49" ht="15.75" x14ac:dyDescent="0.2">
      <c r="B57" s="8" t="s">
        <v>332</v>
      </c>
      <c r="AV57" t="s">
        <v>333</v>
      </c>
      <c r="AW57" t="s">
        <v>334</v>
      </c>
    </row>
    <row r="58" spans="2:49" ht="16.5" thickBot="1" x14ac:dyDescent="0.25">
      <c r="B58" s="8"/>
      <c r="AV58" t="s">
        <v>335</v>
      </c>
      <c r="AW58" t="s">
        <v>336</v>
      </c>
    </row>
    <row r="59" spans="2:49" ht="15.75" thickBot="1" x14ac:dyDescent="0.25">
      <c r="B59" s="677" t="s">
        <v>337</v>
      </c>
      <c r="C59" s="677"/>
      <c r="AV59" t="s">
        <v>338</v>
      </c>
      <c r="AW59" t="s">
        <v>339</v>
      </c>
    </row>
    <row r="60" spans="2:49" x14ac:dyDescent="0.2">
      <c r="B60" s="13" t="s">
        <v>240</v>
      </c>
      <c r="C60" s="37"/>
      <c r="AV60" t="s">
        <v>340</v>
      </c>
      <c r="AW60" t="s">
        <v>341</v>
      </c>
    </row>
    <row r="61" spans="2:49" ht="13.5" thickBot="1" x14ac:dyDescent="0.25">
      <c r="B61" s="28" t="s">
        <v>342</v>
      </c>
      <c r="C61" s="39"/>
      <c r="AV61" t="s">
        <v>343</v>
      </c>
      <c r="AW61" t="s">
        <v>344</v>
      </c>
    </row>
    <row r="62" spans="2:49" x14ac:dyDescent="0.2">
      <c r="AV62" t="s">
        <v>345</v>
      </c>
      <c r="AW62" t="s">
        <v>346</v>
      </c>
    </row>
    <row r="63" spans="2:49" x14ac:dyDescent="0.2">
      <c r="AV63" t="s">
        <v>347</v>
      </c>
      <c r="AW63" t="s">
        <v>348</v>
      </c>
    </row>
    <row r="64" spans="2:49" x14ac:dyDescent="0.2">
      <c r="AV64" t="s">
        <v>349</v>
      </c>
      <c r="AW64" t="s">
        <v>350</v>
      </c>
    </row>
    <row r="65" spans="48:49" x14ac:dyDescent="0.2">
      <c r="AV65" t="s">
        <v>351</v>
      </c>
      <c r="AW65" t="s">
        <v>352</v>
      </c>
    </row>
    <row r="66" spans="48:49" x14ac:dyDescent="0.2">
      <c r="AV66" t="s">
        <v>353</v>
      </c>
      <c r="AW66" t="s">
        <v>354</v>
      </c>
    </row>
    <row r="67" spans="48:49" x14ac:dyDescent="0.2">
      <c r="AV67" t="s">
        <v>355</v>
      </c>
      <c r="AW67" t="s">
        <v>356</v>
      </c>
    </row>
    <row r="68" spans="48:49" x14ac:dyDescent="0.2">
      <c r="AV68" t="s">
        <v>357</v>
      </c>
      <c r="AW68" t="s">
        <v>358</v>
      </c>
    </row>
    <row r="69" spans="48:49" x14ac:dyDescent="0.2">
      <c r="AV69" t="s">
        <v>359</v>
      </c>
      <c r="AW69" t="s">
        <v>360</v>
      </c>
    </row>
    <row r="70" spans="48:49" x14ac:dyDescent="0.2">
      <c r="AV70" t="s">
        <v>361</v>
      </c>
      <c r="AW70" t="s">
        <v>362</v>
      </c>
    </row>
    <row r="71" spans="48:49" x14ac:dyDescent="0.2">
      <c r="AV71" t="s">
        <v>363</v>
      </c>
      <c r="AW71" t="s">
        <v>364</v>
      </c>
    </row>
    <row r="72" spans="48:49" x14ac:dyDescent="0.2">
      <c r="AV72" t="s">
        <v>365</v>
      </c>
      <c r="AW72" t="s">
        <v>366</v>
      </c>
    </row>
    <row r="73" spans="48:49" x14ac:dyDescent="0.2">
      <c r="AV73" t="s">
        <v>367</v>
      </c>
      <c r="AW73" t="s">
        <v>368</v>
      </c>
    </row>
    <row r="74" spans="48:49" x14ac:dyDescent="0.2">
      <c r="AV74" t="s">
        <v>369</v>
      </c>
      <c r="AW74" t="s">
        <v>370</v>
      </c>
    </row>
    <row r="75" spans="48:49" x14ac:dyDescent="0.2">
      <c r="AV75" t="s">
        <v>371</v>
      </c>
      <c r="AW75" t="s">
        <v>372</v>
      </c>
    </row>
    <row r="76" spans="48:49" x14ac:dyDescent="0.2">
      <c r="AV76" t="s">
        <v>373</v>
      </c>
      <c r="AW76" t="s">
        <v>374</v>
      </c>
    </row>
    <row r="77" spans="48:49" x14ac:dyDescent="0.2">
      <c r="AV77" t="s">
        <v>375</v>
      </c>
      <c r="AW77" t="s">
        <v>376</v>
      </c>
    </row>
    <row r="78" spans="48:49" x14ac:dyDescent="0.2">
      <c r="AV78" t="s">
        <v>377</v>
      </c>
      <c r="AW78" t="s">
        <v>378</v>
      </c>
    </row>
    <row r="79" spans="48:49" x14ac:dyDescent="0.2">
      <c r="AV79" t="s">
        <v>379</v>
      </c>
      <c r="AW79" t="s">
        <v>380</v>
      </c>
    </row>
    <row r="80" spans="48:49" x14ac:dyDescent="0.2">
      <c r="AV80" t="s">
        <v>381</v>
      </c>
      <c r="AW80" t="s">
        <v>382</v>
      </c>
    </row>
    <row r="81" spans="48:49" x14ac:dyDescent="0.2">
      <c r="AV81" t="s">
        <v>383</v>
      </c>
      <c r="AW81" t="s">
        <v>384</v>
      </c>
    </row>
    <row r="82" spans="48:49" x14ac:dyDescent="0.2">
      <c r="AV82" t="s">
        <v>385</v>
      </c>
      <c r="AW82" t="s">
        <v>386</v>
      </c>
    </row>
    <row r="83" spans="48:49" x14ac:dyDescent="0.2">
      <c r="AV83" t="s">
        <v>387</v>
      </c>
      <c r="AW83" t="s">
        <v>388</v>
      </c>
    </row>
    <row r="84" spans="48:49" x14ac:dyDescent="0.2">
      <c r="AV84" t="s">
        <v>389</v>
      </c>
      <c r="AW84" t="s">
        <v>390</v>
      </c>
    </row>
    <row r="85" spans="48:49" x14ac:dyDescent="0.2">
      <c r="AV85" t="s">
        <v>391</v>
      </c>
      <c r="AW85" t="s">
        <v>392</v>
      </c>
    </row>
    <row r="86" spans="48:49" x14ac:dyDescent="0.2">
      <c r="AV86" t="s">
        <v>393</v>
      </c>
      <c r="AW86" t="s">
        <v>394</v>
      </c>
    </row>
    <row r="87" spans="48:49" x14ac:dyDescent="0.2">
      <c r="AV87" t="s">
        <v>395</v>
      </c>
      <c r="AW87" t="s">
        <v>396</v>
      </c>
    </row>
    <row r="88" spans="48:49" x14ac:dyDescent="0.2">
      <c r="AV88" t="s">
        <v>397</v>
      </c>
      <c r="AW88" t="s">
        <v>398</v>
      </c>
    </row>
    <row r="89" spans="48:49" x14ac:dyDescent="0.2">
      <c r="AV89" t="s">
        <v>399</v>
      </c>
      <c r="AW89" t="s">
        <v>400</v>
      </c>
    </row>
    <row r="90" spans="48:49" x14ac:dyDescent="0.2">
      <c r="AV90" t="s">
        <v>401</v>
      </c>
      <c r="AW90" t="s">
        <v>402</v>
      </c>
    </row>
    <row r="91" spans="48:49" x14ac:dyDescent="0.2">
      <c r="AV91" t="s">
        <v>403</v>
      </c>
      <c r="AW91" t="s">
        <v>404</v>
      </c>
    </row>
    <row r="92" spans="48:49" x14ac:dyDescent="0.2">
      <c r="AV92" t="s">
        <v>405</v>
      </c>
      <c r="AW92" t="s">
        <v>406</v>
      </c>
    </row>
    <row r="93" spans="48:49" x14ac:dyDescent="0.2">
      <c r="AV93" t="s">
        <v>407</v>
      </c>
      <c r="AW93" t="s">
        <v>408</v>
      </c>
    </row>
    <row r="94" spans="48:49" x14ac:dyDescent="0.2">
      <c r="AV94" t="s">
        <v>409</v>
      </c>
      <c r="AW94" t="s">
        <v>410</v>
      </c>
    </row>
    <row r="95" spans="48:49" x14ac:dyDescent="0.2">
      <c r="AV95" t="s">
        <v>411</v>
      </c>
      <c r="AW95" t="s">
        <v>411</v>
      </c>
    </row>
    <row r="96" spans="48:49" x14ac:dyDescent="0.2">
      <c r="AV96" t="s">
        <v>412</v>
      </c>
      <c r="AW96" t="s">
        <v>413</v>
      </c>
    </row>
    <row r="97" spans="48:49" x14ac:dyDescent="0.2">
      <c r="AV97" t="s">
        <v>414</v>
      </c>
      <c r="AW97" t="s">
        <v>415</v>
      </c>
    </row>
    <row r="98" spans="48:49" x14ac:dyDescent="0.2">
      <c r="AV98" t="s">
        <v>416</v>
      </c>
      <c r="AW98" t="s">
        <v>416</v>
      </c>
    </row>
    <row r="99" spans="48:49" x14ac:dyDescent="0.2">
      <c r="AV99" t="s">
        <v>417</v>
      </c>
      <c r="AW99" t="s">
        <v>417</v>
      </c>
    </row>
    <row r="100" spans="48:49" x14ac:dyDescent="0.2">
      <c r="AV100" t="s">
        <v>417</v>
      </c>
      <c r="AW100" t="s">
        <v>417</v>
      </c>
    </row>
    <row r="101" spans="48:49" x14ac:dyDescent="0.2">
      <c r="AV101" t="s">
        <v>418</v>
      </c>
      <c r="AW101" t="s">
        <v>419</v>
      </c>
    </row>
    <row r="102" spans="48:49" x14ac:dyDescent="0.2">
      <c r="AV102" t="s">
        <v>420</v>
      </c>
      <c r="AW102" t="s">
        <v>421</v>
      </c>
    </row>
    <row r="103" spans="48:49" x14ac:dyDescent="0.2">
      <c r="AV103" t="s">
        <v>422</v>
      </c>
      <c r="AW103" t="s">
        <v>423</v>
      </c>
    </row>
    <row r="104" spans="48:49" x14ac:dyDescent="0.2">
      <c r="AV104" t="s">
        <v>424</v>
      </c>
      <c r="AW104" t="s">
        <v>425</v>
      </c>
    </row>
    <row r="105" spans="48:49" x14ac:dyDescent="0.2">
      <c r="AV105" t="s">
        <v>426</v>
      </c>
      <c r="AW105" t="s">
        <v>427</v>
      </c>
    </row>
    <row r="106" spans="48:49" x14ac:dyDescent="0.2">
      <c r="AV106" t="s">
        <v>428</v>
      </c>
      <c r="AW106" t="s">
        <v>429</v>
      </c>
    </row>
    <row r="107" spans="48:49" x14ac:dyDescent="0.2">
      <c r="AV107" t="s">
        <v>430</v>
      </c>
      <c r="AW107" t="s">
        <v>431</v>
      </c>
    </row>
    <row r="108" spans="48:49" x14ac:dyDescent="0.2">
      <c r="AV108" t="s">
        <v>432</v>
      </c>
      <c r="AW108" t="s">
        <v>433</v>
      </c>
    </row>
    <row r="109" spans="48:49" x14ac:dyDescent="0.2">
      <c r="AV109" t="s">
        <v>434</v>
      </c>
      <c r="AW109" t="s">
        <v>435</v>
      </c>
    </row>
    <row r="110" spans="48:49" x14ac:dyDescent="0.2">
      <c r="AV110" t="s">
        <v>436</v>
      </c>
      <c r="AW110" t="s">
        <v>437</v>
      </c>
    </row>
    <row r="111" spans="48:49" x14ac:dyDescent="0.2">
      <c r="AV111" t="s">
        <v>438</v>
      </c>
      <c r="AW111" t="s">
        <v>439</v>
      </c>
    </row>
    <row r="112" spans="48:49" x14ac:dyDescent="0.2">
      <c r="AV112" t="s">
        <v>440</v>
      </c>
      <c r="AW112" t="s">
        <v>441</v>
      </c>
    </row>
    <row r="113" spans="48:49" x14ac:dyDescent="0.2">
      <c r="AV113" t="s">
        <v>442</v>
      </c>
      <c r="AW113" t="s">
        <v>443</v>
      </c>
    </row>
    <row r="114" spans="48:49" x14ac:dyDescent="0.2">
      <c r="AV114" t="s">
        <v>444</v>
      </c>
      <c r="AW114" t="s">
        <v>445</v>
      </c>
    </row>
    <row r="115" spans="48:49" x14ac:dyDescent="0.2">
      <c r="AV115" t="s">
        <v>446</v>
      </c>
      <c r="AW115" t="s">
        <v>447</v>
      </c>
    </row>
    <row r="116" spans="48:49" x14ac:dyDescent="0.2">
      <c r="AV116" t="s">
        <v>448</v>
      </c>
      <c r="AW116" t="s">
        <v>449</v>
      </c>
    </row>
    <row r="117" spans="48:49" x14ac:dyDescent="0.2">
      <c r="AV117" t="s">
        <v>450</v>
      </c>
      <c r="AW117" t="s">
        <v>451</v>
      </c>
    </row>
    <row r="118" spans="48:49" x14ac:dyDescent="0.2">
      <c r="AV118" t="s">
        <v>452</v>
      </c>
      <c r="AW118" t="s">
        <v>453</v>
      </c>
    </row>
    <row r="119" spans="48:49" x14ac:dyDescent="0.2">
      <c r="AV119" t="s">
        <v>454</v>
      </c>
      <c r="AW119" t="s">
        <v>454</v>
      </c>
    </row>
    <row r="120" spans="48:49" x14ac:dyDescent="0.2">
      <c r="AV120" t="s">
        <v>455</v>
      </c>
      <c r="AW120" t="s">
        <v>455</v>
      </c>
    </row>
    <row r="121" spans="48:49" x14ac:dyDescent="0.2">
      <c r="AV121" t="s">
        <v>456</v>
      </c>
      <c r="AW121" t="s">
        <v>457</v>
      </c>
    </row>
    <row r="122" spans="48:49" x14ac:dyDescent="0.2">
      <c r="AV122" t="s">
        <v>458</v>
      </c>
      <c r="AW122" t="s">
        <v>459</v>
      </c>
    </row>
    <row r="123" spans="48:49" x14ac:dyDescent="0.2">
      <c r="AV123" t="s">
        <v>460</v>
      </c>
      <c r="AW123" t="s">
        <v>461</v>
      </c>
    </row>
    <row r="124" spans="48:49" x14ac:dyDescent="0.2">
      <c r="AV124" t="s">
        <v>462</v>
      </c>
      <c r="AW124" t="s">
        <v>463</v>
      </c>
    </row>
    <row r="125" spans="48:49" x14ac:dyDescent="0.2">
      <c r="AV125" t="s">
        <v>464</v>
      </c>
      <c r="AW125" t="s">
        <v>465</v>
      </c>
    </row>
    <row r="126" spans="48:49" x14ac:dyDescent="0.2">
      <c r="AV126" t="s">
        <v>466</v>
      </c>
      <c r="AW126" t="s">
        <v>467</v>
      </c>
    </row>
    <row r="127" spans="48:49" x14ac:dyDescent="0.2">
      <c r="AV127" t="s">
        <v>468</v>
      </c>
      <c r="AW127" t="s">
        <v>469</v>
      </c>
    </row>
    <row r="128" spans="48:49" x14ac:dyDescent="0.2">
      <c r="AV128" t="s">
        <v>470</v>
      </c>
      <c r="AW128" t="s">
        <v>471</v>
      </c>
    </row>
    <row r="129" spans="48:49" x14ac:dyDescent="0.2">
      <c r="AV129" t="s">
        <v>472</v>
      </c>
      <c r="AW129" t="s">
        <v>473</v>
      </c>
    </row>
    <row r="130" spans="48:49" x14ac:dyDescent="0.2">
      <c r="AV130" t="s">
        <v>474</v>
      </c>
      <c r="AW130" t="s">
        <v>475</v>
      </c>
    </row>
    <row r="131" spans="48:49" x14ac:dyDescent="0.2">
      <c r="AV131" t="s">
        <v>476</v>
      </c>
      <c r="AW131" t="s">
        <v>477</v>
      </c>
    </row>
    <row r="132" spans="48:49" x14ac:dyDescent="0.2">
      <c r="AV132" t="s">
        <v>478</v>
      </c>
      <c r="AW132" t="s">
        <v>479</v>
      </c>
    </row>
    <row r="133" spans="48:49" x14ac:dyDescent="0.2">
      <c r="AV133" t="s">
        <v>480</v>
      </c>
      <c r="AW133" t="s">
        <v>481</v>
      </c>
    </row>
    <row r="134" spans="48:49" x14ac:dyDescent="0.2">
      <c r="AV134" t="s">
        <v>482</v>
      </c>
      <c r="AW134" t="s">
        <v>483</v>
      </c>
    </row>
    <row r="135" spans="48:49" x14ac:dyDescent="0.2">
      <c r="AV135" t="s">
        <v>484</v>
      </c>
      <c r="AW135" t="s">
        <v>485</v>
      </c>
    </row>
    <row r="136" spans="48:49" x14ac:dyDescent="0.2">
      <c r="AV136" t="s">
        <v>486</v>
      </c>
      <c r="AW136" t="s">
        <v>487</v>
      </c>
    </row>
    <row r="137" spans="48:49" x14ac:dyDescent="0.2">
      <c r="AV137" t="s">
        <v>488</v>
      </c>
      <c r="AW137" t="s">
        <v>489</v>
      </c>
    </row>
    <row r="138" spans="48:49" x14ac:dyDescent="0.2">
      <c r="AV138" t="s">
        <v>490</v>
      </c>
      <c r="AW138" t="s">
        <v>491</v>
      </c>
    </row>
    <row r="139" spans="48:49" x14ac:dyDescent="0.2">
      <c r="AV139" t="s">
        <v>492</v>
      </c>
      <c r="AW139" t="s">
        <v>493</v>
      </c>
    </row>
    <row r="140" spans="48:49" x14ac:dyDescent="0.2">
      <c r="AV140" t="s">
        <v>494</v>
      </c>
      <c r="AW140" t="s">
        <v>495</v>
      </c>
    </row>
    <row r="141" spans="48:49" x14ac:dyDescent="0.2">
      <c r="AV141" t="s">
        <v>496</v>
      </c>
      <c r="AW141" t="s">
        <v>497</v>
      </c>
    </row>
    <row r="142" spans="48:49" x14ac:dyDescent="0.2">
      <c r="AV142" t="s">
        <v>498</v>
      </c>
      <c r="AW142" t="s">
        <v>499</v>
      </c>
    </row>
    <row r="143" spans="48:49" x14ac:dyDescent="0.2">
      <c r="AV143" t="s">
        <v>483</v>
      </c>
      <c r="AW143" t="s">
        <v>483</v>
      </c>
    </row>
    <row r="144" spans="48:49" x14ac:dyDescent="0.2">
      <c r="AV144" t="s">
        <v>500</v>
      </c>
      <c r="AW144" t="s">
        <v>500</v>
      </c>
    </row>
    <row r="145" spans="48:49" x14ac:dyDescent="0.2">
      <c r="AV145" t="s">
        <v>501</v>
      </c>
      <c r="AW145" t="s">
        <v>501</v>
      </c>
    </row>
    <row r="146" spans="48:49" x14ac:dyDescent="0.2">
      <c r="AV146" t="s">
        <v>502</v>
      </c>
      <c r="AW146" t="s">
        <v>487</v>
      </c>
    </row>
    <row r="147" spans="48:49" x14ac:dyDescent="0.2">
      <c r="AV147" t="s">
        <v>503</v>
      </c>
      <c r="AW147" t="s">
        <v>504</v>
      </c>
    </row>
    <row r="148" spans="48:49" x14ac:dyDescent="0.2">
      <c r="AV148" t="s">
        <v>505</v>
      </c>
      <c r="AW148" t="s">
        <v>506</v>
      </c>
    </row>
    <row r="149" spans="48:49" x14ac:dyDescent="0.2">
      <c r="AV149" t="s">
        <v>507</v>
      </c>
      <c r="AW149" t="s">
        <v>508</v>
      </c>
    </row>
    <row r="150" spans="48:49" x14ac:dyDescent="0.2">
      <c r="AV150" t="s">
        <v>507</v>
      </c>
      <c r="AW150" t="s">
        <v>508</v>
      </c>
    </row>
    <row r="151" spans="48:49" x14ac:dyDescent="0.2">
      <c r="AV151" t="s">
        <v>509</v>
      </c>
      <c r="AW151" t="s">
        <v>509</v>
      </c>
    </row>
    <row r="152" spans="48:49" x14ac:dyDescent="0.2">
      <c r="AV152" t="s">
        <v>510</v>
      </c>
      <c r="AW152" t="s">
        <v>511</v>
      </c>
    </row>
    <row r="153" spans="48:49" x14ac:dyDescent="0.2">
      <c r="AV153" t="s">
        <v>512</v>
      </c>
      <c r="AW153" t="s">
        <v>513</v>
      </c>
    </row>
    <row r="154" spans="48:49" x14ac:dyDescent="0.2">
      <c r="AV154" t="s">
        <v>514</v>
      </c>
      <c r="AW154" t="s">
        <v>515</v>
      </c>
    </row>
    <row r="155" spans="48:49" x14ac:dyDescent="0.2">
      <c r="AV155" t="s">
        <v>516</v>
      </c>
      <c r="AW155" t="s">
        <v>517</v>
      </c>
    </row>
    <row r="156" spans="48:49" x14ac:dyDescent="0.2">
      <c r="AV156" t="s">
        <v>518</v>
      </c>
      <c r="AW156" t="s">
        <v>519</v>
      </c>
    </row>
    <row r="157" spans="48:49" x14ac:dyDescent="0.2">
      <c r="AV157" t="s">
        <v>520</v>
      </c>
      <c r="AW157" t="s">
        <v>521</v>
      </c>
    </row>
    <row r="158" spans="48:49" x14ac:dyDescent="0.2">
      <c r="AV158" t="s">
        <v>522</v>
      </c>
      <c r="AW158" t="s">
        <v>523</v>
      </c>
    </row>
    <row r="159" spans="48:49" x14ac:dyDescent="0.2">
      <c r="AV159" t="s">
        <v>524</v>
      </c>
      <c r="AW159" t="s">
        <v>525</v>
      </c>
    </row>
    <row r="160" spans="48:49" x14ac:dyDescent="0.2">
      <c r="AV160" t="s">
        <v>526</v>
      </c>
      <c r="AW160" t="s">
        <v>527</v>
      </c>
    </row>
    <row r="161" spans="48:49" x14ac:dyDescent="0.2">
      <c r="AV161" t="s">
        <v>528</v>
      </c>
      <c r="AW161" t="s">
        <v>529</v>
      </c>
    </row>
    <row r="162" spans="48:49" x14ac:dyDescent="0.2">
      <c r="AV162" t="s">
        <v>530</v>
      </c>
      <c r="AW162" t="s">
        <v>531</v>
      </c>
    </row>
    <row r="163" spans="48:49" x14ac:dyDescent="0.2">
      <c r="AV163" t="s">
        <v>532</v>
      </c>
      <c r="AW163" t="s">
        <v>533</v>
      </c>
    </row>
    <row r="164" spans="48:49" x14ac:dyDescent="0.2">
      <c r="AV164" t="s">
        <v>534</v>
      </c>
      <c r="AW164" t="s">
        <v>535</v>
      </c>
    </row>
    <row r="165" spans="48:49" x14ac:dyDescent="0.2">
      <c r="AV165" t="s">
        <v>536</v>
      </c>
      <c r="AW165" t="s">
        <v>537</v>
      </c>
    </row>
    <row r="166" spans="48:49" x14ac:dyDescent="0.2">
      <c r="AV166" t="s">
        <v>538</v>
      </c>
      <c r="AW166" t="s">
        <v>538</v>
      </c>
    </row>
    <row r="167" spans="48:49" x14ac:dyDescent="0.2">
      <c r="AV167" t="s">
        <v>539</v>
      </c>
      <c r="AW167" t="s">
        <v>540</v>
      </c>
    </row>
    <row r="168" spans="48:49" x14ac:dyDescent="0.2">
      <c r="AV168" t="s">
        <v>541</v>
      </c>
      <c r="AW168" t="s">
        <v>542</v>
      </c>
    </row>
    <row r="169" spans="48:49" x14ac:dyDescent="0.2">
      <c r="AV169" t="s">
        <v>543</v>
      </c>
      <c r="AW169" t="s">
        <v>544</v>
      </c>
    </row>
    <row r="170" spans="48:49" x14ac:dyDescent="0.2">
      <c r="AV170" t="s">
        <v>545</v>
      </c>
      <c r="AW170" t="s">
        <v>546</v>
      </c>
    </row>
    <row r="171" spans="48:49" x14ac:dyDescent="0.2">
      <c r="AV171" t="s">
        <v>547</v>
      </c>
      <c r="AW171" t="s">
        <v>548</v>
      </c>
    </row>
    <row r="172" spans="48:49" x14ac:dyDescent="0.2">
      <c r="AV172" t="s">
        <v>549</v>
      </c>
      <c r="AW172" t="s">
        <v>550</v>
      </c>
    </row>
    <row r="173" spans="48:49" x14ac:dyDescent="0.2">
      <c r="AV173" t="s">
        <v>551</v>
      </c>
      <c r="AW173" t="s">
        <v>552</v>
      </c>
    </row>
    <row r="174" spans="48:49" x14ac:dyDescent="0.2">
      <c r="AV174" t="s">
        <v>553</v>
      </c>
      <c r="AW174" t="s">
        <v>554</v>
      </c>
    </row>
    <row r="175" spans="48:49" x14ac:dyDescent="0.2">
      <c r="AV175" t="s">
        <v>555</v>
      </c>
      <c r="AW175" t="s">
        <v>556</v>
      </c>
    </row>
    <row r="176" spans="48:49" x14ac:dyDescent="0.2">
      <c r="AV176" t="s">
        <v>557</v>
      </c>
      <c r="AW176" t="s">
        <v>558</v>
      </c>
    </row>
    <row r="177" spans="48:49" x14ac:dyDescent="0.2">
      <c r="AV177" t="s">
        <v>559</v>
      </c>
      <c r="AW177" t="s">
        <v>560</v>
      </c>
    </row>
    <row r="178" spans="48:49" x14ac:dyDescent="0.2">
      <c r="AV178" t="s">
        <v>561</v>
      </c>
      <c r="AW178" t="s">
        <v>562</v>
      </c>
    </row>
    <row r="179" spans="48:49" x14ac:dyDescent="0.2">
      <c r="AV179" t="s">
        <v>563</v>
      </c>
      <c r="AW179" t="s">
        <v>564</v>
      </c>
    </row>
    <row r="180" spans="48:49" x14ac:dyDescent="0.2">
      <c r="AV180" t="s">
        <v>565</v>
      </c>
      <c r="AW180" t="s">
        <v>566</v>
      </c>
    </row>
    <row r="181" spans="48:49" x14ac:dyDescent="0.2">
      <c r="AV181" t="s">
        <v>567</v>
      </c>
      <c r="AW181" t="s">
        <v>568</v>
      </c>
    </row>
    <row r="182" spans="48:49" x14ac:dyDescent="0.2">
      <c r="AV182" t="s">
        <v>569</v>
      </c>
      <c r="AW182" t="s">
        <v>570</v>
      </c>
    </row>
    <row r="183" spans="48:49" x14ac:dyDescent="0.2">
      <c r="AV183" t="s">
        <v>571</v>
      </c>
      <c r="AW183" t="s">
        <v>572</v>
      </c>
    </row>
    <row r="184" spans="48:49" x14ac:dyDescent="0.2">
      <c r="AV184" t="s">
        <v>573</v>
      </c>
      <c r="AW184" t="s">
        <v>574</v>
      </c>
    </row>
    <row r="185" spans="48:49" x14ac:dyDescent="0.2">
      <c r="AV185" t="s">
        <v>575</v>
      </c>
      <c r="AW185" t="s">
        <v>576</v>
      </c>
    </row>
    <row r="186" spans="48:49" x14ac:dyDescent="0.2">
      <c r="AV186" t="s">
        <v>577</v>
      </c>
      <c r="AW186" t="s">
        <v>578</v>
      </c>
    </row>
    <row r="187" spans="48:49" x14ac:dyDescent="0.2">
      <c r="AV187" t="s">
        <v>579</v>
      </c>
      <c r="AW187" t="s">
        <v>580</v>
      </c>
    </row>
    <row r="188" spans="48:49" x14ac:dyDescent="0.2">
      <c r="AV188" t="s">
        <v>581</v>
      </c>
      <c r="AW188" t="s">
        <v>582</v>
      </c>
    </row>
    <row r="189" spans="48:49" x14ac:dyDescent="0.2">
      <c r="AV189" t="s">
        <v>583</v>
      </c>
      <c r="AW189" t="s">
        <v>584</v>
      </c>
    </row>
    <row r="190" spans="48:49" x14ac:dyDescent="0.2">
      <c r="AV190" t="s">
        <v>585</v>
      </c>
      <c r="AW190" t="s">
        <v>586</v>
      </c>
    </row>
    <row r="191" spans="48:49" x14ac:dyDescent="0.2">
      <c r="AV191" t="s">
        <v>587</v>
      </c>
      <c r="AW191" t="s">
        <v>588</v>
      </c>
    </row>
    <row r="192" spans="48:49" x14ac:dyDescent="0.2">
      <c r="AV192" t="s">
        <v>589</v>
      </c>
      <c r="AW192" t="s">
        <v>590</v>
      </c>
    </row>
    <row r="193" spans="48:49" x14ac:dyDescent="0.2">
      <c r="AV193" t="s">
        <v>591</v>
      </c>
      <c r="AW193" t="s">
        <v>592</v>
      </c>
    </row>
    <row r="194" spans="48:49" x14ac:dyDescent="0.2">
      <c r="AV194" t="s">
        <v>593</v>
      </c>
      <c r="AW194" t="s">
        <v>594</v>
      </c>
    </row>
    <row r="195" spans="48:49" x14ac:dyDescent="0.2">
      <c r="AV195" t="s">
        <v>595</v>
      </c>
      <c r="AW195" t="s">
        <v>596</v>
      </c>
    </row>
    <row r="196" spans="48:49" x14ac:dyDescent="0.2">
      <c r="AV196" t="s">
        <v>597</v>
      </c>
      <c r="AW196" t="s">
        <v>598</v>
      </c>
    </row>
    <row r="197" spans="48:49" x14ac:dyDescent="0.2">
      <c r="AV197" t="s">
        <v>599</v>
      </c>
      <c r="AW197" t="s">
        <v>600</v>
      </c>
    </row>
    <row r="198" spans="48:49" x14ac:dyDescent="0.2">
      <c r="AV198" t="s">
        <v>601</v>
      </c>
      <c r="AW198" t="s">
        <v>602</v>
      </c>
    </row>
    <row r="199" spans="48:49" x14ac:dyDescent="0.2">
      <c r="AV199" t="s">
        <v>603</v>
      </c>
      <c r="AW199" t="s">
        <v>604</v>
      </c>
    </row>
    <row r="200" spans="48:49" x14ac:dyDescent="0.2">
      <c r="AV200" t="s">
        <v>605</v>
      </c>
      <c r="AW200" t="s">
        <v>606</v>
      </c>
    </row>
    <row r="201" spans="48:49" x14ac:dyDescent="0.2">
      <c r="AV201" t="s">
        <v>607</v>
      </c>
      <c r="AW201" t="s">
        <v>608</v>
      </c>
    </row>
    <row r="202" spans="48:49" x14ac:dyDescent="0.2">
      <c r="AV202" t="s">
        <v>609</v>
      </c>
      <c r="AW202" t="s">
        <v>610</v>
      </c>
    </row>
    <row r="203" spans="48:49" x14ac:dyDescent="0.2">
      <c r="AV203" t="s">
        <v>611</v>
      </c>
      <c r="AW203" t="s">
        <v>612</v>
      </c>
    </row>
    <row r="204" spans="48:49" x14ac:dyDescent="0.2">
      <c r="AV204" t="s">
        <v>613</v>
      </c>
      <c r="AW204" t="s">
        <v>614</v>
      </c>
    </row>
    <row r="205" spans="48:49" x14ac:dyDescent="0.2">
      <c r="AV205" t="s">
        <v>615</v>
      </c>
      <c r="AW205" t="s">
        <v>616</v>
      </c>
    </row>
    <row r="206" spans="48:49" x14ac:dyDescent="0.2">
      <c r="AV206" t="s">
        <v>617</v>
      </c>
      <c r="AW206" t="s">
        <v>618</v>
      </c>
    </row>
    <row r="207" spans="48:49" x14ac:dyDescent="0.2">
      <c r="AV207" t="s">
        <v>619</v>
      </c>
      <c r="AW207" t="s">
        <v>620</v>
      </c>
    </row>
    <row r="208" spans="48:49" x14ac:dyDescent="0.2">
      <c r="AV208" t="s">
        <v>621</v>
      </c>
      <c r="AW208" t="s">
        <v>622</v>
      </c>
    </row>
    <row r="209" spans="48:49" x14ac:dyDescent="0.2">
      <c r="AV209" t="s">
        <v>623</v>
      </c>
      <c r="AW209" t="s">
        <v>624</v>
      </c>
    </row>
    <row r="210" spans="48:49" x14ac:dyDescent="0.2">
      <c r="AV210" t="s">
        <v>625</v>
      </c>
      <c r="AW210" t="s">
        <v>626</v>
      </c>
    </row>
    <row r="211" spans="48:49" x14ac:dyDescent="0.2">
      <c r="AV211" t="s">
        <v>627</v>
      </c>
      <c r="AW211" t="s">
        <v>627</v>
      </c>
    </row>
    <row r="212" spans="48:49" x14ac:dyDescent="0.2">
      <c r="AV212" t="s">
        <v>628</v>
      </c>
      <c r="AW212" t="s">
        <v>628</v>
      </c>
    </row>
    <row r="213" spans="48:49" x14ac:dyDescent="0.2">
      <c r="AV213" t="s">
        <v>629</v>
      </c>
      <c r="AW213" t="s">
        <v>630</v>
      </c>
    </row>
    <row r="214" spans="48:49" x14ac:dyDescent="0.2">
      <c r="AV214" t="s">
        <v>631</v>
      </c>
      <c r="AW214" t="s">
        <v>630</v>
      </c>
    </row>
    <row r="215" spans="48:49" x14ac:dyDescent="0.2">
      <c r="AV215" t="s">
        <v>632</v>
      </c>
      <c r="AW215" t="s">
        <v>632</v>
      </c>
    </row>
    <row r="216" spans="48:49" x14ac:dyDescent="0.2">
      <c r="AV216" t="s">
        <v>633</v>
      </c>
      <c r="AW216" t="s">
        <v>633</v>
      </c>
    </row>
    <row r="217" spans="48:49" x14ac:dyDescent="0.2">
      <c r="AV217" t="s">
        <v>634</v>
      </c>
      <c r="AW217" t="s">
        <v>635</v>
      </c>
    </row>
    <row r="218" spans="48:49" x14ac:dyDescent="0.2">
      <c r="AV218" t="s">
        <v>636</v>
      </c>
      <c r="AW218" t="s">
        <v>637</v>
      </c>
    </row>
    <row r="219" spans="48:49" x14ac:dyDescent="0.2">
      <c r="AV219" t="s">
        <v>638</v>
      </c>
      <c r="AW219" t="s">
        <v>638</v>
      </c>
    </row>
    <row r="220" spans="48:49" x14ac:dyDescent="0.2">
      <c r="AV220" t="s">
        <v>639</v>
      </c>
      <c r="AW220" t="s">
        <v>640</v>
      </c>
    </row>
    <row r="222" spans="48:49" x14ac:dyDescent="0.2">
      <c r="AV222" s="518"/>
      <c r="AW222" s="83"/>
    </row>
  </sheetData>
  <sheetProtection algorithmName="SHA-512" hashValue="CAAMkF/UTElm12VBujw++P4mlEsujs8SlpadhazQZ+tISD1C/QBLDSYufSM9oe71iP7vLIf5vcYUosBU73kkSQ==" saltValue="jQ0Z7BE/QKyP8kHrZi2hbQ==" spinCount="100000" sheet="1" objects="1" scenarios="1" autoFilter="0"/>
  <sortState ref="AV2:AW220">
    <sortCondition ref="AV3:AV220"/>
  </sortState>
  <mergeCells count="9">
    <mergeCell ref="B50:C50"/>
    <mergeCell ref="B59:C59"/>
    <mergeCell ref="N1:AT1"/>
    <mergeCell ref="B3:C3"/>
    <mergeCell ref="B15:C15"/>
    <mergeCell ref="B21:C21"/>
    <mergeCell ref="B27:C27"/>
    <mergeCell ref="B35:C35"/>
    <mergeCell ref="B46:C46"/>
  </mergeCells>
  <phoneticPr fontId="38" type="noConversion"/>
  <conditionalFormatting sqref="B57:C58">
    <cfRule type="expression" dxfId="444" priority="2" stopIfTrue="1">
      <formula>CAIXA.Modo=FALSE</formula>
    </cfRule>
  </conditionalFormatting>
  <conditionalFormatting sqref="B59:C61">
    <cfRule type="expression" dxfId="443" priority="3" stopIfTrue="1">
      <formula>CAIXA.Modo=FALSE</formula>
    </cfRule>
  </conditionalFormatting>
  <dataValidations count="7">
    <dataValidation type="date" allowBlank="1" showErrorMessage="1" errorTitle="Dados inválidos" error="Digite somente datas válidas no formato mm/aaaa." sqref="C19 C25 C36 C41 C47:C48">
      <formula1>36526</formula1>
      <formula2>72686</formula2>
    </dataValidation>
    <dataValidation type="list" allowBlank="1" showInputMessage="1" showErrorMessage="1" errorTitle="Erro:" error="Selecione na lista o regime previdênciário." prompt="Selecione na lista o regime previdênciário." sqref="C18">
      <formula1>DADOS.Lista.RegimePreviden</formula1>
    </dataValidation>
    <dataValidation type="decimal" allowBlank="1" showErrorMessage="1" error="Digite um valor em percentual._x000a__x000a_Ou seja um valor de 0% (zero) até 100% (cem). " sqref="C11 C13:C14">
      <formula1>0</formula1>
      <formula2>1</formula2>
    </dataValidation>
    <dataValidation type="list" allowBlank="1" showInputMessage="1" showErrorMessage="1" errorTitle="Erro:" error="Selecione na lista a fonte de recursos." prompt="Selecione na lista a fonte de recursos." sqref="C4">
      <formula1>DADOS.Lista.FonteRecursos</formula1>
    </dataValidation>
    <dataValidation type="decimal" operator="greaterThan" allowBlank="1" showErrorMessage="1" error="Digite um valor maior do que 0." sqref="C12">
      <formula1>0</formula1>
      <formula2>0</formula2>
    </dataValidation>
    <dataValidation type="list" allowBlank="1" showInputMessage="1" showErrorMessage="1" errorTitle="Erro:" error="Selecione na lista o regime de execução do CTEF." prompt="Selecione na lista o regime de execução do CTEF." sqref="C40">
      <formula1>DADOS.Lista.RegimeExecução</formula1>
    </dataValidation>
    <dataValidation type="list" allowBlank="1" showInputMessage="1" showErrorMessage="1" errorTitle="Erro:" error="Selecione na lista a metodologia de arredondamento das frentes de obra." prompt="Selecione na lista a metodologia de arredondamento das frentes de obra._x000a__x000a_Para CR que tramitam no TransfereGOV, obrigatoriamente, selecione a opção “TransfereGOV”._x000a__x000a_Para outros CR, preferencialmente, selecione a opção &quot;Tradicional&quot;._x000a_" sqref="C31">
      <formula1>DADOS.Lista.Arredondamento</formula1>
    </dataValidation>
  </dataValidations>
  <pageMargins left="0.78740157480314998" right="0.78740157480314998" top="0.78740157480314998" bottom="0.78740157480314998" header="5.7086614173228396" footer="0.59055118110236204"/>
  <pageSetup paperSize="9" scale="46" firstPageNumber="0" fitToHeight="0" orientation="portrait" horizontalDpi="300" verticalDpi="300" r:id="rId1"/>
  <headerFooter alignWithMargins="0">
    <oddHeader>&amp;L_</oddHeader>
    <oddFooter>&amp;LPMv3.14&amp;R&amp;P /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4">
    <pageSetUpPr fitToPage="1"/>
  </sheetPr>
  <dimension ref="A1:Z146"/>
  <sheetViews>
    <sheetView showGridLines="0" zoomScaleNormal="100" zoomScaleSheetLayoutView="100" workbookViewId="0">
      <pane ySplit="11" topLeftCell="A12" activePane="bottomLeft" state="frozen"/>
      <selection activeCell="E1" sqref="E1"/>
      <selection pane="bottomLeft" activeCell="J97" sqref="J97:S97"/>
    </sheetView>
  </sheetViews>
  <sheetFormatPr defaultRowHeight="12.75" x14ac:dyDescent="0.2"/>
  <cols>
    <col min="1" max="4" width="5.5703125" style="48" hidden="1" customWidth="1"/>
    <col min="5" max="6" width="11.42578125" style="48" hidden="1" customWidth="1"/>
    <col min="7" max="7" width="11.85546875" style="48" hidden="1" customWidth="1"/>
    <col min="8" max="8" width="10.5703125" customWidth="1"/>
    <col min="9" max="9" width="3.5703125" customWidth="1"/>
    <col min="10" max="15" width="10.5703125" style="48" customWidth="1"/>
    <col min="16" max="16" width="12.85546875" style="48" customWidth="1"/>
    <col min="17" max="19" width="10.5703125" style="48" customWidth="1"/>
  </cols>
  <sheetData>
    <row r="1" spans="1:21" ht="15.75" x14ac:dyDescent="0.25">
      <c r="E1" s="49" t="s">
        <v>641</v>
      </c>
      <c r="F1" s="49" t="s">
        <v>642</v>
      </c>
      <c r="G1" s="49" t="s">
        <v>643</v>
      </c>
      <c r="O1" s="50" t="str">
        <f>"Quadro de Composição do BDI"</f>
        <v>Quadro de Composição do BDI</v>
      </c>
      <c r="R1" s="703" t="s">
        <v>644</v>
      </c>
      <c r="S1" s="703"/>
    </row>
    <row r="2" spans="1:21" x14ac:dyDescent="0.2">
      <c r="A2" s="48" t="s">
        <v>645</v>
      </c>
      <c r="B2" s="52" t="s">
        <v>646</v>
      </c>
      <c r="C2" s="48" t="str">
        <f t="shared" ref="C2:C49" si="0">CONCATENATE(A2,"-",B2)</f>
        <v>Construção e Reforma de Edifícios-AC</v>
      </c>
      <c r="E2" s="53">
        <v>0.03</v>
      </c>
      <c r="F2" s="53">
        <v>0.04</v>
      </c>
      <c r="G2" s="53">
        <v>5.5E-2</v>
      </c>
      <c r="R2" s="704" t="s">
        <v>647</v>
      </c>
      <c r="S2" s="704"/>
    </row>
    <row r="3" spans="1:21" x14ac:dyDescent="0.2">
      <c r="A3" s="48" t="str">
        <f>A2</f>
        <v>Construção e Reforma de Edifícios</v>
      </c>
      <c r="B3" s="52" t="s">
        <v>648</v>
      </c>
      <c r="C3" s="48" t="str">
        <f t="shared" si="0"/>
        <v>Construção e Reforma de Edifícios-SG</v>
      </c>
      <c r="E3" s="53">
        <v>8.0000000000000002E-3</v>
      </c>
      <c r="F3" s="53">
        <v>8.0000000000000002E-3</v>
      </c>
      <c r="G3" s="53">
        <v>0.01</v>
      </c>
    </row>
    <row r="4" spans="1:21" x14ac:dyDescent="0.2">
      <c r="A4" s="48" t="str">
        <f>A3</f>
        <v>Construção e Reforma de Edifícios</v>
      </c>
      <c r="B4" s="52" t="s">
        <v>649</v>
      </c>
      <c r="C4" s="48" t="str">
        <f t="shared" si="0"/>
        <v>Construção e Reforma de Edifícios-R</v>
      </c>
      <c r="E4" s="53">
        <v>9.7000000000000003E-3</v>
      </c>
      <c r="F4" s="53">
        <v>1.2699999999999999E-2</v>
      </c>
      <c r="G4" s="53">
        <v>1.2699999999999999E-2</v>
      </c>
      <c r="J4" s="699" t="s">
        <v>650</v>
      </c>
      <c r="K4" s="699"/>
      <c r="L4" s="699" t="s">
        <v>651</v>
      </c>
      <c r="M4" s="699"/>
      <c r="N4" s="699" t="s">
        <v>652</v>
      </c>
      <c r="O4" s="699"/>
      <c r="P4" s="699"/>
      <c r="Q4" s="699"/>
      <c r="R4" s="699"/>
      <c r="S4" s="699"/>
    </row>
    <row r="5" spans="1:21" ht="12.75" customHeight="1" x14ac:dyDescent="0.2">
      <c r="A5" s="48" t="str">
        <f>A4</f>
        <v>Construção e Reforma de Edifícios</v>
      </c>
      <c r="B5" s="52" t="s">
        <v>653</v>
      </c>
      <c r="C5" s="48" t="str">
        <f t="shared" si="0"/>
        <v>Construção e Reforma de Edifícios-DF</v>
      </c>
      <c r="E5" s="53">
        <v>5.8999999999999999E-3</v>
      </c>
      <c r="F5" s="53">
        <v>1.23E-2</v>
      </c>
      <c r="G5" s="53">
        <v>1.3899999999999999E-2</v>
      </c>
      <c r="J5" s="702">
        <f>Import.CR</f>
        <v>0</v>
      </c>
      <c r="K5" s="702"/>
      <c r="L5" s="702" t="str">
        <f>Import.TransfereGOV</f>
        <v>948148</v>
      </c>
      <c r="M5" s="702"/>
      <c r="N5" s="702" t="str">
        <f>Import.Proponente</f>
        <v>18.029.165/0001-51</v>
      </c>
      <c r="O5" s="702"/>
      <c r="P5" s="702"/>
      <c r="Q5" s="702"/>
      <c r="R5" s="702"/>
      <c r="S5" s="702"/>
    </row>
    <row r="6" spans="1:21" x14ac:dyDescent="0.2">
      <c r="A6" s="48" t="str">
        <f>A5</f>
        <v>Construção e Reforma de Edifícios</v>
      </c>
      <c r="B6" s="52" t="s">
        <v>654</v>
      </c>
      <c r="C6" s="48" t="str">
        <f t="shared" si="0"/>
        <v>Construção e Reforma de Edifícios-L</v>
      </c>
      <c r="E6" s="53">
        <v>6.1600000000000002E-2</v>
      </c>
      <c r="F6" s="53">
        <v>7.400000000000001E-2</v>
      </c>
      <c r="G6" s="53">
        <v>8.9600000000000013E-2</v>
      </c>
      <c r="I6" s="692" t="s">
        <v>655</v>
      </c>
      <c r="J6" s="56"/>
      <c r="K6" s="56"/>
      <c r="L6" s="56"/>
      <c r="M6" s="56"/>
      <c r="N6" s="56"/>
      <c r="O6" s="56"/>
      <c r="P6" s="56"/>
      <c r="Q6" s="56"/>
      <c r="R6" s="56"/>
      <c r="S6" s="56"/>
    </row>
    <row r="7" spans="1:21" ht="25.5" x14ac:dyDescent="0.25">
      <c r="A7" s="48" t="str">
        <f>A6</f>
        <v>Construção e Reforma de Edifícios</v>
      </c>
      <c r="B7" s="57" t="s">
        <v>656</v>
      </c>
      <c r="C7" s="48" t="str">
        <f t="shared" si="0"/>
        <v>Construção e Reforma de Edifícios-BDI PAD</v>
      </c>
      <c r="E7" s="53">
        <v>0.2034</v>
      </c>
      <c r="F7" s="53">
        <v>0.22120000000000001</v>
      </c>
      <c r="G7" s="53">
        <v>0.25</v>
      </c>
      <c r="I7" s="692"/>
      <c r="J7" s="699" t="s">
        <v>657</v>
      </c>
      <c r="K7" s="699"/>
      <c r="L7" s="699"/>
      <c r="M7" s="699"/>
      <c r="N7" s="699"/>
      <c r="O7" s="699"/>
      <c r="P7" s="699"/>
      <c r="Q7" s="699"/>
      <c r="R7" s="699"/>
      <c r="S7" s="699"/>
      <c r="U7" s="520" t="str">
        <f ca="1">IF(OR(U10&lt;&gt;"",U11&lt;&gt;""),"Falta preencher os percentuais do ISS",IF(U14&lt;&gt;"","Falta preencher o BDI 1",IF(U54&lt;&gt;"","Falta preencher o BDI 2",IF(U94&lt;&gt;"","Falta preencher o BDI 3",""))))</f>
        <v/>
      </c>
    </row>
    <row r="8" spans="1:21" ht="15.75" x14ac:dyDescent="0.25">
      <c r="A8" s="48" t="s">
        <v>658</v>
      </c>
      <c r="B8" s="52" t="s">
        <v>646</v>
      </c>
      <c r="C8" s="48" t="str">
        <f t="shared" si="0"/>
        <v>Construção de Praças Urbanas, Rodovias, Ferrovias e recapeamento e pavimentação de vias urbanas-AC</v>
      </c>
      <c r="E8" s="53">
        <v>3.7999999999999999E-2</v>
      </c>
      <c r="F8" s="53">
        <v>4.0099999999999997E-2</v>
      </c>
      <c r="G8" s="53">
        <v>4.6699999999999998E-2</v>
      </c>
      <c r="I8" s="692"/>
      <c r="J8" s="707" t="str">
        <f>Import.Apelido&amp;" / "&amp;Import.DescLote</f>
        <v>Construção de ponte e pavimentação de estrada vicinal / Infraestrutura</v>
      </c>
      <c r="K8" s="707"/>
      <c r="L8" s="707"/>
      <c r="M8" s="707"/>
      <c r="N8" s="707"/>
      <c r="O8" s="707"/>
      <c r="P8" s="707"/>
      <c r="Q8" s="707"/>
      <c r="R8" s="707"/>
      <c r="S8" s="707"/>
      <c r="U8" s="520" t="str">
        <f ca="1">IF(U29="FORA DO INTERVALO","BDI 1 fora do intervalo",IF(U69="FORA DO INTERVALO","BDI 2 fora do intervalo",IF(U109="FORA DO INTERVALO","BDI 3 fora do intervalo","")))</f>
        <v>BDI 1 fora do intervalo</v>
      </c>
    </row>
    <row r="9" spans="1:21" x14ac:dyDescent="0.2">
      <c r="A9" s="48" t="s">
        <v>658</v>
      </c>
      <c r="B9" s="52" t="s">
        <v>648</v>
      </c>
      <c r="C9" s="48" t="str">
        <f t="shared" si="0"/>
        <v>Construção de Praças Urbanas, Rodovias, Ferrovias e recapeamento e pavimentação de vias urbanas-SG</v>
      </c>
      <c r="E9" s="53">
        <v>3.2000000000000002E-3</v>
      </c>
      <c r="F9" s="53">
        <v>4.0000000000000001E-3</v>
      </c>
      <c r="G9" s="53">
        <v>7.4000000000000003E-3</v>
      </c>
      <c r="I9" s="692"/>
      <c r="J9" s="56"/>
      <c r="K9" s="56"/>
      <c r="L9" s="56"/>
      <c r="M9" s="56"/>
      <c r="N9" s="56"/>
      <c r="O9" s="56"/>
      <c r="P9" s="56"/>
      <c r="Q9" s="56"/>
      <c r="R9" s="56"/>
      <c r="S9" s="56"/>
    </row>
    <row r="10" spans="1:21" ht="12.75" customHeight="1" x14ac:dyDescent="0.2">
      <c r="A10" s="48" t="s">
        <v>658</v>
      </c>
      <c r="B10" s="52" t="s">
        <v>649</v>
      </c>
      <c r="C10" s="48" t="str">
        <f t="shared" si="0"/>
        <v>Construção de Praças Urbanas, Rodovias, Ferrovias e recapeamento e pavimentação de vias urbanas-R</v>
      </c>
      <c r="E10" s="53">
        <v>5.0000000000000001E-3</v>
      </c>
      <c r="F10" s="53">
        <v>5.6000000000000008E-3</v>
      </c>
      <c r="G10" s="53">
        <v>9.7000000000000003E-3</v>
      </c>
      <c r="I10" s="692"/>
      <c r="J10" s="708" t="s">
        <v>659</v>
      </c>
      <c r="K10" s="708"/>
      <c r="L10" s="708"/>
      <c r="M10" s="708"/>
      <c r="N10" s="708"/>
      <c r="O10" s="708"/>
      <c r="P10" s="708"/>
      <c r="Q10" s="708"/>
      <c r="R10" s="706">
        <v>1</v>
      </c>
      <c r="S10" s="706"/>
      <c r="U10" s="570" t="str">
        <f>IF(R10="","Falta definir a base de cálculo para o ISS","")</f>
        <v/>
      </c>
    </row>
    <row r="11" spans="1:21" ht="12.75" customHeight="1" x14ac:dyDescent="0.2">
      <c r="A11" s="48" t="s">
        <v>658</v>
      </c>
      <c r="B11" s="52" t="s">
        <v>653</v>
      </c>
      <c r="C11" s="48" t="str">
        <f t="shared" si="0"/>
        <v>Construção de Praças Urbanas, Rodovias, Ferrovias e recapeamento e pavimentação de vias urbanas-DF</v>
      </c>
      <c r="E11" s="53">
        <v>1.0200000000000001E-2</v>
      </c>
      <c r="F11" s="53">
        <v>1.11E-2</v>
      </c>
      <c r="G11" s="53">
        <v>1.21E-2</v>
      </c>
      <c r="I11" s="105" t="s">
        <v>660</v>
      </c>
      <c r="J11" s="705" t="s">
        <v>661</v>
      </c>
      <c r="K11" s="705"/>
      <c r="L11" s="705"/>
      <c r="M11" s="705"/>
      <c r="N11" s="705"/>
      <c r="O11" s="705"/>
      <c r="P11" s="705"/>
      <c r="Q11" s="705"/>
      <c r="R11" s="706">
        <v>0.03</v>
      </c>
      <c r="S11" s="706"/>
      <c r="U11" s="570" t="str">
        <f>IF(R11="","Falta definir a alíquota do ISS","")</f>
        <v/>
      </c>
    </row>
    <row r="12" spans="1:21" x14ac:dyDescent="0.2">
      <c r="A12" s="48" t="s">
        <v>658</v>
      </c>
      <c r="B12" s="52" t="s">
        <v>654</v>
      </c>
      <c r="C12" s="48" t="str">
        <f t="shared" si="0"/>
        <v>Construção de Praças Urbanas, Rodovias, Ferrovias e recapeamento e pavimentação de vias urbanas-L</v>
      </c>
      <c r="E12" s="53">
        <v>6.6400000000000001E-2</v>
      </c>
      <c r="F12" s="53">
        <v>7.2999999999999995E-2</v>
      </c>
      <c r="G12" s="53">
        <v>8.6899999999999991E-2</v>
      </c>
      <c r="I12" s="7" t="s">
        <v>536</v>
      </c>
      <c r="J12" s="58"/>
      <c r="K12" s="58"/>
      <c r="L12" s="58"/>
      <c r="M12" s="58"/>
      <c r="N12" s="58"/>
      <c r="O12" s="58"/>
      <c r="P12" s="58"/>
      <c r="Q12" s="58"/>
      <c r="R12" s="58"/>
      <c r="S12" s="58"/>
    </row>
    <row r="13" spans="1:21" ht="15" customHeight="1" x14ac:dyDescent="0.2">
      <c r="A13" s="48" t="s">
        <v>658</v>
      </c>
      <c r="B13" s="57" t="s">
        <v>656</v>
      </c>
      <c r="C13" s="48" t="str">
        <f t="shared" si="0"/>
        <v>Construção de Praças Urbanas, Rodovias, Ferrovias e recapeamento e pavimentação de vias urbanas-BDI PAD</v>
      </c>
      <c r="E13" s="53">
        <v>0.19600000000000001</v>
      </c>
      <c r="F13" s="53">
        <v>0.2097</v>
      </c>
      <c r="G13" s="53">
        <v>0.24230000000000002</v>
      </c>
      <c r="I13" s="7" t="s">
        <v>536</v>
      </c>
    </row>
    <row r="14" spans="1:21" ht="15.75" x14ac:dyDescent="0.25">
      <c r="A14" s="48" t="s">
        <v>662</v>
      </c>
      <c r="B14" s="52" t="s">
        <v>646</v>
      </c>
      <c r="C14" s="48" t="str">
        <f t="shared" si="0"/>
        <v>Construção de Redes de Abastecimento de Água, Coleta de Esgoto-AC</v>
      </c>
      <c r="E14" s="53">
        <v>3.4300000000000004E-2</v>
      </c>
      <c r="F14" s="53">
        <v>4.9299999999999997E-2</v>
      </c>
      <c r="G14" s="53">
        <v>6.7099999999999993E-2</v>
      </c>
      <c r="I14" s="7" t="s">
        <v>536</v>
      </c>
      <c r="J14" s="701" t="s">
        <v>663</v>
      </c>
      <c r="K14" s="701"/>
      <c r="L14" s="701"/>
      <c r="M14" s="701"/>
      <c r="N14" s="701"/>
      <c r="O14" s="701"/>
      <c r="P14" s="701"/>
      <c r="Q14" s="701"/>
      <c r="R14" s="701"/>
      <c r="S14" s="701"/>
      <c r="U14" s="520" t="str">
        <f ca="1">IF(COUNTIF(ORÇAMENTO!$V$15:$V$55,BDI_1.Título)=0,"",IF(OR(Import.BDI.Tipo1="(SELECIONAR)",Import.BDI.Tipo1="",U17&lt;&gt;"",AND($J17&lt;&gt;$A$145,OR(S21="",S22="",AND($J17&lt;&gt;$A$146,OR(S23="",S24="")),S25="",S26=""))),"Falta preencher o BDI 1",""))</f>
        <v/>
      </c>
    </row>
    <row r="15" spans="1:21" x14ac:dyDescent="0.2">
      <c r="A15" s="48" t="str">
        <f>A14</f>
        <v>Construção de Redes de Abastecimento de Água, Coleta de Esgoto</v>
      </c>
      <c r="B15" s="52" t="s">
        <v>648</v>
      </c>
      <c r="C15" s="48" t="str">
        <f t="shared" si="0"/>
        <v>Construção de Redes de Abastecimento de Água, Coleta de Esgoto-SG</v>
      </c>
      <c r="E15" s="53">
        <v>2.8000000000000004E-3</v>
      </c>
      <c r="F15" s="53">
        <v>4.8999999999999998E-3</v>
      </c>
      <c r="G15" s="53">
        <v>7.4999999999999997E-3</v>
      </c>
      <c r="I15" s="7" t="s">
        <v>536</v>
      </c>
    </row>
    <row r="16" spans="1:21" x14ac:dyDescent="0.2">
      <c r="A16" s="48" t="str">
        <f>A15</f>
        <v>Construção de Redes de Abastecimento de Água, Coleta de Esgoto</v>
      </c>
      <c r="B16" s="52" t="s">
        <v>649</v>
      </c>
      <c r="C16" s="48" t="str">
        <f t="shared" si="0"/>
        <v>Construção de Redes de Abastecimento de Água, Coleta de Esgoto-R</v>
      </c>
      <c r="E16" s="53">
        <v>0.01</v>
      </c>
      <c r="F16" s="53">
        <v>1.3899999999999999E-2</v>
      </c>
      <c r="G16" s="53">
        <v>1.7399999999999999E-2</v>
      </c>
      <c r="I16" s="7" t="s">
        <v>536</v>
      </c>
      <c r="J16" s="699" t="s">
        <v>664</v>
      </c>
      <c r="K16" s="699"/>
      <c r="L16" s="699"/>
      <c r="M16" s="699"/>
      <c r="N16" s="699"/>
      <c r="O16" s="699"/>
      <c r="P16" s="699"/>
      <c r="Q16" s="699"/>
      <c r="R16" s="699"/>
      <c r="S16" s="699"/>
    </row>
    <row r="17" spans="1:26" ht="15" x14ac:dyDescent="0.25">
      <c r="A17" s="48" t="str">
        <f>A16</f>
        <v>Construção de Redes de Abastecimento de Água, Coleta de Esgoto</v>
      </c>
      <c r="B17" s="52" t="s">
        <v>653</v>
      </c>
      <c r="C17" s="48" t="str">
        <f t="shared" si="0"/>
        <v>Construção de Redes de Abastecimento de Água, Coleta de Esgoto-DF</v>
      </c>
      <c r="E17" s="53">
        <v>9.3999999999999986E-3</v>
      </c>
      <c r="F17" s="53">
        <v>9.8999999999999991E-3</v>
      </c>
      <c r="G17" s="53">
        <v>1.1699999999999999E-2</v>
      </c>
      <c r="I17" s="7" t="s">
        <v>536</v>
      </c>
      <c r="J17" s="700" t="s">
        <v>658</v>
      </c>
      <c r="K17" s="700"/>
      <c r="L17" s="700"/>
      <c r="M17" s="700"/>
      <c r="N17" s="700"/>
      <c r="O17" s="700"/>
      <c r="P17" s="700"/>
      <c r="Q17" s="700"/>
      <c r="R17" s="700"/>
      <c r="S17" s="700"/>
      <c r="T17" s="562" t="str">
        <f ca="1">IF(U17="","","◄")</f>
        <v/>
      </c>
      <c r="U17" s="561" t="str">
        <f ca="1">IF(AND(OR(S29&gt;0,COUNTIF(ORÇAMENTO!$V$15:$V$55,BDI_1.Título)&gt;0),OR(Import.BDI.Tipo1="(SELECIONAR)",Import.BDI.Tipo1="")),"Selecione o Tipo de obra","")</f>
        <v/>
      </c>
    </row>
    <row r="18" spans="1:26" x14ac:dyDescent="0.2">
      <c r="A18" s="48" t="str">
        <f>A17</f>
        <v>Construção de Redes de Abastecimento de Água, Coleta de Esgoto</v>
      </c>
      <c r="B18" s="52" t="s">
        <v>654</v>
      </c>
      <c r="C18" s="48" t="str">
        <f t="shared" si="0"/>
        <v>Construção de Redes de Abastecimento de Água, Coleta de Esgoto-L</v>
      </c>
      <c r="E18" s="53">
        <v>6.7400000000000002E-2</v>
      </c>
      <c r="F18" s="53">
        <v>8.0399999999999985E-2</v>
      </c>
      <c r="G18" s="53">
        <v>9.4E-2</v>
      </c>
      <c r="I18" s="7" t="s">
        <v>536</v>
      </c>
    </row>
    <row r="19" spans="1:26" ht="12.75" customHeight="1" x14ac:dyDescent="0.2">
      <c r="A19" s="48" t="str">
        <f>A18</f>
        <v>Construção de Redes de Abastecimento de Água, Coleta de Esgoto</v>
      </c>
      <c r="B19" s="57" t="s">
        <v>656</v>
      </c>
      <c r="C19" s="48" t="str">
        <f t="shared" si="0"/>
        <v>Construção de Redes de Abastecimento de Água, Coleta de Esgoto-BDI PAD</v>
      </c>
      <c r="E19" s="53">
        <v>0.20760000000000001</v>
      </c>
      <c r="F19" s="53">
        <v>0.24179999999999999</v>
      </c>
      <c r="G19" s="53">
        <v>0.26440000000000002</v>
      </c>
      <c r="I19" s="7" t="s">
        <v>536</v>
      </c>
      <c r="J19" s="698" t="s">
        <v>666</v>
      </c>
      <c r="K19" s="698"/>
      <c r="L19" s="698"/>
      <c r="M19" s="698"/>
      <c r="N19" s="698"/>
      <c r="O19" s="698"/>
      <c r="P19" s="698"/>
      <c r="Q19" s="698"/>
      <c r="R19" s="698" t="s">
        <v>667</v>
      </c>
      <c r="S19" s="689" t="s">
        <v>668</v>
      </c>
      <c r="U19" s="689" t="s">
        <v>669</v>
      </c>
      <c r="V19" s="689"/>
      <c r="W19" s="689"/>
      <c r="X19" s="697" t="s">
        <v>670</v>
      </c>
      <c r="Y19" s="697" t="s">
        <v>671</v>
      </c>
      <c r="Z19" s="697" t="s">
        <v>672</v>
      </c>
    </row>
    <row r="20" spans="1:26" ht="12.75" customHeight="1" x14ac:dyDescent="0.2">
      <c r="A20" s="48" t="s">
        <v>673</v>
      </c>
      <c r="B20" s="52" t="s">
        <v>646</v>
      </c>
      <c r="C20" s="48" t="str">
        <f t="shared" si="0"/>
        <v>Construção e Manutenção de Estações e Redes de Distribuição de Energia Elétrica-AC</v>
      </c>
      <c r="E20" s="53">
        <v>5.2900000000000003E-2</v>
      </c>
      <c r="F20" s="53">
        <v>5.9200000000000003E-2</v>
      </c>
      <c r="G20" s="53">
        <v>7.9299999999999995E-2</v>
      </c>
      <c r="I20" s="7" t="s">
        <v>536</v>
      </c>
      <c r="J20" s="698"/>
      <c r="K20" s="698"/>
      <c r="L20" s="698"/>
      <c r="M20" s="698"/>
      <c r="N20" s="698"/>
      <c r="O20" s="698"/>
      <c r="P20" s="698"/>
      <c r="Q20" s="698"/>
      <c r="R20" s="698"/>
      <c r="S20" s="689"/>
      <c r="U20" s="689"/>
      <c r="V20" s="689"/>
      <c r="W20" s="689"/>
      <c r="X20" s="697"/>
      <c r="Y20" s="697"/>
      <c r="Z20" s="697"/>
    </row>
    <row r="21" spans="1:26" ht="15" customHeight="1" x14ac:dyDescent="0.2">
      <c r="A21" s="48" t="str">
        <f>A20</f>
        <v>Construção e Manutenção de Estações e Redes de Distribuição de Energia Elétrica</v>
      </c>
      <c r="B21" s="52" t="s">
        <v>648</v>
      </c>
      <c r="C21" s="48" t="str">
        <f t="shared" si="0"/>
        <v>Construção e Manutenção de Estações e Redes de Distribuição de Energia Elétrica-SG</v>
      </c>
      <c r="E21" s="53">
        <v>2.5000000000000001E-3</v>
      </c>
      <c r="F21" s="53">
        <v>5.1000000000000004E-3</v>
      </c>
      <c r="G21" s="53">
        <v>5.6000000000000008E-3</v>
      </c>
      <c r="I21" s="7" t="s">
        <v>536</v>
      </c>
      <c r="J21" s="687" t="str">
        <f>IF($J$17=$A$146,"Encargos Sociais incidentes sobre a mão de obra","Administração Central")</f>
        <v>Administração Central</v>
      </c>
      <c r="K21" s="687"/>
      <c r="L21" s="687"/>
      <c r="M21" s="687"/>
      <c r="N21" s="687"/>
      <c r="O21" s="687"/>
      <c r="P21" s="687"/>
      <c r="Q21" s="687"/>
      <c r="R21" s="59" t="str">
        <f>IF($J17=$A$146,"K1","AC")</f>
        <v>AC</v>
      </c>
      <c r="S21" s="60">
        <v>0</v>
      </c>
      <c r="T21" s="571" t="str">
        <f ca="1">IF(AND($U$14&lt;&gt;"",$U$17="",R21&lt;&gt;"",S21=""),"◄","")</f>
        <v/>
      </c>
      <c r="U21" s="688" t="str">
        <f ca="1">IFERROR(IF(T21="◄","FALTA PREENCHER",IF(AND(OR(S21&gt;=X21,X21="-"),OR(S21&lt;=Z21,Z21="-")),"OK","FORA DO INTERVALO")),"-")</f>
        <v>FORA DO INTERVALO</v>
      </c>
      <c r="V21" s="688"/>
      <c r="W21" s="688"/>
      <c r="X21" s="61">
        <f>VLOOKUP(CONCATENATE(J17,"-",R21),$C$2:$G$136,3,FALSE)</f>
        <v>3.7999999999999999E-2</v>
      </c>
      <c r="Y21" s="61">
        <f>VLOOKUP(CONCATENATE(J17,"-",R21),$C$2:$G$136,4,FALSE)</f>
        <v>4.0099999999999997E-2</v>
      </c>
      <c r="Z21" s="61">
        <f>VLOOKUP(CONCATENATE(J17,"-",R21),$C$2:$G$136,5,FALSE)</f>
        <v>4.6699999999999998E-2</v>
      </c>
    </row>
    <row r="22" spans="1:26" ht="15" customHeight="1" x14ac:dyDescent="0.2">
      <c r="A22" s="48" t="str">
        <f>A21</f>
        <v>Construção e Manutenção de Estações e Redes de Distribuição de Energia Elétrica</v>
      </c>
      <c r="B22" s="52" t="s">
        <v>649</v>
      </c>
      <c r="C22" s="48" t="str">
        <f t="shared" si="0"/>
        <v>Construção e Manutenção de Estações e Redes de Distribuição de Energia Elétrica-R</v>
      </c>
      <c r="E22" s="53">
        <v>0.01</v>
      </c>
      <c r="F22" s="53">
        <v>1.4800000000000001E-2</v>
      </c>
      <c r="G22" s="53">
        <v>1.9699999999999999E-2</v>
      </c>
      <c r="I22" s="7" t="s">
        <v>536</v>
      </c>
      <c r="J22" s="687" t="str">
        <f>IF($J$17=$A$146,"Administração Central da empresa ou consultoria - overhead","Seguro e Garantia")</f>
        <v>Seguro e Garantia</v>
      </c>
      <c r="K22" s="687"/>
      <c r="L22" s="687"/>
      <c r="M22" s="687"/>
      <c r="N22" s="687"/>
      <c r="O22" s="687"/>
      <c r="P22" s="687"/>
      <c r="Q22" s="687"/>
      <c r="R22" s="59" t="str">
        <f>IF($J17=$A$146,"K2","SG")</f>
        <v>SG</v>
      </c>
      <c r="S22" s="60">
        <v>0</v>
      </c>
      <c r="T22" s="571" t="str">
        <f t="shared" ref="T22:T26" ca="1" si="1">IF(AND($U$14&lt;&gt;"",$U$17="",R22&lt;&gt;"",S22=""),"◄","")</f>
        <v/>
      </c>
      <c r="U22" s="688" t="str">
        <f t="shared" ref="U22:U28" ca="1" si="2">IFERROR(IF(T22="◄","FALTA PREENCHER",IF(AND(OR(S22&gt;=X22,X22="-"),OR(S22&lt;=Z22,Z22="-")),"OK","FORA DO INTERVALO")),"-")</f>
        <v>FORA DO INTERVALO</v>
      </c>
      <c r="V22" s="688"/>
      <c r="W22" s="688"/>
      <c r="X22" s="61">
        <f>VLOOKUP(CONCATENATE(J17,"-",R22),$C$2:$G$136,3,FALSE)</f>
        <v>3.2000000000000002E-3</v>
      </c>
      <c r="Y22" s="61">
        <f>VLOOKUP(CONCATENATE(J17,"-",R22),$C$2:$G$136,4,FALSE)</f>
        <v>4.0000000000000001E-3</v>
      </c>
      <c r="Z22" s="61">
        <f>VLOOKUP(CONCATENATE(J17,"-",R22),$C$2:$G$136,5,FALSE)</f>
        <v>7.4000000000000003E-3</v>
      </c>
    </row>
    <row r="23" spans="1:26" ht="15" customHeight="1" x14ac:dyDescent="0.2">
      <c r="A23" s="48" t="str">
        <f>A22</f>
        <v>Construção e Manutenção de Estações e Redes de Distribuição de Energia Elétrica</v>
      </c>
      <c r="B23" s="52" t="s">
        <v>653</v>
      </c>
      <c r="C23" s="48" t="str">
        <f t="shared" si="0"/>
        <v>Construção e Manutenção de Estações e Redes de Distribuição de Energia Elétrica-DF</v>
      </c>
      <c r="E23" s="53">
        <v>1.01E-2</v>
      </c>
      <c r="F23" s="53">
        <v>1.0700000000000001E-2</v>
      </c>
      <c r="G23" s="53">
        <v>1.11E-2</v>
      </c>
      <c r="I23" s="7" t="s">
        <v>536</v>
      </c>
      <c r="J23" s="687" t="s">
        <v>942</v>
      </c>
      <c r="K23" s="687"/>
      <c r="L23" s="687"/>
      <c r="M23" s="687"/>
      <c r="N23" s="687"/>
      <c r="O23" s="687"/>
      <c r="P23" s="687"/>
      <c r="Q23" s="687"/>
      <c r="R23" s="59" t="str">
        <f>IF($J17=$A$146,"","R")</f>
        <v>R</v>
      </c>
      <c r="S23" s="60">
        <v>0</v>
      </c>
      <c r="T23" s="571" t="str">
        <f t="shared" ca="1" si="1"/>
        <v/>
      </c>
      <c r="U23" s="688" t="str">
        <f t="shared" ca="1" si="2"/>
        <v>FORA DO INTERVALO</v>
      </c>
      <c r="V23" s="688"/>
      <c r="W23" s="688"/>
      <c r="X23" s="61">
        <f>VLOOKUP(CONCATENATE(J17,"-",R23),$C$2:$G$136,3,FALSE)</f>
        <v>5.0000000000000001E-3</v>
      </c>
      <c r="Y23" s="61">
        <f>VLOOKUP(CONCATENATE(J17,"-",R23),$C$2:$G$136,4,FALSE)</f>
        <v>5.6000000000000008E-3</v>
      </c>
      <c r="Z23" s="61">
        <f>VLOOKUP(CONCATENATE(J17,"-",R23),$C$2:$G$136,5,FALSE)</f>
        <v>9.7000000000000003E-3</v>
      </c>
    </row>
    <row r="24" spans="1:26" ht="15" customHeight="1" x14ac:dyDescent="0.2">
      <c r="A24" s="48" t="str">
        <f>A23</f>
        <v>Construção e Manutenção de Estações e Redes de Distribuição de Energia Elétrica</v>
      </c>
      <c r="B24" s="52" t="s">
        <v>654</v>
      </c>
      <c r="C24" s="48" t="str">
        <f t="shared" si="0"/>
        <v>Construção e Manutenção de Estações e Redes de Distribuição de Energia Elétrica-L</v>
      </c>
      <c r="E24" s="53">
        <v>0.08</v>
      </c>
      <c r="F24" s="53">
        <v>8.3100000000000007E-2</v>
      </c>
      <c r="G24" s="53">
        <v>9.5100000000000004E-2</v>
      </c>
      <c r="I24" s="7" t="s">
        <v>536</v>
      </c>
      <c r="J24" s="687" t="s">
        <v>943</v>
      </c>
      <c r="K24" s="687"/>
      <c r="L24" s="687"/>
      <c r="M24" s="687"/>
      <c r="N24" s="687"/>
      <c r="O24" s="687"/>
      <c r="P24" s="687"/>
      <c r="Q24" s="687"/>
      <c r="R24" s="59" t="str">
        <f>IF($J17=$A$146,"","DF")</f>
        <v>DF</v>
      </c>
      <c r="S24" s="60">
        <v>0</v>
      </c>
      <c r="T24" s="571" t="str">
        <f t="shared" ca="1" si="1"/>
        <v/>
      </c>
      <c r="U24" s="688" t="str">
        <f t="shared" ca="1" si="2"/>
        <v>FORA DO INTERVALO</v>
      </c>
      <c r="V24" s="688"/>
      <c r="W24" s="688"/>
      <c r="X24" s="61">
        <f>VLOOKUP(CONCATENATE(J17,"-",R24),$C$2:$G$136,3,FALSE)</f>
        <v>1.0200000000000001E-2</v>
      </c>
      <c r="Y24" s="61">
        <f>VLOOKUP(CONCATENATE(J17,"-",R24),$C$2:$G$136,4,FALSE)</f>
        <v>1.11E-2</v>
      </c>
      <c r="Z24" s="61">
        <f>VLOOKUP(CONCATENATE(J17,"-",R24),$C$2:$G$136,5,FALSE)</f>
        <v>1.21E-2</v>
      </c>
    </row>
    <row r="25" spans="1:26" ht="15" customHeight="1" x14ac:dyDescent="0.2">
      <c r="A25" s="48" t="str">
        <f>A24</f>
        <v>Construção e Manutenção de Estações e Redes de Distribuição de Energia Elétrica</v>
      </c>
      <c r="B25" s="57" t="s">
        <v>656</v>
      </c>
      <c r="C25" s="48" t="str">
        <f t="shared" si="0"/>
        <v>Construção e Manutenção de Estações e Redes de Distribuição de Energia Elétrica-BDI PAD</v>
      </c>
      <c r="E25" s="53">
        <v>0.24</v>
      </c>
      <c r="F25" s="53">
        <v>0.25840000000000002</v>
      </c>
      <c r="G25" s="53">
        <v>0.27860000000000001</v>
      </c>
      <c r="I25" s="7" t="s">
        <v>536</v>
      </c>
      <c r="J25" s="687" t="str">
        <f>IF($J$17=$A$146,"Margem bruta da empresa de consultoria","Lucro")</f>
        <v>Lucro</v>
      </c>
      <c r="K25" s="687"/>
      <c r="L25" s="687"/>
      <c r="M25" s="687"/>
      <c r="N25" s="687"/>
      <c r="O25" s="687"/>
      <c r="P25" s="687"/>
      <c r="Q25" s="687"/>
      <c r="R25" s="59" t="str">
        <f>IF($J17=$A$146,"K3","L")</f>
        <v>L</v>
      </c>
      <c r="S25" s="60">
        <v>0</v>
      </c>
      <c r="T25" s="571" t="str">
        <f t="shared" ca="1" si="1"/>
        <v/>
      </c>
      <c r="U25" s="688" t="str">
        <f t="shared" ca="1" si="2"/>
        <v>FORA DO INTERVALO</v>
      </c>
      <c r="V25" s="688"/>
      <c r="W25" s="688"/>
      <c r="X25" s="61">
        <f>VLOOKUP(CONCATENATE(J17,"-",R25),$C$2:$G$136,3,FALSE)</f>
        <v>6.6400000000000001E-2</v>
      </c>
      <c r="Y25" s="61">
        <f>VLOOKUP(CONCATENATE(J17,"-",R25),$C$2:$G$136,4,FALSE)</f>
        <v>7.2999999999999995E-2</v>
      </c>
      <c r="Z25" s="61">
        <f>VLOOKUP(CONCATENATE(J17,"-",R25),$C$2:$G$136,5,FALSE)</f>
        <v>8.6899999999999991E-2</v>
      </c>
    </row>
    <row r="26" spans="1:26" ht="15" customHeight="1" x14ac:dyDescent="0.2">
      <c r="A26" s="48" t="s">
        <v>674</v>
      </c>
      <c r="B26" s="52" t="s">
        <v>646</v>
      </c>
      <c r="C26" s="48" t="str">
        <f t="shared" si="0"/>
        <v>Obras Portuárias, Marítimas e Fluviais-AC</v>
      </c>
      <c r="E26" s="53">
        <v>0.04</v>
      </c>
      <c r="F26" s="53">
        <v>5.5199999999999999E-2</v>
      </c>
      <c r="G26" s="53">
        <v>7.85E-2</v>
      </c>
      <c r="I26" s="7" t="s">
        <v>536</v>
      </c>
      <c r="J26" s="687" t="s">
        <v>675</v>
      </c>
      <c r="K26" s="687"/>
      <c r="L26" s="687"/>
      <c r="M26" s="687"/>
      <c r="N26" s="687"/>
      <c r="O26" s="687"/>
      <c r="P26" s="687"/>
      <c r="Q26" s="687"/>
      <c r="R26" s="59" t="s">
        <v>456</v>
      </c>
      <c r="S26" s="60">
        <v>0</v>
      </c>
      <c r="T26" s="571" t="str">
        <f t="shared" ca="1" si="1"/>
        <v/>
      </c>
      <c r="U26" s="688" t="str">
        <f t="shared" ca="1" si="2"/>
        <v>FORA DO INTERVALO</v>
      </c>
      <c r="V26" s="688"/>
      <c r="W26" s="688"/>
      <c r="X26" s="61">
        <f>Y26</f>
        <v>3.6499999999999998E-2</v>
      </c>
      <c r="Y26" s="61">
        <f>IF($J17=$A$145,"-",3.65%)</f>
        <v>3.6499999999999998E-2</v>
      </c>
      <c r="Z26" s="61">
        <f>Y26</f>
        <v>3.6499999999999998E-2</v>
      </c>
    </row>
    <row r="27" spans="1:26" ht="15" customHeight="1" x14ac:dyDescent="0.2">
      <c r="A27" s="48" t="str">
        <f>A26</f>
        <v>Obras Portuárias, Marítimas e Fluviais</v>
      </c>
      <c r="B27" s="52" t="s">
        <v>648</v>
      </c>
      <c r="C27" s="48" t="str">
        <f t="shared" si="0"/>
        <v>Obras Portuárias, Marítimas e Fluviais-SG</v>
      </c>
      <c r="E27" s="53">
        <v>8.1000000000000013E-3</v>
      </c>
      <c r="F27" s="53">
        <v>1.2199999999999999E-2</v>
      </c>
      <c r="G27" s="53">
        <v>1.9900000000000001E-2</v>
      </c>
      <c r="I27" s="7" t="s">
        <v>536</v>
      </c>
      <c r="J27" s="687" t="s">
        <v>676</v>
      </c>
      <c r="K27" s="687"/>
      <c r="L27" s="687"/>
      <c r="M27" s="687"/>
      <c r="N27" s="687"/>
      <c r="O27" s="687"/>
      <c r="P27" s="687"/>
      <c r="Q27" s="687"/>
      <c r="R27" s="59" t="s">
        <v>677</v>
      </c>
      <c r="S27" s="61">
        <f ca="1">IF(AND($J17&lt;&gt;$A$145,COUNTA(OFFSET(S20,1,0,6))&gt;0),$R$11*$R$10,0)</f>
        <v>0.03</v>
      </c>
      <c r="U27" s="688" t="str">
        <f t="shared" ca="1" si="2"/>
        <v>OK</v>
      </c>
      <c r="V27" s="688"/>
      <c r="W27" s="688"/>
      <c r="X27" s="61">
        <v>0</v>
      </c>
      <c r="Y27" s="61">
        <v>2.5000000000000001E-2</v>
      </c>
      <c r="Z27" s="61">
        <v>0.05</v>
      </c>
    </row>
    <row r="28" spans="1:26" ht="15" customHeight="1" x14ac:dyDescent="0.2">
      <c r="A28" s="48" t="str">
        <f>A27</f>
        <v>Obras Portuárias, Marítimas e Fluviais</v>
      </c>
      <c r="B28" s="52" t="s">
        <v>649</v>
      </c>
      <c r="C28" s="48" t="str">
        <f t="shared" si="0"/>
        <v>Obras Portuárias, Marítimas e Fluviais-R</v>
      </c>
      <c r="E28" s="53">
        <v>1.46E-2</v>
      </c>
      <c r="F28" s="53">
        <v>2.3199999999999998E-2</v>
      </c>
      <c r="G28" s="53">
        <v>3.1600000000000003E-2</v>
      </c>
      <c r="I28" s="7" t="s">
        <v>536</v>
      </c>
      <c r="J28" s="687" t="s">
        <v>678</v>
      </c>
      <c r="K28" s="687"/>
      <c r="L28" s="687"/>
      <c r="M28" s="687"/>
      <c r="N28" s="687"/>
      <c r="O28" s="687"/>
      <c r="P28" s="687"/>
      <c r="Q28" s="687"/>
      <c r="R28" s="59" t="s">
        <v>679</v>
      </c>
      <c r="S28" s="61" cm="1">
        <f t="array" aca="1" ref="S28" ca="1">IF(BDI.Opcao&lt;&gt;"Desonerado",0,IF(AND($J17&lt;&gt;$A$145,COUNTA(OFFSET(S20,1,0,6))&gt;0),IF(YEAR(Import.DataBase)&lt;2025,4.5%,IF(YEAR(Import.DataBase)=2025,3.6%,IF(YEAR(Import.DataBase)=2026,2.7%,IF(YEAR(Import.DataBase)=2027,1.8%,0%)))),0%))</f>
        <v>0</v>
      </c>
      <c r="U28" s="688" t="str">
        <f t="shared" ca="1" si="2"/>
        <v>OK</v>
      </c>
      <c r="V28" s="688"/>
      <c r="W28" s="688"/>
      <c r="X28" s="62">
        <f ca="1">$S28</f>
        <v>0</v>
      </c>
      <c r="Y28" s="62">
        <f ca="1">$S28</f>
        <v>0</v>
      </c>
      <c r="Z28" s="62">
        <f ca="1">$S28</f>
        <v>0</v>
      </c>
    </row>
    <row r="29" spans="1:26" ht="15" customHeight="1" x14ac:dyDescent="0.2">
      <c r="A29" s="48" t="str">
        <f>A28</f>
        <v>Obras Portuárias, Marítimas e Fluviais</v>
      </c>
      <c r="B29" s="52" t="s">
        <v>653</v>
      </c>
      <c r="C29" s="48" t="str">
        <f t="shared" si="0"/>
        <v>Obras Portuárias, Marítimas e Fluviais-DF</v>
      </c>
      <c r="E29" s="53">
        <v>9.3999999999999986E-3</v>
      </c>
      <c r="F29" s="53">
        <v>1.0200000000000001E-2</v>
      </c>
      <c r="G29" s="53">
        <v>1.3300000000000001E-2</v>
      </c>
      <c r="I29" s="7" t="s">
        <v>536</v>
      </c>
      <c r="J29" s="687" t="s">
        <v>680</v>
      </c>
      <c r="K29" s="687"/>
      <c r="L29" s="687"/>
      <c r="M29" s="687"/>
      <c r="N29" s="687"/>
      <c r="O29" s="687"/>
      <c r="P29" s="687"/>
      <c r="Q29" s="687"/>
      <c r="R29" s="63" t="s">
        <v>656</v>
      </c>
      <c r="S29" s="61">
        <f ca="1">IF($J17=$A$145,0,ROUND((((1+S21+S22+S23)*(1+S24)*(1+S25)/(1-(S26+S27)))-1),4))</f>
        <v>3.09E-2</v>
      </c>
      <c r="U29" s="689" t="str">
        <f ca="1">IFERROR(IF(AND(OR(S29&gt;=X29,X29="-"),OR(S29&lt;=Z29,Z29="-")),"OK","FORA DO INTERVALO"),IF(S29=0,"OK","Selecione o Tipo de obra"))</f>
        <v>FORA DO INTERVALO</v>
      </c>
      <c r="V29" s="689"/>
      <c r="W29" s="689"/>
      <c r="X29" s="61">
        <f>IF($J17=$A$145,0,VLOOKUP(CONCATENATE($J17,"-",$R29),$C$2:$G$136,3,FALSE))</f>
        <v>0.19600000000000001</v>
      </c>
      <c r="Y29" s="61">
        <f>IF($J17=$A$145,0,VLOOKUP(CONCATENATE($J17,"-",$R29),$C$2:$G$136,4,FALSE))</f>
        <v>0.2097</v>
      </c>
      <c r="Z29" s="61">
        <f>IF($J17=$A$145,0,VLOOKUP(CONCATENATE($J17,"-",$R29),$C$2:$G$136,5,FALSE))</f>
        <v>0.24230000000000002</v>
      </c>
    </row>
    <row r="30" spans="1:26" ht="15" customHeight="1" x14ac:dyDescent="0.2">
      <c r="A30" s="48" t="str">
        <f>A29</f>
        <v>Obras Portuárias, Marítimas e Fluviais</v>
      </c>
      <c r="B30" s="52" t="s">
        <v>654</v>
      </c>
      <c r="C30" s="48" t="str">
        <f t="shared" si="0"/>
        <v>Obras Portuárias, Marítimas e Fluviais-L</v>
      </c>
      <c r="E30" s="53">
        <v>7.1399999999999991E-2</v>
      </c>
      <c r="F30" s="53">
        <v>8.4000000000000005E-2</v>
      </c>
      <c r="G30" s="53">
        <v>0.1043</v>
      </c>
      <c r="I30" s="7" t="s">
        <v>536</v>
      </c>
      <c r="J30" s="690" t="s">
        <v>681</v>
      </c>
      <c r="K30" s="690"/>
      <c r="L30" s="690"/>
      <c r="M30" s="690"/>
      <c r="N30" s="690"/>
      <c r="O30" s="690"/>
      <c r="P30" s="690"/>
      <c r="Q30" s="690"/>
      <c r="R30" s="64" t="s">
        <v>682</v>
      </c>
      <c r="S30" s="65">
        <f ca="1">IF($J17=$A$145,0,ROUND((((1+S21+S22+S23)*(1+S24)*(1+S25)/(1-(S26+S27+S28)))-1),4))</f>
        <v>3.09E-2</v>
      </c>
    </row>
    <row r="31" spans="1:26" ht="15" customHeight="1" x14ac:dyDescent="0.2">
      <c r="A31" s="48" t="str">
        <f>A30</f>
        <v>Obras Portuárias, Marítimas e Fluviais</v>
      </c>
      <c r="B31" s="57" t="s">
        <v>656</v>
      </c>
      <c r="C31" s="48" t="str">
        <f t="shared" si="0"/>
        <v>Obras Portuárias, Marítimas e Fluviais-BDI PAD</v>
      </c>
      <c r="E31" s="53">
        <v>0.22800000000000001</v>
      </c>
      <c r="F31" s="53">
        <v>0.27479999999999999</v>
      </c>
      <c r="G31" s="53">
        <v>0.3095</v>
      </c>
      <c r="I31" s="7" t="s">
        <v>536</v>
      </c>
    </row>
    <row r="32" spans="1:26" ht="15.75" x14ac:dyDescent="0.2">
      <c r="A32" s="48" t="s">
        <v>665</v>
      </c>
      <c r="B32" s="52" t="s">
        <v>646</v>
      </c>
      <c r="C32" s="48" t="str">
        <f t="shared" si="0"/>
        <v>Fornecimento de Materiais e Equipamentos (aquisição indireta - em conjunto com licitação de obras)-AC</v>
      </c>
      <c r="E32" s="53">
        <v>1.4999999999999999E-2</v>
      </c>
      <c r="F32" s="53">
        <v>3.4500000000000003E-2</v>
      </c>
      <c r="G32" s="53">
        <v>4.4900000000000002E-2</v>
      </c>
      <c r="I32" s="7" t="s">
        <v>536</v>
      </c>
      <c r="J32" s="66" t="str">
        <f ca="1">IF(U29&lt;&gt;"ok","X","")</f>
        <v>X</v>
      </c>
      <c r="K32" s="691" t="str">
        <f ca="1">IF(U29&lt;&gt;"ok","Anexo: Relatório Técnico Circunstanciado justificando a adoção do percentual de cada parcela do BDI.","")</f>
        <v>Anexo: Relatório Técnico Circunstanciado justificando a adoção do percentual de cada parcela do BDI.</v>
      </c>
      <c r="L32" s="691"/>
      <c r="M32" s="691"/>
      <c r="N32" s="691"/>
      <c r="O32" s="691"/>
      <c r="P32" s="691"/>
      <c r="Q32" s="691"/>
      <c r="R32" s="691"/>
      <c r="S32" s="691"/>
    </row>
    <row r="33" spans="1:19" x14ac:dyDescent="0.2">
      <c r="A33" s="48" t="str">
        <f>A32</f>
        <v>Fornecimento de Materiais e Equipamentos (aquisição indireta - em conjunto com licitação de obras)</v>
      </c>
      <c r="B33" s="52" t="s">
        <v>648</v>
      </c>
      <c r="C33" s="48" t="str">
        <f t="shared" si="0"/>
        <v>Fornecimento de Materiais e Equipamentos (aquisição indireta - em conjunto com licitação de obras)-SG</v>
      </c>
      <c r="E33" s="53">
        <v>3.0000000000000001E-3</v>
      </c>
      <c r="F33" s="53">
        <v>4.7999999999999996E-3</v>
      </c>
      <c r="G33" s="53">
        <v>8.199999999999999E-3</v>
      </c>
      <c r="I33" s="7" t="s">
        <v>536</v>
      </c>
    </row>
    <row r="34" spans="1:19" x14ac:dyDescent="0.2">
      <c r="A34" s="48" t="str">
        <f>A33</f>
        <v>Fornecimento de Materiais e Equipamentos (aquisição indireta - em conjunto com licitação de obras)</v>
      </c>
      <c r="B34" s="52" t="s">
        <v>649</v>
      </c>
      <c r="C34" s="48" t="str">
        <f t="shared" si="0"/>
        <v>Fornecimento de Materiais e Equipamentos (aquisição indireta - em conjunto com licitação de obras)-R</v>
      </c>
      <c r="E34" s="53">
        <v>5.6000000000000008E-3</v>
      </c>
      <c r="F34" s="53">
        <v>8.5000000000000006E-3</v>
      </c>
      <c r="G34" s="53">
        <v>8.8999999999999999E-3</v>
      </c>
      <c r="I34" s="7" t="s">
        <v>536</v>
      </c>
      <c r="J34" s="693" t="s">
        <v>683</v>
      </c>
      <c r="K34" s="693"/>
      <c r="L34" s="693"/>
      <c r="M34" s="693"/>
      <c r="N34" s="693"/>
      <c r="O34" s="693"/>
      <c r="P34" s="693"/>
      <c r="Q34" s="693"/>
      <c r="R34" s="693"/>
      <c r="S34" s="693"/>
    </row>
    <row r="35" spans="1:19" ht="15.75" x14ac:dyDescent="0.25">
      <c r="A35" s="48" t="str">
        <f>A34</f>
        <v>Fornecimento de Materiais e Equipamentos (aquisição indireta - em conjunto com licitação de obras)</v>
      </c>
      <c r="B35" s="52" t="s">
        <v>653</v>
      </c>
      <c r="C35" s="48" t="str">
        <f t="shared" si="0"/>
        <v>Fornecimento de Materiais e Equipamentos (aquisição indireta - em conjunto com licitação de obras)-DF</v>
      </c>
      <c r="E35" s="53">
        <v>8.5000000000000006E-3</v>
      </c>
      <c r="F35" s="53">
        <v>8.5000000000000006E-3</v>
      </c>
      <c r="G35" s="53">
        <v>1.11E-2</v>
      </c>
      <c r="I35" s="7" t="s">
        <v>536</v>
      </c>
      <c r="J35" s="67"/>
      <c r="K35" s="67"/>
      <c r="L35" s="67"/>
      <c r="M35" s="694" t="s">
        <v>684</v>
      </c>
      <c r="N35" s="695" t="str">
        <f>IF($J17=$A$146,"(1+K1+K2)*(1+K3)","(1+AC + S + R + G)*(1 + DF)*(1+L)")</f>
        <v>(1+AC + S + R + G)*(1 + DF)*(1+L)</v>
      </c>
      <c r="O35" s="695"/>
      <c r="P35" s="695"/>
      <c r="Q35" s="696" t="s">
        <v>685</v>
      </c>
      <c r="R35" s="67"/>
      <c r="S35" s="67"/>
    </row>
    <row r="36" spans="1:19" ht="15.75" x14ac:dyDescent="0.2">
      <c r="A36" s="48" t="str">
        <f>A35</f>
        <v>Fornecimento de Materiais e Equipamentos (aquisição indireta - em conjunto com licitação de obras)</v>
      </c>
      <c r="B36" s="52" t="s">
        <v>654</v>
      </c>
      <c r="C36" s="48" t="str">
        <f t="shared" si="0"/>
        <v>Fornecimento de Materiais e Equipamentos (aquisição indireta - em conjunto com licitação de obras)-L</v>
      </c>
      <c r="E36" s="53">
        <v>3.5000000000000003E-2</v>
      </c>
      <c r="F36" s="53">
        <v>5.1100000000000007E-2</v>
      </c>
      <c r="G36" s="53">
        <v>6.2199999999999998E-2</v>
      </c>
      <c r="I36" s="7" t="s">
        <v>536</v>
      </c>
      <c r="J36" s="67"/>
      <c r="K36" s="67"/>
      <c r="L36" s="67"/>
      <c r="M36" s="694"/>
      <c r="N36" s="686" t="s">
        <v>686</v>
      </c>
      <c r="O36" s="686"/>
      <c r="P36" s="686"/>
      <c r="Q36" s="696"/>
      <c r="R36" s="67"/>
      <c r="S36" s="67"/>
    </row>
    <row r="37" spans="1:19" ht="15" customHeight="1" x14ac:dyDescent="0.2">
      <c r="A37" s="48" t="str">
        <f>A36</f>
        <v>Fornecimento de Materiais e Equipamentos (aquisição indireta - em conjunto com licitação de obras)</v>
      </c>
      <c r="B37" s="57" t="s">
        <v>656</v>
      </c>
      <c r="C37" s="48" t="str">
        <f t="shared" si="0"/>
        <v>Fornecimento de Materiais e Equipamentos (aquisição indireta - em conjunto com licitação de obras)-BDI PAD</v>
      </c>
      <c r="E37" s="53">
        <v>0.111</v>
      </c>
      <c r="F37" s="53">
        <v>0.14019999999999999</v>
      </c>
      <c r="G37" s="53">
        <v>0.16800000000000001</v>
      </c>
      <c r="I37" s="7" t="s">
        <v>536</v>
      </c>
      <c r="J37" s="71"/>
      <c r="K37" s="71"/>
      <c r="L37" s="71"/>
      <c r="M37" s="71"/>
      <c r="N37" s="71"/>
      <c r="O37" s="71"/>
      <c r="P37" s="71"/>
      <c r="Q37" s="71"/>
      <c r="R37" s="71"/>
      <c r="S37" s="71"/>
    </row>
    <row r="38" spans="1:19" ht="50.1" customHeight="1" x14ac:dyDescent="0.2">
      <c r="A38" s="48" t="s">
        <v>687</v>
      </c>
      <c r="B38" s="57" t="s">
        <v>646</v>
      </c>
      <c r="C38" s="48" t="str">
        <f t="shared" si="0"/>
        <v>Fornecimento de Materiais e Equipamentos (aquisição direta)-AC</v>
      </c>
      <c r="E38" s="53" t="s">
        <v>688</v>
      </c>
      <c r="F38" s="53" t="s">
        <v>688</v>
      </c>
      <c r="G38" s="53" t="s">
        <v>688</v>
      </c>
      <c r="I38" t="s">
        <v>536</v>
      </c>
      <c r="J38" s="680" t="str">
        <f>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3%.</v>
      </c>
      <c r="K38" s="680"/>
      <c r="L38" s="680"/>
      <c r="M38" s="680"/>
      <c r="N38" s="680"/>
      <c r="O38" s="680"/>
      <c r="P38" s="680"/>
      <c r="Q38" s="680"/>
      <c r="R38" s="680"/>
      <c r="S38" s="680"/>
    </row>
    <row r="39" spans="1:19" x14ac:dyDescent="0.2">
      <c r="A39" s="48" t="s">
        <v>687</v>
      </c>
      <c r="B39" s="57" t="s">
        <v>648</v>
      </c>
      <c r="C39" s="48" t="str">
        <f t="shared" si="0"/>
        <v>Fornecimento de Materiais e Equipamentos (aquisição direta)-SG</v>
      </c>
      <c r="E39" s="53" t="s">
        <v>688</v>
      </c>
      <c r="F39" s="53" t="s">
        <v>688</v>
      </c>
      <c r="G39" s="53" t="s">
        <v>688</v>
      </c>
      <c r="I39" t="s">
        <v>536</v>
      </c>
    </row>
    <row r="40" spans="1:19" ht="50.1" customHeight="1" x14ac:dyDescent="0.2">
      <c r="A40" s="48" t="s">
        <v>687</v>
      </c>
      <c r="B40" s="57" t="s">
        <v>649</v>
      </c>
      <c r="C40" s="48" t="str">
        <f t="shared" si="0"/>
        <v>Fornecimento de Materiais e Equipamentos (aquisição direta)-R</v>
      </c>
      <c r="E40" s="53" t="s">
        <v>688</v>
      </c>
      <c r="F40" s="53" t="s">
        <v>688</v>
      </c>
      <c r="G40" s="53" t="s">
        <v>688</v>
      </c>
      <c r="I40" t="s">
        <v>536</v>
      </c>
      <c r="J40" s="680" t="str" cm="1">
        <f t="array" aca="1" ref="J40" ca="1">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K40" s="680"/>
      <c r="L40" s="680"/>
      <c r="M40" s="680"/>
      <c r="N40" s="680"/>
      <c r="O40" s="680"/>
      <c r="P40" s="680"/>
      <c r="Q40" s="680"/>
      <c r="R40" s="680"/>
      <c r="S40" s="680"/>
    </row>
    <row r="41" spans="1:19" x14ac:dyDescent="0.2">
      <c r="A41" s="48" t="s">
        <v>687</v>
      </c>
      <c r="B41" s="57" t="s">
        <v>653</v>
      </c>
      <c r="C41" s="48" t="str">
        <f t="shared" si="0"/>
        <v>Fornecimento de Materiais e Equipamentos (aquisição direta)-DF</v>
      </c>
      <c r="E41" s="53" t="s">
        <v>688</v>
      </c>
      <c r="F41" s="53" t="s">
        <v>688</v>
      </c>
      <c r="G41" s="53" t="s">
        <v>688</v>
      </c>
      <c r="I41" t="s">
        <v>536</v>
      </c>
    </row>
    <row r="42" spans="1:19" x14ac:dyDescent="0.2">
      <c r="A42" s="48" t="s">
        <v>687</v>
      </c>
      <c r="B42" s="57" t="s">
        <v>654</v>
      </c>
      <c r="C42" s="48" t="str">
        <f t="shared" si="0"/>
        <v>Fornecimento de Materiais e Equipamentos (aquisição direta)-L</v>
      </c>
      <c r="E42" s="53" t="s">
        <v>688</v>
      </c>
      <c r="F42" s="53" t="s">
        <v>688</v>
      </c>
      <c r="G42" s="53" t="s">
        <v>688</v>
      </c>
      <c r="I42" t="s">
        <v>536</v>
      </c>
      <c r="J42" s="48" t="s">
        <v>689</v>
      </c>
    </row>
    <row r="43" spans="1:19" ht="99.95" customHeight="1" x14ac:dyDescent="0.2">
      <c r="A43" s="48" t="s">
        <v>687</v>
      </c>
      <c r="B43" s="57" t="s">
        <v>656</v>
      </c>
      <c r="C43" s="48" t="str">
        <f t="shared" si="0"/>
        <v>Fornecimento de Materiais e Equipamentos (aquisição direta)-BDI PAD</v>
      </c>
      <c r="E43" s="53" t="s">
        <v>688</v>
      </c>
      <c r="F43" s="53" t="s">
        <v>688</v>
      </c>
      <c r="G43" s="53" t="s">
        <v>688</v>
      </c>
      <c r="I43" t="s">
        <v>536</v>
      </c>
      <c r="J43" s="681"/>
      <c r="K43" s="681"/>
      <c r="L43" s="681"/>
      <c r="M43" s="681"/>
      <c r="N43" s="681"/>
      <c r="O43" s="681"/>
      <c r="P43" s="681"/>
      <c r="Q43" s="681"/>
      <c r="R43" s="681"/>
      <c r="S43" s="681"/>
    </row>
    <row r="44" spans="1:19" x14ac:dyDescent="0.2">
      <c r="A44" s="48" t="s">
        <v>690</v>
      </c>
      <c r="B44" s="52" t="s">
        <v>691</v>
      </c>
      <c r="C44" s="48" t="str">
        <f t="shared" si="0"/>
        <v>Estudos e Projetos, Planos e Gerenciamento e outros correlatos-K1</v>
      </c>
      <c r="E44" s="53" t="s">
        <v>688</v>
      </c>
      <c r="F44" s="53" t="s">
        <v>688</v>
      </c>
      <c r="G44" s="53" t="s">
        <v>688</v>
      </c>
      <c r="I44" t="s">
        <v>536</v>
      </c>
    </row>
    <row r="45" spans="1:19" x14ac:dyDescent="0.2">
      <c r="A45" s="48" t="str">
        <f>A44</f>
        <v>Estudos e Projetos, Planos e Gerenciamento e outros correlatos</v>
      </c>
      <c r="B45" s="52" t="s">
        <v>692</v>
      </c>
      <c r="C45" s="48" t="str">
        <f t="shared" si="0"/>
        <v>Estudos e Projetos, Planos e Gerenciamento e outros correlatos-K2</v>
      </c>
      <c r="E45" s="53" t="s">
        <v>688</v>
      </c>
      <c r="F45" s="53">
        <v>0.2</v>
      </c>
      <c r="G45" s="53" t="s">
        <v>688</v>
      </c>
      <c r="I45" t="s">
        <v>536</v>
      </c>
      <c r="J45" s="682" t="str">
        <f>Import.Município</f>
        <v>Liberdade - MG</v>
      </c>
      <c r="K45" s="682"/>
      <c r="L45" s="682"/>
      <c r="M45" s="682"/>
      <c r="P45" s="683">
        <f>DADOS!$C$25</f>
        <v>45880</v>
      </c>
      <c r="Q45" s="683"/>
      <c r="R45" s="683"/>
      <c r="S45" s="683"/>
    </row>
    <row r="46" spans="1:19" x14ac:dyDescent="0.2">
      <c r="A46" s="48" t="str">
        <f>A45</f>
        <v>Estudos e Projetos, Planos e Gerenciamento e outros correlatos</v>
      </c>
      <c r="B46" s="52"/>
      <c r="C46" s="48" t="str">
        <f t="shared" si="0"/>
        <v>Estudos e Projetos, Planos e Gerenciamento e outros correlatos-</v>
      </c>
      <c r="E46" s="53" t="s">
        <v>688</v>
      </c>
      <c r="F46" s="53" t="s">
        <v>688</v>
      </c>
      <c r="G46" s="53" t="s">
        <v>688</v>
      </c>
      <c r="I46" t="s">
        <v>536</v>
      </c>
      <c r="J46" s="684" t="s">
        <v>693</v>
      </c>
      <c r="K46" s="684"/>
      <c r="L46" s="684"/>
      <c r="M46" s="684"/>
      <c r="O46" s="72"/>
      <c r="P46" s="73" t="s">
        <v>694</v>
      </c>
      <c r="Q46" s="74"/>
      <c r="R46" s="74"/>
      <c r="S46" s="74"/>
    </row>
    <row r="47" spans="1:19" ht="30" customHeight="1" x14ac:dyDescent="0.2">
      <c r="A47" s="48" t="str">
        <f>A46</f>
        <v>Estudos e Projetos, Planos e Gerenciamento e outros correlatos</v>
      </c>
      <c r="B47" s="52"/>
      <c r="C47" s="48" t="str">
        <f t="shared" si="0"/>
        <v>Estudos e Projetos, Planos e Gerenciamento e outros correlatos-</v>
      </c>
      <c r="E47" s="53" t="s">
        <v>688</v>
      </c>
      <c r="F47" s="53" t="s">
        <v>688</v>
      </c>
      <c r="G47" s="53" t="s">
        <v>688</v>
      </c>
      <c r="I47" t="s">
        <v>536</v>
      </c>
    </row>
    <row r="48" spans="1:19" ht="15" x14ac:dyDescent="0.2">
      <c r="A48" s="48" t="str">
        <f>A47</f>
        <v>Estudos e Projetos, Planos e Gerenciamento e outros correlatos</v>
      </c>
      <c r="B48" s="52" t="s">
        <v>695</v>
      </c>
      <c r="C48" s="48" t="str">
        <f t="shared" si="0"/>
        <v>Estudos e Projetos, Planos e Gerenciamento e outros correlatos-K3</v>
      </c>
      <c r="E48" s="53" t="s">
        <v>688</v>
      </c>
      <c r="F48" s="53">
        <v>0.12</v>
      </c>
      <c r="G48" s="53" t="s">
        <v>688</v>
      </c>
      <c r="I48" t="s">
        <v>536</v>
      </c>
      <c r="J48" s="685"/>
      <c r="K48" s="685"/>
      <c r="L48" s="685"/>
      <c r="M48" s="685"/>
      <c r="N48" s="75"/>
    </row>
    <row r="49" spans="1:26" ht="12.75" customHeight="1" x14ac:dyDescent="0.2">
      <c r="A49" s="48" t="str">
        <f>A48</f>
        <v>Estudos e Projetos, Planos e Gerenciamento e outros correlatos</v>
      </c>
      <c r="B49" s="57" t="s">
        <v>656</v>
      </c>
      <c r="C49" s="48" t="str">
        <f t="shared" si="0"/>
        <v>Estudos e Projetos, Planos e Gerenciamento e outros correlatos-BDI PAD</v>
      </c>
      <c r="E49" s="53" t="s">
        <v>688</v>
      </c>
      <c r="F49" s="53" t="s">
        <v>688</v>
      </c>
      <c r="G49" s="53" t="s">
        <v>688</v>
      </c>
      <c r="I49" t="s">
        <v>536</v>
      </c>
      <c r="J49" s="679" t="s">
        <v>696</v>
      </c>
      <c r="K49" s="679"/>
      <c r="L49" s="679"/>
      <c r="M49" s="679"/>
    </row>
    <row r="50" spans="1:26" ht="14.25" x14ac:dyDescent="0.2">
      <c r="B50" s="57"/>
      <c r="E50" s="53"/>
      <c r="F50" s="53"/>
      <c r="G50" s="53"/>
      <c r="I50" t="s">
        <v>536</v>
      </c>
      <c r="J50" s="76" t="s">
        <v>240</v>
      </c>
      <c r="K50" s="77" t="str">
        <f t="array" ref="K50:K52">Import.RespOrçamento</f>
        <v>Antônio Carlos Sampaio Alves</v>
      </c>
      <c r="L50" s="78"/>
      <c r="M50" s="78"/>
      <c r="N50" s="75"/>
    </row>
    <row r="51" spans="1:26" ht="14.25" x14ac:dyDescent="0.2">
      <c r="A51"/>
      <c r="B51"/>
      <c r="C51"/>
      <c r="D51"/>
      <c r="E51"/>
      <c r="F51"/>
      <c r="G51"/>
      <c r="I51" t="s">
        <v>536</v>
      </c>
      <c r="J51" s="76" t="s">
        <v>243</v>
      </c>
      <c r="K51" s="77" t="str">
        <v>214010-D</v>
      </c>
      <c r="L51" s="78"/>
      <c r="M51" s="78"/>
      <c r="N51" s="75"/>
    </row>
    <row r="52" spans="1:26" ht="14.25" x14ac:dyDescent="0.2">
      <c r="A52"/>
      <c r="B52"/>
      <c r="C52"/>
      <c r="D52"/>
      <c r="E52"/>
      <c r="F52"/>
      <c r="G52"/>
      <c r="I52" t="s">
        <v>536</v>
      </c>
      <c r="J52" s="76" t="s">
        <v>246</v>
      </c>
      <c r="K52" s="77" t="str">
        <v>MG 20254192207</v>
      </c>
      <c r="L52" s="78"/>
      <c r="M52" s="78"/>
      <c r="N52" s="75"/>
    </row>
    <row r="53" spans="1:26" ht="14.25" x14ac:dyDescent="0.2">
      <c r="A53"/>
      <c r="B53"/>
      <c r="C53"/>
      <c r="D53"/>
      <c r="E53"/>
      <c r="F53"/>
      <c r="G53"/>
      <c r="I53" t="s">
        <v>536</v>
      </c>
      <c r="J53" s="76"/>
      <c r="K53" s="79"/>
      <c r="L53" s="78"/>
      <c r="M53" s="78"/>
      <c r="N53" s="75"/>
    </row>
    <row r="54" spans="1:26" ht="15.75" x14ac:dyDescent="0.25">
      <c r="A54"/>
      <c r="B54"/>
      <c r="C54"/>
      <c r="D54"/>
      <c r="E54"/>
      <c r="F54"/>
      <c r="G54"/>
      <c r="I54" t="str">
        <f ca="1">IF($S$69=0,"","F")</f>
        <v/>
      </c>
      <c r="J54" s="701" t="s">
        <v>697</v>
      </c>
      <c r="K54" s="701"/>
      <c r="L54" s="701"/>
      <c r="M54" s="701"/>
      <c r="N54" s="701"/>
      <c r="O54" s="701"/>
      <c r="P54" s="701"/>
      <c r="Q54" s="701"/>
      <c r="R54" s="701"/>
      <c r="S54" s="701"/>
      <c r="U54" s="520" t="str">
        <f>IF(COUNTIF(ORÇAMENTO!$V$15:$V$55,BDI_2.Título)=0,"",IF(OR(Import.BDI.Tipo2="(SELECIONAR)",Import.BDI.Tipo2="",U57&lt;&gt;"",AND($J57&lt;&gt;$A$145,OR(S61="",S62="",AND($J57&lt;&gt;$A$146,OR(S63="",S64="")),S65="",S66=""))),"Falta preencher o BDI 2",""))</f>
        <v/>
      </c>
    </row>
    <row r="55" spans="1:26" x14ac:dyDescent="0.2">
      <c r="A55"/>
      <c r="B55"/>
      <c r="C55"/>
      <c r="D55"/>
      <c r="E55"/>
      <c r="F55"/>
      <c r="G55"/>
      <c r="I55" t="str">
        <f t="shared" ref="I55:I93" ca="1" si="3">IF($S$69=0,"","F")</f>
        <v/>
      </c>
    </row>
    <row r="56" spans="1:26" x14ac:dyDescent="0.2">
      <c r="A56"/>
      <c r="B56"/>
      <c r="C56"/>
      <c r="D56"/>
      <c r="E56"/>
      <c r="F56"/>
      <c r="G56"/>
      <c r="I56" t="str">
        <f t="shared" ca="1" si="3"/>
        <v/>
      </c>
      <c r="J56" s="699" t="s">
        <v>664</v>
      </c>
      <c r="K56" s="699"/>
      <c r="L56" s="699"/>
      <c r="M56" s="699"/>
      <c r="N56" s="699"/>
      <c r="O56" s="699"/>
      <c r="P56" s="699"/>
      <c r="Q56" s="699"/>
      <c r="R56" s="699"/>
      <c r="S56" s="699"/>
    </row>
    <row r="57" spans="1:26" ht="15" x14ac:dyDescent="0.25">
      <c r="A57"/>
      <c r="B57"/>
      <c r="C57"/>
      <c r="D57"/>
      <c r="E57"/>
      <c r="F57"/>
      <c r="G57"/>
      <c r="I57" t="str">
        <f t="shared" ca="1" si="3"/>
        <v/>
      </c>
      <c r="J57" s="700" t="s">
        <v>139</v>
      </c>
      <c r="K57" s="700"/>
      <c r="L57" s="700"/>
      <c r="M57" s="700"/>
      <c r="N57" s="700"/>
      <c r="O57" s="700"/>
      <c r="P57" s="700"/>
      <c r="Q57" s="700"/>
      <c r="R57" s="700"/>
      <c r="S57" s="700"/>
      <c r="T57" s="562" t="str">
        <f ca="1">IF(U57="","","◄")</f>
        <v/>
      </c>
      <c r="U57" s="561" t="str">
        <f ca="1">IF(AND(OR(S69&gt;0,COUNTIF(ORÇAMENTO!$V$15:$V$55,BDI_2.Título)&gt;0),OR(Import.BDI.Tipo2="(SELECIONAR)",Import.BDI.Tipo2="")),"Selecione o Tipo de obra","")</f>
        <v/>
      </c>
    </row>
    <row r="58" spans="1:26" x14ac:dyDescent="0.2">
      <c r="A58"/>
      <c r="B58"/>
      <c r="C58"/>
      <c r="D58"/>
      <c r="E58"/>
      <c r="F58"/>
      <c r="G58"/>
      <c r="I58" t="str">
        <f t="shared" ca="1" si="3"/>
        <v/>
      </c>
    </row>
    <row r="59" spans="1:26" ht="12.75" customHeight="1" x14ac:dyDescent="0.2">
      <c r="A59"/>
      <c r="B59"/>
      <c r="C59"/>
      <c r="D59"/>
      <c r="E59"/>
      <c r="F59"/>
      <c r="G59"/>
      <c r="I59" t="str">
        <f t="shared" ca="1" si="3"/>
        <v/>
      </c>
      <c r="J59" s="698" t="s">
        <v>666</v>
      </c>
      <c r="K59" s="698"/>
      <c r="L59" s="698"/>
      <c r="M59" s="698"/>
      <c r="N59" s="698"/>
      <c r="O59" s="698"/>
      <c r="P59" s="698"/>
      <c r="Q59" s="698"/>
      <c r="R59" s="698" t="s">
        <v>667</v>
      </c>
      <c r="S59" s="689" t="s">
        <v>668</v>
      </c>
      <c r="U59" s="689" t="s">
        <v>669</v>
      </c>
      <c r="V59" s="689"/>
      <c r="W59" s="689"/>
      <c r="X59" s="697" t="s">
        <v>670</v>
      </c>
      <c r="Y59" s="697" t="s">
        <v>671</v>
      </c>
      <c r="Z59" s="697" t="s">
        <v>672</v>
      </c>
    </row>
    <row r="60" spans="1:26" ht="12.75" customHeight="1" x14ac:dyDescent="0.2">
      <c r="A60"/>
      <c r="B60"/>
      <c r="C60"/>
      <c r="D60"/>
      <c r="E60"/>
      <c r="F60"/>
      <c r="G60"/>
      <c r="I60" t="str">
        <f t="shared" ca="1" si="3"/>
        <v/>
      </c>
      <c r="J60" s="698"/>
      <c r="K60" s="698"/>
      <c r="L60" s="698"/>
      <c r="M60" s="698"/>
      <c r="N60" s="698"/>
      <c r="O60" s="698"/>
      <c r="P60" s="698"/>
      <c r="Q60" s="698"/>
      <c r="R60" s="698"/>
      <c r="S60" s="689"/>
      <c r="U60" s="689"/>
      <c r="V60" s="689"/>
      <c r="W60" s="689"/>
      <c r="X60" s="697"/>
      <c r="Y60" s="697"/>
      <c r="Z60" s="697"/>
    </row>
    <row r="61" spans="1:26" ht="15" customHeight="1" x14ac:dyDescent="0.2">
      <c r="A61"/>
      <c r="B61"/>
      <c r="C61"/>
      <c r="D61"/>
      <c r="E61"/>
      <c r="F61"/>
      <c r="G61"/>
      <c r="I61" t="str">
        <f t="shared" ca="1" si="3"/>
        <v/>
      </c>
      <c r="J61" s="687" t="str">
        <f>IF($J$17=$A$146,"Encargos Sociais incidentes sobre a mão de obra","Administração Central")</f>
        <v>Administração Central</v>
      </c>
      <c r="K61" s="687"/>
      <c r="L61" s="687"/>
      <c r="M61" s="687"/>
      <c r="N61" s="687"/>
      <c r="O61" s="687"/>
      <c r="P61" s="687"/>
      <c r="Q61" s="687"/>
      <c r="R61" s="59" t="str">
        <f>IF($J57=$A$146,"K1","AC")</f>
        <v>AC</v>
      </c>
      <c r="S61" s="60"/>
      <c r="T61" s="571" t="str">
        <f ca="1">IF(AND($U$54&lt;&gt;"",$U$57="",R61&lt;&gt;"",S61=""),"◄","")</f>
        <v/>
      </c>
      <c r="U61" s="688" t="str">
        <f ca="1">IFERROR(IF(T61="◄","FALTA PREENCHER",IF(AND(OR(S61&gt;=X61,X61="-"),OR(S61&lt;=Z61,Z61="-")),"OK","FORA DO INTERVALO")),"-")</f>
        <v>-</v>
      </c>
      <c r="V61" s="688"/>
      <c r="W61" s="688"/>
      <c r="X61" s="61" t="e">
        <f>VLOOKUP(CONCATENATE(J57,"-",R61),$C$2:$G$136,3,FALSE)</f>
        <v>#N/A</v>
      </c>
      <c r="Y61" s="61" t="e">
        <f>VLOOKUP(CONCATENATE(J57,"-",R61),$C$2:$G$136,4,FALSE)</f>
        <v>#N/A</v>
      </c>
      <c r="Z61" s="61" t="e">
        <f>VLOOKUP(CONCATENATE(J57,"-",R61),$C$2:$G$136,5,FALSE)</f>
        <v>#N/A</v>
      </c>
    </row>
    <row r="62" spans="1:26" ht="15" customHeight="1" x14ac:dyDescent="0.2">
      <c r="A62"/>
      <c r="B62"/>
      <c r="C62"/>
      <c r="D62"/>
      <c r="E62"/>
      <c r="F62"/>
      <c r="G62"/>
      <c r="I62" t="str">
        <f t="shared" ca="1" si="3"/>
        <v/>
      </c>
      <c r="J62" s="687" t="str">
        <f>IF($J$17=$A$146,"Administração Central da empresa ou consultoria - overhead","Seguro e Garantia")</f>
        <v>Seguro e Garantia</v>
      </c>
      <c r="K62" s="687"/>
      <c r="L62" s="687"/>
      <c r="M62" s="687"/>
      <c r="N62" s="687"/>
      <c r="O62" s="687"/>
      <c r="P62" s="687"/>
      <c r="Q62" s="687"/>
      <c r="R62" s="59" t="str">
        <f>IF($J57=$A$146,"K2","SG")</f>
        <v>SG</v>
      </c>
      <c r="S62" s="60"/>
      <c r="T62" s="571" t="str">
        <f t="shared" ref="T62:T66" ca="1" si="4">IF(AND($U$54&lt;&gt;"",$U$57="",R62&lt;&gt;"",S62=""),"◄","")</f>
        <v/>
      </c>
      <c r="U62" s="688" t="str">
        <f t="shared" ref="U62:U68" ca="1" si="5">IFERROR(IF(T62="◄","FALTA PREENCHER",IF(AND(OR(S62&gt;=X62,X62="-"),OR(S62&lt;=Z62,Z62="-")),"OK","FORA DO INTERVALO")),"-")</f>
        <v>-</v>
      </c>
      <c r="V62" s="688"/>
      <c r="W62" s="688"/>
      <c r="X62" s="61" t="e">
        <f>VLOOKUP(CONCATENATE(J57,"-",R62),$C$2:$G$136,3,FALSE)</f>
        <v>#N/A</v>
      </c>
      <c r="Y62" s="61" t="e">
        <f>VLOOKUP(CONCATENATE(J57,"-",R62),$C$2:$G$136,4,FALSE)</f>
        <v>#N/A</v>
      </c>
      <c r="Z62" s="61" t="e">
        <f>VLOOKUP(CONCATENATE(J57,"-",R62),$C$2:$G$136,5,FALSE)</f>
        <v>#N/A</v>
      </c>
    </row>
    <row r="63" spans="1:26" ht="15" customHeight="1" x14ac:dyDescent="0.2">
      <c r="A63"/>
      <c r="B63"/>
      <c r="C63"/>
      <c r="D63"/>
      <c r="E63"/>
      <c r="F63"/>
      <c r="G63"/>
      <c r="I63" t="str">
        <f t="shared" ca="1" si="3"/>
        <v/>
      </c>
      <c r="J63" s="687" t="s">
        <v>942</v>
      </c>
      <c r="K63" s="687"/>
      <c r="L63" s="687"/>
      <c r="M63" s="687"/>
      <c r="N63" s="687"/>
      <c r="O63" s="687"/>
      <c r="P63" s="687"/>
      <c r="Q63" s="687"/>
      <c r="R63" s="59" t="str">
        <f>IF($J57=$A$146,"","R")</f>
        <v>R</v>
      </c>
      <c r="S63" s="60"/>
      <c r="T63" s="571" t="str">
        <f t="shared" ca="1" si="4"/>
        <v/>
      </c>
      <c r="U63" s="688" t="str">
        <f t="shared" ca="1" si="5"/>
        <v>-</v>
      </c>
      <c r="V63" s="688"/>
      <c r="W63" s="688"/>
      <c r="X63" s="61" t="e">
        <f>VLOOKUP(CONCATENATE(J57,"-",R63),$C$2:$G$136,3,FALSE)</f>
        <v>#N/A</v>
      </c>
      <c r="Y63" s="61" t="e">
        <f>VLOOKUP(CONCATENATE(J57,"-",R63),$C$2:$G$136,4,FALSE)</f>
        <v>#N/A</v>
      </c>
      <c r="Z63" s="61" t="e">
        <f>VLOOKUP(CONCATENATE(J57,"-",R63),$C$2:$G$136,5,FALSE)</f>
        <v>#N/A</v>
      </c>
    </row>
    <row r="64" spans="1:26" ht="15" customHeight="1" x14ac:dyDescent="0.2">
      <c r="A64"/>
      <c r="B64"/>
      <c r="C64"/>
      <c r="D64"/>
      <c r="E64"/>
      <c r="F64"/>
      <c r="G64"/>
      <c r="I64" t="str">
        <f t="shared" ca="1" si="3"/>
        <v/>
      </c>
      <c r="J64" s="687" t="s">
        <v>943</v>
      </c>
      <c r="K64" s="687"/>
      <c r="L64" s="687"/>
      <c r="M64" s="687"/>
      <c r="N64" s="687"/>
      <c r="O64" s="687"/>
      <c r="P64" s="687"/>
      <c r="Q64" s="687"/>
      <c r="R64" s="59" t="str">
        <f>IF($J57=$A$146,"","DF")</f>
        <v>DF</v>
      </c>
      <c r="S64" s="60"/>
      <c r="T64" s="571" t="str">
        <f t="shared" ca="1" si="4"/>
        <v/>
      </c>
      <c r="U64" s="688" t="str">
        <f t="shared" ca="1" si="5"/>
        <v>-</v>
      </c>
      <c r="V64" s="688"/>
      <c r="W64" s="688"/>
      <c r="X64" s="61" t="e">
        <f>VLOOKUP(CONCATENATE(J57,"-",R64),$C$2:$G$136,3,FALSE)</f>
        <v>#N/A</v>
      </c>
      <c r="Y64" s="61" t="e">
        <f>VLOOKUP(CONCATENATE(J57,"-",R64),$C$2:$G$136,4,FALSE)</f>
        <v>#N/A</v>
      </c>
      <c r="Z64" s="61" t="e">
        <f>VLOOKUP(CONCATENATE(J57,"-",R64),$C$2:$G$136,5,FALSE)</f>
        <v>#N/A</v>
      </c>
    </row>
    <row r="65" spans="1:26" ht="15" customHeight="1" x14ac:dyDescent="0.2">
      <c r="A65"/>
      <c r="B65"/>
      <c r="C65"/>
      <c r="D65"/>
      <c r="E65"/>
      <c r="F65"/>
      <c r="G65"/>
      <c r="I65" t="str">
        <f t="shared" ca="1" si="3"/>
        <v/>
      </c>
      <c r="J65" s="687" t="str">
        <f>IF($J$17=$A$146,"Margem bruta da empresa de consultoria","Lucro")</f>
        <v>Lucro</v>
      </c>
      <c r="K65" s="687"/>
      <c r="L65" s="687"/>
      <c r="M65" s="687"/>
      <c r="N65" s="687"/>
      <c r="O65" s="687"/>
      <c r="P65" s="687"/>
      <c r="Q65" s="687"/>
      <c r="R65" s="59" t="str">
        <f>IF($J57=$A$146,"K3","L")</f>
        <v>L</v>
      </c>
      <c r="S65" s="60"/>
      <c r="T65" s="571" t="str">
        <f t="shared" ca="1" si="4"/>
        <v/>
      </c>
      <c r="U65" s="688" t="str">
        <f t="shared" ca="1" si="5"/>
        <v>-</v>
      </c>
      <c r="V65" s="688"/>
      <c r="W65" s="688"/>
      <c r="X65" s="61" t="e">
        <f>VLOOKUP(CONCATENATE(J57,"-",R65),$C$2:$G$136,3,FALSE)</f>
        <v>#N/A</v>
      </c>
      <c r="Y65" s="61" t="e">
        <f>VLOOKUP(CONCATENATE(J57,"-",R65),$C$2:$G$136,4,FALSE)</f>
        <v>#N/A</v>
      </c>
      <c r="Z65" s="61" t="e">
        <f>VLOOKUP(CONCATENATE(J57,"-",R65),$C$2:$G$136,5,FALSE)</f>
        <v>#N/A</v>
      </c>
    </row>
    <row r="66" spans="1:26" ht="15" customHeight="1" x14ac:dyDescent="0.2">
      <c r="A66"/>
      <c r="B66"/>
      <c r="C66"/>
      <c r="D66"/>
      <c r="E66"/>
      <c r="F66"/>
      <c r="G66"/>
      <c r="I66" t="str">
        <f t="shared" ca="1" si="3"/>
        <v/>
      </c>
      <c r="J66" s="687" t="s">
        <v>675</v>
      </c>
      <c r="K66" s="687"/>
      <c r="L66" s="687"/>
      <c r="M66" s="687"/>
      <c r="N66" s="687"/>
      <c r="O66" s="687"/>
      <c r="P66" s="687"/>
      <c r="Q66" s="687"/>
      <c r="R66" s="59" t="s">
        <v>456</v>
      </c>
      <c r="S66" s="60"/>
      <c r="T66" s="571" t="str">
        <f t="shared" ca="1" si="4"/>
        <v/>
      </c>
      <c r="U66" s="688" t="str">
        <f t="shared" ca="1" si="5"/>
        <v>FORA DO INTERVALO</v>
      </c>
      <c r="V66" s="688"/>
      <c r="W66" s="688"/>
      <c r="X66" s="61">
        <f>Y66</f>
        <v>3.6499999999999998E-2</v>
      </c>
      <c r="Y66" s="61">
        <f>IF($J57=$A$145,"-",3.65%)</f>
        <v>3.6499999999999998E-2</v>
      </c>
      <c r="Z66" s="61">
        <f>Y66</f>
        <v>3.6499999999999998E-2</v>
      </c>
    </row>
    <row r="67" spans="1:26" ht="15" customHeight="1" x14ac:dyDescent="0.2">
      <c r="A67"/>
      <c r="B67"/>
      <c r="C67"/>
      <c r="D67"/>
      <c r="E67"/>
      <c r="F67"/>
      <c r="G67"/>
      <c r="I67" t="str">
        <f t="shared" ca="1" si="3"/>
        <v/>
      </c>
      <c r="J67" s="687" t="s">
        <v>676</v>
      </c>
      <c r="K67" s="687"/>
      <c r="L67" s="687"/>
      <c r="M67" s="687"/>
      <c r="N67" s="687"/>
      <c r="O67" s="687"/>
      <c r="P67" s="687"/>
      <c r="Q67" s="687"/>
      <c r="R67" s="59" t="s">
        <v>677</v>
      </c>
      <c r="S67" s="61">
        <f ca="1">IF(AND($J57&lt;&gt;$A$145,COUNTA(OFFSET(S60,1,0,6))&gt;0),$R$11*$R$10,0)</f>
        <v>0</v>
      </c>
      <c r="U67" s="688" t="str">
        <f t="shared" ca="1" si="5"/>
        <v>OK</v>
      </c>
      <c r="V67" s="688"/>
      <c r="W67" s="688"/>
      <c r="X67" s="61">
        <v>0</v>
      </c>
      <c r="Y67" s="61">
        <v>2.5000000000000001E-2</v>
      </c>
      <c r="Z67" s="61">
        <v>0.05</v>
      </c>
    </row>
    <row r="68" spans="1:26" ht="15" customHeight="1" x14ac:dyDescent="0.2">
      <c r="A68"/>
      <c r="B68"/>
      <c r="C68"/>
      <c r="D68"/>
      <c r="E68"/>
      <c r="F68"/>
      <c r="G68"/>
      <c r="I68" t="str">
        <f t="shared" ca="1" si="3"/>
        <v/>
      </c>
      <c r="J68" s="687" t="s">
        <v>678</v>
      </c>
      <c r="K68" s="687"/>
      <c r="L68" s="687"/>
      <c r="M68" s="687"/>
      <c r="N68" s="687"/>
      <c r="O68" s="687"/>
      <c r="P68" s="687"/>
      <c r="Q68" s="687"/>
      <c r="R68" s="59" t="s">
        <v>679</v>
      </c>
      <c r="S68" s="61" cm="1">
        <f t="array" aca="1" ref="S68" ca="1">IF(BDI.Opcao&lt;&gt;"Desonerado",0,IF(AND($J57&lt;&gt;$A$145,COUNTA(OFFSET(S60,1,0,6))&gt;0),IF(YEAR(Import.DataBase)&lt;2025,4.5%,IF(YEAR(Import.DataBase)=2025,3.6%,IF(YEAR(Import.DataBase)=2026,2.7%,IF(YEAR(Import.DataBase)=2027,1.8%,0%)))),0%))</f>
        <v>0</v>
      </c>
      <c r="U68" s="688" t="str">
        <f t="shared" ca="1" si="5"/>
        <v>OK</v>
      </c>
      <c r="V68" s="688"/>
      <c r="W68" s="688"/>
      <c r="X68" s="62">
        <f ca="1">$S68</f>
        <v>0</v>
      </c>
      <c r="Y68" s="62">
        <f ca="1">$S68</f>
        <v>0</v>
      </c>
      <c r="Z68" s="62">
        <f ca="1">$S68</f>
        <v>0</v>
      </c>
    </row>
    <row r="69" spans="1:26" ht="15" customHeight="1" x14ac:dyDescent="0.2">
      <c r="A69"/>
      <c r="B69"/>
      <c r="C69"/>
      <c r="D69"/>
      <c r="E69"/>
      <c r="F69"/>
      <c r="G69"/>
      <c r="I69" t="str">
        <f t="shared" ca="1" si="3"/>
        <v/>
      </c>
      <c r="J69" s="687" t="s">
        <v>680</v>
      </c>
      <c r="K69" s="687"/>
      <c r="L69" s="687"/>
      <c r="M69" s="687"/>
      <c r="N69" s="687"/>
      <c r="O69" s="687"/>
      <c r="P69" s="687"/>
      <c r="Q69" s="687"/>
      <c r="R69" s="63" t="s">
        <v>656</v>
      </c>
      <c r="S69" s="61">
        <f ca="1">IF($J57=$A$145,0,ROUND((((1+S61+S62+S63)*(1+S64)*(1+S65)/(1-(S66+S67)))-1),4))</f>
        <v>0</v>
      </c>
      <c r="U69" s="689" t="str">
        <f ca="1">IFERROR(IF(AND(OR(S69&gt;=X69,X69="-"),OR(S69&lt;=Z69,Z69="-")),"OK","FORA DO INTERVALO"),IF(S69=0,"OK","Selecione o Tipo de obra"))</f>
        <v>OK</v>
      </c>
      <c r="V69" s="689"/>
      <c r="W69" s="689"/>
      <c r="X69" s="61" t="e">
        <f>IF($J57=$A$145,0,VLOOKUP(CONCATENATE($J57,"-",$R69),$C$2:$G$136,3,FALSE))</f>
        <v>#N/A</v>
      </c>
      <c r="Y69" s="61" t="e">
        <f>IF($J57=$A$145,0,VLOOKUP(CONCATENATE($J57,"-",$R69),$C$2:$G$136,4,FALSE))</f>
        <v>#N/A</v>
      </c>
      <c r="Z69" s="61" t="e">
        <f>IF($J57=$A$145,0,VLOOKUP(CONCATENATE($J57,"-",$R69),$C$2:$G$136,5,FALSE))</f>
        <v>#N/A</v>
      </c>
    </row>
    <row r="70" spans="1:26" ht="15" customHeight="1" x14ac:dyDescent="0.2">
      <c r="A70"/>
      <c r="B70"/>
      <c r="C70"/>
      <c r="D70"/>
      <c r="E70"/>
      <c r="F70"/>
      <c r="G70"/>
      <c r="I70" t="str">
        <f t="shared" ca="1" si="3"/>
        <v/>
      </c>
      <c r="J70" s="690" t="s">
        <v>681</v>
      </c>
      <c r="K70" s="690"/>
      <c r="L70" s="690"/>
      <c r="M70" s="690"/>
      <c r="N70" s="690"/>
      <c r="O70" s="690"/>
      <c r="P70" s="690"/>
      <c r="Q70" s="690"/>
      <c r="R70" s="64" t="s">
        <v>682</v>
      </c>
      <c r="S70" s="65">
        <f ca="1">IF($J57=$A$145,0,ROUND((((1+S61+S62+S63)*(1+S64)*(1+S65)/(1-(S66+S67+S68)))-1),4))</f>
        <v>0</v>
      </c>
    </row>
    <row r="71" spans="1:26" ht="15" customHeight="1" x14ac:dyDescent="0.2">
      <c r="A71"/>
      <c r="B71"/>
      <c r="C71"/>
      <c r="D71"/>
      <c r="E71"/>
      <c r="F71"/>
      <c r="G71"/>
      <c r="I71" t="str">
        <f t="shared" ca="1" si="3"/>
        <v/>
      </c>
    </row>
    <row r="72" spans="1:26" ht="15.75" x14ac:dyDescent="0.2">
      <c r="A72"/>
      <c r="B72"/>
      <c r="C72"/>
      <c r="D72"/>
      <c r="E72"/>
      <c r="F72"/>
      <c r="G72"/>
      <c r="I72" t="str">
        <f t="shared" ca="1" si="3"/>
        <v/>
      </c>
      <c r="J72" s="66" t="str">
        <f ca="1">IF(U69&lt;&gt;"ok","X","")</f>
        <v/>
      </c>
      <c r="K72" s="691" t="str">
        <f ca="1">IF(U69&lt;&gt;"ok","Anexo: Relatório Técnico Circunstanciado justificando a adoção do percentual de cada parcela do BDI.","")</f>
        <v/>
      </c>
      <c r="L72" s="691"/>
      <c r="M72" s="691"/>
      <c r="N72" s="691"/>
      <c r="O72" s="691"/>
      <c r="P72" s="691"/>
      <c r="Q72" s="691"/>
      <c r="R72" s="691"/>
      <c r="S72" s="691"/>
    </row>
    <row r="73" spans="1:26" x14ac:dyDescent="0.2">
      <c r="A73"/>
      <c r="B73"/>
      <c r="C73"/>
      <c r="D73"/>
      <c r="E73"/>
      <c r="F73"/>
      <c r="G73"/>
      <c r="I73" t="str">
        <f t="shared" ca="1" si="3"/>
        <v/>
      </c>
    </row>
    <row r="74" spans="1:26" x14ac:dyDescent="0.2">
      <c r="A74"/>
      <c r="B74"/>
      <c r="C74"/>
      <c r="D74"/>
      <c r="E74"/>
      <c r="F74"/>
      <c r="G74"/>
      <c r="I74" t="str">
        <f t="shared" ca="1" si="3"/>
        <v/>
      </c>
      <c r="J74" s="693" t="s">
        <v>683</v>
      </c>
      <c r="K74" s="693"/>
      <c r="L74" s="693"/>
      <c r="M74" s="693"/>
      <c r="N74" s="693"/>
      <c r="O74" s="693"/>
      <c r="P74" s="693"/>
      <c r="Q74" s="693"/>
      <c r="R74" s="693"/>
      <c r="S74" s="693"/>
    </row>
    <row r="75" spans="1:26" ht="15.75" x14ac:dyDescent="0.25">
      <c r="A75"/>
      <c r="B75"/>
      <c r="C75"/>
      <c r="D75"/>
      <c r="E75"/>
      <c r="F75"/>
      <c r="G75"/>
      <c r="I75" t="str">
        <f t="shared" ca="1" si="3"/>
        <v/>
      </c>
      <c r="J75" s="67"/>
      <c r="K75" s="67"/>
      <c r="L75" s="67"/>
      <c r="M75" s="694" t="s">
        <v>684</v>
      </c>
      <c r="N75" s="695" t="str">
        <f>IF($J57=$A$146,"(1+K1+K2)*(1+K3)","(1+AC + S + R + G)*(1 + DF)*(1+L)")</f>
        <v>(1+AC + S + R + G)*(1 + DF)*(1+L)</v>
      </c>
      <c r="O75" s="695"/>
      <c r="P75" s="695"/>
      <c r="Q75" s="696" t="s">
        <v>685</v>
      </c>
      <c r="R75" s="67"/>
      <c r="S75" s="67"/>
    </row>
    <row r="76" spans="1:26" ht="15.75" x14ac:dyDescent="0.2">
      <c r="A76"/>
      <c r="B76"/>
      <c r="C76"/>
      <c r="D76"/>
      <c r="E76"/>
      <c r="F76"/>
      <c r="G76"/>
      <c r="I76" t="str">
        <f t="shared" ca="1" si="3"/>
        <v/>
      </c>
      <c r="J76" s="67"/>
      <c r="K76" s="67"/>
      <c r="L76" s="67"/>
      <c r="M76" s="694"/>
      <c r="N76" s="686" t="s">
        <v>686</v>
      </c>
      <c r="O76" s="686"/>
      <c r="P76" s="686"/>
      <c r="Q76" s="696"/>
      <c r="R76" s="67"/>
      <c r="S76" s="67"/>
    </row>
    <row r="77" spans="1:26" ht="15" customHeight="1" x14ac:dyDescent="0.2">
      <c r="A77"/>
      <c r="B77"/>
      <c r="C77"/>
      <c r="D77"/>
      <c r="E77"/>
      <c r="F77"/>
      <c r="G77"/>
      <c r="I77" t="str">
        <f t="shared" ca="1" si="3"/>
        <v/>
      </c>
      <c r="J77" s="67"/>
      <c r="K77" s="67"/>
      <c r="L77" s="67"/>
      <c r="M77" s="68"/>
      <c r="N77" s="70"/>
      <c r="O77" s="70"/>
      <c r="P77" s="70"/>
      <c r="Q77" s="69"/>
      <c r="R77" s="67"/>
      <c r="S77" s="67"/>
    </row>
    <row r="78" spans="1:26" ht="50.1" customHeight="1" x14ac:dyDescent="0.2">
      <c r="A78"/>
      <c r="B78"/>
      <c r="C78"/>
      <c r="D78"/>
      <c r="E78"/>
      <c r="F78"/>
      <c r="G78"/>
      <c r="I78" t="str">
        <f t="shared" ca="1" si="3"/>
        <v/>
      </c>
      <c r="J78" s="680" t="str">
        <f>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3%.</v>
      </c>
      <c r="K78" s="680"/>
      <c r="L78" s="680"/>
      <c r="M78" s="680"/>
      <c r="N78" s="680"/>
      <c r="O78" s="680"/>
      <c r="P78" s="680"/>
      <c r="Q78" s="680"/>
      <c r="R78" s="680"/>
      <c r="S78" s="680"/>
    </row>
    <row r="79" spans="1:26" x14ac:dyDescent="0.2">
      <c r="A79"/>
      <c r="B79"/>
      <c r="C79"/>
      <c r="D79"/>
      <c r="E79"/>
      <c r="F79"/>
      <c r="G79"/>
      <c r="I79" t="str">
        <f t="shared" ca="1" si="3"/>
        <v/>
      </c>
    </row>
    <row r="80" spans="1:26" ht="50.1" customHeight="1" x14ac:dyDescent="0.2">
      <c r="A80"/>
      <c r="B80"/>
      <c r="C80"/>
      <c r="D80"/>
      <c r="E80"/>
      <c r="F80"/>
      <c r="G80"/>
      <c r="I80" t="str">
        <f t="shared" ca="1" si="3"/>
        <v/>
      </c>
      <c r="J80" s="680" t="str" cm="1">
        <f t="array" aca="1" ref="J80" ca="1">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K80" s="680"/>
      <c r="L80" s="680"/>
      <c r="M80" s="680"/>
      <c r="N80" s="680"/>
      <c r="O80" s="680"/>
      <c r="P80" s="680"/>
      <c r="Q80" s="680"/>
      <c r="R80" s="680"/>
      <c r="S80" s="680"/>
    </row>
    <row r="81" spans="1:21" x14ac:dyDescent="0.2">
      <c r="A81"/>
      <c r="B81"/>
      <c r="C81"/>
      <c r="D81"/>
      <c r="E81"/>
      <c r="F81"/>
      <c r="G81"/>
      <c r="I81" t="str">
        <f t="shared" ca="1" si="3"/>
        <v/>
      </c>
    </row>
    <row r="82" spans="1:21" x14ac:dyDescent="0.2">
      <c r="A82"/>
      <c r="B82"/>
      <c r="C82"/>
      <c r="D82"/>
      <c r="E82"/>
      <c r="F82"/>
      <c r="G82"/>
      <c r="I82" t="str">
        <f t="shared" ca="1" si="3"/>
        <v/>
      </c>
      <c r="J82" s="48" t="s">
        <v>689</v>
      </c>
    </row>
    <row r="83" spans="1:21" ht="99.95" customHeight="1" x14ac:dyDescent="0.2">
      <c r="A83"/>
      <c r="B83"/>
      <c r="C83"/>
      <c r="D83"/>
      <c r="E83"/>
      <c r="F83"/>
      <c r="G83"/>
      <c r="I83" t="str">
        <f t="shared" ca="1" si="3"/>
        <v/>
      </c>
      <c r="J83" s="681"/>
      <c r="K83" s="681"/>
      <c r="L83" s="681"/>
      <c r="M83" s="681"/>
      <c r="N83" s="681"/>
      <c r="O83" s="681"/>
      <c r="P83" s="681"/>
      <c r="Q83" s="681"/>
      <c r="R83" s="681"/>
      <c r="S83" s="681"/>
    </row>
    <row r="84" spans="1:21" x14ac:dyDescent="0.2">
      <c r="A84"/>
      <c r="B84"/>
      <c r="C84"/>
      <c r="D84"/>
      <c r="E84"/>
      <c r="F84"/>
      <c r="G84"/>
      <c r="I84" t="str">
        <f t="shared" ca="1" si="3"/>
        <v/>
      </c>
    </row>
    <row r="85" spans="1:21" x14ac:dyDescent="0.2">
      <c r="A85"/>
      <c r="B85"/>
      <c r="C85"/>
      <c r="D85"/>
      <c r="E85"/>
      <c r="F85"/>
      <c r="G85"/>
      <c r="I85" t="str">
        <f t="shared" ca="1" si="3"/>
        <v/>
      </c>
      <c r="J85" s="682" t="str">
        <f>Import.Município</f>
        <v>Liberdade - MG</v>
      </c>
      <c r="K85" s="682"/>
      <c r="L85" s="682"/>
      <c r="M85" s="682"/>
      <c r="P85" s="683">
        <f>DADOS!$C$25</f>
        <v>45880</v>
      </c>
      <c r="Q85" s="683"/>
      <c r="R85" s="683"/>
      <c r="S85" s="683"/>
    </row>
    <row r="86" spans="1:21" x14ac:dyDescent="0.2">
      <c r="A86"/>
      <c r="B86"/>
      <c r="C86"/>
      <c r="D86"/>
      <c r="E86"/>
      <c r="F86"/>
      <c r="G86"/>
      <c r="I86" t="str">
        <f t="shared" ca="1" si="3"/>
        <v/>
      </c>
      <c r="J86" s="684" t="s">
        <v>693</v>
      </c>
      <c r="K86" s="684"/>
      <c r="L86" s="684"/>
      <c r="M86" s="684"/>
      <c r="O86" s="72"/>
      <c r="P86" s="73" t="s">
        <v>694</v>
      </c>
      <c r="Q86" s="74"/>
      <c r="R86" s="74"/>
      <c r="S86" s="74"/>
    </row>
    <row r="87" spans="1:21" ht="30" customHeight="1" x14ac:dyDescent="0.2">
      <c r="A87"/>
      <c r="B87"/>
      <c r="C87"/>
      <c r="D87"/>
      <c r="E87"/>
      <c r="F87"/>
      <c r="G87"/>
      <c r="I87" t="str">
        <f t="shared" ca="1" si="3"/>
        <v/>
      </c>
    </row>
    <row r="88" spans="1:21" ht="15" x14ac:dyDescent="0.2">
      <c r="A88"/>
      <c r="B88"/>
      <c r="C88"/>
      <c r="D88"/>
      <c r="E88"/>
      <c r="F88"/>
      <c r="G88"/>
      <c r="I88" t="str">
        <f t="shared" ca="1" si="3"/>
        <v/>
      </c>
      <c r="J88" s="685"/>
      <c r="K88" s="685"/>
      <c r="L88" s="685"/>
      <c r="M88" s="685"/>
      <c r="N88" s="75"/>
    </row>
    <row r="89" spans="1:21" x14ac:dyDescent="0.2">
      <c r="A89"/>
      <c r="B89"/>
      <c r="C89"/>
      <c r="D89"/>
      <c r="E89"/>
      <c r="F89"/>
      <c r="G89"/>
      <c r="I89" t="str">
        <f t="shared" ca="1" si="3"/>
        <v/>
      </c>
      <c r="J89" s="679" t="s">
        <v>696</v>
      </c>
      <c r="K89" s="679"/>
      <c r="L89" s="679"/>
      <c r="M89" s="679"/>
    </row>
    <row r="90" spans="1:21" ht="14.25" x14ac:dyDescent="0.2">
      <c r="A90"/>
      <c r="B90"/>
      <c r="C90"/>
      <c r="D90"/>
      <c r="E90"/>
      <c r="F90"/>
      <c r="G90"/>
      <c r="I90" t="str">
        <f t="shared" ca="1" si="3"/>
        <v/>
      </c>
      <c r="J90" s="76" t="s">
        <v>240</v>
      </c>
      <c r="K90" s="77" t="str">
        <f t="array" ref="K90:K92">Import.RespOrçamento</f>
        <v>Antônio Carlos Sampaio Alves</v>
      </c>
      <c r="L90" s="78"/>
      <c r="M90" s="78"/>
      <c r="N90" s="75"/>
    </row>
    <row r="91" spans="1:21" ht="14.25" x14ac:dyDescent="0.2">
      <c r="A91"/>
      <c r="B91"/>
      <c r="C91"/>
      <c r="D91"/>
      <c r="E91"/>
      <c r="F91"/>
      <c r="G91"/>
      <c r="I91" t="str">
        <f t="shared" ca="1" si="3"/>
        <v/>
      </c>
      <c r="J91" s="76" t="s">
        <v>243</v>
      </c>
      <c r="K91" s="77" t="str">
        <v>214010-D</v>
      </c>
      <c r="L91" s="78"/>
      <c r="M91" s="78"/>
      <c r="N91" s="75"/>
    </row>
    <row r="92" spans="1:21" ht="14.25" x14ac:dyDescent="0.2">
      <c r="A92"/>
      <c r="B92"/>
      <c r="C92"/>
      <c r="D92"/>
      <c r="E92"/>
      <c r="F92"/>
      <c r="G92"/>
      <c r="I92" t="str">
        <f t="shared" ca="1" si="3"/>
        <v/>
      </c>
      <c r="J92" s="76" t="s">
        <v>246</v>
      </c>
      <c r="K92" s="77" t="str">
        <v>MG 20254192207</v>
      </c>
      <c r="L92" s="78"/>
      <c r="M92" s="78"/>
      <c r="N92" s="75"/>
    </row>
    <row r="93" spans="1:21" ht="14.25" x14ac:dyDescent="0.2">
      <c r="A93"/>
      <c r="B93"/>
      <c r="C93"/>
      <c r="D93"/>
      <c r="E93"/>
      <c r="F93"/>
      <c r="G93"/>
      <c r="I93" t="str">
        <f t="shared" ca="1" si="3"/>
        <v/>
      </c>
      <c r="J93" s="76"/>
      <c r="K93" s="79"/>
      <c r="L93" s="78"/>
      <c r="M93" s="78"/>
      <c r="N93" s="75"/>
    </row>
    <row r="94" spans="1:21" ht="15.75" x14ac:dyDescent="0.25">
      <c r="A94"/>
      <c r="B94"/>
      <c r="C94"/>
      <c r="D94"/>
      <c r="E94"/>
      <c r="F94"/>
      <c r="G94"/>
      <c r="I94" t="str">
        <f ca="1">IF($S$109=0,"","F")</f>
        <v/>
      </c>
      <c r="J94" s="701" t="s">
        <v>698</v>
      </c>
      <c r="K94" s="701"/>
      <c r="L94" s="701"/>
      <c r="M94" s="701"/>
      <c r="N94" s="701"/>
      <c r="O94" s="701"/>
      <c r="P94" s="701"/>
      <c r="Q94" s="701"/>
      <c r="R94" s="701"/>
      <c r="S94" s="701"/>
      <c r="U94" s="520" t="str">
        <f>IF(COUNTIF(ORÇAMENTO!$V$15:$V$55,BDI_3.Título)=0,"",IF(OR(Import.BDI.Tipo3="(SELECIONAR)",Import.BDI.Tipo3="",U97&lt;&gt;"",AND($J97&lt;&gt;$A$145,OR(S101="",S102="",AND($J97&lt;&gt;$A$146,OR(S103="",S104="")),S105="",S106=""))),"Falta preencher o BDI 3",""))</f>
        <v/>
      </c>
    </row>
    <row r="95" spans="1:21" x14ac:dyDescent="0.2">
      <c r="A95"/>
      <c r="B95"/>
      <c r="C95"/>
      <c r="D95"/>
      <c r="E95"/>
      <c r="F95"/>
      <c r="G95"/>
      <c r="I95" t="str">
        <f t="shared" ref="I95:I132" ca="1" si="6">IF($S$109=0,"","F")</f>
        <v/>
      </c>
    </row>
    <row r="96" spans="1:21" x14ac:dyDescent="0.2">
      <c r="A96"/>
      <c r="B96"/>
      <c r="C96"/>
      <c r="D96"/>
      <c r="E96"/>
      <c r="F96"/>
      <c r="G96"/>
      <c r="I96" t="str">
        <f t="shared" ca="1" si="6"/>
        <v/>
      </c>
      <c r="J96" s="699" t="s">
        <v>664</v>
      </c>
      <c r="K96" s="699"/>
      <c r="L96" s="699"/>
      <c r="M96" s="699"/>
      <c r="N96" s="699"/>
      <c r="O96" s="699"/>
      <c r="P96" s="699"/>
      <c r="Q96" s="699"/>
      <c r="R96" s="699"/>
      <c r="S96" s="699"/>
    </row>
    <row r="97" spans="1:26" ht="15" x14ac:dyDescent="0.25">
      <c r="A97"/>
      <c r="B97"/>
      <c r="C97"/>
      <c r="D97"/>
      <c r="E97"/>
      <c r="F97"/>
      <c r="G97"/>
      <c r="I97" t="str">
        <f t="shared" ca="1" si="6"/>
        <v/>
      </c>
      <c r="J97" s="700" t="s">
        <v>139</v>
      </c>
      <c r="K97" s="700"/>
      <c r="L97" s="700"/>
      <c r="M97" s="700"/>
      <c r="N97" s="700"/>
      <c r="O97" s="700"/>
      <c r="P97" s="700"/>
      <c r="Q97" s="700"/>
      <c r="R97" s="700"/>
      <c r="S97" s="700"/>
      <c r="T97" s="562" t="str">
        <f ca="1">IF(U97="","","◄")</f>
        <v/>
      </c>
      <c r="U97" s="561" t="str">
        <f ca="1">IF(AND(OR(S109&gt;0,COUNTIF(ORÇAMENTO!$V$15:$V$55,BDI_3.Título)&gt;0),OR(Import.BDI.Tipo3="(SELECIONAR)",Import.BDI.Tipo3="")),"Selecione o Tipo de obra","")</f>
        <v/>
      </c>
    </row>
    <row r="98" spans="1:26" x14ac:dyDescent="0.2">
      <c r="A98"/>
      <c r="B98"/>
      <c r="C98"/>
      <c r="D98"/>
      <c r="E98"/>
      <c r="F98"/>
      <c r="G98"/>
      <c r="I98" t="str">
        <f t="shared" ca="1" si="6"/>
        <v/>
      </c>
    </row>
    <row r="99" spans="1:26" ht="12.75" customHeight="1" x14ac:dyDescent="0.2">
      <c r="A99"/>
      <c r="B99"/>
      <c r="C99"/>
      <c r="D99"/>
      <c r="E99"/>
      <c r="F99"/>
      <c r="G99"/>
      <c r="I99" t="str">
        <f t="shared" ca="1" si="6"/>
        <v/>
      </c>
      <c r="J99" s="698" t="s">
        <v>666</v>
      </c>
      <c r="K99" s="698"/>
      <c r="L99" s="698"/>
      <c r="M99" s="698"/>
      <c r="N99" s="698"/>
      <c r="O99" s="698"/>
      <c r="P99" s="698"/>
      <c r="Q99" s="698"/>
      <c r="R99" s="698" t="s">
        <v>667</v>
      </c>
      <c r="S99" s="689" t="s">
        <v>668</v>
      </c>
      <c r="U99" s="689" t="s">
        <v>669</v>
      </c>
      <c r="V99" s="689"/>
      <c r="W99" s="689"/>
      <c r="X99" s="697" t="s">
        <v>670</v>
      </c>
      <c r="Y99" s="697" t="s">
        <v>671</v>
      </c>
      <c r="Z99" s="697" t="s">
        <v>672</v>
      </c>
    </row>
    <row r="100" spans="1:26" ht="12.75" customHeight="1" x14ac:dyDescent="0.2">
      <c r="A100"/>
      <c r="B100"/>
      <c r="C100"/>
      <c r="D100"/>
      <c r="E100"/>
      <c r="F100"/>
      <c r="G100"/>
      <c r="I100" t="str">
        <f t="shared" ca="1" si="6"/>
        <v/>
      </c>
      <c r="J100" s="698"/>
      <c r="K100" s="698"/>
      <c r="L100" s="698"/>
      <c r="M100" s="698"/>
      <c r="N100" s="698"/>
      <c r="O100" s="698"/>
      <c r="P100" s="698"/>
      <c r="Q100" s="698"/>
      <c r="R100" s="698"/>
      <c r="S100" s="689"/>
      <c r="U100" s="689"/>
      <c r="V100" s="689"/>
      <c r="W100" s="689"/>
      <c r="X100" s="697"/>
      <c r="Y100" s="697"/>
      <c r="Z100" s="697"/>
    </row>
    <row r="101" spans="1:26" ht="15" customHeight="1" x14ac:dyDescent="0.2">
      <c r="A101"/>
      <c r="B101"/>
      <c r="C101"/>
      <c r="D101"/>
      <c r="E101"/>
      <c r="F101"/>
      <c r="G101"/>
      <c r="I101" t="str">
        <f t="shared" ca="1" si="6"/>
        <v/>
      </c>
      <c r="J101" s="687" t="str">
        <f>IF($J$17=$A$146,"Encargos Sociais incidentes sobre a mão de obra","Administração Central")</f>
        <v>Administração Central</v>
      </c>
      <c r="K101" s="687"/>
      <c r="L101" s="687"/>
      <c r="M101" s="687"/>
      <c r="N101" s="687"/>
      <c r="O101" s="687"/>
      <c r="P101" s="687"/>
      <c r="Q101" s="687"/>
      <c r="R101" s="59" t="str">
        <f>IF($J97=$A$146,"K1","AC")</f>
        <v>AC</v>
      </c>
      <c r="S101" s="60"/>
      <c r="T101" s="571" t="str">
        <f ca="1">IF(AND($U$94&lt;&gt;"",$U$97="",R101&lt;&gt;"",S101=""),"◄","")</f>
        <v/>
      </c>
      <c r="U101" s="688" t="str">
        <f ca="1">IFERROR(IF(T101="◄","FALTA PREENCHER",IF(AND(OR(S101&gt;=X101,X101="-"),OR(S101&lt;=Z101,Z101="-")),"OK","FORA DO INTERVALO")),"-")</f>
        <v>-</v>
      </c>
      <c r="V101" s="688"/>
      <c r="W101" s="688"/>
      <c r="X101" s="61" t="e">
        <f>VLOOKUP(CONCATENATE(J97,"-",R101),$C$2:$G$136,3,FALSE)</f>
        <v>#N/A</v>
      </c>
      <c r="Y101" s="61" t="e">
        <f>VLOOKUP(CONCATENATE(J97,"-",R101),$C$2:$G$136,4,FALSE)</f>
        <v>#N/A</v>
      </c>
      <c r="Z101" s="61" t="e">
        <f>VLOOKUP(CONCATENATE(J97,"-",R101),$C$2:$G$136,5,FALSE)</f>
        <v>#N/A</v>
      </c>
    </row>
    <row r="102" spans="1:26" ht="15" customHeight="1" x14ac:dyDescent="0.2">
      <c r="A102"/>
      <c r="B102"/>
      <c r="C102"/>
      <c r="D102"/>
      <c r="E102"/>
      <c r="F102"/>
      <c r="G102"/>
      <c r="I102" t="str">
        <f t="shared" ca="1" si="6"/>
        <v/>
      </c>
      <c r="J102" s="687" t="str">
        <f>IF($J$17=$A$146,"Administração Central da empresa ou consultoria - overhead","Seguro e Garantia")</f>
        <v>Seguro e Garantia</v>
      </c>
      <c r="K102" s="687"/>
      <c r="L102" s="687"/>
      <c r="M102" s="687"/>
      <c r="N102" s="687"/>
      <c r="O102" s="687"/>
      <c r="P102" s="687"/>
      <c r="Q102" s="687"/>
      <c r="R102" s="59" t="str">
        <f>IF($J97=$A$146,"K2","SG")</f>
        <v>SG</v>
      </c>
      <c r="S102" s="60"/>
      <c r="T102" s="571" t="str">
        <f t="shared" ref="T102:T106" ca="1" si="7">IF(AND($U$94&lt;&gt;"",$U$97="",R102&lt;&gt;"",S102=""),"◄","")</f>
        <v/>
      </c>
      <c r="U102" s="688" t="str">
        <f t="shared" ref="U102:U108" ca="1" si="8">IFERROR(IF(T102="◄","FALTA PREENCHER",IF(AND(OR(S102&gt;=X102,X102="-"),OR(S102&lt;=Z102,Z102="-")),"OK","FORA DO INTERVALO")),"-")</f>
        <v>-</v>
      </c>
      <c r="V102" s="688"/>
      <c r="W102" s="688"/>
      <c r="X102" s="61" t="e">
        <f>VLOOKUP(CONCATENATE(J97,"-",R102),$C$2:$G$136,3,FALSE)</f>
        <v>#N/A</v>
      </c>
      <c r="Y102" s="61" t="e">
        <f>VLOOKUP(CONCATENATE(J97,"-",R102),$C$2:$G$136,4,FALSE)</f>
        <v>#N/A</v>
      </c>
      <c r="Z102" s="61" t="e">
        <f>VLOOKUP(CONCATENATE(J97,"-",R102),$C$2:$G$136,5,FALSE)</f>
        <v>#N/A</v>
      </c>
    </row>
    <row r="103" spans="1:26" ht="15" customHeight="1" x14ac:dyDescent="0.2">
      <c r="A103"/>
      <c r="B103"/>
      <c r="C103"/>
      <c r="D103"/>
      <c r="E103"/>
      <c r="F103"/>
      <c r="G103"/>
      <c r="I103" t="str">
        <f t="shared" ca="1" si="6"/>
        <v/>
      </c>
      <c r="J103" s="687" t="s">
        <v>942</v>
      </c>
      <c r="K103" s="687"/>
      <c r="L103" s="687"/>
      <c r="M103" s="687"/>
      <c r="N103" s="687"/>
      <c r="O103" s="687"/>
      <c r="P103" s="687"/>
      <c r="Q103" s="687"/>
      <c r="R103" s="59" t="str">
        <f>IF($J97=$A$146,"","R")</f>
        <v>R</v>
      </c>
      <c r="S103" s="60"/>
      <c r="T103" s="571" t="str">
        <f t="shared" ca="1" si="7"/>
        <v/>
      </c>
      <c r="U103" s="688" t="str">
        <f t="shared" ca="1" si="8"/>
        <v>-</v>
      </c>
      <c r="V103" s="688"/>
      <c r="W103" s="688"/>
      <c r="X103" s="61" t="e">
        <f>VLOOKUP(CONCATENATE(J97,"-",R103),$C$2:$G$136,3,FALSE)</f>
        <v>#N/A</v>
      </c>
      <c r="Y103" s="61" t="e">
        <f>VLOOKUP(CONCATENATE(J97,"-",R103),$C$2:$G$136,4,FALSE)</f>
        <v>#N/A</v>
      </c>
      <c r="Z103" s="61" t="e">
        <f>VLOOKUP(CONCATENATE(J97,"-",R103),$C$2:$G$136,5,FALSE)</f>
        <v>#N/A</v>
      </c>
    </row>
    <row r="104" spans="1:26" ht="15" customHeight="1" x14ac:dyDescent="0.2">
      <c r="A104"/>
      <c r="B104"/>
      <c r="C104"/>
      <c r="D104"/>
      <c r="E104"/>
      <c r="F104"/>
      <c r="G104"/>
      <c r="I104" t="str">
        <f t="shared" ca="1" si="6"/>
        <v/>
      </c>
      <c r="J104" s="687" t="s">
        <v>943</v>
      </c>
      <c r="K104" s="687"/>
      <c r="L104" s="687"/>
      <c r="M104" s="687"/>
      <c r="N104" s="687"/>
      <c r="O104" s="687"/>
      <c r="P104" s="687"/>
      <c r="Q104" s="687"/>
      <c r="R104" s="59" t="str">
        <f>IF($J97=$A$146,"","DF")</f>
        <v>DF</v>
      </c>
      <c r="S104" s="60"/>
      <c r="T104" s="571" t="str">
        <f t="shared" ca="1" si="7"/>
        <v/>
      </c>
      <c r="U104" s="688" t="str">
        <f t="shared" ca="1" si="8"/>
        <v>-</v>
      </c>
      <c r="V104" s="688"/>
      <c r="W104" s="688"/>
      <c r="X104" s="61" t="e">
        <f>VLOOKUP(CONCATENATE(J97,"-",R104),$C$2:$G$136,3,FALSE)</f>
        <v>#N/A</v>
      </c>
      <c r="Y104" s="61" t="e">
        <f>VLOOKUP(CONCATENATE(J97,"-",R104),$C$2:$G$136,4,FALSE)</f>
        <v>#N/A</v>
      </c>
      <c r="Z104" s="61" t="e">
        <f>VLOOKUP(CONCATENATE(J97,"-",R104),$C$2:$G$136,5,FALSE)</f>
        <v>#N/A</v>
      </c>
    </row>
    <row r="105" spans="1:26" ht="15" customHeight="1" x14ac:dyDescent="0.2">
      <c r="A105"/>
      <c r="B105"/>
      <c r="C105"/>
      <c r="D105"/>
      <c r="E105"/>
      <c r="F105"/>
      <c r="G105"/>
      <c r="I105" t="str">
        <f t="shared" ca="1" si="6"/>
        <v/>
      </c>
      <c r="J105" s="687" t="str">
        <f>IF($J$17=$A$146,"Margem bruta da empresa de consultoria","Lucro")</f>
        <v>Lucro</v>
      </c>
      <c r="K105" s="687"/>
      <c r="L105" s="687"/>
      <c r="M105" s="687"/>
      <c r="N105" s="687"/>
      <c r="O105" s="687"/>
      <c r="P105" s="687"/>
      <c r="Q105" s="687"/>
      <c r="R105" s="59" t="str">
        <f>IF($J97=$A$146,"K3","L")</f>
        <v>L</v>
      </c>
      <c r="S105" s="60"/>
      <c r="T105" s="571" t="str">
        <f t="shared" ca="1" si="7"/>
        <v/>
      </c>
      <c r="U105" s="688" t="str">
        <f t="shared" ca="1" si="8"/>
        <v>-</v>
      </c>
      <c r="V105" s="688"/>
      <c r="W105" s="688"/>
      <c r="X105" s="61" t="e">
        <f>VLOOKUP(CONCATENATE(J97,"-",R105),$C$2:$G$136,3,FALSE)</f>
        <v>#N/A</v>
      </c>
      <c r="Y105" s="61" t="e">
        <f>VLOOKUP(CONCATENATE(J97,"-",R105),$C$2:$G$136,4,FALSE)</f>
        <v>#N/A</v>
      </c>
      <c r="Z105" s="61" t="e">
        <f>VLOOKUP(CONCATENATE(J97,"-",R105),$C$2:$G$136,5,FALSE)</f>
        <v>#N/A</v>
      </c>
    </row>
    <row r="106" spans="1:26" ht="15" customHeight="1" x14ac:dyDescent="0.2">
      <c r="A106"/>
      <c r="B106"/>
      <c r="C106"/>
      <c r="D106"/>
      <c r="E106"/>
      <c r="F106"/>
      <c r="G106"/>
      <c r="I106" t="str">
        <f t="shared" ca="1" si="6"/>
        <v/>
      </c>
      <c r="J106" s="687" t="s">
        <v>675</v>
      </c>
      <c r="K106" s="687"/>
      <c r="L106" s="687"/>
      <c r="M106" s="687"/>
      <c r="N106" s="687"/>
      <c r="O106" s="687"/>
      <c r="P106" s="687"/>
      <c r="Q106" s="687"/>
      <c r="R106" s="59" t="s">
        <v>456</v>
      </c>
      <c r="S106" s="60"/>
      <c r="T106" s="571" t="str">
        <f t="shared" ca="1" si="7"/>
        <v/>
      </c>
      <c r="U106" s="688" t="str">
        <f t="shared" ca="1" si="8"/>
        <v>FORA DO INTERVALO</v>
      </c>
      <c r="V106" s="688"/>
      <c r="W106" s="688"/>
      <c r="X106" s="61">
        <f>Y106</f>
        <v>3.6499999999999998E-2</v>
      </c>
      <c r="Y106" s="61">
        <f>IF($J97=$A$145,"-",3.65%)</f>
        <v>3.6499999999999998E-2</v>
      </c>
      <c r="Z106" s="61">
        <f>Y106</f>
        <v>3.6499999999999998E-2</v>
      </c>
    </row>
    <row r="107" spans="1:26" ht="15" customHeight="1" x14ac:dyDescent="0.2">
      <c r="A107"/>
      <c r="B107"/>
      <c r="C107"/>
      <c r="D107"/>
      <c r="E107"/>
      <c r="F107"/>
      <c r="G107"/>
      <c r="I107" t="str">
        <f t="shared" ca="1" si="6"/>
        <v/>
      </c>
      <c r="J107" s="687" t="s">
        <v>676</v>
      </c>
      <c r="K107" s="687"/>
      <c r="L107" s="687"/>
      <c r="M107" s="687"/>
      <c r="N107" s="687"/>
      <c r="O107" s="687"/>
      <c r="P107" s="687"/>
      <c r="Q107" s="687"/>
      <c r="R107" s="59" t="s">
        <v>677</v>
      </c>
      <c r="S107" s="61">
        <f ca="1">IF(AND($J97&lt;&gt;$A$145,COUNTA(OFFSET(S100,1,0,6))&gt;0),$R$11*$R$10,0)</f>
        <v>0</v>
      </c>
      <c r="U107" s="688" t="str">
        <f t="shared" ca="1" si="8"/>
        <v>OK</v>
      </c>
      <c r="V107" s="688"/>
      <c r="W107" s="688"/>
      <c r="X107" s="61">
        <v>0</v>
      </c>
      <c r="Y107" s="61">
        <v>2.5000000000000001E-2</v>
      </c>
      <c r="Z107" s="61">
        <v>0.05</v>
      </c>
    </row>
    <row r="108" spans="1:26" ht="15" customHeight="1" x14ac:dyDescent="0.2">
      <c r="A108"/>
      <c r="B108"/>
      <c r="C108"/>
      <c r="D108"/>
      <c r="E108"/>
      <c r="F108"/>
      <c r="G108"/>
      <c r="I108" t="str">
        <f t="shared" ca="1" si="6"/>
        <v/>
      </c>
      <c r="J108" s="687" t="s">
        <v>678</v>
      </c>
      <c r="K108" s="687"/>
      <c r="L108" s="687"/>
      <c r="M108" s="687"/>
      <c r="N108" s="687"/>
      <c r="O108" s="687"/>
      <c r="P108" s="687"/>
      <c r="Q108" s="687"/>
      <c r="R108" s="59" t="s">
        <v>679</v>
      </c>
      <c r="S108" s="61" cm="1">
        <f t="array" aca="1" ref="S108" ca="1">IF(BDI.Opcao&lt;&gt;"Desonerado",0,IF(AND($J97&lt;&gt;$A$145,COUNTA(OFFSET(S100,1,0,6))&gt;0),IF(YEAR(Import.DataBase)&lt;2025,4.5%,IF(YEAR(Import.DataBase)=2025,3.6%,IF(YEAR(Import.DataBase)=2026,2.7%,IF(YEAR(Import.DataBase)=2027,1.8%,0%)))),0%))</f>
        <v>0</v>
      </c>
      <c r="U108" s="688" t="str">
        <f t="shared" ca="1" si="8"/>
        <v>OK</v>
      </c>
      <c r="V108" s="688"/>
      <c r="W108" s="688"/>
      <c r="X108" s="62">
        <f ca="1">$S108</f>
        <v>0</v>
      </c>
      <c r="Y108" s="62">
        <f ca="1">$S108</f>
        <v>0</v>
      </c>
      <c r="Z108" s="62">
        <f ca="1">$S108</f>
        <v>0</v>
      </c>
    </row>
    <row r="109" spans="1:26" ht="15" customHeight="1" x14ac:dyDescent="0.2">
      <c r="A109"/>
      <c r="B109"/>
      <c r="C109"/>
      <c r="D109"/>
      <c r="E109"/>
      <c r="F109"/>
      <c r="G109"/>
      <c r="I109" t="str">
        <f t="shared" ca="1" si="6"/>
        <v/>
      </c>
      <c r="J109" s="687" t="s">
        <v>680</v>
      </c>
      <c r="K109" s="687"/>
      <c r="L109" s="687"/>
      <c r="M109" s="687"/>
      <c r="N109" s="687"/>
      <c r="O109" s="687"/>
      <c r="P109" s="687"/>
      <c r="Q109" s="687"/>
      <c r="R109" s="63" t="s">
        <v>656</v>
      </c>
      <c r="S109" s="61">
        <f ca="1">IF($J97=$A$145,0,ROUND((((1+S101+S102+S103)*(1+S104)*(1+S105)/(1-(S106+S107)))-1),4))</f>
        <v>0</v>
      </c>
      <c r="U109" s="689" t="str">
        <f ca="1">IFERROR(IF(AND(OR(S109&gt;=X109,X109="-"),OR(S109&lt;=Z109,Z109="-")),"OK","FORA DO INTERVALO"),IF(S109=0,"OK","Selecione o Tipo de obra"))</f>
        <v>OK</v>
      </c>
      <c r="V109" s="689"/>
      <c r="W109" s="689"/>
      <c r="X109" s="61" t="e">
        <f>IF($J97=$A$145,0,VLOOKUP(CONCATENATE($J97,"-",$R109),$C$2:$G$136,3,FALSE))</f>
        <v>#N/A</v>
      </c>
      <c r="Y109" s="61" t="e">
        <f>IF($J97=$A$145,0,VLOOKUP(CONCATENATE($J97,"-",$R109),$C$2:$G$136,4,FALSE))</f>
        <v>#N/A</v>
      </c>
      <c r="Z109" s="61" t="e">
        <f>IF($J97=$A$145,0,VLOOKUP(CONCATENATE($J97,"-",$R109),$C$2:$G$136,5,FALSE))</f>
        <v>#N/A</v>
      </c>
    </row>
    <row r="110" spans="1:26" ht="15" customHeight="1" x14ac:dyDescent="0.2">
      <c r="A110"/>
      <c r="B110"/>
      <c r="C110"/>
      <c r="D110"/>
      <c r="E110"/>
      <c r="F110"/>
      <c r="G110"/>
      <c r="I110" t="str">
        <f t="shared" ca="1" si="6"/>
        <v/>
      </c>
      <c r="J110" s="690" t="s">
        <v>681</v>
      </c>
      <c r="K110" s="690"/>
      <c r="L110" s="690"/>
      <c r="M110" s="690"/>
      <c r="N110" s="690"/>
      <c r="O110" s="690"/>
      <c r="P110" s="690"/>
      <c r="Q110" s="690"/>
      <c r="R110" s="64" t="s">
        <v>682</v>
      </c>
      <c r="S110" s="65">
        <f ca="1">IF($J97=$A$145,0,ROUND((((1+S101+S102+S103)*(1+S104)*(1+S105)/(1-(S106+S107+S108)))-1),4))</f>
        <v>0</v>
      </c>
    </row>
    <row r="111" spans="1:26" ht="15" customHeight="1" x14ac:dyDescent="0.2">
      <c r="A111"/>
      <c r="B111"/>
      <c r="C111"/>
      <c r="D111"/>
      <c r="E111"/>
      <c r="F111"/>
      <c r="G111"/>
      <c r="I111" t="str">
        <f t="shared" ca="1" si="6"/>
        <v/>
      </c>
    </row>
    <row r="112" spans="1:26" ht="15.75" x14ac:dyDescent="0.2">
      <c r="A112"/>
      <c r="B112"/>
      <c r="C112"/>
      <c r="D112"/>
      <c r="E112"/>
      <c r="F112"/>
      <c r="G112"/>
      <c r="I112" t="str">
        <f t="shared" ca="1" si="6"/>
        <v/>
      </c>
      <c r="J112" s="66" t="str">
        <f ca="1">IF(U109&lt;&gt;"ok","X","")</f>
        <v/>
      </c>
      <c r="K112" s="691" t="str">
        <f ca="1">IF(U109&lt;&gt;"ok","Anexo: Relatório Técnico Circunstanciado justificando a adoção do percentual de cada parcela do BDI.","")</f>
        <v/>
      </c>
      <c r="L112" s="691"/>
      <c r="M112" s="691"/>
      <c r="N112" s="691"/>
      <c r="O112" s="691"/>
      <c r="P112" s="691"/>
      <c r="Q112" s="691"/>
      <c r="R112" s="691"/>
      <c r="S112" s="691"/>
    </row>
    <row r="113" spans="1:19" x14ac:dyDescent="0.2">
      <c r="A113"/>
      <c r="B113"/>
      <c r="C113"/>
      <c r="D113"/>
      <c r="E113"/>
      <c r="F113"/>
      <c r="G113"/>
      <c r="I113" t="str">
        <f t="shared" ca="1" si="6"/>
        <v/>
      </c>
    </row>
    <row r="114" spans="1:19" x14ac:dyDescent="0.2">
      <c r="A114"/>
      <c r="B114"/>
      <c r="C114"/>
      <c r="D114"/>
      <c r="E114"/>
      <c r="F114"/>
      <c r="G114"/>
      <c r="I114" t="str">
        <f t="shared" ca="1" si="6"/>
        <v/>
      </c>
      <c r="J114" s="693" t="s">
        <v>683</v>
      </c>
      <c r="K114" s="693"/>
      <c r="L114" s="693"/>
      <c r="M114" s="693"/>
      <c r="N114" s="693"/>
      <c r="O114" s="693"/>
      <c r="P114" s="693"/>
      <c r="Q114" s="693"/>
      <c r="R114" s="693"/>
      <c r="S114" s="693"/>
    </row>
    <row r="115" spans="1:19" ht="15.75" x14ac:dyDescent="0.25">
      <c r="A115"/>
      <c r="B115"/>
      <c r="C115"/>
      <c r="D115"/>
      <c r="E115"/>
      <c r="F115"/>
      <c r="G115"/>
      <c r="I115" t="str">
        <f t="shared" ca="1" si="6"/>
        <v/>
      </c>
      <c r="J115" s="67"/>
      <c r="K115" s="67"/>
      <c r="L115" s="67"/>
      <c r="M115" s="694" t="s">
        <v>684</v>
      </c>
      <c r="N115" s="695" t="str">
        <f>IF($J97=$A$146,"(1+K1+K2)*(1+K3)","(1+AC + S + R + G)*(1 + DF)*(1+L)")</f>
        <v>(1+AC + S + R + G)*(1 + DF)*(1+L)</v>
      </c>
      <c r="O115" s="695"/>
      <c r="P115" s="695"/>
      <c r="Q115" s="696" t="s">
        <v>685</v>
      </c>
      <c r="R115" s="67"/>
      <c r="S115" s="67"/>
    </row>
    <row r="116" spans="1:19" ht="15.75" x14ac:dyDescent="0.2">
      <c r="A116"/>
      <c r="B116"/>
      <c r="C116"/>
      <c r="D116"/>
      <c r="E116"/>
      <c r="F116"/>
      <c r="G116"/>
      <c r="I116" t="str">
        <f t="shared" ca="1" si="6"/>
        <v/>
      </c>
      <c r="J116" s="67"/>
      <c r="K116" s="67"/>
      <c r="L116" s="67"/>
      <c r="M116" s="694"/>
      <c r="N116" s="686" t="s">
        <v>686</v>
      </c>
      <c r="O116" s="686"/>
      <c r="P116" s="686"/>
      <c r="Q116" s="696"/>
      <c r="R116" s="67"/>
      <c r="S116" s="67"/>
    </row>
    <row r="117" spans="1:19" ht="15" customHeight="1" x14ac:dyDescent="0.2">
      <c r="A117"/>
      <c r="B117"/>
      <c r="C117"/>
      <c r="D117"/>
      <c r="E117"/>
      <c r="F117"/>
      <c r="G117"/>
      <c r="I117" t="str">
        <f t="shared" ca="1" si="6"/>
        <v/>
      </c>
      <c r="J117" s="67"/>
      <c r="K117" s="67"/>
      <c r="L117" s="67"/>
      <c r="M117" s="68"/>
      <c r="N117" s="70"/>
      <c r="O117" s="70"/>
      <c r="P117" s="70"/>
      <c r="Q117" s="69"/>
      <c r="R117" s="67"/>
      <c r="S117" s="67"/>
    </row>
    <row r="118" spans="1:19" ht="50.1" customHeight="1" x14ac:dyDescent="0.2">
      <c r="A118"/>
      <c r="B118"/>
      <c r="C118"/>
      <c r="D118"/>
      <c r="E118"/>
      <c r="F118"/>
      <c r="G118"/>
      <c r="I118" t="str">
        <f t="shared" ca="1" si="6"/>
        <v/>
      </c>
      <c r="J118" s="680" t="str">
        <f>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3%.</v>
      </c>
      <c r="K118" s="680"/>
      <c r="L118" s="680"/>
      <c r="M118" s="680"/>
      <c r="N118" s="680"/>
      <c r="O118" s="680"/>
      <c r="P118" s="680"/>
      <c r="Q118" s="680"/>
      <c r="R118" s="680"/>
      <c r="S118" s="680"/>
    </row>
    <row r="119" spans="1:19" x14ac:dyDescent="0.2">
      <c r="A119"/>
      <c r="B119"/>
      <c r="C119"/>
      <c r="D119"/>
      <c r="E119"/>
      <c r="F119"/>
      <c r="G119"/>
      <c r="I119" t="str">
        <f t="shared" ca="1" si="6"/>
        <v/>
      </c>
    </row>
    <row r="120" spans="1:19" ht="50.1" customHeight="1" x14ac:dyDescent="0.2">
      <c r="A120"/>
      <c r="B120"/>
      <c r="C120"/>
      <c r="D120"/>
      <c r="E120"/>
      <c r="F120"/>
      <c r="G120"/>
      <c r="I120" t="str">
        <f t="shared" ca="1" si="6"/>
        <v/>
      </c>
      <c r="J120" s="680" t="str" cm="1">
        <f t="array" aca="1" ref="J120" ca="1">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SEM Desoneração, e que esta é a alternativa mais adequada para a Administração Pública.</v>
      </c>
      <c r="K120" s="680"/>
      <c r="L120" s="680"/>
      <c r="M120" s="680"/>
      <c r="N120" s="680"/>
      <c r="O120" s="680"/>
      <c r="P120" s="680"/>
      <c r="Q120" s="680"/>
      <c r="R120" s="680"/>
      <c r="S120" s="680"/>
    </row>
    <row r="121" spans="1:19" x14ac:dyDescent="0.2">
      <c r="A121"/>
      <c r="B121"/>
      <c r="C121"/>
      <c r="D121"/>
      <c r="E121"/>
      <c r="F121"/>
      <c r="G121"/>
      <c r="I121" t="str">
        <f t="shared" ca="1" si="6"/>
        <v/>
      </c>
    </row>
    <row r="122" spans="1:19" x14ac:dyDescent="0.2">
      <c r="A122"/>
      <c r="B122"/>
      <c r="C122"/>
      <c r="D122"/>
      <c r="E122"/>
      <c r="F122"/>
      <c r="G122"/>
      <c r="I122" t="str">
        <f t="shared" ca="1" si="6"/>
        <v/>
      </c>
      <c r="J122" s="48" t="s">
        <v>689</v>
      </c>
    </row>
    <row r="123" spans="1:19" ht="110.1" customHeight="1" x14ac:dyDescent="0.2">
      <c r="A123"/>
      <c r="B123"/>
      <c r="C123"/>
      <c r="D123"/>
      <c r="E123"/>
      <c r="F123"/>
      <c r="G123"/>
      <c r="I123" t="str">
        <f t="shared" ca="1" si="6"/>
        <v/>
      </c>
      <c r="J123" s="681"/>
      <c r="K123" s="681"/>
      <c r="L123" s="681"/>
      <c r="M123" s="681"/>
      <c r="N123" s="681"/>
      <c r="O123" s="681"/>
      <c r="P123" s="681"/>
      <c r="Q123" s="681"/>
      <c r="R123" s="681"/>
      <c r="S123" s="681"/>
    </row>
    <row r="124" spans="1:19" x14ac:dyDescent="0.2">
      <c r="A124"/>
      <c r="B124"/>
      <c r="C124"/>
      <c r="D124"/>
      <c r="E124"/>
      <c r="F124"/>
      <c r="G124"/>
      <c r="I124" t="str">
        <f t="shared" ca="1" si="6"/>
        <v/>
      </c>
    </row>
    <row r="125" spans="1:19" x14ac:dyDescent="0.2">
      <c r="A125"/>
      <c r="B125"/>
      <c r="C125"/>
      <c r="D125"/>
      <c r="E125"/>
      <c r="F125"/>
      <c r="G125"/>
      <c r="I125" t="str">
        <f t="shared" ca="1" si="6"/>
        <v/>
      </c>
      <c r="J125" s="682" t="str">
        <f>Import.Município</f>
        <v>Liberdade - MG</v>
      </c>
      <c r="K125" s="682"/>
      <c r="L125" s="682"/>
      <c r="M125" s="682"/>
      <c r="P125" s="683">
        <f>DADOS!$C$25</f>
        <v>45880</v>
      </c>
      <c r="Q125" s="683"/>
      <c r="R125" s="683"/>
      <c r="S125" s="683"/>
    </row>
    <row r="126" spans="1:19" x14ac:dyDescent="0.2">
      <c r="A126"/>
      <c r="B126"/>
      <c r="C126"/>
      <c r="D126"/>
      <c r="E126"/>
      <c r="F126"/>
      <c r="G126"/>
      <c r="I126" t="str">
        <f t="shared" ca="1" si="6"/>
        <v/>
      </c>
      <c r="J126" s="684" t="s">
        <v>693</v>
      </c>
      <c r="K126" s="684"/>
      <c r="L126" s="684"/>
      <c r="M126" s="684"/>
      <c r="O126" s="72"/>
      <c r="P126" s="73" t="s">
        <v>694</v>
      </c>
      <c r="Q126" s="74"/>
      <c r="R126" s="74"/>
      <c r="S126" s="74"/>
    </row>
    <row r="127" spans="1:19" ht="30" customHeight="1" x14ac:dyDescent="0.2">
      <c r="A127"/>
      <c r="B127"/>
      <c r="C127"/>
      <c r="D127"/>
      <c r="E127"/>
      <c r="F127"/>
      <c r="G127"/>
      <c r="I127" t="str">
        <f t="shared" ca="1" si="6"/>
        <v/>
      </c>
    </row>
    <row r="128" spans="1:19" ht="15" x14ac:dyDescent="0.2">
      <c r="A128"/>
      <c r="B128"/>
      <c r="C128"/>
      <c r="D128"/>
      <c r="E128"/>
      <c r="F128"/>
      <c r="G128"/>
      <c r="I128" t="str">
        <f t="shared" ca="1" si="6"/>
        <v/>
      </c>
      <c r="J128" s="685"/>
      <c r="K128" s="685"/>
      <c r="L128" s="685"/>
      <c r="M128" s="685"/>
      <c r="N128" s="75"/>
    </row>
    <row r="129" spans="1:14" x14ac:dyDescent="0.2">
      <c r="A129"/>
      <c r="B129"/>
      <c r="C129"/>
      <c r="D129"/>
      <c r="E129"/>
      <c r="F129"/>
      <c r="G129"/>
      <c r="I129" t="str">
        <f t="shared" ca="1" si="6"/>
        <v/>
      </c>
      <c r="J129" s="679" t="s">
        <v>696</v>
      </c>
      <c r="K129" s="679"/>
      <c r="L129" s="679"/>
      <c r="M129" s="679"/>
    </row>
    <row r="130" spans="1:14" ht="14.25" x14ac:dyDescent="0.2">
      <c r="A130"/>
      <c r="B130"/>
      <c r="C130"/>
      <c r="D130"/>
      <c r="E130"/>
      <c r="F130"/>
      <c r="G130"/>
      <c r="I130" t="str">
        <f t="shared" ca="1" si="6"/>
        <v/>
      </c>
      <c r="J130" s="76" t="s">
        <v>240</v>
      </c>
      <c r="K130" s="77" t="str">
        <f t="array" ref="K130:K132">Import.RespOrçamento</f>
        <v>Antônio Carlos Sampaio Alves</v>
      </c>
      <c r="L130" s="78"/>
      <c r="M130" s="78"/>
      <c r="N130" s="75"/>
    </row>
    <row r="131" spans="1:14" ht="14.25" x14ac:dyDescent="0.2">
      <c r="A131"/>
      <c r="B131"/>
      <c r="C131"/>
      <c r="D131"/>
      <c r="E131"/>
      <c r="F131"/>
      <c r="G131"/>
      <c r="I131" t="str">
        <f t="shared" ca="1" si="6"/>
        <v/>
      </c>
      <c r="J131" s="76" t="s">
        <v>243</v>
      </c>
      <c r="K131" s="77" t="str">
        <v>214010-D</v>
      </c>
      <c r="L131" s="78"/>
      <c r="M131" s="78"/>
      <c r="N131" s="75"/>
    </row>
    <row r="132" spans="1:14" ht="14.25" x14ac:dyDescent="0.2">
      <c r="A132"/>
      <c r="B132"/>
      <c r="C132"/>
      <c r="D132"/>
      <c r="E132"/>
      <c r="F132"/>
      <c r="G132"/>
      <c r="I132" t="str">
        <f t="shared" ca="1" si="6"/>
        <v/>
      </c>
      <c r="J132" s="76" t="s">
        <v>246</v>
      </c>
      <c r="K132" s="77" t="str">
        <v>MG 20254192207</v>
      </c>
      <c r="L132" s="78"/>
      <c r="M132" s="78"/>
      <c r="N132" s="75"/>
    </row>
    <row r="133" spans="1:14" x14ac:dyDescent="0.2">
      <c r="A133"/>
      <c r="B133"/>
      <c r="C133"/>
      <c r="D133"/>
      <c r="E133"/>
      <c r="F133"/>
      <c r="G133"/>
    </row>
    <row r="134" spans="1:14" x14ac:dyDescent="0.2">
      <c r="A134"/>
      <c r="B134"/>
      <c r="C134"/>
      <c r="D134"/>
      <c r="E134"/>
      <c r="F134"/>
      <c r="G134"/>
    </row>
    <row r="135" spans="1:14" x14ac:dyDescent="0.2">
      <c r="A135"/>
      <c r="B135"/>
      <c r="C135"/>
      <c r="D135"/>
      <c r="E135"/>
      <c r="F135"/>
      <c r="G135"/>
    </row>
    <row r="136" spans="1:14" x14ac:dyDescent="0.2">
      <c r="A136"/>
      <c r="B136"/>
      <c r="C136"/>
      <c r="D136"/>
      <c r="E136"/>
      <c r="F136"/>
      <c r="G136"/>
    </row>
    <row r="137" spans="1:14" x14ac:dyDescent="0.2">
      <c r="A137"/>
      <c r="B137"/>
      <c r="C137"/>
      <c r="D137"/>
      <c r="E137"/>
      <c r="F137"/>
      <c r="G137"/>
    </row>
    <row r="138" spans="1:14" x14ac:dyDescent="0.2">
      <c r="A138" s="48" t="s">
        <v>139</v>
      </c>
    </row>
    <row r="139" spans="1:14" x14ac:dyDescent="0.2">
      <c r="A139" s="48" t="s">
        <v>645</v>
      </c>
    </row>
    <row r="140" spans="1:14" x14ac:dyDescent="0.2">
      <c r="A140" s="48" t="s">
        <v>658</v>
      </c>
    </row>
    <row r="141" spans="1:14" x14ac:dyDescent="0.2">
      <c r="A141" s="48" t="s">
        <v>662</v>
      </c>
    </row>
    <row r="142" spans="1:14" x14ac:dyDescent="0.2">
      <c r="A142" s="48" t="s">
        <v>673</v>
      </c>
    </row>
    <row r="143" spans="1:14" x14ac:dyDescent="0.2">
      <c r="A143" s="48" t="s">
        <v>674</v>
      </c>
    </row>
    <row r="144" spans="1:14" x14ac:dyDescent="0.2">
      <c r="A144" s="48" t="s">
        <v>665</v>
      </c>
    </row>
    <row r="145" spans="1:1" x14ac:dyDescent="0.2">
      <c r="A145" s="48" t="s">
        <v>687</v>
      </c>
    </row>
    <row r="146" spans="1:1" x14ac:dyDescent="0.2">
      <c r="A146" s="48" t="s">
        <v>690</v>
      </c>
    </row>
  </sheetData>
  <sheetProtection algorithmName="SHA-512" hashValue="zgnsvUTUPvuWPHBUHoGWent0bzIyOjSlFpK4n3HmJZbfC8j/vUDXWafDR1IAYKto9Xe2/O92KwnsOehq272iOg==" saltValue="7JNCvV27YU50KoQ9izhUag==" spinCount="100000" sheet="1" objects="1" scenarios="1" autoFilter="0"/>
  <autoFilter ref="I11:I132"/>
  <mergeCells count="144">
    <mergeCell ref="J5:K5"/>
    <mergeCell ref="L5:M5"/>
    <mergeCell ref="N5:S5"/>
    <mergeCell ref="R1:S1"/>
    <mergeCell ref="R2:S2"/>
    <mergeCell ref="J4:K4"/>
    <mergeCell ref="L4:M4"/>
    <mergeCell ref="N4:S4"/>
    <mergeCell ref="J11:Q11"/>
    <mergeCell ref="R11:S11"/>
    <mergeCell ref="J7:S7"/>
    <mergeCell ref="J8:S8"/>
    <mergeCell ref="J10:Q10"/>
    <mergeCell ref="R10:S10"/>
    <mergeCell ref="X19:X20"/>
    <mergeCell ref="Y19:Y20"/>
    <mergeCell ref="J17:S17"/>
    <mergeCell ref="Z19:Z20"/>
    <mergeCell ref="U19:W20"/>
    <mergeCell ref="J19:Q20"/>
    <mergeCell ref="R19:R20"/>
    <mergeCell ref="S19:S20"/>
    <mergeCell ref="J14:S14"/>
    <mergeCell ref="J16:S16"/>
    <mergeCell ref="J23:Q23"/>
    <mergeCell ref="U23:W23"/>
    <mergeCell ref="J21:Q21"/>
    <mergeCell ref="U21:W21"/>
    <mergeCell ref="J22:Q22"/>
    <mergeCell ref="U22:W22"/>
    <mergeCell ref="J25:Q25"/>
    <mergeCell ref="U25:W25"/>
    <mergeCell ref="J26:Q26"/>
    <mergeCell ref="U26:W26"/>
    <mergeCell ref="J27:Q27"/>
    <mergeCell ref="U27:W27"/>
    <mergeCell ref="J28:Q28"/>
    <mergeCell ref="U28:W28"/>
    <mergeCell ref="J24:Q24"/>
    <mergeCell ref="U24:W24"/>
    <mergeCell ref="N36:P36"/>
    <mergeCell ref="J38:S38"/>
    <mergeCell ref="J30:Q30"/>
    <mergeCell ref="K32:S32"/>
    <mergeCell ref="J29:Q29"/>
    <mergeCell ref="U29:W29"/>
    <mergeCell ref="J34:S34"/>
    <mergeCell ref="M35:M36"/>
    <mergeCell ref="J49:M49"/>
    <mergeCell ref="J54:S54"/>
    <mergeCell ref="J45:M45"/>
    <mergeCell ref="P45:S45"/>
    <mergeCell ref="J46:M46"/>
    <mergeCell ref="J48:M48"/>
    <mergeCell ref="N35:P35"/>
    <mergeCell ref="Q35:Q36"/>
    <mergeCell ref="J40:S40"/>
    <mergeCell ref="J43:S43"/>
    <mergeCell ref="Y59:Y60"/>
    <mergeCell ref="Z59:Z60"/>
    <mergeCell ref="J59:Q60"/>
    <mergeCell ref="R59:R60"/>
    <mergeCell ref="S59:S60"/>
    <mergeCell ref="U59:W60"/>
    <mergeCell ref="X59:X60"/>
    <mergeCell ref="J61:Q61"/>
    <mergeCell ref="U61:W61"/>
    <mergeCell ref="J56:S56"/>
    <mergeCell ref="J57:S57"/>
    <mergeCell ref="J64:Q64"/>
    <mergeCell ref="U64:W64"/>
    <mergeCell ref="J62:Q62"/>
    <mergeCell ref="U62:W62"/>
    <mergeCell ref="J63:Q63"/>
    <mergeCell ref="U63:W63"/>
    <mergeCell ref="J65:Q65"/>
    <mergeCell ref="U65:W65"/>
    <mergeCell ref="J66:Q66"/>
    <mergeCell ref="U66:W66"/>
    <mergeCell ref="U67:W67"/>
    <mergeCell ref="J68:Q68"/>
    <mergeCell ref="U68:W68"/>
    <mergeCell ref="J94:S94"/>
    <mergeCell ref="J85:M85"/>
    <mergeCell ref="P85:S85"/>
    <mergeCell ref="J67:Q67"/>
    <mergeCell ref="J78:S78"/>
    <mergeCell ref="J70:Q70"/>
    <mergeCell ref="K72:S72"/>
    <mergeCell ref="J89:M89"/>
    <mergeCell ref="U69:W69"/>
    <mergeCell ref="J86:M86"/>
    <mergeCell ref="J88:M88"/>
    <mergeCell ref="J74:S74"/>
    <mergeCell ref="M75:M76"/>
    <mergeCell ref="J80:S80"/>
    <mergeCell ref="J83:S83"/>
    <mergeCell ref="N76:P76"/>
    <mergeCell ref="N75:P75"/>
    <mergeCell ref="Q75:Q76"/>
    <mergeCell ref="Y99:Y100"/>
    <mergeCell ref="Z99:Z100"/>
    <mergeCell ref="J99:Q100"/>
    <mergeCell ref="R99:R100"/>
    <mergeCell ref="S99:S100"/>
    <mergeCell ref="X99:X100"/>
    <mergeCell ref="J101:Q101"/>
    <mergeCell ref="U101:W101"/>
    <mergeCell ref="J96:S96"/>
    <mergeCell ref="J97:S97"/>
    <mergeCell ref="U99:W100"/>
    <mergeCell ref="U108:W108"/>
    <mergeCell ref="J109:Q109"/>
    <mergeCell ref="U109:W109"/>
    <mergeCell ref="J110:Q110"/>
    <mergeCell ref="K112:S112"/>
    <mergeCell ref="J118:S118"/>
    <mergeCell ref="I6:I10"/>
    <mergeCell ref="J114:S114"/>
    <mergeCell ref="J107:Q107"/>
    <mergeCell ref="M115:M116"/>
    <mergeCell ref="J105:Q105"/>
    <mergeCell ref="J103:Q103"/>
    <mergeCell ref="J69:Q69"/>
    <mergeCell ref="N115:P115"/>
    <mergeCell ref="Q115:Q116"/>
    <mergeCell ref="J102:Q102"/>
    <mergeCell ref="U102:W102"/>
    <mergeCell ref="U105:W105"/>
    <mergeCell ref="J106:Q106"/>
    <mergeCell ref="U106:W106"/>
    <mergeCell ref="J104:Q104"/>
    <mergeCell ref="U104:W104"/>
    <mergeCell ref="U103:W103"/>
    <mergeCell ref="U107:W107"/>
    <mergeCell ref="J129:M129"/>
    <mergeCell ref="J120:S120"/>
    <mergeCell ref="J123:S123"/>
    <mergeCell ref="J125:M125"/>
    <mergeCell ref="P125:S125"/>
    <mergeCell ref="J126:M126"/>
    <mergeCell ref="J128:M128"/>
    <mergeCell ref="N116:P116"/>
    <mergeCell ref="J108:Q108"/>
  </mergeCells>
  <phoneticPr fontId="38" type="noConversion"/>
  <conditionalFormatting sqref="J30:S30 J70:S70 J110:S110">
    <cfRule type="expression" dxfId="442" priority="11" stopIfTrue="1">
      <formula>DESONERACAO="não"</formula>
    </cfRule>
  </conditionalFormatting>
  <conditionalFormatting sqref="U69:W69 U29:W29 U109:W109">
    <cfRule type="expression" dxfId="441" priority="12" stopIfTrue="1">
      <formula>AND(U29&lt;&gt;"OK",U29&lt;&gt;"-",U29&lt;&gt;"")</formula>
    </cfRule>
    <cfRule type="cellIs" dxfId="440" priority="13" stopIfTrue="1" operator="equal">
      <formula>"OK"</formula>
    </cfRule>
  </conditionalFormatting>
  <conditionalFormatting sqref="S29 S69 S109">
    <cfRule type="expression" dxfId="439" priority="14" stopIfTrue="1">
      <formula>DESONERACAO="não"</formula>
    </cfRule>
  </conditionalFormatting>
  <conditionalFormatting sqref="J23:S24">
    <cfRule type="expression" dxfId="438" priority="9">
      <formula>$J$17=$A$146</formula>
    </cfRule>
  </conditionalFormatting>
  <conditionalFormatting sqref="S21:S26">
    <cfRule type="expression" dxfId="437" priority="8">
      <formula>$J$17=$A$145</formula>
    </cfRule>
  </conditionalFormatting>
  <conditionalFormatting sqref="J63:S64">
    <cfRule type="expression" dxfId="436" priority="7">
      <formula>$J$57=$A$146</formula>
    </cfRule>
  </conditionalFormatting>
  <conditionalFormatting sqref="S61:S66">
    <cfRule type="expression" dxfId="435" priority="6">
      <formula>$J$57=$A$145</formula>
    </cfRule>
  </conditionalFormatting>
  <conditionalFormatting sqref="J103:S104">
    <cfRule type="expression" dxfId="434" priority="5">
      <formula>$J$97=$A$146</formula>
    </cfRule>
  </conditionalFormatting>
  <conditionalFormatting sqref="S101:S106">
    <cfRule type="expression" dxfId="433" priority="4">
      <formula>$J$97=$A$145</formula>
    </cfRule>
  </conditionalFormatting>
  <conditionalFormatting sqref="U21:W28">
    <cfRule type="cellIs" dxfId="432" priority="3" operator="notEqual">
      <formula>"OK"</formula>
    </cfRule>
  </conditionalFormatting>
  <conditionalFormatting sqref="U61:W68">
    <cfRule type="cellIs" dxfId="431" priority="2" operator="notEqual">
      <formula>"OK"</formula>
    </cfRule>
  </conditionalFormatting>
  <conditionalFormatting sqref="U101:W108">
    <cfRule type="cellIs" dxfId="430" priority="1" operator="notEqual">
      <formula>"OK"</formula>
    </cfRule>
  </conditionalFormatting>
  <dataValidations count="6">
    <dataValidation type="decimal" allowBlank="1" showErrorMessage="1" errorTitle="Erro de valores" error="Digite um valor entre 0% e 100%" sqref="S101:S106 S61:S66 S21:S26">
      <formula1>0</formula1>
      <formula2>1</formula2>
    </dataValidation>
    <dataValidation type="decimal" allowBlank="1" showErrorMessage="1" errorTitle="Erro de valores" error="Digite um valor maior do que 0." sqref="S27 S107 S67">
      <formula1>0</formula1>
      <formula2>1</formula2>
    </dataValidation>
    <dataValidation operator="greaterThanOrEqual" allowBlank="1" showErrorMessage="1" errorTitle="Erro de valores" error="Digite um valor igual a 0% ou 2%." sqref="S28 S68 S108">
      <formula1>0</formula1>
      <formula2>0</formula2>
    </dataValidation>
    <dataValidation type="decimal" allowBlank="1" showInputMessage="1" showErrorMessage="1" errorTitle="Valor não permitido" error="Digite um percentual entre 2% e 5%." promptTitle="Valores comuns:" prompt="Entre 2 e 5%." sqref="R11:S11">
      <formula1>0.02</formula1>
      <formula2>0.05</formula2>
    </dataValidation>
    <dataValidation type="decimal" allowBlank="1" showInputMessage="1" showErrorMessage="1" errorTitle="Valor não permitido" error="Digite um percentual entre 0% e 100%." promptTitle="Valores admissíveis:" prompt="Insira valores entre 0 e 100%." sqref="R10:S10">
      <formula1>0</formula1>
      <formula2>1</formula2>
    </dataValidation>
    <dataValidation type="list" allowBlank="1" showErrorMessage="1" sqref="J17:S17 J57:S57 J97:S97">
      <formula1>BDI.TipoObra</formula1>
      <formula2>0</formula2>
    </dataValidation>
  </dataValidations>
  <pageMargins left="0.78740157480314998" right="0.78740157480314998" top="0.78740157480314998" bottom="0.78740157480314998" header="5.7086614173228396" footer="0.59055118110236204"/>
  <pageSetup paperSize="9" scale="80" firstPageNumber="0" fitToHeight="0" orientation="portrait" horizontalDpi="300" verticalDpi="300" r:id="rId1"/>
  <headerFooter alignWithMargins="0">
    <oddHeader>&amp;L_</oddHeader>
    <oddFooter>&amp;LPMv3.14&amp;R&amp;P /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5">
    <pageSetUpPr fitToPage="1"/>
  </sheetPr>
  <dimension ref="A1:AN65585"/>
  <sheetViews>
    <sheetView showGridLines="0" tabSelected="1" zoomScaleNormal="100" zoomScaleSheetLayoutView="90" workbookViewId="0">
      <pane xSplit="19" ySplit="15" topLeftCell="T53728" activePane="bottomRight" state="frozen"/>
      <selection pane="topRight" activeCell="T1" sqref="T1"/>
      <selection pane="bottomLeft" activeCell="L16" sqref="L16"/>
      <selection pane="bottomRight" activeCell="W21" sqref="W21"/>
    </sheetView>
  </sheetViews>
  <sheetFormatPr defaultRowHeight="12.75" x14ac:dyDescent="0.2"/>
  <cols>
    <col min="1" max="1" width="5.5703125" hidden="1" customWidth="1"/>
    <col min="2" max="2" width="10.42578125" hidden="1" customWidth="1"/>
    <col min="3" max="3" width="5.5703125" hidden="1" customWidth="1"/>
    <col min="4" max="4" width="12.85546875" hidden="1" customWidth="1"/>
    <col min="5" max="5" width="8.5703125" hidden="1" customWidth="1"/>
    <col min="6" max="6" width="12.42578125" hidden="1" customWidth="1"/>
    <col min="7" max="7" width="14.5703125" hidden="1" customWidth="1"/>
    <col min="8" max="8" width="11.42578125" hidden="1" customWidth="1"/>
    <col min="9" max="9" width="13.42578125" hidden="1" customWidth="1"/>
    <col min="10" max="10" width="7.42578125" hidden="1" customWidth="1"/>
    <col min="11" max="11" width="7.5703125" hidden="1" customWidth="1"/>
    <col min="12" max="12" width="3.5703125" customWidth="1"/>
    <col min="13" max="14" width="8.5703125" customWidth="1"/>
    <col min="15" max="15" width="12.5703125" customWidth="1"/>
    <col min="16" max="17" width="15.5703125" customWidth="1"/>
    <col min="18" max="18" width="65.5703125" customWidth="1"/>
    <col min="19" max="19" width="10.5703125" customWidth="1"/>
    <col min="20" max="21" width="14.5703125" customWidth="1"/>
    <col min="22" max="22" width="10.5703125" customWidth="1"/>
    <col min="23" max="23" width="14.5703125" customWidth="1"/>
    <col min="24" max="24" width="15.5703125" customWidth="1"/>
    <col min="25" max="25" width="3.5703125" customWidth="1"/>
    <col min="26" max="26" width="3.5703125" hidden="1" customWidth="1"/>
    <col min="27" max="28" width="14.5703125" hidden="1" customWidth="1"/>
    <col min="29" max="29" width="15.5703125" customWidth="1"/>
    <col min="30" max="31" width="9.140625" hidden="1" customWidth="1"/>
    <col min="32" max="32" width="15.5703125" hidden="1" customWidth="1"/>
    <col min="33" max="33" width="15.5703125" customWidth="1"/>
    <col min="35" max="35" width="1.5703125" customWidth="1"/>
    <col min="36" max="36" width="14.5703125" customWidth="1"/>
    <col min="37" max="37" width="1.5703125" customWidth="1"/>
    <col min="38" max="38" width="14.5703125" customWidth="1"/>
    <col min="39" max="40" width="15.5703125" customWidth="1"/>
  </cols>
  <sheetData>
    <row r="1" spans="1:40" ht="18" x14ac:dyDescent="0.2">
      <c r="M1" s="80"/>
      <c r="N1" s="80"/>
      <c r="R1" s="81" t="s">
        <v>699</v>
      </c>
      <c r="T1" s="81"/>
      <c r="X1" s="51" t="s">
        <v>644</v>
      </c>
      <c r="Y1" s="7"/>
      <c r="Z1" s="7"/>
      <c r="AA1" s="7"/>
      <c r="AB1" s="7"/>
    </row>
    <row r="2" spans="1:40" ht="15" x14ac:dyDescent="0.2">
      <c r="D2" s="661" t="s">
        <v>700</v>
      </c>
      <c r="E2" s="661" t="s">
        <v>701</v>
      </c>
      <c r="F2" s="661" t="s">
        <v>702</v>
      </c>
      <c r="G2" s="661" t="s">
        <v>703</v>
      </c>
      <c r="H2" s="661" t="s">
        <v>704</v>
      </c>
      <c r="I2" s="661" t="s">
        <v>705</v>
      </c>
      <c r="R2" s="82" t="str" cm="1">
        <f t="array" ref="R2">IF(TIPOORCAMENTO="licitado","Orçamento Licitado","Orçamento Base para Licitação")&amp;" - "&amp;import.recurso</f>
        <v>Orçamento Base para Licitação - OGU</v>
      </c>
      <c r="X2" s="11" t="s">
        <v>647</v>
      </c>
      <c r="Y2" s="83"/>
      <c r="Z2" s="83"/>
      <c r="AA2" s="83"/>
      <c r="AB2" s="83"/>
    </row>
    <row r="3" spans="1:40" x14ac:dyDescent="0.2">
      <c r="D3" s="7"/>
      <c r="E3" s="661" t="s">
        <v>750</v>
      </c>
      <c r="F3" s="661" t="s">
        <v>954</v>
      </c>
      <c r="G3" s="661" t="s">
        <v>955</v>
      </c>
      <c r="H3" s="661" t="s">
        <v>956</v>
      </c>
      <c r="I3" s="661" t="s">
        <v>957</v>
      </c>
      <c r="R3" s="85"/>
    </row>
    <row r="4" spans="1:40" x14ac:dyDescent="0.2">
      <c r="A4" s="659" t="s">
        <v>706</v>
      </c>
      <c r="D4" s="7"/>
      <c r="E4" s="7"/>
      <c r="F4" s="661" t="s">
        <v>663</v>
      </c>
      <c r="G4" s="661" t="s">
        <v>697</v>
      </c>
      <c r="H4" s="661" t="s">
        <v>698</v>
      </c>
      <c r="I4" s="662">
        <v>0</v>
      </c>
      <c r="O4" s="699" t="s">
        <v>650</v>
      </c>
      <c r="P4" s="699"/>
      <c r="Q4" s="86" t="s">
        <v>707</v>
      </c>
      <c r="R4" s="86" t="s">
        <v>652</v>
      </c>
      <c r="S4" s="699" t="s">
        <v>708</v>
      </c>
      <c r="T4" s="699"/>
      <c r="U4" s="699"/>
      <c r="V4" s="699"/>
      <c r="W4" s="699"/>
      <c r="X4" s="699"/>
      <c r="Y4" s="76"/>
      <c r="Z4" s="76"/>
      <c r="AA4" s="76"/>
      <c r="AB4" s="76"/>
    </row>
    <row r="5" spans="1:40" ht="12.75" customHeight="1" x14ac:dyDescent="0.2">
      <c r="A5" s="449">
        <f ca="1">MAX($C$15:$C$55)</f>
        <v>2</v>
      </c>
      <c r="B5" s="7"/>
      <c r="C5" s="7"/>
      <c r="D5" s="7"/>
      <c r="E5" s="7"/>
      <c r="F5" s="662">
        <f ca="1">IF(BDI.Opcao="DESONERADO",BDI!$S$30,BDI!$S$29)</f>
        <v>3.09E-2</v>
      </c>
      <c r="G5" s="662">
        <f ca="1">IF(BDI.Opcao="DESONERADO",BDI!$S$70,BDI!$S$69)</f>
        <v>0</v>
      </c>
      <c r="H5" s="662">
        <f ca="1">IF(BDI.Opcao="DESONERADO",BDI!$S$110,BDI!$S$109)</f>
        <v>0</v>
      </c>
      <c r="I5" s="7"/>
      <c r="O5" s="702">
        <f>Import.CR</f>
        <v>0</v>
      </c>
      <c r="P5" s="702"/>
      <c r="Q5" s="89" t="str" cm="1">
        <f t="array" ref="Q5">Import.TransfereGOV</f>
        <v>948148</v>
      </c>
      <c r="R5" s="90" t="str">
        <f>Import.Proponente</f>
        <v>18.029.165/0001-51</v>
      </c>
      <c r="S5" s="702" t="str">
        <f>Import.Apelido</f>
        <v>Construção de ponte e pavimentação de estrada vicinal</v>
      </c>
      <c r="T5" s="702"/>
      <c r="U5" s="702"/>
      <c r="V5" s="702"/>
      <c r="W5" s="702"/>
      <c r="X5" s="702"/>
      <c r="Y5" s="91"/>
      <c r="Z5" s="91"/>
      <c r="AA5" s="91"/>
      <c r="AB5" s="91"/>
      <c r="AE5" s="709" t="s">
        <v>709</v>
      </c>
      <c r="AF5" s="709"/>
    </row>
    <row r="6" spans="1:40" ht="5.0999999999999996" customHeight="1" x14ac:dyDescent="0.2">
      <c r="A6" s="7"/>
      <c r="B6" s="7"/>
      <c r="C6" s="7"/>
      <c r="D6" s="7"/>
      <c r="E6" s="7"/>
      <c r="F6" s="7"/>
      <c r="G6" s="7"/>
      <c r="H6" s="663"/>
      <c r="I6" s="7"/>
      <c r="O6" s="92"/>
      <c r="P6" s="92"/>
      <c r="Q6" s="93"/>
      <c r="R6" s="93"/>
      <c r="S6" s="92"/>
      <c r="T6" s="92"/>
      <c r="U6" s="92"/>
      <c r="V6" s="92"/>
      <c r="W6" s="92"/>
      <c r="X6" s="92"/>
      <c r="Y6" s="91"/>
      <c r="Z6" s="91"/>
      <c r="AA6" s="91"/>
      <c r="AB6" s="91"/>
      <c r="AC6" s="94"/>
      <c r="AE6" s="87"/>
      <c r="AF6" s="88"/>
    </row>
    <row r="7" spans="1:40" ht="12.75" customHeight="1" x14ac:dyDescent="0.2">
      <c r="D7" s="7"/>
      <c r="E7" s="7"/>
      <c r="F7" s="661" t="s">
        <v>751</v>
      </c>
      <c r="G7" s="661" t="s">
        <v>958</v>
      </c>
      <c r="H7" s="661" t="s">
        <v>456</v>
      </c>
      <c r="I7" s="661" t="s">
        <v>794</v>
      </c>
      <c r="O7" s="699" t="s">
        <v>710</v>
      </c>
      <c r="P7" s="699"/>
      <c r="Q7" s="86" t="s">
        <v>711</v>
      </c>
      <c r="R7" s="86" t="str" cm="1">
        <f t="array" ref="R7">IF(TIPOORCAMENTO="Licitado","NOME DA EMPRESA","DESCRIÇÃO DO LOTE")</f>
        <v>DESCRIÇÃO DO LOTE</v>
      </c>
      <c r="S7" s="710" t="str" cm="1">
        <f t="array" ref="S7">IF(TIPOORCAMENTO="Licitado","REGIME DE EXECUÇÃO","MUNICÍPIO / UF")</f>
        <v>MUNICÍPIO / UF</v>
      </c>
      <c r="T7" s="710"/>
      <c r="U7" s="710"/>
      <c r="V7" s="96" t="str" cm="1">
        <f t="array" ref="V7">IF(TIPOORCAMENTO="Licitado","","BDI 1")</f>
        <v>BDI 1</v>
      </c>
      <c r="W7" s="96" t="str" cm="1">
        <f t="array" ref="W7">IF(TIPOORCAMENTO="Licitado","","BDI 2")</f>
        <v>BDI 2</v>
      </c>
      <c r="X7" s="97" t="str" cm="1">
        <f t="array" ref="X7">IF(TIPOORCAMENTO="Licitado","Nº CTEF","BDI 3")</f>
        <v>BDI 3</v>
      </c>
      <c r="Y7" s="96"/>
      <c r="Z7" s="96"/>
      <c r="AC7" s="570" t="str">
        <f ca="1">IF(COUNTIFS($L$15:$L$55,"F",$AC$15:$AC$55,"JUSTIFICAR BDI")&gt;0,"JUSTIFICAR BDI","")</f>
        <v/>
      </c>
      <c r="AE7" s="87" t="s">
        <v>712</v>
      </c>
      <c r="AF7" s="88" t="b">
        <v>1</v>
      </c>
      <c r="AJ7" s="713" t="s">
        <v>713</v>
      </c>
      <c r="AL7" s="711" t="s">
        <v>714</v>
      </c>
    </row>
    <row r="8" spans="1:40" ht="12.75" customHeight="1" x14ac:dyDescent="0.2">
      <c r="A8" s="7"/>
      <c r="B8" s="7"/>
      <c r="C8" s="7"/>
      <c r="E8" s="505" t="s">
        <v>996</v>
      </c>
      <c r="F8" s="714" t="str" cm="1">
        <f t="array" aca="1" ref="F8" ca="1">IF(LEN(INFO("release"))&gt;5,"'Referência "&amp;Excel_BuiltIn_Database&amp;".xlsm'#Banco.$a5:$a$65536","'[Referência "&amp;Excel_BuiltIn_Database&amp;".xlsm]Banco'!$a5:$a$65536")</f>
        <v>'[Referência 06-2025.xlsm]Banco'!$a5:$a$65536</v>
      </c>
      <c r="G8" s="714"/>
      <c r="H8" s="714"/>
      <c r="I8" s="714"/>
      <c r="J8" s="714"/>
      <c r="K8" s="714"/>
      <c r="L8" s="692" t="s">
        <v>655</v>
      </c>
      <c r="O8" s="702" t="str" cm="1">
        <f t="array" aca="1" ref="O8" ca="1">IF(ISERROR(INDIRECT($F$9)),"(N/D: 'Referência "&amp;Excel_BuiltIn_Database&amp;".xlsm)",INDIRECT($F$9))</f>
        <v>(N/D: 'Referência 06-2025.xlsm)</v>
      </c>
      <c r="P8" s="702"/>
      <c r="Q8" s="98" t="str" cm="1">
        <f t="array" aca="1" ref="Q8" ca="1">TEXT(Import.DataBase,"mm-aa")&amp;IF(DESONERACAO="Sim"," (DES.)"," (N DES.)")</f>
        <v>06-25 (N DES.)</v>
      </c>
      <c r="R8" s="90" t="str" cm="1">
        <f t="array" ref="R8">IF(TIPOORCAMENTO="Licitado",Import.empresa,Import.DescLote)</f>
        <v>Infraestrutura</v>
      </c>
      <c r="S8" s="715" t="str" cm="1">
        <f t="array" ref="S8">IF(TIPOORCAMENTO="Licitado",Import.RegimeExecução,Import.Município)</f>
        <v>Liberdade - MG</v>
      </c>
      <c r="T8" s="715"/>
      <c r="U8" s="715"/>
      <c r="V8" s="99" t="str" cm="1">
        <f t="array" aca="1" ref="V8" ca="1">IF(TIPOORCAMENTO="Licitado","",TEXT(F5,"0,00%"))</f>
        <v>3,09%</v>
      </c>
      <c r="W8" s="99" t="str" cm="1">
        <f t="array" aca="1" ref="W8" ca="1">IF(TIPOORCAMENTO="Licitado","",TEXT(G5,"0,00%"))</f>
        <v>0,00%</v>
      </c>
      <c r="X8" s="100" t="str" cm="1">
        <f t="array" aca="1" ref="X8" ca="1">IF(TIPOORCAMENTO="Licitado",Import.CTEF,TEXT(H5,"0,00%"))</f>
        <v>0,00%</v>
      </c>
      <c r="Y8" s="692" t="s">
        <v>715</v>
      </c>
      <c r="Z8" s="692" t="s">
        <v>716</v>
      </c>
      <c r="AA8" s="101"/>
      <c r="AB8" s="101"/>
      <c r="AE8" s="87" t="s">
        <v>717</v>
      </c>
      <c r="AF8" s="88" t="b">
        <v>1</v>
      </c>
      <c r="AJ8" s="713"/>
      <c r="AL8" s="711"/>
    </row>
    <row r="9" spans="1:40" ht="12.75" customHeight="1" x14ac:dyDescent="0.2">
      <c r="E9" s="505" t="s">
        <v>994</v>
      </c>
      <c r="F9" s="714" t="str" cm="1">
        <f t="array" aca="1" ref="F9" ca="1">IF(LEN(INFO("release"))&gt;5,"'Referência "&amp;Excel_BuiltIn_Database&amp;".xlsm'#Banco.$d$3","'[Referência "&amp;Excel_BuiltIn_Database&amp;".xlsm]Banco'!$d$3")</f>
        <v>'[Referência 06-2025.xlsm]Banco'!$d$3</v>
      </c>
      <c r="G9" s="714"/>
      <c r="H9" s="714"/>
      <c r="I9" s="714"/>
      <c r="J9" s="714"/>
      <c r="K9" s="714"/>
      <c r="L9" s="692"/>
      <c r="T9" s="658" t="str">
        <f>IF(AND(Import.TipoArredondamento="TransfereGOV",$AF$7=FALSE),"▼","")</f>
        <v/>
      </c>
      <c r="U9" s="658" t="str">
        <f>IF(AND(Import.TipoArredondamento="TransfereGOV",$AF$8=FALSE),"▼","")</f>
        <v/>
      </c>
      <c r="V9" s="658" t="str">
        <f>IF(AND(Import.TipoArredondamento="TransfereGOV",$AF$9=FALSE),"▼","")</f>
        <v/>
      </c>
      <c r="W9" s="658" t="str">
        <f>IF(AND(Import.TipoArredondamento="TransfereGOV",$AF$10=FALSE),"▼","")</f>
        <v/>
      </c>
      <c r="X9" s="658" t="str">
        <f>IF(AND(Import.TipoArredondamento="TransfereGOV",$AF$11=FALSE),"▼","")</f>
        <v/>
      </c>
      <c r="Y9" s="692"/>
      <c r="Z9" s="692"/>
      <c r="AE9" s="87" t="s">
        <v>23</v>
      </c>
      <c r="AF9" s="88" t="b">
        <v>1</v>
      </c>
      <c r="AJ9" s="713"/>
      <c r="AL9" s="711"/>
    </row>
    <row r="10" spans="1:40" x14ac:dyDescent="0.2">
      <c r="E10" s="505" t="s">
        <v>995</v>
      </c>
      <c r="F10" s="714" t="str" cm="1">
        <f t="array" aca="1" ref="F10" ca="1">IF(LEN(INFO("release"))&gt;5,"'Referência "&amp;Excel_BuiltIn_Database&amp;".xlsm'#Banco.$B$3","'[Referência "&amp;Excel_BuiltIn_Database&amp;".xlsm]Banco'!$B$3")</f>
        <v>'[Referência 06-2025.xlsm]Banco'!$B$3</v>
      </c>
      <c r="G10" s="714"/>
      <c r="H10" s="714"/>
      <c r="I10" s="714"/>
      <c r="J10" s="714"/>
      <c r="K10" s="714"/>
      <c r="L10" s="692"/>
      <c r="Y10" s="692"/>
      <c r="Z10" s="692"/>
      <c r="AC10" s="102" t="s">
        <v>718</v>
      </c>
      <c r="AE10" s="87" t="s">
        <v>719</v>
      </c>
      <c r="AF10" s="88" t="b">
        <v>1</v>
      </c>
      <c r="AJ10" s="713"/>
      <c r="AL10" s="711"/>
    </row>
    <row r="11" spans="1:40" x14ac:dyDescent="0.2">
      <c r="F11" s="660" t="str" cm="1">
        <f t="array" aca="1" ref="F11" ca="1">IFERROR(INDIRECT(F10),"")</f>
        <v/>
      </c>
      <c r="G11" s="664" t="str" cm="1">
        <f t="array" aca="1" ref="G11" ca="1">IFERROR(TEXT(Import.DataBase,"mm/aaaa"),"")</f>
        <v>06/2025</v>
      </c>
      <c r="H11" s="103"/>
      <c r="L11" s="692"/>
      <c r="Y11" s="692"/>
      <c r="Z11" s="692"/>
      <c r="AC11" s="104" t="str">
        <f ca="1">IF(COUNTIFS($L$15:$L$55,"F",$AC$15:$AC$55,"&lt;&gt;"&amp;" ",$AC$15:$AC$55,"&lt;&gt;"&amp;"JUSTIFICAR BDI")&gt;0,"NÃO OK","OK")</f>
        <v>NÃO OK</v>
      </c>
      <c r="AE11" s="87" t="s">
        <v>720</v>
      </c>
      <c r="AF11" s="88" t="b">
        <v>1</v>
      </c>
      <c r="AJ11" s="713"/>
      <c r="AL11" s="711"/>
    </row>
    <row r="12" spans="1:40" ht="20.100000000000001" customHeight="1" x14ac:dyDescent="0.2">
      <c r="G12" s="84"/>
      <c r="H12" s="84"/>
      <c r="L12" s="692"/>
      <c r="O12" s="596" t="str" cm="1">
        <f t="array" aca="1" ref="O12" ca="1">IF(AND(Import.TipoArredondamento="TransfereGOV",COUNTIF($AF$7:$AF$11,TRUE)&lt;&gt;5),"Para contratos que tramitam no Transferegov todos os valores devem ser arredondados para duas casas decimais",
 IF(AND($F$11&lt;&gt;"",$G$11&lt;&gt;"",$F$11&lt;&gt;$G$11),"O arquivo "&amp;MID($F$10,2,SEARCH("]",$F$10)-1)&amp;" está com a data base errada ("&amp;F11&amp;"). Corrija a data base antes de continuar.",
IF(COUNTIF($AC$15:$AC$55,"FONTE")&gt;0,"Falta preencher a Fonte (coluna P) na Linha "&amp;(14+MATCH("FONTE",$AC$15:$AC$55,0)),
 IF(COUNTIF($AC$15:$AC$55,"CÓDIGO")&gt;0,"Falta preencher o Código (coluna Q) na Linha "&amp;(14+MATCH("CÓDIGO",$AC$15:$AC$55,0)),
 IF(COUNTIF($AC$15:$AC$55,"CÓDIGO N/ID")&gt;0,"Código (coluna Q) não identificado na Linha "&amp;(14+MATCH("CÓDIGO N/ID",$AC$15:$AC$55,0))&amp;". Verifique se o código está correto ou busque outro código",
 IF(COUNTIF($AC$15:$AC$55,"DESCRIÇÃO")&gt;0,"Falta preencher a Descrição (coluna R) na Linha "&amp;(14+MATCH("DESCRIÇÃO",$AC$15:$AC$55,0)),
 IF(COUNTIF($AC$15:$AC$55,"UNIDADE")&gt;0,"Falta preencher a Unidade (coluna S) na Linha "&amp;(14+MATCH("UNIDADE",$AC$15:$AC$55,0)),
 IF(COUNTIF($AC$15:$AC$55,"SEM CUSTO")&gt;0,"Falta preencher o Custo Unitário (coluna U) na Linha "&amp;(14+MATCH("SEM CUSTO",$AC$15:$AC$55,0)),
 IF(COUNTIF($AC$15:$AC$55,"SEM PREÇO")&gt;0,"Falta preencher o Preço Unitário licitado (coluna AL) na Linha "&amp;(14+MATCH("SEM CUSTO",$AC$15:$AC$55,0)),
 IF(COUNTIF($AC$15:$AC$55,"BDI")&gt;0,"Falta definir o BDI (coluna V) na Linha "&amp;(14+MATCH("BDI",$AC$15:$AC$55,0)),
 IF(COUNTIF($AC$15:$AC$55,"ACIMA REF.")&gt;0,
         IF(TIPOORCAMENTO="Proposto","O custo unitário (coluna U) na Linha "&amp;(14+MATCH("ACIMA REF.",$AC$15:$AC$55,0))&amp;" está acima do custo referencial (coluna AG)",
            "O preço unitário licitado (coluna AL) na Linha "&amp;(14+MATCH("ACIMA REF.",$AC$15:$AC$55,0))&amp;" está acima do preço referencial do edital (coluna AN)"),
 IF(COUNTIF($AC$15:$AC$55,"QUANT.")&gt;0,"Falta a Quantidade do serviço na Linha "&amp;(14+MATCH("QUANT.",$AC$15:$AC$55,0))&amp;IF(ACOMPANHAMENTO="PLE",". Preencher na aba CÁLCULO",". Preencher na coluna AJ"),
 IF(COUNTIF($AC$15:$AC$55,"Código &gt;13")&gt;0,"O tamanho do código do serviço no TransfereGOV é limitado a 13 caracteres. Resuma o código (coluna Q) na Linha "&amp;(14+MATCH("Código &gt;13",$AC$15:$AC$55,0)),
 IF(COUNTIF($AC$15:$AC$55,"Descrição &gt;100")&gt;0,"O tamanho da descrição de macrosserviço no TransfereGOV é limitado a 100 caracteres. Resuma a descrição (coluna R) na Linha "&amp;(14+MATCH("Descrição &gt;100",$AC$15:$AC$55,0)),
 IF(COUNTIF($AC$15:$AC$55,"Descrição &gt;500")&gt;0,"O tamanho da descrição de serviço no TransfereGOV é limitado a 500 caracteres. Resuma a descrição (coluna R) na Linha "&amp;(14+MATCH("Descrição &gt;500",$AC$15:$AC$55,0)),
 IF(COUNTIF($AC$15:$AC$55,"Unid. Não Disp")&gt;0,"Unidade não disponível na lista do TransfereGOV. Reveja a unidade (coluna S) na Linha "&amp;(14+MATCH("Unid. Não Disp",$AC$15:$AC$55,0)),
 IF(AND(TIPOORCAMENTO="Proposto",LEFT($O$8,5)="(N/D:"),"Abra o arquivo Referência "&amp;Excel_BuiltIn_Database&amp;".xlsm","")))))))))))))))))</f>
        <v>Unidade não disponível na lista do TransfereGOV. Reveja a unidade (coluna S) na Linha 23</v>
      </c>
      <c r="Y12" s="692"/>
      <c r="Z12" s="692"/>
      <c r="AA12" s="712" t="s">
        <v>721</v>
      </c>
      <c r="AB12" s="712"/>
      <c r="AJ12" s="105" t="s">
        <v>660</v>
      </c>
      <c r="AL12" s="457" t="s">
        <v>660</v>
      </c>
    </row>
    <row r="13" spans="1:40" ht="35.1" customHeight="1" x14ac:dyDescent="0.2">
      <c r="A13" s="106" t="s">
        <v>722</v>
      </c>
      <c r="B13" s="106" t="s">
        <v>723</v>
      </c>
      <c r="C13" s="106" t="s">
        <v>724</v>
      </c>
      <c r="D13" s="106" t="s">
        <v>725</v>
      </c>
      <c r="E13" s="106" t="s">
        <v>726</v>
      </c>
      <c r="F13" s="106" t="s">
        <v>727</v>
      </c>
      <c r="G13" s="106" t="s">
        <v>728</v>
      </c>
      <c r="H13" s="106" t="s">
        <v>729</v>
      </c>
      <c r="I13" s="106" t="s">
        <v>730</v>
      </c>
      <c r="J13" s="106" t="s">
        <v>731</v>
      </c>
      <c r="K13" s="106" t="s">
        <v>732</v>
      </c>
      <c r="L13" s="105" t="s">
        <v>660</v>
      </c>
      <c r="M13" s="106" t="s">
        <v>733</v>
      </c>
      <c r="N13" s="107" t="s">
        <v>734</v>
      </c>
      <c r="O13" s="106" t="s">
        <v>735</v>
      </c>
      <c r="P13" s="106" t="s">
        <v>736</v>
      </c>
      <c r="Q13" s="106" t="s">
        <v>737</v>
      </c>
      <c r="R13" s="106" t="s">
        <v>118</v>
      </c>
      <c r="S13" s="108" t="s">
        <v>738</v>
      </c>
      <c r="T13" s="106" t="s">
        <v>712</v>
      </c>
      <c r="U13" s="106" t="str" cm="1">
        <f t="array" ref="U13">IF(TIPOORCAMENTO="Licitado","","Custo Unitário (sem BDI) (R$)")</f>
        <v>Custo Unitário (sem BDI) (R$)</v>
      </c>
      <c r="V13" s="106" t="str" cm="1">
        <f t="array" ref="V13">IF(TIPOORCAMENTO="Licitado","","BDI
(%)")</f>
        <v>BDI
(%)</v>
      </c>
      <c r="W13" s="106" t="s">
        <v>739</v>
      </c>
      <c r="X13" s="106" t="s">
        <v>740</v>
      </c>
      <c r="Y13" s="105" t="s">
        <v>660</v>
      </c>
      <c r="Z13" s="105" t="s">
        <v>660</v>
      </c>
      <c r="AA13" s="109" t="s">
        <v>741</v>
      </c>
      <c r="AB13" s="110" t="s">
        <v>742</v>
      </c>
      <c r="AC13" s="106" t="s">
        <v>743</v>
      </c>
      <c r="AD13" s="111" t="s">
        <v>744</v>
      </c>
      <c r="AE13" s="111" t="s">
        <v>745</v>
      </c>
      <c r="AF13" s="111" t="s">
        <v>746</v>
      </c>
      <c r="AG13" s="158" t="s">
        <v>747</v>
      </c>
      <c r="AH13" s="426" t="str" cm="1">
        <f t="array" ref="AH13">IF(TIPOORCAMENTO="LICITADO","Valor BDI Edital","Valor BDI")</f>
        <v>Valor BDI</v>
      </c>
      <c r="AJ13" s="291" t="s">
        <v>712</v>
      </c>
      <c r="AL13" s="291" t="s">
        <v>739</v>
      </c>
      <c r="AM13" s="158" t="s">
        <v>748</v>
      </c>
      <c r="AN13" s="159" t="s">
        <v>749</v>
      </c>
    </row>
    <row r="14" spans="1:40" hidden="1" x14ac:dyDescent="0.2">
      <c r="A14" t="str">
        <f>CHOOSE(1+LOG(1+2*(ORÇAMENTO.Nivel="Meta")+4*(ORÇAMENTO.Nivel="Nível 2")+8*(ORÇAMENTO.Nivel="Nível 3")+16*(ORÇAMENTO.Nivel="Nível 4")+32*(ORÇAMENTO.Nivel="Serviço"),2),0,1,2,3,4,"S")</f>
        <v>S</v>
      </c>
      <c r="B14" t="str">
        <f ca="1">IF(OR(C14="s",C14=0),OFFSET(B14,-1,0),C14)</f>
        <v>Save Nivel</v>
      </c>
      <c r="C14" t="str">
        <f ca="1">IF(OFFSET(C14,-1,0)="L",1,IF(OFFSET(C14,-1,0)=1,2,IF(OR(A14="s",A14=0),"S",IF(AND(OFFSET(C14,-1,0)=2,A14=4),3,IF(AND(OR(OFFSET(C14,-1,0)="s",OFFSET(C14,-1,0)=0),A14&lt;&gt;"s",A14&gt;OFFSET(B14,-1,0)),OFFSET(B14,-1,0),A14)))))</f>
        <v>S</v>
      </c>
      <c r="D14">
        <f ca="1">IF(OR(C14="S",C14=0),0,IF(ISERROR(K14),J14,SMALL(J14:K14,1)))</f>
        <v>0</v>
      </c>
      <c r="E14" t="str">
        <f ca="1">IF($C14=1,OFFSET(E14,-1,0)+MAX(1,COUNTIF(QCI!$A$13:$A$24,OFFSET(ORÇAMENTO!E14,-1,0))),OFFSET(E14,-1,0))</f>
        <v>n1</v>
      </c>
      <c r="F14" t="str">
        <f ca="1">IF($C14=1,0,IF($C14=2,OFFSET(F14,-1,0)+1,OFFSET(F14,-1,0)))</f>
        <v>n2</v>
      </c>
      <c r="G14" t="str">
        <f ca="1">IF(AND($C14&lt;=2,$C14&lt;&gt;0),0,IF($C14=3,OFFSET(G14,-1,0)+1,OFFSET(G14,-1,0)))</f>
        <v>n3</v>
      </c>
      <c r="H14" t="str">
        <f ca="1">IF(AND($C14&lt;=3,$C14&lt;&gt;0),0,IF($C14=4,OFFSET(H14,-1,0)+1,OFFSET(H14,-1,0)))</f>
        <v>n4</v>
      </c>
      <c r="I14" t="str">
        <f ca="1">IF(AND($C14&lt;=4,$C14&lt;&gt;0),0,IF(AND($C14="S",$X14&gt;0),OFFSET(I14,-1,0)+1,OFFSET(I14,-1,0)))</f>
        <v>n5</v>
      </c>
      <c r="J14">
        <f ca="1">IF(OR($C14="S",$C14=0),0,MATCH(0,OFFSET($D14,1,$C14,ROW($C$55)-ROW($C14)),0))</f>
        <v>0</v>
      </c>
      <c r="K14">
        <f ca="1">IF(OR($C14="S",$C14=0),0,MATCH(OFFSET($D14,0,$C14)+IF($C14&lt;&gt;1,1,COUNTIF(QCI!$A$13:$A$24,ORÇAMENTO!E14)),OFFSET($D14,1,$C14,ROW($C$55)-ROW($C14)),0))</f>
        <v>0</v>
      </c>
      <c r="L14" s="113" t="str">
        <f ca="1">IF(OR($X14&gt;0,$C14=1,$C14=2,$C14=3,$C14=4),"F","")</f>
        <v/>
      </c>
      <c r="M14" s="114" t="s">
        <v>705</v>
      </c>
      <c r="N14" s="115" t="str">
        <f ca="1">CHOOSE(1+LOG(1+2*(C14=1)+4*(C14=2)+8*(C14=3)+16*(C14=4)+32*(C14="S"),2),"","Meta","Nível 2","Nível 3","Nível 4","Serviço")</f>
        <v>Serviço</v>
      </c>
      <c r="O14" s="116" t="str">
        <f ca="1">IF(OR($C14=0,$L14=""),"-",CONCATENATE(E14&amp;".",IF(AND($A$5&gt;=2,$C14&gt;=2),F14&amp;".",""),IF(AND($A$5&gt;=3,$C14&gt;=3),G14&amp;".",""),IF(AND($A$5&gt;=4,$C14&gt;=4),H14&amp;".",""),IF($C14="S",I14&amp;".","")))</f>
        <v>-</v>
      </c>
      <c r="P14" s="117" t="s">
        <v>750</v>
      </c>
      <c r="Q14" s="118"/>
      <c r="R14" s="119" t="str" cm="1">
        <f t="array" aca="1" ref="R14" ca="1">IF($C14="S",REFERENCIA.Descricao,"(digite a descrição aqui)")</f>
        <v>(Sem Código)</v>
      </c>
      <c r="S14" s="120" t="str" cm="1">
        <f t="array" aca="1" ref="S14" ca="1">REFERENCIA.Unidade</f>
        <v>-</v>
      </c>
      <c r="T14" s="121">
        <f ca="1">OFFSET(CÁLCULO!H$15,ROW($T14)-ROW(T$15),0)</f>
        <v>0</v>
      </c>
      <c r="U14" s="122"/>
      <c r="V14" s="123" t="s">
        <v>663</v>
      </c>
      <c r="W14" s="121" cm="1">
        <f t="array" aca="1" ref="W14" ca="1">IF($C14="S",ROUND(IF(TIPOORCAMENTO="Proposto",ORÇAMENTO.CustoUnitario*(1+$AH14),ORÇAMENTO.PrecoUnitarioLicitado),15-13*$AF$10),0)</f>
        <v>0</v>
      </c>
      <c r="X14" s="124" cm="1">
        <f t="array" aca="1" ref="X14" ca="1">IF($C14="S",IF(OR(Import.TipoArredondamento&lt;&gt;"TransfereGOV",ACOMPANHAMENTO="BM"),VTOTAL1,SUM(OFFSET(CÁLCULO!$AA$15,ROW($X14)-ROW($X$15),1):OFFSET(CÁLCULO!$AL$15,ROW($X14)-ROW($X$15),-1))),IF($C14=0,0,ROUND(SomaAgrup,15-13*$AF$11)))</f>
        <v>0</v>
      </c>
      <c r="Y14" s="125" t="s">
        <v>751</v>
      </c>
      <c r="Z14" t="str">
        <f ca="1">IF(AND($C14="S",$X14&gt;0),IF(ISBLANK($Y14),"RA",LEFT($Y14,2)),"")</f>
        <v/>
      </c>
      <c r="AA14" s="126" cm="1">
        <f t="array" aca="1" ref="AA14" ca="1">IF($C14="S",IF($Z14="CP",$X14,IF($Z14="RA",(($X14)*QCI!$AA$3),0)),SomaAgrup)</f>
        <v>0</v>
      </c>
      <c r="AB14" s="127" cm="1">
        <f t="array" aca="1" ref="AB14" ca="1">IF($C14="S",IF($Z14="OU",ROUND($X14,2),0),SomaAgrup)</f>
        <v>0</v>
      </c>
      <c r="AC14" s="564" t="str" cm="1">
        <f t="array" aca="1" ref="AC14" ca="1">IF($N14=""," ",
IF(AND($C14&lt;&gt;"S",OR($R14="",$R14="(digite a descrição aqui)")),"DESCRIÇÃO",
IF(AND($C14="S",OR($Q14&lt;&gt;"",$T14&gt;0,$U14&gt;0),$P14=""),"FONTE",
IF(AND($C14="S",$P14&lt;&gt;"",OR($T14&gt;0,$U14&gt;0),$Q14=""),"CÓDIGO",
IF(AND($C14="S",$P14&lt;&gt;"",$Q14&lt;&gt;"",$R14="(Código não identificado nas referências)"),"CÓDIGO N/ID",
IF(AND($C14="S",OR($R14="",$R14="(digite a descrição aqui)"),OR($Q14&lt;&gt;"",$T14&gt;0,$U14&gt;0)),"DESCRIÇÃO",
IF(AND($C14="S",$P14&lt;&gt;"",$Q14&lt;&gt;"",$S14=""),"UNIDADE",
IF(AND($C14="S",$P14&lt;&gt;"",$Q14&lt;&gt;"",$U14=0),"SEM CUSTO",
IF(AND(TIPOORCAMENTO="Licitado",$AL14=0,$AN14&gt;0),"SEM PREÇO",
IF(AND($C14="S",$P14&lt;&gt;"",$Q14&lt;&gt;"",$U14&gt;0,AND($V14&lt;&gt;"BDI 1",$V14&lt;&gt;"BDI 2",$V14&lt;&gt;"BDI 3")),IF(ISNUMBER($V14),"JUSTIFICAR BDI","BDI"),
IF(OR(AND(import.recurso="OGU",TIPOORCAMENTO="Proposto",LEFT($O$8,5)&lt;&gt;"(N/D:",$AG14&lt;&gt;"",ORÇAMENTO.CustoUnitario&gt;$AG14),AND(TIPOORCAMENTO="LICITADO",ORÇAMENTO.PrecoUnitarioLicitado&gt;$AN14)),"ACIMA REF.",
IF(AND($C14="S",$P14&lt;&gt;"",$Q14&lt;&gt;"",$T14=0,$U14&gt;0),"QUANT.",
IF(AND(Import.TipoArredondamento="TransfereGOV",$L14="F",$C14="S",LEN($Q14)&gt;13),"Código &gt;13",
IF(AND(Import.TipoArredondamento="TransfereGOV",$L14="F",$C14&lt;&gt;"S",LEN($R14)&gt;100),"Descrição &gt;100",
IF(AND(Import.TipoArredondamento="TransfereGOV",$L14="F",$C14="S",LEN($R14)&gt;500),"Descrição &gt;500",
IF(AND(Import.TipoArredondamento="TransfereGOV",$L14="F",$C14="S",LEFT(TRIM(UPPER($P14)),6)&lt;&gt;"SINAPI",ISNA(VLOOKUP(TRIM(UPPER($S14)),ListaTgov.Unidades,1,FALSE))),"Unid. Não Disp",
" "))))))))))))))))</f>
        <v xml:space="preserve"> </v>
      </c>
      <c r="AD14" t="str">
        <f ca="1">IF(C14&lt;=CRONO.NivelExibicao,MAX($AD$15:OFFSET(AD14,-1,0))+IF($C14&lt;&gt;1,1,MAX(1,COUNTIF(QCI!$A$13:$A$24,OFFSET($E14,-1,0)))),"")</f>
        <v/>
      </c>
      <c r="AE14" s="7" t="b" cm="1">
        <f t="array" aca="1" ref="AE14" ca="1">IF(AND($C14="S",ORÇAMENTO.CodBarra&lt;&gt;""),IF(ORÇAMENTO.Fonte="",ORÇAMENTO.CodBarra,CONCATENATE(ORÇAMENTO.Fonte," ",ORÇAMENTO.CodBarra)))</f>
        <v>0</v>
      </c>
      <c r="AF14" s="12" t="str" cm="1">
        <f t="array" aca="1" ref="AF14" ca="1">IF(ISERROR(ORÇAMENTO.BancoRef),"(abra o arquivo 'Referência "&amp;Excel_BuiltIn_Database&amp;".xlsm)",IF(OR($C14&lt;&gt;"S",ORÇAMENTO.CodBarra=""),"(Sem Código)",IF(ISERROR(MATCH($AE14,INDIRECT(ORÇAMENTO.BancoRef),0)),"(Código não identificado nas referências)",MATCH($AE14,INDIRECT(ORÇAMENTO.BancoRef),0))))</f>
        <v>(Sem Código)</v>
      </c>
      <c r="AG14" s="427" cm="1">
        <f t="array" aca="1" ref="AG14" ca="1">ROUND(IF(DESONERACAO="sim",REFERENCIA.Desonerado,REFERENCIA.NaoDesonerado),2)</f>
        <v>0</v>
      </c>
      <c r="AH14" s="428">
        <f ca="1">ROUND(IF(ISNUMBER(ORÇAMENTO.OpcaoBDI),ORÇAMENTO.OpcaoBDI,IF(LEFT(ORÇAMENTO.OpcaoBDI,3)="BDI",HLOOKUP(ORÇAMENTO.OpcaoBDI,$F$4:$H$5,2,FALSE),0)),15-11*$AF$9)</f>
        <v>3.09E-2</v>
      </c>
      <c r="AJ14" s="430"/>
      <c r="AL14" s="438"/>
      <c r="AM14" s="335">
        <f t="shared" ref="AM14:AM54" ca="1" si="0">$X14</f>
        <v>0</v>
      </c>
      <c r="AN14" s="469" cm="1">
        <f t="array" aca="1" ref="AN14" ca="1">ROUND(ORÇAMENTO.CustoUnitario*(1+$AH14),2)</f>
        <v>0</v>
      </c>
    </row>
    <row r="15" spans="1:40" ht="12.75" customHeight="1" x14ac:dyDescent="0.2">
      <c r="A15">
        <v>0</v>
      </c>
      <c r="C15" t="s">
        <v>654</v>
      </c>
      <c r="D15">
        <f ca="1">COUNTA(OFFSET(D15,1,0):D$55)</f>
        <v>39</v>
      </c>
      <c r="E15">
        <v>0</v>
      </c>
      <c r="L15" s="113" t="s">
        <v>536</v>
      </c>
      <c r="M15" s="129" t="str" cm="1">
        <f t="array" ref="M15">IF(TIPOORCAMENTO="LICITADO","CTEF","LOTE")</f>
        <v>LOTE</v>
      </c>
      <c r="N15" s="129" t="str" cm="1">
        <f t="array" ref="N15">IF(TIPOORCAMENTO="LICITADO","CTEF","LOTE")</f>
        <v>LOTE</v>
      </c>
      <c r="O15" s="717" t="str">
        <f>Import.DescLote</f>
        <v>Infraestrutura</v>
      </c>
      <c r="P15" s="718"/>
      <c r="Q15" s="718"/>
      <c r="R15" s="718"/>
      <c r="S15" s="612"/>
      <c r="T15" s="613"/>
      <c r="U15" s="613"/>
      <c r="V15" s="614"/>
      <c r="W15" s="613"/>
      <c r="X15" s="130">
        <f ca="1">SUMIF(OFFSET($C15,1,0,ROW(X55)-ROW(X15)-1),"S",OFFSET(X15,1,0,ROW(X55)-ROW(X15)-1))</f>
        <v>1064163.8399999999</v>
      </c>
      <c r="Y15" s="7"/>
      <c r="Z15" t="str">
        <f ca="1">IF(AND($C15="S",$X15&gt;0),LEFT($Y15,2),"")</f>
        <v/>
      </c>
      <c r="AA15" s="425">
        <f ca="1">SUMIF(OFFSET($C15,1,0,ROW(AA55)-ROW(AA15)-1),"S",OFFSET(AA15,1,0,ROW(AA55)-ROW(AA15)-1))</f>
        <v>2999.9999999999995</v>
      </c>
      <c r="AB15" s="131">
        <f ca="1">SUMIF(OFFSET($C15,1,0,ROW(AB55)-ROW(AB15)-1),"S",OFFSET(AB15,1,0,ROW(AB55)-ROW(AB15)-1))</f>
        <v>0</v>
      </c>
      <c r="AC15" s="564" t="s">
        <v>752</v>
      </c>
      <c r="AG15" s="440"/>
      <c r="AH15" s="441"/>
      <c r="AJ15" s="429"/>
      <c r="AL15" s="439"/>
      <c r="AM15" s="470">
        <f t="shared" ca="1" si="0"/>
        <v>1064163.8399999999</v>
      </c>
      <c r="AN15" s="471"/>
    </row>
    <row r="16" spans="1:40" x14ac:dyDescent="0.2">
      <c r="A16">
        <f t="shared" ref="A16:A54" si="1">CHOOSE(1+LOG(1+2*(ORÇAMENTO.Nivel="Meta")+4*(ORÇAMENTO.Nivel="Nível 2")+8*(ORÇAMENTO.Nivel="Nível 3")+16*(ORÇAMENTO.Nivel="Nível 4")+32*(ORÇAMENTO.Nivel="Serviço"),2),0,1,2,3,4,"S")</f>
        <v>1</v>
      </c>
      <c r="B16">
        <f t="shared" ref="B16:B54" ca="1" si="2">IF(OR(C16="s",C16=0),OFFSET(B16,-1,0),C16)</f>
        <v>1</v>
      </c>
      <c r="C16">
        <f t="shared" ref="C16:C54" ca="1" si="3">IF(OFFSET(C16,-1,0)="L",1,IF(OFFSET(C16,-1,0)=1,2,IF(OR(A16="s",A16=0),"S",IF(AND(OFFSET(C16,-1,0)=2,A16=4),3,IF(AND(OR(OFFSET(C16,-1,0)="s",OFFSET(C16,-1,0)=0),A16&lt;&gt;"s",A16&gt;OFFSET(B16,-1,0)),OFFSET(B16,-1,0),A16)))))</f>
        <v>1</v>
      </c>
      <c r="D16">
        <f t="shared" ref="D16:D54" ca="1" si="4">IF(OR(C16="S",C16=0),0,IF(ISERROR(K16),J16,SMALL(J16:K16,1)))</f>
        <v>39</v>
      </c>
      <c r="E16">
        <f ca="1">IF($C16=1,OFFSET(E16,-1,0)+MAX(1,COUNTIF(QCI!$A$13:$A$24,OFFSET(ORÇAMENTO!E16,-1,0))),OFFSET(E16,-1,0))</f>
        <v>1</v>
      </c>
      <c r="F16">
        <f t="shared" ref="F16:F54" ca="1" si="5">IF($C16=1,0,IF($C16=2,OFFSET(F16,-1,0)+1,OFFSET(F16,-1,0)))</f>
        <v>0</v>
      </c>
      <c r="G16">
        <f t="shared" ref="G16:G54" ca="1" si="6">IF(AND($C16&lt;=2,$C16&lt;&gt;0),0,IF($C16=3,OFFSET(G16,-1,0)+1,OFFSET(G16,-1,0)))</f>
        <v>0</v>
      </c>
      <c r="H16">
        <f t="shared" ref="H16:H54" ca="1" si="7">IF(AND($C16&lt;=3,$C16&lt;&gt;0),0,IF($C16=4,OFFSET(H16,-1,0)+1,OFFSET(H16,-1,0)))</f>
        <v>0</v>
      </c>
      <c r="I16">
        <f t="shared" ref="I16:I54" ca="1" si="8">IF(AND($C16&lt;=4,$C16&lt;&gt;0),0,IF(AND($C16="S",$X16&gt;0),OFFSET(I16,-1,0)+1,OFFSET(I16,-1,0)))</f>
        <v>0</v>
      </c>
      <c r="J16">
        <f t="shared" ref="J16:J54" ca="1" si="9">IF(OR($C16="S",$C16=0),0,MATCH(0,OFFSET($D16,1,$C16,ROW($C$55)-ROW($C16)),0))</f>
        <v>39</v>
      </c>
      <c r="K16" t="e">
        <f ca="1">IF(OR($C16="S",$C16=0),0,MATCH(OFFSET($D16,0,$C16)+IF($C16&lt;&gt;1,1,COUNTIF(QCI!$A$13:$A$24,ORÇAMENTO!E16)),OFFSET($D16,1,$C16,ROW($C$55)-ROW($C16)),0))</f>
        <v>#N/A</v>
      </c>
      <c r="L16" s="113" t="str">
        <f t="shared" ref="L16:L54" ca="1" si="10">IF(OR($X16&gt;0,$C16=1,$C16=2,$C16=3,$C16=4),"F","")</f>
        <v>F</v>
      </c>
      <c r="M16" s="114" t="s">
        <v>701</v>
      </c>
      <c r="N16" s="115" t="str">
        <f t="shared" ref="N16:N54" ca="1" si="11">CHOOSE(1+LOG(1+2*(C16=1)+4*(C16=2)+8*(C16=3)+16*(C16=4)+32*(C16="S"),2),"","Meta","Nível 2","Nível 3","Nível 4","Serviço")</f>
        <v>Meta</v>
      </c>
      <c r="O16" s="116" t="str">
        <f t="shared" ref="O16:O54" ca="1" si="12">IF(OR($C16=0,$L16=""),"-",CONCATENATE(E16&amp;".",IF(AND($A$5&gt;=2,$C16&gt;=2),F16&amp;".",""),IF(AND($A$5&gt;=3,$C16&gt;=3),G16&amp;".",""),IF(AND($A$5&gt;=4,$C16&gt;=4),H16&amp;".",""),IF($C16="S",I16&amp;".","")))</f>
        <v>1.</v>
      </c>
      <c r="P16" s="117" t="s">
        <v>750</v>
      </c>
      <c r="Q16" s="118"/>
      <c r="R16" s="119" t="s">
        <v>1079</v>
      </c>
      <c r="S16" s="120" t="str" cm="1">
        <f t="array" aca="1" ref="S16" ca="1">REFERENCIA.Unidade</f>
        <v>-</v>
      </c>
      <c r="T16" s="121">
        <f ca="1">OFFSET(CÁLCULO!H$15,ROW($T16)-ROW(T$15),0)</f>
        <v>0</v>
      </c>
      <c r="U16" s="122"/>
      <c r="V16" s="123" t="s">
        <v>663</v>
      </c>
      <c r="W16" s="121" cm="1">
        <f t="array" aca="1" ref="W16" ca="1">IF($C16="S",ROUND(IF(TIPOORCAMENTO="Proposto",ORÇAMENTO.CustoUnitario*(1+$AH16),ORÇAMENTO.PrecoUnitarioLicitado),15-13*$AF$10),0)</f>
        <v>0</v>
      </c>
      <c r="X16" s="124" cm="1">
        <f t="array" aca="1" ref="X16" ca="1">IF($C16="S",IF(OR(Import.TipoArredondamento&lt;&gt;"TransfereGOV",ACOMPANHAMENTO="BM"),VTOTAL1,SUM(OFFSET(CÁLCULO!$AA$15,ROW($X16)-ROW($X$15),1):OFFSET(CÁLCULO!$AL$15,ROW($X16)-ROW($X$15),-1))),IF($C16=0,0,ROUND(SomaAgrup,15-13*$AF$11)))</f>
        <v>1064163.8400000001</v>
      </c>
      <c r="Y16" s="125" t="s">
        <v>751</v>
      </c>
      <c r="Z16" t="str">
        <f t="shared" ref="Z16:Z54" ca="1" si="13">IF(AND($C16="S",$X16&gt;0),IF(ISBLANK($Y16),"RA",LEFT($Y16,2)),"")</f>
        <v/>
      </c>
      <c r="AA16" s="126" cm="1">
        <f t="array" aca="1" ref="AA16" ca="1">IF($C16="S",IF($Z16="CP",$X16,IF($Z16="RA",(($X16)*QCI!$AA$3),0)),SomaAgrup)</f>
        <v>2999.9999999999995</v>
      </c>
      <c r="AB16" s="127" cm="1">
        <f t="array" aca="1" ref="AB16" ca="1">IF($C16="S",IF($Z16="OU",ROUND($X16,2),0),SomaAgrup)</f>
        <v>0</v>
      </c>
      <c r="AC16" s="564" t="str" cm="1">
        <f t="array" aca="1" ref="AC16" ca="1">IF($N16=""," ",
IF(AND($C16&lt;&gt;"S",OR($R16="",$R16="(digite a descrição aqui)")),"DESCRIÇÃO",
IF(AND($C16="S",OR($Q16&lt;&gt;"",$T16&gt;0,$U16&gt;0),$P16=""),"FONTE",
IF(AND($C16="S",$P16&lt;&gt;"",OR($T16&gt;0,$U16&gt;0),$Q16=""),"CÓDIGO",
IF(AND($C16="S",$P16&lt;&gt;"",$Q16&lt;&gt;"",$R16="(Código não identificado nas referências)"),"CÓDIGO N/ID",
IF(AND($C16="S",OR($R16="",$R16="(digite a descrição aqui)"),OR($Q16&lt;&gt;"",$T16&gt;0,$U16&gt;0)),"DESCRIÇÃO",
IF(AND($C16="S",$P16&lt;&gt;"",$Q16&lt;&gt;"",$S16=""),"UNIDADE",
IF(AND($C16="S",$P16&lt;&gt;"",$Q16&lt;&gt;"",$U16=0),"SEM CUSTO",
IF(AND(TIPOORCAMENTO="Licitado",$AL16=0,$AN16&gt;0),"SEM PREÇO",
IF(AND($C16="S",$P16&lt;&gt;"",$Q16&lt;&gt;"",$U16&gt;0,AND($V16&lt;&gt;"BDI 1",$V16&lt;&gt;"BDI 2",$V16&lt;&gt;"BDI 3")),IF(ISNUMBER($V16),"JUSTIFICAR BDI","BDI"),
IF(OR(AND(import.recurso="OGU",TIPOORCAMENTO="Proposto",LEFT($O$8,5)&lt;&gt;"(N/D:",$AG16&lt;&gt;"",ORÇAMENTO.CustoUnitario&gt;$AG16),AND(TIPOORCAMENTO="LICITADO",ORÇAMENTO.PrecoUnitarioLicitado&gt;$AN16)),"ACIMA REF.",
IF(AND($C16="S",$P16&lt;&gt;"",$Q16&lt;&gt;"",$T16=0,$U16&gt;0),"QUANT.",
IF(AND(Import.TipoArredondamento="TransfereGOV",$L16="F",$C16="S",LEN($Q16)&gt;13),"Código &gt;13",
IF(AND(Import.TipoArredondamento="TransfereGOV",$L16="F",$C16&lt;&gt;"S",LEN($R16)&gt;100),"Descrição &gt;100",
IF(AND(Import.TipoArredondamento="TransfereGOV",$L16="F",$C16="S",LEN($R16)&gt;500),"Descrição &gt;500",
IF(AND(Import.TipoArredondamento="TransfereGOV",$L16="F",$C16="S",LEFT(TRIM(UPPER($P16)),6)&lt;&gt;"SINAPI",ISNA(VLOOKUP(TRIM(UPPER($S16)),ListaTgov.Unidades,1,FALSE))),"Unid. Não Disp",
" "))))))))))))))))</f>
        <v xml:space="preserve"> </v>
      </c>
      <c r="AD16">
        <f ca="1">IF(C16&lt;=CRONO.NivelExibicao,MAX($AD$15:OFFSET(AD16,-1,0))+IF($C16&lt;&gt;1,1,MAX(1,COUNTIF(QCI!$A$13:$A$24,OFFSET($E16,-1,0)))),"")</f>
        <v>1</v>
      </c>
      <c r="AE16" s="7" t="b" cm="1">
        <f t="array" aca="1" ref="AE16" ca="1">IF(AND($C16="S",ORÇAMENTO.CodBarra&lt;&gt;""),IF(ORÇAMENTO.Fonte="",ORÇAMENTO.CodBarra,CONCATENATE(ORÇAMENTO.Fonte," ",ORÇAMENTO.CodBarra)))</f>
        <v>0</v>
      </c>
      <c r="AF16" s="12" t="str" cm="1">
        <f t="array" aca="1" ref="AF16" ca="1">IF(ISERROR(ORÇAMENTO.BancoRef),"(abra o arquivo 'Referência "&amp;Excel_BuiltIn_Database&amp;".xlsm)",IF(OR($C16&lt;&gt;"S",ORÇAMENTO.CodBarra=""),"(Sem Código)",IF(ISERROR(MATCH($AE16,INDIRECT(ORÇAMENTO.BancoRef),0)),"(Código não identificado nas referências)",MATCH($AE16,INDIRECT(ORÇAMENTO.BancoRef),0))))</f>
        <v>(Sem Código)</v>
      </c>
      <c r="AG16" s="427" cm="1">
        <f t="array" aca="1" ref="AG16" ca="1">ROUND(IF(DESONERACAO="sim",REFERENCIA.Desonerado,REFERENCIA.NaoDesonerado),2)</f>
        <v>0</v>
      </c>
      <c r="AH16" s="428">
        <f t="shared" ref="AH16:AH54" ca="1" si="14">ROUND(IF(ISNUMBER(ORÇAMENTO.OpcaoBDI),ORÇAMENTO.OpcaoBDI,IF(LEFT(ORÇAMENTO.OpcaoBDI,3)="BDI",HLOOKUP(ORÇAMENTO.OpcaoBDI,$F$4:$H$5,2,FALSE),0)),15-11*$AF$9)</f>
        <v>3.09E-2</v>
      </c>
      <c r="AJ16" s="430"/>
      <c r="AL16" s="438"/>
      <c r="AM16" s="335">
        <f t="shared" ca="1" si="0"/>
        <v>1064163.8400000001</v>
      </c>
      <c r="AN16" s="469" cm="1">
        <f t="array" aca="1" ref="AN16" ca="1">ROUND(ORÇAMENTO.CustoUnitario*(1+$AH16),2)</f>
        <v>0</v>
      </c>
    </row>
    <row r="17" spans="1:40" x14ac:dyDescent="0.2">
      <c r="A17">
        <f t="shared" si="1"/>
        <v>2</v>
      </c>
      <c r="B17">
        <f t="shared" ca="1" si="2"/>
        <v>2</v>
      </c>
      <c r="C17">
        <f t="shared" ca="1" si="3"/>
        <v>2</v>
      </c>
      <c r="D17">
        <f t="shared" ca="1" si="4"/>
        <v>3</v>
      </c>
      <c r="E17">
        <f ca="1">IF($C17=1,OFFSET(E17,-1,0)+MAX(1,COUNTIF(QCI!$A$13:$A$24,OFFSET(ORÇAMENTO!E17,-1,0))),OFFSET(E17,-1,0))</f>
        <v>1</v>
      </c>
      <c r="F17">
        <f t="shared" ca="1" si="5"/>
        <v>1</v>
      </c>
      <c r="G17">
        <f t="shared" ca="1" si="6"/>
        <v>0</v>
      </c>
      <c r="H17">
        <f t="shared" ca="1" si="7"/>
        <v>0</v>
      </c>
      <c r="I17">
        <f t="shared" ca="1" si="8"/>
        <v>0</v>
      </c>
      <c r="J17">
        <f t="shared" ca="1" si="9"/>
        <v>38</v>
      </c>
      <c r="K17">
        <f ca="1">IF(OR($C17="S",$C17=0),0,MATCH(OFFSET($D17,0,$C17)+IF($C17&lt;&gt;1,1,COUNTIF(QCI!$A$13:$A$24,ORÇAMENTO!E17)),OFFSET($D17,1,$C17,ROW($C$55)-ROW($C17)),0))</f>
        <v>3</v>
      </c>
      <c r="L17" s="113" t="str">
        <f t="shared" ca="1" si="10"/>
        <v>F</v>
      </c>
      <c r="M17" s="114" t="s">
        <v>702</v>
      </c>
      <c r="N17" s="115" t="str">
        <f t="shared" ca="1" si="11"/>
        <v>Nível 2</v>
      </c>
      <c r="O17" s="116" t="str">
        <f t="shared" ca="1" si="12"/>
        <v>1.1.</v>
      </c>
      <c r="P17" s="117" t="s">
        <v>750</v>
      </c>
      <c r="Q17" s="118"/>
      <c r="R17" s="119" t="s">
        <v>1016</v>
      </c>
      <c r="S17" s="120" t="str" cm="1">
        <f t="array" aca="1" ref="S17" ca="1">REFERENCIA.Unidade</f>
        <v>-</v>
      </c>
      <c r="T17" s="121">
        <f ca="1">OFFSET(CÁLCULO!H$15,ROW($T17)-ROW(T$15),0)</f>
        <v>0</v>
      </c>
      <c r="U17" s="122"/>
      <c r="V17" s="123" t="s">
        <v>663</v>
      </c>
      <c r="W17" s="121" cm="1">
        <f t="array" aca="1" ref="W17" ca="1">IF($C17="S",ROUND(IF(TIPOORCAMENTO="Proposto",ORÇAMENTO.CustoUnitario*(1+$AH17),ORÇAMENTO.PrecoUnitarioLicitado),15-13*$AF$10),0)</f>
        <v>0</v>
      </c>
      <c r="X17" s="124" cm="1">
        <f t="array" aca="1" ref="X17" ca="1">IF($C17="S",IF(OR(Import.TipoArredondamento&lt;&gt;"TransfereGOV",ACOMPANHAMENTO="BM"),VTOTAL1,SUM(OFFSET(CÁLCULO!$AA$15,ROW($X17)-ROW($X$15),1):OFFSET(CÁLCULO!$AL$15,ROW($X17)-ROW($X$15),-1))),IF($C17=0,0,ROUND(SomaAgrup,15-13*$AF$11)))</f>
        <v>129474.24000000001</v>
      </c>
      <c r="Y17" s="125" t="s">
        <v>751</v>
      </c>
      <c r="Z17" t="str">
        <f t="shared" ca="1" si="13"/>
        <v/>
      </c>
      <c r="AA17" s="126" cm="1">
        <f t="array" aca="1" ref="AA17" ca="1">IF($C17="S",IF($Z17="CP",$X17,IF($Z17="RA",(($X17)*QCI!$AA$3),0)),SomaAgrup)</f>
        <v>365.0027424348491</v>
      </c>
      <c r="AB17" s="127" cm="1">
        <f t="array" aca="1" ref="AB17" ca="1">IF($C17="S",IF($Z17="OU",ROUND($X17,2),0),SomaAgrup)</f>
        <v>0</v>
      </c>
      <c r="AC17" s="564" t="str" cm="1">
        <f t="array" aca="1" ref="AC17" ca="1">IF($N17=""," ",
IF(AND($C17&lt;&gt;"S",OR($R17="",$R17="(digite a descrição aqui)")),"DESCRIÇÃO",
IF(AND($C17="S",OR($Q17&lt;&gt;"",$T17&gt;0,$U17&gt;0),$P17=""),"FONTE",
IF(AND($C17="S",$P17&lt;&gt;"",OR($T17&gt;0,$U17&gt;0),$Q17=""),"CÓDIGO",
IF(AND($C17="S",$P17&lt;&gt;"",$Q17&lt;&gt;"",$R17="(Código não identificado nas referências)"),"CÓDIGO N/ID",
IF(AND($C17="S",OR($R17="",$R17="(digite a descrição aqui)"),OR($Q17&lt;&gt;"",$T17&gt;0,$U17&gt;0)),"DESCRIÇÃO",
IF(AND($C17="S",$P17&lt;&gt;"",$Q17&lt;&gt;"",$S17=""),"UNIDADE",
IF(AND($C17="S",$P17&lt;&gt;"",$Q17&lt;&gt;"",$U17=0),"SEM CUSTO",
IF(AND(TIPOORCAMENTO="Licitado",$AL17=0,$AN17&gt;0),"SEM PREÇO",
IF(AND($C17="S",$P17&lt;&gt;"",$Q17&lt;&gt;"",$U17&gt;0,AND($V17&lt;&gt;"BDI 1",$V17&lt;&gt;"BDI 2",$V17&lt;&gt;"BDI 3")),IF(ISNUMBER($V17),"JUSTIFICAR BDI","BDI"),
IF(OR(AND(import.recurso="OGU",TIPOORCAMENTO="Proposto",LEFT($O$8,5)&lt;&gt;"(N/D:",$AG17&lt;&gt;"",ORÇAMENTO.CustoUnitario&gt;$AG17),AND(TIPOORCAMENTO="LICITADO",ORÇAMENTO.PrecoUnitarioLicitado&gt;$AN17)),"ACIMA REF.",
IF(AND($C17="S",$P17&lt;&gt;"",$Q17&lt;&gt;"",$T17=0,$U17&gt;0),"QUANT.",
IF(AND(Import.TipoArredondamento="TransfereGOV",$L17="F",$C17="S",LEN($Q17)&gt;13),"Código &gt;13",
IF(AND(Import.TipoArredondamento="TransfereGOV",$L17="F",$C17&lt;&gt;"S",LEN($R17)&gt;100),"Descrição &gt;100",
IF(AND(Import.TipoArredondamento="TransfereGOV",$L17="F",$C17="S",LEN($R17)&gt;500),"Descrição &gt;500",
IF(AND(Import.TipoArredondamento="TransfereGOV",$L17="F",$C17="S",LEFT(TRIM(UPPER($P17)),6)&lt;&gt;"SINAPI",ISNA(VLOOKUP(TRIM(UPPER($S17)),ListaTgov.Unidades,1,FALSE))),"Unid. Não Disp",
" "))))))))))))))))</f>
        <v xml:space="preserve"> </v>
      </c>
      <c r="AD17">
        <f ca="1">IF(C17&lt;=CRONO.NivelExibicao,MAX($AD$15:OFFSET(AD17,-1,0))+IF($C17&lt;&gt;1,1,MAX(1,COUNTIF(QCI!$A$13:$A$24,OFFSET($E17,-1,0)))),"")</f>
        <v>2</v>
      </c>
      <c r="AE17" s="7" t="b" cm="1">
        <f t="array" aca="1" ref="AE17" ca="1">IF(AND($C17="S",ORÇAMENTO.CodBarra&lt;&gt;""),IF(ORÇAMENTO.Fonte="",ORÇAMENTO.CodBarra,CONCATENATE(ORÇAMENTO.Fonte," ",ORÇAMENTO.CodBarra)))</f>
        <v>0</v>
      </c>
      <c r="AF17" s="12" t="str" cm="1">
        <f t="array" aca="1" ref="AF17" ca="1">IF(ISERROR(ORÇAMENTO.BancoRef),"(abra o arquivo 'Referência "&amp;Excel_BuiltIn_Database&amp;".xlsm)",IF(OR($C17&lt;&gt;"S",ORÇAMENTO.CodBarra=""),"(Sem Código)",IF(ISERROR(MATCH($AE17,INDIRECT(ORÇAMENTO.BancoRef),0)),"(Código não identificado nas referências)",MATCH($AE17,INDIRECT(ORÇAMENTO.BancoRef),0))))</f>
        <v>(Sem Código)</v>
      </c>
      <c r="AG17" s="427" cm="1">
        <f t="array" aca="1" ref="AG17" ca="1">ROUND(IF(DESONERACAO="sim",REFERENCIA.Desonerado,REFERENCIA.NaoDesonerado),2)</f>
        <v>0</v>
      </c>
      <c r="AH17" s="428">
        <f t="shared" ca="1" si="14"/>
        <v>3.09E-2</v>
      </c>
      <c r="AJ17" s="430"/>
      <c r="AL17" s="438"/>
      <c r="AM17" s="335">
        <f t="shared" ca="1" si="0"/>
        <v>129474.24000000001</v>
      </c>
      <c r="AN17" s="469" cm="1">
        <f t="array" aca="1" ref="AN17" ca="1">ROUND(ORÇAMENTO.CustoUnitario*(1+$AH17),2)</f>
        <v>0</v>
      </c>
    </row>
    <row r="18" spans="1:40" ht="25.5" x14ac:dyDescent="0.2">
      <c r="A18" t="str">
        <f t="shared" si="1"/>
        <v>S</v>
      </c>
      <c r="B18">
        <f t="shared" ca="1" si="2"/>
        <v>2</v>
      </c>
      <c r="C18" t="str">
        <f t="shared" ca="1" si="3"/>
        <v>S</v>
      </c>
      <c r="D18">
        <f t="shared" ca="1" si="4"/>
        <v>0</v>
      </c>
      <c r="E18">
        <f ca="1">IF($C18=1,OFFSET(E18,-1,0)+MAX(1,COUNTIF(QCI!$A$13:$A$24,OFFSET(ORÇAMENTO!E18,-1,0))),OFFSET(E18,-1,0))</f>
        <v>1</v>
      </c>
      <c r="F18">
        <f t="shared" ca="1" si="5"/>
        <v>1</v>
      </c>
      <c r="G18">
        <f t="shared" ca="1" si="6"/>
        <v>0</v>
      </c>
      <c r="H18">
        <f t="shared" ca="1" si="7"/>
        <v>0</v>
      </c>
      <c r="I18">
        <f t="shared" ca="1" si="8"/>
        <v>1</v>
      </c>
      <c r="J18">
        <f t="shared" ca="1" si="9"/>
        <v>0</v>
      </c>
      <c r="K18">
        <f ca="1">IF(OR($C18="S",$C18=0),0,MATCH(OFFSET($D18,0,$C18)+IF($C18&lt;&gt;1,1,COUNTIF(QCI!$A$13:$A$24,ORÇAMENTO!E18)),OFFSET($D18,1,$C18,ROW($C$55)-ROW($C18)),0))</f>
        <v>0</v>
      </c>
      <c r="L18" s="113" t="str">
        <f t="shared" ca="1" si="10"/>
        <v>F</v>
      </c>
      <c r="M18" s="114" t="s">
        <v>705</v>
      </c>
      <c r="N18" s="115" t="str">
        <f t="shared" ca="1" si="11"/>
        <v>Serviço</v>
      </c>
      <c r="O18" s="116" t="str">
        <f t="shared" ca="1" si="12"/>
        <v>1.1.1.</v>
      </c>
      <c r="P18" s="117" t="s">
        <v>750</v>
      </c>
      <c r="Q18" s="118" t="s">
        <v>1003</v>
      </c>
      <c r="R18" s="119" t="s">
        <v>1071</v>
      </c>
      <c r="S18" s="120" t="s">
        <v>615</v>
      </c>
      <c r="T18" s="121">
        <f ca="1">OFFSET(CÁLCULO!H$15,ROW($T18)-ROW(T$15),0)</f>
        <v>360</v>
      </c>
      <c r="U18" s="122">
        <v>135.75</v>
      </c>
      <c r="V18" s="123" t="s">
        <v>663</v>
      </c>
      <c r="W18" s="121" cm="1">
        <f t="array" aca="1" ref="W18" ca="1">IF($C18="S",ROUND(IF(TIPOORCAMENTO="Proposto",ORÇAMENTO.CustoUnitario*(1+$AH18),ORÇAMENTO.PrecoUnitarioLicitado),15-13*$AF$10),0)</f>
        <v>139.94</v>
      </c>
      <c r="X18" s="124" cm="1">
        <f t="array" aca="1" ref="X18" ca="1">IF($C18="S",IF(OR(Import.TipoArredondamento&lt;&gt;"TransfereGOV",ACOMPANHAMENTO="BM"),VTOTAL1,SUM(OFFSET(CÁLCULO!$AA$15,ROW($X18)-ROW($X$15),1):OFFSET(CÁLCULO!$AL$15,ROW($X18)-ROW($X$15),-1))),IF($C18=0,0,ROUND(SomaAgrup,15-13*$AF$11)))</f>
        <v>50378.400000000001</v>
      </c>
      <c r="Y18" s="125" t="s">
        <v>751</v>
      </c>
      <c r="Z18" t="str">
        <f t="shared" ca="1" si="13"/>
        <v>RA</v>
      </c>
      <c r="AA18" s="126" cm="1">
        <f t="array" aca="1" ref="AA18" ca="1">IF($C18="S",IF($Z18="CP",$X18,IF($Z18="RA",(($X18)*QCI!$AA$3),0)),SomaAgrup)</f>
        <v>142.02249157422978</v>
      </c>
      <c r="AB18" s="127" cm="1">
        <f t="array" aca="1" ref="AB18" ca="1">IF($C18="S",IF($Z18="OU",ROUND($X18,2),0),SomaAgrup)</f>
        <v>0</v>
      </c>
      <c r="AC18" s="564" t="str" cm="1">
        <f t="array" aca="1" ref="AC18" ca="1">IF($N18=""," ",
IF(AND($C18&lt;&gt;"S",OR($R18="",$R18="(digite a descrição aqui)")),"DESCRIÇÃO",
IF(AND($C18="S",OR($Q18&lt;&gt;"",$T18&gt;0,$U18&gt;0),$P18=""),"FONTE",
IF(AND($C18="S",$P18&lt;&gt;"",OR($T18&gt;0,$U18&gt;0),$Q18=""),"CÓDIGO",
IF(AND($C18="S",$P18&lt;&gt;"",$Q18&lt;&gt;"",$R18="(Código não identificado nas referências)"),"CÓDIGO N/ID",
IF(AND($C18="S",OR($R18="",$R18="(digite a descrição aqui)"),OR($Q18&lt;&gt;"",$T18&gt;0,$U18&gt;0)),"DESCRIÇÃO",
IF(AND($C18="S",$P18&lt;&gt;"",$Q18&lt;&gt;"",$S18=""),"UNIDADE",
IF(AND($C18="S",$P18&lt;&gt;"",$Q18&lt;&gt;"",$U18=0),"SEM CUSTO",
IF(AND(TIPOORCAMENTO="Licitado",$AL18=0,$AN18&gt;0),"SEM PREÇO",
IF(AND($C18="S",$P18&lt;&gt;"",$Q18&lt;&gt;"",$U18&gt;0,AND($V18&lt;&gt;"BDI 1",$V18&lt;&gt;"BDI 2",$V18&lt;&gt;"BDI 3")),IF(ISNUMBER($V18),"JUSTIFICAR BDI","BDI"),
IF(OR(AND(import.recurso="OGU",TIPOORCAMENTO="Proposto",LEFT($O$8,5)&lt;&gt;"(N/D:",$AG18&lt;&gt;"",ORÇAMENTO.CustoUnitario&gt;$AG18),AND(TIPOORCAMENTO="LICITADO",ORÇAMENTO.PrecoUnitarioLicitado&gt;$AN18)),"ACIMA REF.",
IF(AND($C18="S",$P18&lt;&gt;"",$Q18&lt;&gt;"",$T18=0,$U18&gt;0),"QUANT.",
IF(AND(Import.TipoArredondamento="TransfereGOV",$L18="F",$C18="S",LEN($Q18)&gt;13),"Código &gt;13",
IF(AND(Import.TipoArredondamento="TransfereGOV",$L18="F",$C18&lt;&gt;"S",LEN($R18)&gt;100),"Descrição &gt;100",
IF(AND(Import.TipoArredondamento="TransfereGOV",$L18="F",$C18="S",LEN($R18)&gt;500),"Descrição &gt;500",
IF(AND(Import.TipoArredondamento="TransfereGOV",$L18="F",$C18="S",LEFT(TRIM(UPPER($P18)),6)&lt;&gt;"SINAPI",ISNA(VLOOKUP(TRIM(UPPER($S18)),ListaTgov.Unidades,1,FALSE))),"Unid. Não Disp",
" "))))))))))))))))</f>
        <v xml:space="preserve"> </v>
      </c>
      <c r="AD18" t="str">
        <f ca="1">IF(C18&lt;=CRONO.NivelExibicao,MAX($AD$15:OFFSET(AD18,-1,0))+IF($C18&lt;&gt;1,1,MAX(1,COUNTIF(QCI!$A$13:$A$24,OFFSET($E18,-1,0)))),"")</f>
        <v/>
      </c>
      <c r="AE18" s="7" t="str" cm="1">
        <f t="array" aca="1" ref="AE18" ca="1">IF(AND($C18="S",ORÇAMENTO.CodBarra&lt;&gt;""),IF(ORÇAMENTO.Fonte="",ORÇAMENTO.CodBarra,CONCATENATE(ORÇAMENTO.Fonte," ",ORÇAMENTO.CodBarra)))</f>
        <v>SINAPI 90778</v>
      </c>
      <c r="AF18" s="12" t="str" cm="1">
        <f t="array" aca="1" ref="AF18" ca="1">IF(ISERROR(ORÇAMENTO.BancoRef),"(abra o arquivo 'Referência "&amp;Excel_BuiltIn_Database&amp;".xlsm)",IF(OR($C18&lt;&gt;"S",ORÇAMENTO.CodBarra=""),"(Sem Código)",IF(ISERROR(MATCH($AE18,INDIRECT(ORÇAMENTO.BancoRef),0)),"(Código não identificado nas referências)",MATCH($AE18,INDIRECT(ORÇAMENTO.BancoRef),0))))</f>
        <v>(Código não identificado nas referências)</v>
      </c>
      <c r="AG18" s="427" cm="1">
        <f t="array" aca="1" ref="AG18" ca="1">ROUND(IF(DESONERACAO="sim",REFERENCIA.Desonerado,REFERENCIA.NaoDesonerado),2)</f>
        <v>0</v>
      </c>
      <c r="AH18" s="428">
        <f t="shared" ca="1" si="14"/>
        <v>3.09E-2</v>
      </c>
      <c r="AJ18" s="430"/>
      <c r="AL18" s="438"/>
      <c r="AM18" s="335">
        <f t="shared" ca="1" si="0"/>
        <v>50378.400000000001</v>
      </c>
      <c r="AN18" s="469" cm="1">
        <f t="array" aca="1" ref="AN18" ca="1">ROUND(ORÇAMENTO.CustoUnitario*(1+$AH18),2)</f>
        <v>139.94</v>
      </c>
    </row>
    <row r="19" spans="1:40" x14ac:dyDescent="0.2">
      <c r="A19" t="str">
        <f>CHOOSE(1+LOG(1+2*(ORÇAMENTO.Nivel="Meta")+4*(ORÇAMENTO.Nivel="Nível 2")+8*(ORÇAMENTO.Nivel="Nível 3")+16*(ORÇAMENTO.Nivel="Nível 4")+32*(ORÇAMENTO.Nivel="Serviço"),2),0,1,2,3,4,"S")</f>
        <v>S</v>
      </c>
      <c r="B19">
        <f ca="1">IF(OR(C19="s",C19=0),OFFSET(B19,-1,0),C19)</f>
        <v>2</v>
      </c>
      <c r="C19" t="str">
        <f ca="1">IF(OFFSET(C19,-1,0)="L",1,IF(OFFSET(C19,-1,0)=1,2,IF(OR(A19="s",A19=0),"S",IF(AND(OFFSET(C19,-1,0)=2,A19=4),3,IF(AND(OR(OFFSET(C19,-1,0)="s",OFFSET(C19,-1,0)=0),A19&lt;&gt;"s",A19&gt;OFFSET(B19,-1,0)),OFFSET(B19,-1,0),A19)))))</f>
        <v>S</v>
      </c>
      <c r="D19">
        <f ca="1">IF(OR(C19="S",C19=0),0,IF(ISERROR(K19),J19,SMALL(J19:K19,1)))</f>
        <v>0</v>
      </c>
      <c r="E19">
        <f ca="1">IF($C19=1,OFFSET(E19,-1,0)+MAX(1,COUNTIF(QCI!$A$13:$A$24,OFFSET(ORÇAMENTO!E19,-1,0))),OFFSET(E19,-1,0))</f>
        <v>1</v>
      </c>
      <c r="F19">
        <f ca="1">IF($C19=1,0,IF($C19=2,OFFSET(F19,-1,0)+1,OFFSET(F19,-1,0)))</f>
        <v>1</v>
      </c>
      <c r="G19">
        <f ca="1">IF(AND($C19&lt;=2,$C19&lt;&gt;0),0,IF($C19=3,OFFSET(G19,-1,0)+1,OFFSET(G19,-1,0)))</f>
        <v>0</v>
      </c>
      <c r="H19">
        <f ca="1">IF(AND($C19&lt;=3,$C19&lt;&gt;0),0,IF($C19=4,OFFSET(H19,-1,0)+1,OFFSET(H19,-1,0)))</f>
        <v>0</v>
      </c>
      <c r="I19">
        <f ca="1">IF(AND($C19&lt;=4,$C19&lt;&gt;0),0,IF(AND($C19="S",$X19&gt;0),OFFSET(I19,-1,0)+1,OFFSET(I19,-1,0)))</f>
        <v>2</v>
      </c>
      <c r="J19">
        <f t="shared" ca="1" si="9"/>
        <v>0</v>
      </c>
      <c r="K19">
        <f ca="1">IF(OR($C19="S",$C19=0),0,MATCH(OFFSET($D19,0,$C19)+IF($C19&lt;&gt;1,1,COUNTIF(QCI!$A$13:$A$24,ORÇAMENTO!E19)),OFFSET($D19,1,$C19,ROW($C$55)-ROW($C19)),0))</f>
        <v>0</v>
      </c>
      <c r="L19" s="113" t="str">
        <f ca="1">IF(OR($X19&gt;0,$C19=1,$C19=2,$C19=3,$C19=4),"F","")</f>
        <v>F</v>
      </c>
      <c r="M19" s="114" t="s">
        <v>705</v>
      </c>
      <c r="N19" s="115" t="str">
        <f ca="1">CHOOSE(1+LOG(1+2*(C19=1)+4*(C19=2)+8*(C19=3)+16*(C19=4)+32*(C19="S"),2),"","Meta","Nível 2","Nível 3","Nível 4","Serviço")</f>
        <v>Serviço</v>
      </c>
      <c r="O19" s="116" t="str">
        <f ca="1">IF(OR($C19=0,$L19=""),"-",CONCATENATE(E19&amp;".",IF(AND($A$5&gt;=2,$C19&gt;=2),F19&amp;".",""),IF(AND($A$5&gt;=3,$C19&gt;=3),G19&amp;".",""),IF(AND($A$5&gt;=4,$C19&gt;=4),H19&amp;".",""),IF($C19="S",I19&amp;".","")))</f>
        <v>1.1.2.</v>
      </c>
      <c r="P19" s="117" t="s">
        <v>750</v>
      </c>
      <c r="Q19" s="118" t="s">
        <v>1058</v>
      </c>
      <c r="R19" s="119" t="s">
        <v>1059</v>
      </c>
      <c r="S19" s="120" t="s">
        <v>629</v>
      </c>
      <c r="T19" s="121">
        <f ca="1">OFFSET(CÁLCULO!H$15,ROW($T19)-ROW(T$15),0)</f>
        <v>4</v>
      </c>
      <c r="U19" s="122">
        <v>19181.259999999998</v>
      </c>
      <c r="V19" s="123" t="s">
        <v>663</v>
      </c>
      <c r="W19" s="121" cm="1">
        <f t="array" aca="1" ref="W19" ca="1">IF($C19="S",ROUND(IF(TIPOORCAMENTO="Proposto",ORÇAMENTO.CustoUnitario*(1+$AH19),ORÇAMENTO.PrecoUnitarioLicitado),15-13*$AF$10),0)</f>
        <v>19773.96</v>
      </c>
      <c r="X19" s="124" cm="1">
        <f t="array" aca="1" ref="X19" ca="1">IF($C19="S",IF(OR(Import.TipoArredondamento&lt;&gt;"TransfereGOV",ACOMPANHAMENTO="BM"),VTOTAL1,SUM(OFFSET(CÁLCULO!$AA$15,ROW($X19)-ROW($X$15),1):OFFSET(CÁLCULO!$AL$15,ROW($X19)-ROW($X$15),-1))),IF($C19=0,0,ROUND(SomaAgrup,15-13*$AF$11)))</f>
        <v>79095.839999999997</v>
      </c>
      <c r="Y19" s="125" t="s">
        <v>751</v>
      </c>
      <c r="Z19" t="str">
        <f ca="1">IF(AND($C19="S",$X19&gt;0),IF(ISBLANK($Y19),"RA",LEFT($Y19,2)),"")</f>
        <v>RA</v>
      </c>
      <c r="AA19" s="126" cm="1">
        <f t="array" aca="1" ref="AA19" ca="1">IF($C19="S",IF($Z19="CP",$X19,IF($Z19="RA",(($X19)*QCI!$AA$3),0)),SomaAgrup)</f>
        <v>222.98025086061935</v>
      </c>
      <c r="AB19" s="127" cm="1">
        <f t="array" aca="1" ref="AB19" ca="1">IF($C19="S",IF($Z19="OU",ROUND($X19,2),0),SomaAgrup)</f>
        <v>0</v>
      </c>
      <c r="AC19" s="564" t="str" cm="1">
        <f t="array" aca="1" ref="AC19" ca="1">IF($N19=""," ",
IF(AND($C19&lt;&gt;"S",OR($R19="",$R19="(digite a descrição aqui)")),"DESCRIÇÃO",
IF(AND($C19="S",OR($Q19&lt;&gt;"",$T19&gt;0,$U19&gt;0),$P19=""),"FONTE",
IF(AND($C19="S",$P19&lt;&gt;"",OR($T19&gt;0,$U19&gt;0),$Q19=""),"CÓDIGO",
IF(AND($C19="S",$P19&lt;&gt;"",$Q19&lt;&gt;"",$R19="(Código não identificado nas referências)"),"CÓDIGO N/ID",
IF(AND($C19="S",OR($R19="",$R19="(digite a descrição aqui)"),OR($Q19&lt;&gt;"",$T19&gt;0,$U19&gt;0)),"DESCRIÇÃO",
IF(AND($C19="S",$P19&lt;&gt;"",$Q19&lt;&gt;"",$S19=""),"UNIDADE",
IF(AND($C19="S",$P19&lt;&gt;"",$Q19&lt;&gt;"",$U19=0),"SEM CUSTO",
IF(AND(TIPOORCAMENTO="Licitado",$AL19=0,$AN19&gt;0),"SEM PREÇO",
IF(AND($C19="S",$P19&lt;&gt;"",$Q19&lt;&gt;"",$U19&gt;0,AND($V19&lt;&gt;"BDI 1",$V19&lt;&gt;"BDI 2",$V19&lt;&gt;"BDI 3")),IF(ISNUMBER($V19),"JUSTIFICAR BDI","BDI"),
IF(OR(AND(import.recurso="OGU",TIPOORCAMENTO="Proposto",LEFT($O$8,5)&lt;&gt;"(N/D:",$AG19&lt;&gt;"",ORÇAMENTO.CustoUnitario&gt;$AG19),AND(TIPOORCAMENTO="LICITADO",ORÇAMENTO.PrecoUnitarioLicitado&gt;$AN19)),"ACIMA REF.",
IF(AND($C19="S",$P19&lt;&gt;"",$Q19&lt;&gt;"",$T19=0,$U19&gt;0),"QUANT.",
IF(AND(Import.TipoArredondamento="TransfereGOV",$L19="F",$C19="S",LEN($Q19)&gt;13),"Código &gt;13",
IF(AND(Import.TipoArredondamento="TransfereGOV",$L19="F",$C19&lt;&gt;"S",LEN($R19)&gt;100),"Descrição &gt;100",
IF(AND(Import.TipoArredondamento="TransfereGOV",$L19="F",$C19="S",LEN($R19)&gt;500),"Descrição &gt;500",
IF(AND(Import.TipoArredondamento="TransfereGOV",$L19="F",$C19="S",LEFT(TRIM(UPPER($P19)),6)&lt;&gt;"SINAPI",ISNA(VLOOKUP(TRIM(UPPER($S19)),ListaTgov.Unidades,1,FALSE))),"Unid. Não Disp",
" "))))))))))))))))</f>
        <v xml:space="preserve"> </v>
      </c>
      <c r="AD19" t="str">
        <f ca="1">IF(C19&lt;=CRONO.NivelExibicao,MAX($AD$15:OFFSET(AD19,-1,0))+IF($C19&lt;&gt;1,1,MAX(1,COUNTIF(QCI!$A$13:$A$24,OFFSET($E19,-1,0)))),"")</f>
        <v/>
      </c>
      <c r="AE19" s="7" t="str" cm="1">
        <f t="array" aca="1" ref="AE19" ca="1">IF(AND($C19="S",ORÇAMENTO.CodBarra&lt;&gt;""),IF(ORÇAMENTO.Fonte="",ORÇAMENTO.CodBarra,CONCATENATE(ORÇAMENTO.Fonte," ",ORÇAMENTO.CodBarra)))</f>
        <v>SINAPI 94295</v>
      </c>
      <c r="AF19" s="12" t="str" cm="1">
        <f t="array" aca="1" ref="AF19" ca="1">IF(ISERROR(ORÇAMENTO.BancoRef),"(abra o arquivo 'Referência "&amp;Excel_BuiltIn_Database&amp;".xlsm)",IF(OR($C19&lt;&gt;"S",ORÇAMENTO.CodBarra=""),"(Sem Código)",IF(ISERROR(MATCH($AE19,INDIRECT(ORÇAMENTO.BancoRef),0)),"(Código não identificado nas referências)",MATCH($AE19,INDIRECT(ORÇAMENTO.BancoRef),0))))</f>
        <v>(Código não identificado nas referências)</v>
      </c>
      <c r="AG19" s="427" cm="1">
        <f t="array" aca="1" ref="AG19" ca="1">ROUND(IF(DESONERACAO="sim",REFERENCIA.Desonerado,REFERENCIA.NaoDesonerado),2)</f>
        <v>0</v>
      </c>
      <c r="AH19" s="428">
        <f ca="1">ROUND(IF(ISNUMBER(ORÇAMENTO.OpcaoBDI),ORÇAMENTO.OpcaoBDI,IF(LEFT(ORÇAMENTO.OpcaoBDI,3)="BDI",HLOOKUP(ORÇAMENTO.OpcaoBDI,$F$4:$H$5,2,FALSE),0)),15-11*$AF$9)</f>
        <v>3.09E-2</v>
      </c>
      <c r="AJ19" s="430"/>
      <c r="AL19" s="438"/>
      <c r="AM19" s="335">
        <f t="shared" ca="1" si="0"/>
        <v>79095.839999999997</v>
      </c>
      <c r="AN19" s="469" cm="1">
        <f t="array" aca="1" ref="AN19" ca="1">ROUND(ORÇAMENTO.CustoUnitario*(1+$AH19),2)</f>
        <v>19773.96</v>
      </c>
    </row>
    <row r="20" spans="1:40" x14ac:dyDescent="0.2">
      <c r="A20">
        <f t="shared" si="1"/>
        <v>2</v>
      </c>
      <c r="B20">
        <f t="shared" ca="1" si="2"/>
        <v>2</v>
      </c>
      <c r="C20">
        <f t="shared" ca="1" si="3"/>
        <v>2</v>
      </c>
      <c r="D20">
        <f t="shared" ca="1" si="4"/>
        <v>7</v>
      </c>
      <c r="E20">
        <f ca="1">IF($C20=1,OFFSET(E20,-1,0)+MAX(1,COUNTIF(QCI!$A$13:$A$24,OFFSET(ORÇAMENTO!E20,-1,0))),OFFSET(E20,-1,0))</f>
        <v>1</v>
      </c>
      <c r="F20">
        <f t="shared" ca="1" si="5"/>
        <v>2</v>
      </c>
      <c r="G20">
        <f t="shared" ca="1" si="6"/>
        <v>0</v>
      </c>
      <c r="H20">
        <f t="shared" ca="1" si="7"/>
        <v>0</v>
      </c>
      <c r="I20">
        <f t="shared" ca="1" si="8"/>
        <v>0</v>
      </c>
      <c r="J20">
        <f t="shared" ca="1" si="9"/>
        <v>35</v>
      </c>
      <c r="K20">
        <f ca="1">IF(OR($C20="S",$C20=0),0,MATCH(OFFSET($D20,0,$C20)+IF($C20&lt;&gt;1,1,COUNTIF(QCI!$A$13:$A$24,ORÇAMENTO!E20)),OFFSET($D20,1,$C20,ROW($C$55)-ROW($C20)),0))</f>
        <v>7</v>
      </c>
      <c r="L20" s="113" t="str">
        <f t="shared" ca="1" si="10"/>
        <v>F</v>
      </c>
      <c r="M20" s="114" t="s">
        <v>702</v>
      </c>
      <c r="N20" s="115" t="str">
        <f t="shared" ca="1" si="11"/>
        <v>Nível 2</v>
      </c>
      <c r="O20" s="116" t="str">
        <f t="shared" ca="1" si="12"/>
        <v>1.2.</v>
      </c>
      <c r="P20" s="117" t="s">
        <v>750</v>
      </c>
      <c r="Q20" s="118"/>
      <c r="R20" s="119" t="s">
        <v>1017</v>
      </c>
      <c r="S20" s="120" t="str" cm="1">
        <f t="array" aca="1" ref="S20" ca="1">REFERENCIA.Unidade</f>
        <v>-</v>
      </c>
      <c r="T20" s="121">
        <f ca="1">OFFSET(CÁLCULO!H$15,ROW($T20)-ROW(T$15),0)</f>
        <v>0</v>
      </c>
      <c r="U20" s="122"/>
      <c r="V20" s="123" t="s">
        <v>663</v>
      </c>
      <c r="W20" s="121" cm="1">
        <f t="array" aca="1" ref="W20" ca="1">IF($C20="S",ROUND(IF(TIPOORCAMENTO="Proposto",ORÇAMENTO.CustoUnitario*(1+$AH20),ORÇAMENTO.PrecoUnitarioLicitado),15-13*$AF$10),0)</f>
        <v>0</v>
      </c>
      <c r="X20" s="124" cm="1">
        <f t="array" aca="1" ref="X20" ca="1">IF($C20="S",IF(OR(Import.TipoArredondamento&lt;&gt;"TransfereGOV",ACOMPANHAMENTO="BM"),VTOTAL1,SUM(OFFSET(CÁLCULO!$AA$15,ROW($X20)-ROW($X$15),1):OFFSET(CÁLCULO!$AL$15,ROW($X20)-ROW($X$15),-1))),IF($C20=0,0,ROUND(SomaAgrup,15-13*$AF$11)))</f>
        <v>41038.410000000003</v>
      </c>
      <c r="Y20" s="125" t="s">
        <v>751</v>
      </c>
      <c r="Z20" t="str">
        <f t="shared" ca="1" si="13"/>
        <v/>
      </c>
      <c r="AA20" s="126" cm="1">
        <f t="array" aca="1" ref="AA20" ca="1">IF($C20="S",IF($Z20="CP",$X20,IF($Z20="RA",(($X20)*QCI!$AA$3),0)),SomaAgrup)</f>
        <v>115.69198780518607</v>
      </c>
      <c r="AB20" s="127" cm="1">
        <f t="array" aca="1" ref="AB20" ca="1">IF($C20="S",IF($Z20="OU",ROUND($X20,2),0),SomaAgrup)</f>
        <v>0</v>
      </c>
      <c r="AC20" s="564" t="str" cm="1">
        <f t="array" aca="1" ref="AC20" ca="1">IF($N20=""," ",
IF(AND($C20&lt;&gt;"S",OR($R20="",$R20="(digite a descrição aqui)")),"DESCRIÇÃO",
IF(AND($C20="S",OR($Q20&lt;&gt;"",$T20&gt;0,$U20&gt;0),$P20=""),"FONTE",
IF(AND($C20="S",$P20&lt;&gt;"",OR($T20&gt;0,$U20&gt;0),$Q20=""),"CÓDIGO",
IF(AND($C20="S",$P20&lt;&gt;"",$Q20&lt;&gt;"",$R20="(Código não identificado nas referências)"),"CÓDIGO N/ID",
IF(AND($C20="S",OR($R20="",$R20="(digite a descrição aqui)"),OR($Q20&lt;&gt;"",$T20&gt;0,$U20&gt;0)),"DESCRIÇÃO",
IF(AND($C20="S",$P20&lt;&gt;"",$Q20&lt;&gt;"",$S20=""),"UNIDADE",
IF(AND($C20="S",$P20&lt;&gt;"",$Q20&lt;&gt;"",$U20=0),"SEM CUSTO",
IF(AND(TIPOORCAMENTO="Licitado",$AL20=0,$AN20&gt;0),"SEM PREÇO",
IF(AND($C20="S",$P20&lt;&gt;"",$Q20&lt;&gt;"",$U20&gt;0,AND($V20&lt;&gt;"BDI 1",$V20&lt;&gt;"BDI 2",$V20&lt;&gt;"BDI 3")),IF(ISNUMBER($V20),"JUSTIFICAR BDI","BDI"),
IF(OR(AND(import.recurso="OGU",TIPOORCAMENTO="Proposto",LEFT($O$8,5)&lt;&gt;"(N/D:",$AG20&lt;&gt;"",ORÇAMENTO.CustoUnitario&gt;$AG20),AND(TIPOORCAMENTO="LICITADO",ORÇAMENTO.PrecoUnitarioLicitado&gt;$AN20)),"ACIMA REF.",
IF(AND($C20="S",$P20&lt;&gt;"",$Q20&lt;&gt;"",$T20=0,$U20&gt;0),"QUANT.",
IF(AND(Import.TipoArredondamento="TransfereGOV",$L20="F",$C20="S",LEN($Q20)&gt;13),"Código &gt;13",
IF(AND(Import.TipoArredondamento="TransfereGOV",$L20="F",$C20&lt;&gt;"S",LEN($R20)&gt;100),"Descrição &gt;100",
IF(AND(Import.TipoArredondamento="TransfereGOV",$L20="F",$C20="S",LEN($R20)&gt;500),"Descrição &gt;500",
IF(AND(Import.TipoArredondamento="TransfereGOV",$L20="F",$C20="S",LEFT(TRIM(UPPER($P20)),6)&lt;&gt;"SINAPI",ISNA(VLOOKUP(TRIM(UPPER($S20)),ListaTgov.Unidades,1,FALSE))),"Unid. Não Disp",
" "))))))))))))))))</f>
        <v xml:space="preserve"> </v>
      </c>
      <c r="AD20">
        <f ca="1">IF(C20&lt;=CRONO.NivelExibicao,MAX($AD$15:OFFSET(AD20,-1,0))+IF($C20&lt;&gt;1,1,MAX(1,COUNTIF(QCI!$A$13:$A$24,OFFSET($E20,-1,0)))),"")</f>
        <v>3</v>
      </c>
      <c r="AE20" s="7" t="b" cm="1">
        <f t="array" aca="1" ref="AE20" ca="1">IF(AND($C20="S",ORÇAMENTO.CodBarra&lt;&gt;""),IF(ORÇAMENTO.Fonte="",ORÇAMENTO.CodBarra,CONCATENATE(ORÇAMENTO.Fonte," ",ORÇAMENTO.CodBarra)))</f>
        <v>0</v>
      </c>
      <c r="AF20" s="12" t="str" cm="1">
        <f t="array" aca="1" ref="AF20" ca="1">IF(ISERROR(ORÇAMENTO.BancoRef),"(abra o arquivo 'Referência "&amp;Excel_BuiltIn_Database&amp;".xlsm)",IF(OR($C20&lt;&gt;"S",ORÇAMENTO.CodBarra=""),"(Sem Código)",IF(ISERROR(MATCH($AE20,INDIRECT(ORÇAMENTO.BancoRef),0)),"(Código não identificado nas referências)",MATCH($AE20,INDIRECT(ORÇAMENTO.BancoRef),0))))</f>
        <v>(Sem Código)</v>
      </c>
      <c r="AG20" s="427" cm="1">
        <f t="array" aca="1" ref="AG20" ca="1">ROUND(IF(DESONERACAO="sim",REFERENCIA.Desonerado,REFERENCIA.NaoDesonerado),2)</f>
        <v>0</v>
      </c>
      <c r="AH20" s="428">
        <f t="shared" ca="1" si="14"/>
        <v>3.09E-2</v>
      </c>
      <c r="AJ20" s="430"/>
      <c r="AL20" s="438"/>
      <c r="AM20" s="335">
        <f t="shared" ca="1" si="0"/>
        <v>41038.410000000003</v>
      </c>
      <c r="AN20" s="469" cm="1">
        <f t="array" aca="1" ref="AN20" ca="1">ROUND(ORÇAMENTO.CustoUnitario*(1+$AH20),2)</f>
        <v>0</v>
      </c>
    </row>
    <row r="21" spans="1:40" ht="38.25" x14ac:dyDescent="0.2">
      <c r="A21" t="str">
        <f t="shared" si="1"/>
        <v>S</v>
      </c>
      <c r="B21">
        <f t="shared" ca="1" si="2"/>
        <v>2</v>
      </c>
      <c r="C21" t="str">
        <f t="shared" ca="1" si="3"/>
        <v>S</v>
      </c>
      <c r="D21">
        <f t="shared" ca="1" si="4"/>
        <v>0</v>
      </c>
      <c r="E21">
        <f ca="1">IF($C21=1,OFFSET(E21,-1,0)+MAX(1,COUNTIF(QCI!$A$13:$A$24,OFFSET(ORÇAMENTO!E21,-1,0))),OFFSET(E21,-1,0))</f>
        <v>1</v>
      </c>
      <c r="F21">
        <f t="shared" ca="1" si="5"/>
        <v>2</v>
      </c>
      <c r="G21">
        <f t="shared" ca="1" si="6"/>
        <v>0</v>
      </c>
      <c r="H21">
        <f t="shared" ca="1" si="7"/>
        <v>0</v>
      </c>
      <c r="I21">
        <f t="shared" ca="1" si="8"/>
        <v>1</v>
      </c>
      <c r="J21">
        <f t="shared" ca="1" si="9"/>
        <v>0</v>
      </c>
      <c r="K21">
        <f ca="1">IF(OR($C21="S",$C21=0),0,MATCH(OFFSET($D21,0,$C21)+IF($C21&lt;&gt;1,1,COUNTIF(QCI!$A$13:$A$24,ORÇAMENTO!E21)),OFFSET($D21,1,$C21,ROW($C$55)-ROW($C21)),0))</f>
        <v>0</v>
      </c>
      <c r="L21" s="113" t="str">
        <f t="shared" ca="1" si="10"/>
        <v>F</v>
      </c>
      <c r="M21" s="114" t="s">
        <v>705</v>
      </c>
      <c r="N21" s="115" t="str">
        <f t="shared" ca="1" si="11"/>
        <v>Serviço</v>
      </c>
      <c r="O21" s="116" t="str">
        <f t="shared" ca="1" si="12"/>
        <v>1.2.1.</v>
      </c>
      <c r="P21" s="117" t="s">
        <v>750</v>
      </c>
      <c r="Q21" s="118" t="s">
        <v>1065</v>
      </c>
      <c r="R21" s="119" t="s">
        <v>1076</v>
      </c>
      <c r="S21" s="120" t="s">
        <v>623</v>
      </c>
      <c r="T21" s="121">
        <f ca="1">OFFSET(CÁLCULO!H$15,ROW($T21)-ROW(T$15),0)</f>
        <v>4.5</v>
      </c>
      <c r="U21" s="122">
        <v>506.22</v>
      </c>
      <c r="V21" s="123" t="s">
        <v>663</v>
      </c>
      <c r="W21" s="121" cm="1">
        <f t="array" aca="1" ref="W21" ca="1">IF($C21="S",ROUND(IF(TIPOORCAMENTO="Proposto",ORÇAMENTO.CustoUnitario*(1+$AH21),ORÇAMENTO.PrecoUnitarioLicitado),15-13*$AF$10),0)</f>
        <v>521.86</v>
      </c>
      <c r="X21" s="124" cm="1">
        <f t="array" aca="1" ref="X21" ca="1">IF($C21="S",IF(OR(Import.TipoArredondamento&lt;&gt;"TransfereGOV",ACOMPANHAMENTO="BM"),VTOTAL1,SUM(OFFSET(CÁLCULO!$AA$15,ROW($X21)-ROW($X$15),1):OFFSET(CÁLCULO!$AL$15,ROW($X21)-ROW($X$15),-1))),IF($C21=0,0,ROUND(SomaAgrup,15-13*$AF$11)))</f>
        <v>2348.37</v>
      </c>
      <c r="Y21" s="125" t="s">
        <v>751</v>
      </c>
      <c r="Z21" t="str">
        <f t="shared" ca="1" si="13"/>
        <v>RA</v>
      </c>
      <c r="AA21" s="126" cm="1">
        <f t="array" aca="1" ref="AA21" ca="1">IF($C21="S",IF($Z21="CP",$X21,IF($Z21="RA",(($X21)*QCI!$AA$3),0)),SomaAgrup)</f>
        <v>6.6203245545347595</v>
      </c>
      <c r="AB21" s="127" cm="1">
        <f t="array" aca="1" ref="AB21" ca="1">IF($C21="S",IF($Z21="OU",ROUND($X21,2),0),SomaAgrup)</f>
        <v>0</v>
      </c>
      <c r="AC21" s="564" t="str" cm="1">
        <f t="array" aca="1" ref="AC21" ca="1">IF($N21=""," ",
IF(AND($C21&lt;&gt;"S",OR($R21="",$R21="(digite a descrição aqui)")),"DESCRIÇÃO",
IF(AND($C21="S",OR($Q21&lt;&gt;"",$T21&gt;0,$U21&gt;0),$P21=""),"FONTE",
IF(AND($C21="S",$P21&lt;&gt;"",OR($T21&gt;0,$U21&gt;0),$Q21=""),"CÓDIGO",
IF(AND($C21="S",$P21&lt;&gt;"",$Q21&lt;&gt;"",$R21="(Código não identificado nas referências)"),"CÓDIGO N/ID",
IF(AND($C21="S",OR($R21="",$R21="(digite a descrição aqui)"),OR($Q21&lt;&gt;"",$T21&gt;0,$U21&gt;0)),"DESCRIÇÃO",
IF(AND($C21="S",$P21&lt;&gt;"",$Q21&lt;&gt;"",$S21=""),"UNIDADE",
IF(AND($C21="S",$P21&lt;&gt;"",$Q21&lt;&gt;"",$U21=0),"SEM CUSTO",
IF(AND(TIPOORCAMENTO="Licitado",$AL21=0,$AN21&gt;0),"SEM PREÇO",
IF(AND($C21="S",$P21&lt;&gt;"",$Q21&lt;&gt;"",$U21&gt;0,AND($V21&lt;&gt;"BDI 1",$V21&lt;&gt;"BDI 2",$V21&lt;&gt;"BDI 3")),IF(ISNUMBER($V21),"JUSTIFICAR BDI","BDI"),
IF(OR(AND(import.recurso="OGU",TIPOORCAMENTO="Proposto",LEFT($O$8,5)&lt;&gt;"(N/D:",$AG21&lt;&gt;"",ORÇAMENTO.CustoUnitario&gt;$AG21),AND(TIPOORCAMENTO="LICITADO",ORÇAMENTO.PrecoUnitarioLicitado&gt;$AN21)),"ACIMA REF.",
IF(AND($C21="S",$P21&lt;&gt;"",$Q21&lt;&gt;"",$T21=0,$U21&gt;0),"QUANT.",
IF(AND(Import.TipoArredondamento="TransfereGOV",$L21="F",$C21="S",LEN($Q21)&gt;13),"Código &gt;13",
IF(AND(Import.TipoArredondamento="TransfereGOV",$L21="F",$C21&lt;&gt;"S",LEN($R21)&gt;100),"Descrição &gt;100",
IF(AND(Import.TipoArredondamento="TransfereGOV",$L21="F",$C21="S",LEN($R21)&gt;500),"Descrição &gt;500",
IF(AND(Import.TipoArredondamento="TransfereGOV",$L21="F",$C21="S",LEFT(TRIM(UPPER($P21)),6)&lt;&gt;"SINAPI",ISNA(VLOOKUP(TRIM(UPPER($S21)),ListaTgov.Unidades,1,FALSE))),"Unid. Não Disp",
" "))))))))))))))))</f>
        <v xml:space="preserve"> </v>
      </c>
      <c r="AD21" t="str">
        <f ca="1">IF(C21&lt;=CRONO.NivelExibicao,MAX($AD$15:OFFSET(AD21,-1,0))+IF($C21&lt;&gt;1,1,MAX(1,COUNTIF(QCI!$A$13:$A$24,OFFSET($E21,-1,0)))),"")</f>
        <v/>
      </c>
      <c r="AE21" s="7" t="str" cm="1">
        <f t="array" aca="1" ref="AE21" ca="1">IF(AND($C21="S",ORÇAMENTO.CodBarra&lt;&gt;""),IF(ORÇAMENTO.Fonte="",ORÇAMENTO.CodBarra,CONCATENATE(ORÇAMENTO.Fonte," ",ORÇAMENTO.CodBarra)))</f>
        <v>SINAPI  103689</v>
      </c>
      <c r="AF21" s="12" t="str" cm="1">
        <f t="array" aca="1" ref="AF21" ca="1">IF(ISERROR(ORÇAMENTO.BancoRef),"(abra o arquivo 'Referência "&amp;Excel_BuiltIn_Database&amp;".xlsm)",IF(OR($C21&lt;&gt;"S",ORÇAMENTO.CodBarra=""),"(Sem Código)",IF(ISERROR(MATCH($AE21,INDIRECT(ORÇAMENTO.BancoRef),0)),"(Código não identificado nas referências)",MATCH($AE21,INDIRECT(ORÇAMENTO.BancoRef),0))))</f>
        <v>(Código não identificado nas referências)</v>
      </c>
      <c r="AG21" s="427" cm="1">
        <f t="array" aca="1" ref="AG21" ca="1">ROUND(IF(DESONERACAO="sim",REFERENCIA.Desonerado,REFERENCIA.NaoDesonerado),2)</f>
        <v>0</v>
      </c>
      <c r="AH21" s="428">
        <f t="shared" ca="1" si="14"/>
        <v>3.09E-2</v>
      </c>
      <c r="AJ21" s="430"/>
      <c r="AL21" s="438"/>
      <c r="AM21" s="335">
        <f t="shared" ca="1" si="0"/>
        <v>2348.37</v>
      </c>
      <c r="AN21" s="469" cm="1">
        <f t="array" aca="1" ref="AN21" ca="1">ROUND(ORÇAMENTO.CustoUnitario*(1+$AH21),2)</f>
        <v>521.86</v>
      </c>
    </row>
    <row r="22" spans="1:40" ht="102" x14ac:dyDescent="0.2">
      <c r="A22" t="str">
        <f t="shared" si="1"/>
        <v>S</v>
      </c>
      <c r="B22">
        <f t="shared" ca="1" si="2"/>
        <v>2</v>
      </c>
      <c r="C22" t="str">
        <f t="shared" ca="1" si="3"/>
        <v>S</v>
      </c>
      <c r="D22">
        <f t="shared" ca="1" si="4"/>
        <v>0</v>
      </c>
      <c r="E22">
        <f ca="1">IF($C22=1,OFFSET(E22,-1,0)+MAX(1,COUNTIF(QCI!$A$13:$A$24,OFFSET(ORÇAMENTO!E22,-1,0))),OFFSET(E22,-1,0))</f>
        <v>1</v>
      </c>
      <c r="F22">
        <f t="shared" ca="1" si="5"/>
        <v>2</v>
      </c>
      <c r="G22">
        <f t="shared" ca="1" si="6"/>
        <v>0</v>
      </c>
      <c r="H22">
        <f t="shared" ca="1" si="7"/>
        <v>0</v>
      </c>
      <c r="I22">
        <f t="shared" ca="1" si="8"/>
        <v>2</v>
      </c>
      <c r="J22">
        <f t="shared" ca="1" si="9"/>
        <v>0</v>
      </c>
      <c r="K22">
        <f ca="1">IF(OR($C22="S",$C22=0),0,MATCH(OFFSET($D22,0,$C22)+IF($C22&lt;&gt;1,1,COUNTIF(QCI!$A$13:$A$24,ORÇAMENTO!E22)),OFFSET($D22,1,$C22,ROW($C$55)-ROW($C22)),0))</f>
        <v>0</v>
      </c>
      <c r="L22" s="113" t="str">
        <f t="shared" ca="1" si="10"/>
        <v>F</v>
      </c>
      <c r="M22" s="114" t="s">
        <v>705</v>
      </c>
      <c r="N22" s="115" t="str">
        <f t="shared" ca="1" si="11"/>
        <v>Serviço</v>
      </c>
      <c r="O22" s="116" t="str">
        <f t="shared" ca="1" si="12"/>
        <v>1.2.2.</v>
      </c>
      <c r="P22" s="117" t="s">
        <v>956</v>
      </c>
      <c r="Q22" s="118" t="s">
        <v>1081</v>
      </c>
      <c r="R22" s="119" t="s">
        <v>1080</v>
      </c>
      <c r="S22" s="120" t="s">
        <v>629</v>
      </c>
      <c r="T22" s="121">
        <f ca="1">OFFSET(CÁLCULO!H$15,ROW($T22)-ROW(T$15),0)</f>
        <v>4</v>
      </c>
      <c r="U22" s="122">
        <v>1638.52</v>
      </c>
      <c r="V22" s="123" t="s">
        <v>663</v>
      </c>
      <c r="W22" s="121" cm="1">
        <f t="array" aca="1" ref="W22" ca="1">IF($C22="S",ROUND(IF(TIPOORCAMENTO="Proposto",ORÇAMENTO.CustoUnitario*(1+$AH22),ORÇAMENTO.PrecoUnitarioLicitado),15-13*$AF$10),0)</f>
        <v>1689.15</v>
      </c>
      <c r="X22" s="124" cm="1">
        <f t="array" aca="1" ref="X22" ca="1">IF($C22="S",IF(OR(Import.TipoArredondamento&lt;&gt;"TransfereGOV",ACOMPANHAMENTO="BM"),VTOTAL1,SUM(OFFSET(CÁLCULO!$AA$15,ROW($X22)-ROW($X$15),1):OFFSET(CÁLCULO!$AL$15,ROW($X22)-ROW($X$15),-1))),IF($C22=0,0,ROUND(SomaAgrup,15-13*$AF$11)))</f>
        <v>6756.6</v>
      </c>
      <c r="Y22" s="125" t="s">
        <v>751</v>
      </c>
      <c r="Z22" t="str">
        <f t="shared" ca="1" si="13"/>
        <v>RA</v>
      </c>
      <c r="AA22" s="126" cm="1">
        <f t="array" aca="1" ref="AA22" ca="1">IF($C22="S",IF($Z22="CP",$X22,IF($Z22="RA",(($X22)*QCI!$AA$3),0)),SomaAgrup)</f>
        <v>19.047630861052372</v>
      </c>
      <c r="AB22" s="127" cm="1">
        <f t="array" aca="1" ref="AB22" ca="1">IF($C22="S",IF($Z22="OU",ROUND($X22,2),0),SomaAgrup)</f>
        <v>0</v>
      </c>
      <c r="AC22" s="564" t="str" cm="1">
        <f t="array" aca="1" ref="AC22" ca="1">IF($N22=""," ",
IF(AND($C22&lt;&gt;"S",OR($R22="",$R22="(digite a descrição aqui)")),"DESCRIÇÃO",
IF(AND($C22="S",OR($Q22&lt;&gt;"",$T22&gt;0,$U22&gt;0),$P22=""),"FONTE",
IF(AND($C22="S",$P22&lt;&gt;"",OR($T22&gt;0,$U22&gt;0),$Q22=""),"CÓDIGO",
IF(AND($C22="S",$P22&lt;&gt;"",$Q22&lt;&gt;"",$R22="(Código não identificado nas referências)"),"CÓDIGO N/ID",
IF(AND($C22="S",OR($R22="",$R22="(digite a descrição aqui)"),OR($Q22&lt;&gt;"",$T22&gt;0,$U22&gt;0)),"DESCRIÇÃO",
IF(AND($C22="S",$P22&lt;&gt;"",$Q22&lt;&gt;"",$S22=""),"UNIDADE",
IF(AND($C22="S",$P22&lt;&gt;"",$Q22&lt;&gt;"",$U22=0),"SEM CUSTO",
IF(AND(TIPOORCAMENTO="Licitado",$AL22=0,$AN22&gt;0),"SEM PREÇO",
IF(AND($C22="S",$P22&lt;&gt;"",$Q22&lt;&gt;"",$U22&gt;0,AND($V22&lt;&gt;"BDI 1",$V22&lt;&gt;"BDI 2",$V22&lt;&gt;"BDI 3")),IF(ISNUMBER($V22),"JUSTIFICAR BDI","BDI"),
IF(OR(AND(import.recurso="OGU",TIPOORCAMENTO="Proposto",LEFT($O$8,5)&lt;&gt;"(N/D:",$AG22&lt;&gt;"",ORÇAMENTO.CustoUnitario&gt;$AG22),AND(TIPOORCAMENTO="LICITADO",ORÇAMENTO.PrecoUnitarioLicitado&gt;$AN22)),"ACIMA REF.",
IF(AND($C22="S",$P22&lt;&gt;"",$Q22&lt;&gt;"",$T22=0,$U22&gt;0),"QUANT.",
IF(AND(Import.TipoArredondamento="TransfereGOV",$L22="F",$C22="S",LEN($Q22)&gt;13),"Código &gt;13",
IF(AND(Import.TipoArredondamento="TransfereGOV",$L22="F",$C22&lt;&gt;"S",LEN($R22)&gt;100),"Descrição &gt;100",
IF(AND(Import.TipoArredondamento="TransfereGOV",$L22="F",$C22="S",LEN($R22)&gt;500),"Descrição &gt;500",
IF(AND(Import.TipoArredondamento="TransfereGOV",$L22="F",$C22="S",LEFT(TRIM(UPPER($P22)),6)&lt;&gt;"SINAPI",ISNA(VLOOKUP(TRIM(UPPER($S22)),ListaTgov.Unidades,1,FALSE))),"Unid. Não Disp",
" "))))))))))))))))</f>
        <v xml:space="preserve"> </v>
      </c>
      <c r="AD22" t="str">
        <f ca="1">IF(C22&lt;=CRONO.NivelExibicao,MAX($AD$15:OFFSET(AD22,-1,0))+IF($C22&lt;&gt;1,1,MAX(1,COUNTIF(QCI!$A$13:$A$24,OFFSET($E22,-1,0)))),"")</f>
        <v/>
      </c>
      <c r="AE22" s="7" t="str" cm="1">
        <f t="array" aca="1" ref="AE22" ca="1">IF(AND($C22="S",ORÇAMENTO.CodBarra&lt;&gt;""),IF(ORÇAMENTO.Fonte="",ORÇAMENTO.CodBarra,CONCATENATE(ORÇAMENTO.Fonte," ",ORÇAMENTO.CodBarra)))</f>
        <v>Composição  ED-16349</v>
      </c>
      <c r="AF22" s="12" t="str" cm="1">
        <f t="array" aca="1" ref="AF22" ca="1">IF(ISERROR(ORÇAMENTO.BancoRef),"(abra o arquivo 'Referência "&amp;Excel_BuiltIn_Database&amp;".xlsm)",IF(OR($C22&lt;&gt;"S",ORÇAMENTO.CodBarra=""),"(Sem Código)",IF(ISERROR(MATCH($AE22,INDIRECT(ORÇAMENTO.BancoRef),0)),"(Código não identificado nas referências)",MATCH($AE22,INDIRECT(ORÇAMENTO.BancoRef),0))))</f>
        <v>(Código não identificado nas referências)</v>
      </c>
      <c r="AG22" s="427" cm="1">
        <f t="array" aca="1" ref="AG22" ca="1">ROUND(IF(DESONERACAO="sim",REFERENCIA.Desonerado,REFERENCIA.NaoDesonerado),2)</f>
        <v>0</v>
      </c>
      <c r="AH22" s="428">
        <f t="shared" ca="1" si="14"/>
        <v>3.09E-2</v>
      </c>
      <c r="AJ22" s="430"/>
      <c r="AL22" s="438"/>
      <c r="AM22" s="335">
        <f t="shared" ca="1" si="0"/>
        <v>6756.6</v>
      </c>
      <c r="AN22" s="469" cm="1">
        <f t="array" aca="1" ref="AN22" ca="1">ROUND(ORÇAMENTO.CustoUnitario*(1+$AH22),2)</f>
        <v>1689.15</v>
      </c>
    </row>
    <row r="23" spans="1:40" x14ac:dyDescent="0.2">
      <c r="A23" t="str">
        <f t="shared" si="1"/>
        <v>S</v>
      </c>
      <c r="B23">
        <f t="shared" ca="1" si="2"/>
        <v>2</v>
      </c>
      <c r="C23" t="str">
        <f t="shared" ca="1" si="3"/>
        <v>S</v>
      </c>
      <c r="D23">
        <f t="shared" ca="1" si="4"/>
        <v>0</v>
      </c>
      <c r="E23">
        <f ca="1">IF($C23=1,OFFSET(E23,-1,0)+MAX(1,COUNTIF(QCI!$A$13:$A$24,OFFSET(ORÇAMENTO!E23,-1,0))),OFFSET(E23,-1,0))</f>
        <v>1</v>
      </c>
      <c r="F23">
        <f t="shared" ca="1" si="5"/>
        <v>2</v>
      </c>
      <c r="G23">
        <f t="shared" ca="1" si="6"/>
        <v>0</v>
      </c>
      <c r="H23">
        <f t="shared" ca="1" si="7"/>
        <v>0</v>
      </c>
      <c r="I23">
        <f t="shared" ca="1" si="8"/>
        <v>3</v>
      </c>
      <c r="J23">
        <f t="shared" ca="1" si="9"/>
        <v>0</v>
      </c>
      <c r="K23">
        <f ca="1">IF(OR($C23="S",$C23=0),0,MATCH(OFFSET($D23,0,$C23)+IF($C23&lt;&gt;1,1,COUNTIF(QCI!$A$13:$A$24,ORÇAMENTO!E23)),OFFSET($D23,1,$C23,ROW($C$55)-ROW($C23)),0))</f>
        <v>0</v>
      </c>
      <c r="L23" s="113" t="str">
        <f t="shared" ca="1" si="10"/>
        <v>F</v>
      </c>
      <c r="M23" s="114" t="s">
        <v>705</v>
      </c>
      <c r="N23" s="115" t="str">
        <f t="shared" ca="1" si="11"/>
        <v>Serviço</v>
      </c>
      <c r="O23" s="116" t="str">
        <f t="shared" ca="1" si="12"/>
        <v>1.2.3.</v>
      </c>
      <c r="P23" s="117" t="s">
        <v>956</v>
      </c>
      <c r="Q23" s="118" t="s">
        <v>1011</v>
      </c>
      <c r="R23" s="119" t="s">
        <v>1012</v>
      </c>
      <c r="S23" s="120" t="s">
        <v>1015</v>
      </c>
      <c r="T23" s="121">
        <f ca="1">OFFSET(CÁLCULO!H$15,ROW($T23)-ROW(T$15),0)</f>
        <v>5</v>
      </c>
      <c r="U23" s="122">
        <v>2164.38</v>
      </c>
      <c r="V23" s="123" t="s">
        <v>663</v>
      </c>
      <c r="W23" s="121" cm="1">
        <f t="array" aca="1" ref="W23" ca="1">IF($C23="S",ROUND(IF(TIPOORCAMENTO="Proposto",ORÇAMENTO.CustoUnitario*(1+$AH23),ORÇAMENTO.PrecoUnitarioLicitado),15-13*$AF$10),0)</f>
        <v>2231.2600000000002</v>
      </c>
      <c r="X23" s="124" cm="1">
        <f t="array" aca="1" ref="X23" ca="1">IF($C23="S",IF(OR(Import.TipoArredondamento&lt;&gt;"TransfereGOV",ACOMPANHAMENTO="BM"),VTOTAL1,SUM(OFFSET(CÁLCULO!$AA$15,ROW($X23)-ROW($X$15),1):OFFSET(CÁLCULO!$AL$15,ROW($X23)-ROW($X$15),-1))),IF($C23=0,0,ROUND(SomaAgrup,15-13*$AF$11)))</f>
        <v>11156.3</v>
      </c>
      <c r="Y23" s="125" t="s">
        <v>751</v>
      </c>
      <c r="Z23" t="str">
        <f t="shared" ca="1" si="13"/>
        <v>RA</v>
      </c>
      <c r="AA23" s="126" cm="1">
        <f t="array" aca="1" ref="AA23" ca="1">IF($C23="S",IF($Z23="CP",$X23,IF($Z23="RA",(($X23)*QCI!$AA$3),0)),SomaAgrup)</f>
        <v>31.450890118574218</v>
      </c>
      <c r="AB23" s="127" cm="1">
        <f t="array" aca="1" ref="AB23" ca="1">IF($C23="S",IF($Z23="OU",ROUND($X23,2),0),SomaAgrup)</f>
        <v>0</v>
      </c>
      <c r="AC23" s="564" t="str" cm="1">
        <f t="array" aca="1" ref="AC23" ca="1">IF($N23=""," ",
IF(AND($C23&lt;&gt;"S",OR($R23="",$R23="(digite a descrição aqui)")),"DESCRIÇÃO",
IF(AND($C23="S",OR($Q23&lt;&gt;"",$T23&gt;0,$U23&gt;0),$P23=""),"FONTE",
IF(AND($C23="S",$P23&lt;&gt;"",OR($T23&gt;0,$U23&gt;0),$Q23=""),"CÓDIGO",
IF(AND($C23="S",$P23&lt;&gt;"",$Q23&lt;&gt;"",$R23="(Código não identificado nas referências)"),"CÓDIGO N/ID",
IF(AND($C23="S",OR($R23="",$R23="(digite a descrição aqui)"),OR($Q23&lt;&gt;"",$T23&gt;0,$U23&gt;0)),"DESCRIÇÃO",
IF(AND($C23="S",$P23&lt;&gt;"",$Q23&lt;&gt;"",$S23=""),"UNIDADE",
IF(AND($C23="S",$P23&lt;&gt;"",$Q23&lt;&gt;"",$U23=0),"SEM CUSTO",
IF(AND(TIPOORCAMENTO="Licitado",$AL23=0,$AN23&gt;0),"SEM PREÇO",
IF(AND($C23="S",$P23&lt;&gt;"",$Q23&lt;&gt;"",$U23&gt;0,AND($V23&lt;&gt;"BDI 1",$V23&lt;&gt;"BDI 2",$V23&lt;&gt;"BDI 3")),IF(ISNUMBER($V23),"JUSTIFICAR BDI","BDI"),
IF(OR(AND(import.recurso="OGU",TIPOORCAMENTO="Proposto",LEFT($O$8,5)&lt;&gt;"(N/D:",$AG23&lt;&gt;"",ORÇAMENTO.CustoUnitario&gt;$AG23),AND(TIPOORCAMENTO="LICITADO",ORÇAMENTO.PrecoUnitarioLicitado&gt;$AN23)),"ACIMA REF.",
IF(AND($C23="S",$P23&lt;&gt;"",$Q23&lt;&gt;"",$T23=0,$U23&gt;0),"QUANT.",
IF(AND(Import.TipoArredondamento="TransfereGOV",$L23="F",$C23="S",LEN($Q23)&gt;13),"Código &gt;13",
IF(AND(Import.TipoArredondamento="TransfereGOV",$L23="F",$C23&lt;&gt;"S",LEN($R23)&gt;100),"Descrição &gt;100",
IF(AND(Import.TipoArredondamento="TransfereGOV",$L23="F",$C23="S",LEN($R23)&gt;500),"Descrição &gt;500",
IF(AND(Import.TipoArredondamento="TransfereGOV",$L23="F",$C23="S",LEFT(TRIM(UPPER($P23)),6)&lt;&gt;"SINAPI",ISNA(VLOOKUP(TRIM(UPPER($S23)),ListaTgov.Unidades,1,FALSE))),"Unid. Não Disp",
" "))))))))))))))))</f>
        <v>Unid. Não Disp</v>
      </c>
      <c r="AD23" t="str">
        <f ca="1">IF(C23&lt;=CRONO.NivelExibicao,MAX($AD$15:OFFSET(AD23,-1,0))+IF($C23&lt;&gt;1,1,MAX(1,COUNTIF(QCI!$A$13:$A$24,OFFSET($E23,-1,0)))),"")</f>
        <v/>
      </c>
      <c r="AE23" s="7" t="str" cm="1">
        <f t="array" aca="1" ref="AE23" ca="1">IF(AND($C23="S",ORÇAMENTO.CodBarra&lt;&gt;""),IF(ORÇAMENTO.Fonte="",ORÇAMENTO.CodBarra,CONCATENATE(ORÇAMENTO.Fonte," ",ORÇAMENTO.CodBarra)))</f>
        <v>Composição CO-27428</v>
      </c>
      <c r="AF23" s="12" t="str" cm="1">
        <f t="array" aca="1" ref="AF23" ca="1">IF(ISERROR(ORÇAMENTO.BancoRef),"(abra o arquivo 'Referência "&amp;Excel_BuiltIn_Database&amp;".xlsm)",IF(OR($C23&lt;&gt;"S",ORÇAMENTO.CodBarra=""),"(Sem Código)",IF(ISERROR(MATCH($AE23,INDIRECT(ORÇAMENTO.BancoRef),0)),"(Código não identificado nas referências)",MATCH($AE23,INDIRECT(ORÇAMENTO.BancoRef),0))))</f>
        <v>(Código não identificado nas referências)</v>
      </c>
      <c r="AG23" s="427" cm="1">
        <f t="array" aca="1" ref="AG23" ca="1">ROUND(IF(DESONERACAO="sim",REFERENCIA.Desonerado,REFERENCIA.NaoDesonerado),2)</f>
        <v>0</v>
      </c>
      <c r="AH23" s="428">
        <f t="shared" ca="1" si="14"/>
        <v>3.09E-2</v>
      </c>
      <c r="AJ23" s="430"/>
      <c r="AL23" s="438"/>
      <c r="AM23" s="335">
        <f t="shared" ca="1" si="0"/>
        <v>11156.3</v>
      </c>
      <c r="AN23" s="469" cm="1">
        <f t="array" aca="1" ref="AN23" ca="1">ROUND(ORÇAMENTO.CustoUnitario*(1+$AH23),2)</f>
        <v>2231.2600000000002</v>
      </c>
    </row>
    <row r="24" spans="1:40" x14ac:dyDescent="0.2">
      <c r="A24" t="str">
        <f t="shared" si="1"/>
        <v>S</v>
      </c>
      <c r="B24">
        <f t="shared" ca="1" si="2"/>
        <v>2</v>
      </c>
      <c r="C24" t="str">
        <f t="shared" ca="1" si="3"/>
        <v>S</v>
      </c>
      <c r="D24">
        <f t="shared" ca="1" si="4"/>
        <v>0</v>
      </c>
      <c r="E24">
        <f ca="1">IF($C24=1,OFFSET(E24,-1,0)+MAX(1,COUNTIF(QCI!$A$13:$A$24,OFFSET(ORÇAMENTO!E24,-1,0))),OFFSET(E24,-1,0))</f>
        <v>1</v>
      </c>
      <c r="F24">
        <f t="shared" ca="1" si="5"/>
        <v>2</v>
      </c>
      <c r="G24">
        <f t="shared" ca="1" si="6"/>
        <v>0</v>
      </c>
      <c r="H24">
        <f t="shared" ca="1" si="7"/>
        <v>0</v>
      </c>
      <c r="I24">
        <f t="shared" ca="1" si="8"/>
        <v>4</v>
      </c>
      <c r="J24">
        <f t="shared" ca="1" si="9"/>
        <v>0</v>
      </c>
      <c r="K24">
        <f ca="1">IF(OR($C24="S",$C24=0),0,MATCH(OFFSET($D24,0,$C24)+IF($C24&lt;&gt;1,1,COUNTIF(QCI!$A$13:$A$24,ORÇAMENTO!E24)),OFFSET($D24,1,$C24,ROW($C$55)-ROW($C24)),0))</f>
        <v>0</v>
      </c>
      <c r="L24" s="113" t="str">
        <f t="shared" ca="1" si="10"/>
        <v>F</v>
      </c>
      <c r="M24" s="114" t="s">
        <v>705</v>
      </c>
      <c r="N24" s="115" t="str">
        <f t="shared" ca="1" si="11"/>
        <v>Serviço</v>
      </c>
      <c r="O24" s="116" t="str">
        <f t="shared" ca="1" si="12"/>
        <v>1.2.4.</v>
      </c>
      <c r="P24" s="117" t="s">
        <v>956</v>
      </c>
      <c r="Q24" s="118" t="s">
        <v>1013</v>
      </c>
      <c r="R24" s="119" t="s">
        <v>1014</v>
      </c>
      <c r="S24" s="120" t="s">
        <v>1015</v>
      </c>
      <c r="T24" s="121">
        <f ca="1">OFFSET(CÁLCULO!H$15,ROW($T24)-ROW(T$15),0)</f>
        <v>2</v>
      </c>
      <c r="U24" s="122">
        <v>1163.52</v>
      </c>
      <c r="V24" s="123" t="s">
        <v>663</v>
      </c>
      <c r="W24" s="121" cm="1">
        <f t="array" aca="1" ref="W24" ca="1">IF($C24="S",ROUND(IF(TIPOORCAMENTO="Proposto",ORÇAMENTO.CustoUnitario*(1+$AH24),ORÇAMENTO.PrecoUnitarioLicitado),15-13*$AF$10),0)</f>
        <v>1199.47</v>
      </c>
      <c r="X24" s="124" cm="1">
        <f t="array" aca="1" ref="X24" ca="1">IF($C24="S",IF(OR(Import.TipoArredondamento&lt;&gt;"TransfereGOV",ACOMPANHAMENTO="BM"),VTOTAL1,SUM(OFFSET(CÁLCULO!$AA$15,ROW($X24)-ROW($X$15),1):OFFSET(CÁLCULO!$AL$15,ROW($X24)-ROW($X$15),-1))),IF($C24=0,0,ROUND(SomaAgrup,15-13*$AF$11)))</f>
        <v>2398.94</v>
      </c>
      <c r="Y24" s="125" t="s">
        <v>751</v>
      </c>
      <c r="Z24" t="str">
        <f t="shared" ca="1" si="13"/>
        <v>RA</v>
      </c>
      <c r="AA24" s="126" cm="1">
        <f t="array" aca="1" ref="AA24" ca="1">IF($C24="S",IF($Z24="CP",$X24,IF($Z24="RA",(($X24)*QCI!$AA$3),0)),SomaAgrup)</f>
        <v>6.7628871884990938</v>
      </c>
      <c r="AB24" s="127" cm="1">
        <f t="array" aca="1" ref="AB24" ca="1">IF($C24="S",IF($Z24="OU",ROUND($X24,2),0),SomaAgrup)</f>
        <v>0</v>
      </c>
      <c r="AC24" s="564" t="str" cm="1">
        <f t="array" aca="1" ref="AC24" ca="1">IF($N24=""," ",
IF(AND($C24&lt;&gt;"S",OR($R24="",$R24="(digite a descrição aqui)")),"DESCRIÇÃO",
IF(AND($C24="S",OR($Q24&lt;&gt;"",$T24&gt;0,$U24&gt;0),$P24=""),"FONTE",
IF(AND($C24="S",$P24&lt;&gt;"",OR($T24&gt;0,$U24&gt;0),$Q24=""),"CÓDIGO",
IF(AND($C24="S",$P24&lt;&gt;"",$Q24&lt;&gt;"",$R24="(Código não identificado nas referências)"),"CÓDIGO N/ID",
IF(AND($C24="S",OR($R24="",$R24="(digite a descrição aqui)"),OR($Q24&lt;&gt;"",$T24&gt;0,$U24&gt;0)),"DESCRIÇÃO",
IF(AND($C24="S",$P24&lt;&gt;"",$Q24&lt;&gt;"",$S24=""),"UNIDADE",
IF(AND($C24="S",$P24&lt;&gt;"",$Q24&lt;&gt;"",$U24=0),"SEM CUSTO",
IF(AND(TIPOORCAMENTO="Licitado",$AL24=0,$AN24&gt;0),"SEM PREÇO",
IF(AND($C24="S",$P24&lt;&gt;"",$Q24&lt;&gt;"",$U24&gt;0,AND($V24&lt;&gt;"BDI 1",$V24&lt;&gt;"BDI 2",$V24&lt;&gt;"BDI 3")),IF(ISNUMBER($V24),"JUSTIFICAR BDI","BDI"),
IF(OR(AND(import.recurso="OGU",TIPOORCAMENTO="Proposto",LEFT($O$8,5)&lt;&gt;"(N/D:",$AG24&lt;&gt;"",ORÇAMENTO.CustoUnitario&gt;$AG24),AND(TIPOORCAMENTO="LICITADO",ORÇAMENTO.PrecoUnitarioLicitado&gt;$AN24)),"ACIMA REF.",
IF(AND($C24="S",$P24&lt;&gt;"",$Q24&lt;&gt;"",$T24=0,$U24&gt;0),"QUANT.",
IF(AND(Import.TipoArredondamento="TransfereGOV",$L24="F",$C24="S",LEN($Q24)&gt;13),"Código &gt;13",
IF(AND(Import.TipoArredondamento="TransfereGOV",$L24="F",$C24&lt;&gt;"S",LEN($R24)&gt;100),"Descrição &gt;100",
IF(AND(Import.TipoArredondamento="TransfereGOV",$L24="F",$C24="S",LEN($R24)&gt;500),"Descrição &gt;500",
IF(AND(Import.TipoArredondamento="TransfereGOV",$L24="F",$C24="S",LEFT(TRIM(UPPER($P24)),6)&lt;&gt;"SINAPI",ISNA(VLOOKUP(TRIM(UPPER($S24)),ListaTgov.Unidades,1,FALSE))),"Unid. Não Disp",
" "))))))))))))))))</f>
        <v>Unid. Não Disp</v>
      </c>
      <c r="AD24" t="str">
        <f ca="1">IF(C24&lt;=CRONO.NivelExibicao,MAX($AD$15:OFFSET(AD24,-1,0))+IF($C24&lt;&gt;1,1,MAX(1,COUNTIF(QCI!$A$13:$A$24,OFFSET($E24,-1,0)))),"")</f>
        <v/>
      </c>
      <c r="AE24" s="7" t="str" cm="1">
        <f t="array" aca="1" ref="AE24" ca="1">IF(AND($C24="S",ORÇAMENTO.CodBarra&lt;&gt;""),IF(ORÇAMENTO.Fonte="",ORÇAMENTO.CodBarra,CONCATENATE(ORÇAMENTO.Fonte," ",ORÇAMENTO.CodBarra)))</f>
        <v>Composição CO-4094</v>
      </c>
      <c r="AF24" s="12" t="str" cm="1">
        <f t="array" aca="1" ref="AF24" ca="1">IF(ISERROR(ORÇAMENTO.BancoRef),"(abra o arquivo 'Referência "&amp;Excel_BuiltIn_Database&amp;".xlsm)",IF(OR($C24&lt;&gt;"S",ORÇAMENTO.CodBarra=""),"(Sem Código)",IF(ISERROR(MATCH($AE24,INDIRECT(ORÇAMENTO.BancoRef),0)),"(Código não identificado nas referências)",MATCH($AE24,INDIRECT(ORÇAMENTO.BancoRef),0))))</f>
        <v>(Código não identificado nas referências)</v>
      </c>
      <c r="AG24" s="427" cm="1">
        <f t="array" aca="1" ref="AG24" ca="1">ROUND(IF(DESONERACAO="sim",REFERENCIA.Desonerado,REFERENCIA.NaoDesonerado),2)</f>
        <v>0</v>
      </c>
      <c r="AH24" s="428">
        <f t="shared" ca="1" si="14"/>
        <v>3.09E-2</v>
      </c>
      <c r="AJ24" s="430"/>
      <c r="AL24" s="438"/>
      <c r="AM24" s="335">
        <f t="shared" ca="1" si="0"/>
        <v>2398.94</v>
      </c>
      <c r="AN24" s="469" cm="1">
        <f t="array" aca="1" ref="AN24" ca="1">ROUND(ORÇAMENTO.CustoUnitario*(1+$AH24),2)</f>
        <v>1199.47</v>
      </c>
    </row>
    <row r="25" spans="1:40" ht="38.25" x14ac:dyDescent="0.2">
      <c r="A25" t="str">
        <f>CHOOSE(1+LOG(1+2*(ORÇAMENTO.Nivel="Meta")+4*(ORÇAMENTO.Nivel="Nível 2")+8*(ORÇAMENTO.Nivel="Nível 3")+16*(ORÇAMENTO.Nivel="Nível 4")+32*(ORÇAMENTO.Nivel="Serviço"),2),0,1,2,3,4,"S")</f>
        <v>S</v>
      </c>
      <c r="B25">
        <f ca="1">IF(OR(C25="s",C25=0),OFFSET(B25,-1,0),C25)</f>
        <v>2</v>
      </c>
      <c r="C25" t="str">
        <f ca="1">IF(OFFSET(C25,-1,0)="L",1,IF(OFFSET(C25,-1,0)=1,2,IF(OR(A25="s",A25=0),"S",IF(AND(OFFSET(C25,-1,0)=2,A25=4),3,IF(AND(OR(OFFSET(C25,-1,0)="s",OFFSET(C25,-1,0)=0),A25&lt;&gt;"s",A25&gt;OFFSET(B25,-1,0)),OFFSET(B25,-1,0),A25)))))</f>
        <v>S</v>
      </c>
      <c r="D25">
        <f ca="1">IF(OR(C25="S",C25=0),0,IF(ISERROR(K25),J25,SMALL(J25:K25,1)))</f>
        <v>0</v>
      </c>
      <c r="E25">
        <f ca="1">IF($C25=1,OFFSET(E25,-1,0)+MAX(1,COUNTIF(QCI!$A$13:$A$24,OFFSET(ORÇAMENTO!E25,-1,0))),OFFSET(E25,-1,0))</f>
        <v>1</v>
      </c>
      <c r="F25">
        <f ca="1">IF($C25=1,0,IF($C25=2,OFFSET(F25,-1,0)+1,OFFSET(F25,-1,0)))</f>
        <v>2</v>
      </c>
      <c r="G25">
        <f ca="1">IF(AND($C25&lt;=2,$C25&lt;&gt;0),0,IF($C25=3,OFFSET(G25,-1,0)+1,OFFSET(G25,-1,0)))</f>
        <v>0</v>
      </c>
      <c r="H25">
        <f ca="1">IF(AND($C25&lt;=3,$C25&lt;&gt;0),0,IF($C25=4,OFFSET(H25,-1,0)+1,OFFSET(H25,-1,0)))</f>
        <v>0</v>
      </c>
      <c r="I25">
        <f ca="1">IF(AND($C25&lt;=4,$C25&lt;&gt;0),0,IF(AND($C25="S",$X25&gt;0),OFFSET(I25,-1,0)+1,OFFSET(I25,-1,0)))</f>
        <v>5</v>
      </c>
      <c r="J25">
        <f t="shared" ca="1" si="9"/>
        <v>0</v>
      </c>
      <c r="K25">
        <f ca="1">IF(OR($C25="S",$C25=0),0,MATCH(OFFSET($D25,0,$C25)+IF($C25&lt;&gt;1,1,COUNTIF(QCI!$A$13:$A$24,ORÇAMENTO!E25)),OFFSET($D25,1,$C25,ROW($C$55)-ROW($C25)),0))</f>
        <v>0</v>
      </c>
      <c r="L25" s="113" t="str">
        <f ca="1">IF(OR($X25&gt;0,$C25=1,$C25=2,$C25=3,$C25=4),"F","")</f>
        <v>F</v>
      </c>
      <c r="M25" s="114" t="s">
        <v>705</v>
      </c>
      <c r="N25" s="115" t="str">
        <f ca="1">CHOOSE(1+LOG(1+2*(C25=1)+4*(C25=2)+8*(C25=3)+16*(C25=4)+32*(C25="S"),2),"","Meta","Nível 2","Nível 3","Nível 4","Serviço")</f>
        <v>Serviço</v>
      </c>
      <c r="O25" s="116" t="str">
        <f ca="1">IF(OR($C25=0,$L25=""),"-",CONCATENATE(E25&amp;".",IF(AND($A$5&gt;=2,$C25&gt;=2),F25&amp;".",""),IF(AND($A$5&gt;=3,$C25&gt;=3),G25&amp;".",""),IF(AND($A$5&gt;=4,$C25&gt;=4),H25&amp;".",""),IF($C25="S",I25&amp;".","")))</f>
        <v>1.2.5.</v>
      </c>
      <c r="P25" s="117" t="s">
        <v>750</v>
      </c>
      <c r="Q25" s="118" t="s">
        <v>1083</v>
      </c>
      <c r="R25" s="119" t="s">
        <v>1082</v>
      </c>
      <c r="S25" s="120" t="s">
        <v>615</v>
      </c>
      <c r="T25" s="121">
        <f ca="1">OFFSET(CÁLCULO!H$15,ROW($T25)-ROW(T$15),0)</f>
        <v>320</v>
      </c>
      <c r="U25" s="122">
        <v>49.19</v>
      </c>
      <c r="V25" s="123" t="s">
        <v>663</v>
      </c>
      <c r="W25" s="121" cm="1">
        <f t="array" aca="1" ref="W25" ca="1">IF($C25="S",ROUND(IF(TIPOORCAMENTO="Proposto",ORÇAMENTO.CustoUnitario*(1+$AH25),ORÇAMENTO.PrecoUnitarioLicitado),15-13*$AF$10),0)</f>
        <v>50.71</v>
      </c>
      <c r="X25" s="124" cm="1">
        <f t="array" aca="1" ref="X25" ca="1">IF($C25="S",IF(OR(Import.TipoArredondamento&lt;&gt;"TransfereGOV",ACOMPANHAMENTO="BM"),VTOTAL1,SUM(OFFSET(CÁLCULO!$AA$15,ROW($X25)-ROW($X$15),1):OFFSET(CÁLCULO!$AL$15,ROW($X25)-ROW($X$15),-1))),IF($C25=0,0,ROUND(SomaAgrup,15-13*$AF$11)))</f>
        <v>16227.2</v>
      </c>
      <c r="Y25" s="125" t="s">
        <v>751</v>
      </c>
      <c r="Z25" t="str">
        <f ca="1">IF(AND($C25="S",$X25&gt;0),IF(ISBLANK($Y25),"RA",LEFT($Y25,2)),"")</f>
        <v>RA</v>
      </c>
      <c r="AA25" s="126" cm="1">
        <f t="array" aca="1" ref="AA25" ca="1">IF($C25="S",IF($Z25="CP",$X25,IF($Z25="RA",(($X25)*QCI!$AA$3),0)),SomaAgrup)</f>
        <v>45.7463392103231</v>
      </c>
      <c r="AB25" s="127" cm="1">
        <f t="array" aca="1" ref="AB25" ca="1">IF($C25="S",IF($Z25="OU",ROUND($X25,2),0),SomaAgrup)</f>
        <v>0</v>
      </c>
      <c r="AC25" s="564" t="str" cm="1">
        <f t="array" aca="1" ref="AC25" ca="1">IF($N25=""," ",
IF(AND($C25&lt;&gt;"S",OR($R25="",$R25="(digite a descrição aqui)")),"DESCRIÇÃO",
IF(AND($C25="S",OR($Q25&lt;&gt;"",$T25&gt;0,$U25&gt;0),$P25=""),"FONTE",
IF(AND($C25="S",$P25&lt;&gt;"",OR($T25&gt;0,$U25&gt;0),$Q25=""),"CÓDIGO",
IF(AND($C25="S",$P25&lt;&gt;"",$Q25&lt;&gt;"",$R25="(Código não identificado nas referências)"),"CÓDIGO N/ID",
IF(AND($C25="S",OR($R25="",$R25="(digite a descrição aqui)"),OR($Q25&lt;&gt;"",$T25&gt;0,$U25&gt;0)),"DESCRIÇÃO",
IF(AND($C25="S",$P25&lt;&gt;"",$Q25&lt;&gt;"",$S25=""),"UNIDADE",
IF(AND($C25="S",$P25&lt;&gt;"",$Q25&lt;&gt;"",$U25=0),"SEM CUSTO",
IF(AND(TIPOORCAMENTO="Licitado",$AL25=0,$AN25&gt;0),"SEM PREÇO",
IF(AND($C25="S",$P25&lt;&gt;"",$Q25&lt;&gt;"",$U25&gt;0,AND($V25&lt;&gt;"BDI 1",$V25&lt;&gt;"BDI 2",$V25&lt;&gt;"BDI 3")),IF(ISNUMBER($V25),"JUSTIFICAR BDI","BDI"),
IF(OR(AND(import.recurso="OGU",TIPOORCAMENTO="Proposto",LEFT($O$8,5)&lt;&gt;"(N/D:",$AG25&lt;&gt;"",ORÇAMENTO.CustoUnitario&gt;$AG25),AND(TIPOORCAMENTO="LICITADO",ORÇAMENTO.PrecoUnitarioLicitado&gt;$AN25)),"ACIMA REF.",
IF(AND($C25="S",$P25&lt;&gt;"",$Q25&lt;&gt;"",$T25=0,$U25&gt;0),"QUANT.",
IF(AND(Import.TipoArredondamento="TransfereGOV",$L25="F",$C25="S",LEN($Q25)&gt;13),"Código &gt;13",
IF(AND(Import.TipoArredondamento="TransfereGOV",$L25="F",$C25&lt;&gt;"S",LEN($R25)&gt;100),"Descrição &gt;100",
IF(AND(Import.TipoArredondamento="TransfereGOV",$L25="F",$C25="S",LEN($R25)&gt;500),"Descrição &gt;500",
IF(AND(Import.TipoArredondamento="TransfereGOV",$L25="F",$C25="S",LEFT(TRIM(UPPER($P25)),6)&lt;&gt;"SINAPI",ISNA(VLOOKUP(TRIM(UPPER($S25)),ListaTgov.Unidades,1,FALSE))),"Unid. Não Disp",
" "))))))))))))))))</f>
        <v xml:space="preserve"> </v>
      </c>
      <c r="AD25" t="str">
        <f ca="1">IF(C25&lt;=CRONO.NivelExibicao,MAX($AD$15:OFFSET(AD25,-1,0))+IF($C25&lt;&gt;1,1,MAX(1,COUNTIF(QCI!$A$13:$A$24,OFFSET($E25,-1,0)))),"")</f>
        <v/>
      </c>
      <c r="AE25" s="7" t="str" cm="1">
        <f t="array" aca="1" ref="AE25" ca="1">IF(AND($C25="S",ORÇAMENTO.CodBarra&lt;&gt;""),IF(ORÇAMENTO.Fonte="",ORÇAMENTO.CodBarra,CONCATENATE(ORÇAMENTO.Fonte," ",ORÇAMENTO.CodBarra)))</f>
        <v>SINAPI  83766</v>
      </c>
      <c r="AF25" s="12" t="str" cm="1">
        <f t="array" aca="1" ref="AF25" ca="1">IF(ISERROR(ORÇAMENTO.BancoRef),"(abra o arquivo 'Referência "&amp;Excel_BuiltIn_Database&amp;".xlsm)",IF(OR($C25&lt;&gt;"S",ORÇAMENTO.CodBarra=""),"(Sem Código)",IF(ISERROR(MATCH($AE25,INDIRECT(ORÇAMENTO.BancoRef),0)),"(Código não identificado nas referências)",MATCH($AE25,INDIRECT(ORÇAMENTO.BancoRef),0))))</f>
        <v>(Código não identificado nas referências)</v>
      </c>
      <c r="AG25" s="427" cm="1">
        <f t="array" aca="1" ref="AG25" ca="1">ROUND(IF(DESONERACAO="sim",REFERENCIA.Desonerado,REFERENCIA.NaoDesonerado),2)</f>
        <v>0</v>
      </c>
      <c r="AH25" s="428">
        <f ca="1">ROUND(IF(ISNUMBER(ORÇAMENTO.OpcaoBDI),ORÇAMENTO.OpcaoBDI,IF(LEFT(ORÇAMENTO.OpcaoBDI,3)="BDI",HLOOKUP(ORÇAMENTO.OpcaoBDI,$F$4:$H$5,2,FALSE),0)),15-11*$AF$9)</f>
        <v>3.09E-2</v>
      </c>
      <c r="AJ25" s="430"/>
      <c r="AL25" s="438"/>
      <c r="AM25" s="335">
        <f t="shared" ca="1" si="0"/>
        <v>16227.2</v>
      </c>
      <c r="AN25" s="469" cm="1">
        <f t="array" aca="1" ref="AN25" ca="1">ROUND(ORÇAMENTO.CustoUnitario*(1+$AH25),2)</f>
        <v>50.71</v>
      </c>
    </row>
    <row r="26" spans="1:40" ht="38.25" x14ac:dyDescent="0.2">
      <c r="A26" t="str">
        <f>CHOOSE(1+LOG(1+2*(ORÇAMENTO.Nivel="Meta")+4*(ORÇAMENTO.Nivel="Nível 2")+8*(ORÇAMENTO.Nivel="Nível 3")+16*(ORÇAMENTO.Nivel="Nível 4")+32*(ORÇAMENTO.Nivel="Serviço"),2),0,1,2,3,4,"S")</f>
        <v>S</v>
      </c>
      <c r="B26">
        <f ca="1">IF(OR(C26="s",C26=0),OFFSET(B26,-1,0),C26)</f>
        <v>2</v>
      </c>
      <c r="C26" t="str">
        <f ca="1">IF(OFFSET(C26,-1,0)="L",1,IF(OFFSET(C26,-1,0)=1,2,IF(OR(A26="s",A26=0),"S",IF(AND(OFFSET(C26,-1,0)=2,A26=4),3,IF(AND(OR(OFFSET(C26,-1,0)="s",OFFSET(C26,-1,0)=0),A26&lt;&gt;"s",A26&gt;OFFSET(B26,-1,0)),OFFSET(B26,-1,0),A26)))))</f>
        <v>S</v>
      </c>
      <c r="D26">
        <f ca="1">IF(OR(C26="S",C26=0),0,IF(ISERROR(K26),J26,SMALL(J26:K26,1)))</f>
        <v>0</v>
      </c>
      <c r="E26">
        <f ca="1">IF($C26=1,OFFSET(E26,-1,0)+MAX(1,COUNTIF(QCI!$A$13:$A$24,OFFSET(ORÇAMENTO!E26,-1,0))),OFFSET(E26,-1,0))</f>
        <v>1</v>
      </c>
      <c r="F26">
        <f ca="1">IF($C26=1,0,IF($C26=2,OFFSET(F26,-1,0)+1,OFFSET(F26,-1,0)))</f>
        <v>2</v>
      </c>
      <c r="G26">
        <f ca="1">IF(AND($C26&lt;=2,$C26&lt;&gt;0),0,IF($C26=3,OFFSET(G26,-1,0)+1,OFFSET(G26,-1,0)))</f>
        <v>0</v>
      </c>
      <c r="H26">
        <f ca="1">IF(AND($C26&lt;=3,$C26&lt;&gt;0),0,IF($C26=4,OFFSET(H26,-1,0)+1,OFFSET(H26,-1,0)))</f>
        <v>0</v>
      </c>
      <c r="I26">
        <f ca="1">IF(AND($C26&lt;=4,$C26&lt;&gt;0),0,IF(AND($C26="S",$X26&gt;0),OFFSET(I26,-1,0)+1,OFFSET(I26,-1,0)))</f>
        <v>6</v>
      </c>
      <c r="J26">
        <f t="shared" ca="1" si="9"/>
        <v>0</v>
      </c>
      <c r="K26">
        <f ca="1">IF(OR($C26="S",$C26=0),0,MATCH(OFFSET($D26,0,$C26)+IF($C26&lt;&gt;1,1,COUNTIF(QCI!$A$13:$A$24,ORÇAMENTO!E26)),OFFSET($D26,1,$C26,ROW($C$55)-ROW($C26)),0))</f>
        <v>0</v>
      </c>
      <c r="L26" s="113" t="str">
        <f ca="1">IF(OR($X26&gt;0,$C26=1,$C26=2,$C26=3,$C26=4),"F","")</f>
        <v>F</v>
      </c>
      <c r="M26" s="114" t="s">
        <v>705</v>
      </c>
      <c r="N26" s="115" t="str">
        <f ca="1">CHOOSE(1+LOG(1+2*(C26=1)+4*(C26=2)+8*(C26=3)+16*(C26=4)+32*(C26="S"),2),"","Meta","Nível 2","Nível 3","Nível 4","Serviço")</f>
        <v>Serviço</v>
      </c>
      <c r="O26" s="116" t="str">
        <f ca="1">IF(OR($C26=0,$L26=""),"-",CONCATENATE(E26&amp;".",IF(AND($A$5&gt;=2,$C26&gt;=2),F26&amp;".",""),IF(AND($A$5&gt;=3,$C26&gt;=3),G26&amp;".",""),IF(AND($A$5&gt;=4,$C26&gt;=4),H26&amp;".",""),IF($C26="S",I26&amp;".","")))</f>
        <v>1.2.6.</v>
      </c>
      <c r="P26" s="117" t="s">
        <v>956</v>
      </c>
      <c r="Q26" s="118" t="s">
        <v>1061</v>
      </c>
      <c r="R26" s="119" t="s">
        <v>1060</v>
      </c>
      <c r="S26" s="120" t="s">
        <v>1062</v>
      </c>
      <c r="T26" s="121">
        <f ca="1">OFFSET(CÁLCULO!H$15,ROW($T26)-ROW(T$15),0)</f>
        <v>30</v>
      </c>
      <c r="U26" s="122">
        <v>69.55</v>
      </c>
      <c r="V26" s="123" t="s">
        <v>663</v>
      </c>
      <c r="W26" s="121" cm="1">
        <f t="array" aca="1" ref="W26" ca="1">IF($C26="S",ROUND(IF(TIPOORCAMENTO="Proposto",ORÇAMENTO.CustoUnitario*(1+$AH26),ORÇAMENTO.PrecoUnitarioLicitado),15-13*$AF$10),0)</f>
        <v>71.7</v>
      </c>
      <c r="X26" s="124" cm="1">
        <f t="array" aca="1" ref="X26" ca="1">IF($C26="S",IF(OR(Import.TipoArredondamento&lt;&gt;"TransfereGOV",ACOMPANHAMENTO="BM"),VTOTAL1,SUM(OFFSET(CÁLCULO!$AA$15,ROW($X26)-ROW($X$15),1):OFFSET(CÁLCULO!$AL$15,ROW($X26)-ROW($X$15),-1))),IF($C26=0,0,ROUND(SomaAgrup,15-13*$AF$11)))</f>
        <v>2151</v>
      </c>
      <c r="Y26" s="125" t="s">
        <v>751</v>
      </c>
      <c r="Z26" t="str">
        <f ca="1">IF(AND($C26="S",$X26&gt;0),IF(ISBLANK($Y26),"RA",LEFT($Y26,2)),"")</f>
        <v>RA</v>
      </c>
      <c r="AA26" s="126" cm="1">
        <f t="array" aca="1" ref="AA26" ca="1">IF($C26="S",IF($Z26="CP",$X26,IF($Z26="RA",(($X26)*QCI!$AA$3),0)),SomaAgrup)</f>
        <v>6.0639158722025357</v>
      </c>
      <c r="AB26" s="127" cm="1">
        <f t="array" aca="1" ref="AB26" ca="1">IF($C26="S",IF($Z26="OU",ROUND($X26,2),0),SomaAgrup)</f>
        <v>0</v>
      </c>
      <c r="AC26" s="564" t="str" cm="1">
        <f t="array" aca="1" ref="AC26" ca="1">IF($N26=""," ",
IF(AND($C26&lt;&gt;"S",OR($R26="",$R26="(digite a descrição aqui)")),"DESCRIÇÃO",
IF(AND($C26="S",OR($Q26&lt;&gt;"",$T26&gt;0,$U26&gt;0),$P26=""),"FONTE",
IF(AND($C26="S",$P26&lt;&gt;"",OR($T26&gt;0,$U26&gt;0),$Q26=""),"CÓDIGO",
IF(AND($C26="S",$P26&lt;&gt;"",$Q26&lt;&gt;"",$R26="(Código não identificado nas referências)"),"CÓDIGO N/ID",
IF(AND($C26="S",OR($R26="",$R26="(digite a descrição aqui)"),OR($Q26&lt;&gt;"",$T26&gt;0,$U26&gt;0)),"DESCRIÇÃO",
IF(AND($C26="S",$P26&lt;&gt;"",$Q26&lt;&gt;"",$S26=""),"UNIDADE",
IF(AND($C26="S",$P26&lt;&gt;"",$Q26&lt;&gt;"",$U26=0),"SEM CUSTO",
IF(AND(TIPOORCAMENTO="Licitado",$AL26=0,$AN26&gt;0),"SEM PREÇO",
IF(AND($C26="S",$P26&lt;&gt;"",$Q26&lt;&gt;"",$U26&gt;0,AND($V26&lt;&gt;"BDI 1",$V26&lt;&gt;"BDI 2",$V26&lt;&gt;"BDI 3")),IF(ISNUMBER($V26),"JUSTIFICAR BDI","BDI"),
IF(OR(AND(import.recurso="OGU",TIPOORCAMENTO="Proposto",LEFT($O$8,5)&lt;&gt;"(N/D:",$AG26&lt;&gt;"",ORÇAMENTO.CustoUnitario&gt;$AG26),AND(TIPOORCAMENTO="LICITADO",ORÇAMENTO.PrecoUnitarioLicitado&gt;$AN26)),"ACIMA REF.",
IF(AND($C26="S",$P26&lt;&gt;"",$Q26&lt;&gt;"",$T26=0,$U26&gt;0),"QUANT.",
IF(AND(Import.TipoArredondamento="TransfereGOV",$L26="F",$C26="S",LEN($Q26)&gt;13),"Código &gt;13",
IF(AND(Import.TipoArredondamento="TransfereGOV",$L26="F",$C26&lt;&gt;"S",LEN($R26)&gt;100),"Descrição &gt;100",
IF(AND(Import.TipoArredondamento="TransfereGOV",$L26="F",$C26="S",LEN($R26)&gt;500),"Descrição &gt;500",
IF(AND(Import.TipoArredondamento="TransfereGOV",$L26="F",$C26="S",LEFT(TRIM(UPPER($P26)),6)&lt;&gt;"SINAPI",ISNA(VLOOKUP(TRIM(UPPER($S26)),ListaTgov.Unidades,1,FALSE))),"Unid. Não Disp",
" "))))))))))))))))</f>
        <v>Unid. Não Disp</v>
      </c>
      <c r="AD26" t="str">
        <f ca="1">IF(C26&lt;=CRONO.NivelExibicao,MAX($AD$15:OFFSET(AD26,-1,0))+IF($C26&lt;&gt;1,1,MAX(1,COUNTIF(QCI!$A$13:$A$24,OFFSET($E26,-1,0)))),"")</f>
        <v/>
      </c>
      <c r="AE26" s="7" t="str" cm="1">
        <f t="array" aca="1" ref="AE26" ca="1">IF(AND($C26="S",ORÇAMENTO.CodBarra&lt;&gt;""),IF(ORÇAMENTO.Fonte="",ORÇAMENTO.CodBarra,CONCATENATE(ORÇAMENTO.Fonte," ",ORÇAMENTO.CodBarra)))</f>
        <v>Composição  ED-50275</v>
      </c>
      <c r="AF26" s="12" t="str" cm="1">
        <f t="array" aca="1" ref="AF26" ca="1">IF(ISERROR(ORÇAMENTO.BancoRef),"(abra o arquivo 'Referência "&amp;Excel_BuiltIn_Database&amp;".xlsm)",IF(OR($C26&lt;&gt;"S",ORÇAMENTO.CodBarra=""),"(Sem Código)",IF(ISERROR(MATCH($AE26,INDIRECT(ORÇAMENTO.BancoRef),0)),"(Código não identificado nas referências)",MATCH($AE26,INDIRECT(ORÇAMENTO.BancoRef),0))))</f>
        <v>(Código não identificado nas referências)</v>
      </c>
      <c r="AG26" s="427" cm="1">
        <f t="array" aca="1" ref="AG26" ca="1">ROUND(IF(DESONERACAO="sim",REFERENCIA.Desonerado,REFERENCIA.NaoDesonerado),2)</f>
        <v>0</v>
      </c>
      <c r="AH26" s="428">
        <f ca="1">ROUND(IF(ISNUMBER(ORÇAMENTO.OpcaoBDI),ORÇAMENTO.OpcaoBDI,IF(LEFT(ORÇAMENTO.OpcaoBDI,3)="BDI",HLOOKUP(ORÇAMENTO.OpcaoBDI,$F$4:$H$5,2,FALSE),0)),15-11*$AF$9)</f>
        <v>3.09E-2</v>
      </c>
      <c r="AJ26" s="430"/>
      <c r="AL26" s="438"/>
      <c r="AM26" s="335">
        <f t="shared" ca="1" si="0"/>
        <v>2151</v>
      </c>
      <c r="AN26" s="469" cm="1">
        <f t="array" aca="1" ref="AN26" ca="1">ROUND(ORÇAMENTO.CustoUnitario*(1+$AH26),2)</f>
        <v>71.7</v>
      </c>
    </row>
    <row r="27" spans="1:40" x14ac:dyDescent="0.2">
      <c r="A27">
        <f t="shared" si="1"/>
        <v>2</v>
      </c>
      <c r="B27">
        <f t="shared" ca="1" si="2"/>
        <v>2</v>
      </c>
      <c r="C27">
        <f t="shared" ca="1" si="3"/>
        <v>2</v>
      </c>
      <c r="D27">
        <f t="shared" ca="1" si="4"/>
        <v>3</v>
      </c>
      <c r="E27">
        <f ca="1">IF($C27=1,OFFSET(E27,-1,0)+MAX(1,COUNTIF(QCI!$A$13:$A$24,OFFSET(ORÇAMENTO!E27,-1,0))),OFFSET(E27,-1,0))</f>
        <v>1</v>
      </c>
      <c r="F27">
        <f t="shared" ca="1" si="5"/>
        <v>3</v>
      </c>
      <c r="G27">
        <f t="shared" ca="1" si="6"/>
        <v>0</v>
      </c>
      <c r="H27">
        <f t="shared" ca="1" si="7"/>
        <v>0</v>
      </c>
      <c r="I27">
        <f t="shared" ca="1" si="8"/>
        <v>0</v>
      </c>
      <c r="J27">
        <f t="shared" ca="1" si="9"/>
        <v>28</v>
      </c>
      <c r="K27">
        <f ca="1">IF(OR($C27="S",$C27=0),0,MATCH(OFFSET($D27,0,$C27)+IF($C27&lt;&gt;1,1,COUNTIF(QCI!$A$13:$A$24,ORÇAMENTO!E27)),OFFSET($D27,1,$C27,ROW($C$55)-ROW($C27)),0))</f>
        <v>3</v>
      </c>
      <c r="L27" s="113" t="str">
        <f t="shared" ca="1" si="10"/>
        <v>F</v>
      </c>
      <c r="M27" s="114" t="s">
        <v>702</v>
      </c>
      <c r="N27" s="115" t="str">
        <f t="shared" ca="1" si="11"/>
        <v>Nível 2</v>
      </c>
      <c r="O27" s="116" t="str">
        <f t="shared" ca="1" si="12"/>
        <v>1.3.</v>
      </c>
      <c r="P27" s="117" t="s">
        <v>750</v>
      </c>
      <c r="Q27" s="118"/>
      <c r="R27" s="119" t="s">
        <v>1018</v>
      </c>
      <c r="S27" s="120" t="str" cm="1">
        <f t="array" aca="1" ref="S27" ca="1">REFERENCIA.Unidade</f>
        <v>-</v>
      </c>
      <c r="T27" s="121">
        <f ca="1">OFFSET(CÁLCULO!H$15,ROW($T27)-ROW(T$15),0)</f>
        <v>0</v>
      </c>
      <c r="U27" s="122"/>
      <c r="V27" s="123" t="s">
        <v>663</v>
      </c>
      <c r="W27" s="121" cm="1">
        <f t="array" aca="1" ref="W27" ca="1">IF($C27="S",ROUND(IF(TIPOORCAMENTO="Proposto",ORÇAMENTO.CustoUnitario*(1+$AH27),ORÇAMENTO.PrecoUnitarioLicitado),15-13*$AF$10),0)</f>
        <v>0</v>
      </c>
      <c r="X27" s="124" cm="1">
        <f t="array" aca="1" ref="X27" ca="1">IF($C27="S",IF(OR(Import.TipoArredondamento&lt;&gt;"TransfereGOV",ACOMPANHAMENTO="BM"),VTOTAL1,SUM(OFFSET(CÁLCULO!$AA$15,ROW($X27)-ROW($X$15),1):OFFSET(CÁLCULO!$AL$15,ROW($X27)-ROW($X$15),-1))),IF($C27=0,0,ROUND(SomaAgrup,15-13*$AF$11)))</f>
        <v>7697.01</v>
      </c>
      <c r="Y27" s="125" t="s">
        <v>751</v>
      </c>
      <c r="Z27" t="str">
        <f t="shared" ca="1" si="13"/>
        <v/>
      </c>
      <c r="AA27" s="126" cm="1">
        <f t="array" aca="1" ref="AA27" ca="1">IF($C27="S",IF($Z27="CP",$X27,IF($Z27="RA",(($X27)*QCI!$AA$3),0)),SomaAgrup)</f>
        <v>21.698754582752969</v>
      </c>
      <c r="AB27" s="127" cm="1">
        <f t="array" aca="1" ref="AB27" ca="1">IF($C27="S",IF($Z27="OU",ROUND($X27,2),0),SomaAgrup)</f>
        <v>0</v>
      </c>
      <c r="AC27" s="564" t="str" cm="1">
        <f t="array" aca="1" ref="AC27" ca="1">IF($N27=""," ",
IF(AND($C27&lt;&gt;"S",OR($R27="",$R27="(digite a descrição aqui)")),"DESCRIÇÃO",
IF(AND($C27="S",OR($Q27&lt;&gt;"",$T27&gt;0,$U27&gt;0),$P27=""),"FONTE",
IF(AND($C27="S",$P27&lt;&gt;"",OR($T27&gt;0,$U27&gt;0),$Q27=""),"CÓDIGO",
IF(AND($C27="S",$P27&lt;&gt;"",$Q27&lt;&gt;"",$R27="(Código não identificado nas referências)"),"CÓDIGO N/ID",
IF(AND($C27="S",OR($R27="",$R27="(digite a descrição aqui)"),OR($Q27&lt;&gt;"",$T27&gt;0,$U27&gt;0)),"DESCRIÇÃO",
IF(AND($C27="S",$P27&lt;&gt;"",$Q27&lt;&gt;"",$S27=""),"UNIDADE",
IF(AND($C27="S",$P27&lt;&gt;"",$Q27&lt;&gt;"",$U27=0),"SEM CUSTO",
IF(AND(TIPOORCAMENTO="Licitado",$AL27=0,$AN27&gt;0),"SEM PREÇO",
IF(AND($C27="S",$P27&lt;&gt;"",$Q27&lt;&gt;"",$U27&gt;0,AND($V27&lt;&gt;"BDI 1",$V27&lt;&gt;"BDI 2",$V27&lt;&gt;"BDI 3")),IF(ISNUMBER($V27),"JUSTIFICAR BDI","BDI"),
IF(OR(AND(import.recurso="OGU",TIPOORCAMENTO="Proposto",LEFT($O$8,5)&lt;&gt;"(N/D:",$AG27&lt;&gt;"",ORÇAMENTO.CustoUnitario&gt;$AG27),AND(TIPOORCAMENTO="LICITADO",ORÇAMENTO.PrecoUnitarioLicitado&gt;$AN27)),"ACIMA REF.",
IF(AND($C27="S",$P27&lt;&gt;"",$Q27&lt;&gt;"",$T27=0,$U27&gt;0),"QUANT.",
IF(AND(Import.TipoArredondamento="TransfereGOV",$L27="F",$C27="S",LEN($Q27)&gt;13),"Código &gt;13",
IF(AND(Import.TipoArredondamento="TransfereGOV",$L27="F",$C27&lt;&gt;"S",LEN($R27)&gt;100),"Descrição &gt;100",
IF(AND(Import.TipoArredondamento="TransfereGOV",$L27="F",$C27="S",LEN($R27)&gt;500),"Descrição &gt;500",
IF(AND(Import.TipoArredondamento="TransfereGOV",$L27="F",$C27="S",LEFT(TRIM(UPPER($P27)),6)&lt;&gt;"SINAPI",ISNA(VLOOKUP(TRIM(UPPER($S27)),ListaTgov.Unidades,1,FALSE))),"Unid. Não Disp",
" "))))))))))))))))</f>
        <v xml:space="preserve"> </v>
      </c>
      <c r="AD27">
        <f ca="1">IF(C27&lt;=CRONO.NivelExibicao,MAX($AD$15:OFFSET(AD27,-1,0))+IF($C27&lt;&gt;1,1,MAX(1,COUNTIF(QCI!$A$13:$A$24,OFFSET($E27,-1,0)))),"")</f>
        <v>4</v>
      </c>
      <c r="AE27" s="7" t="b" cm="1">
        <f t="array" aca="1" ref="AE27" ca="1">IF(AND($C27="S",ORÇAMENTO.CodBarra&lt;&gt;""),IF(ORÇAMENTO.Fonte="",ORÇAMENTO.CodBarra,CONCATENATE(ORÇAMENTO.Fonte," ",ORÇAMENTO.CodBarra)))</f>
        <v>0</v>
      </c>
      <c r="AF27" s="12" t="str" cm="1">
        <f t="array" aca="1" ref="AF27" ca="1">IF(ISERROR(ORÇAMENTO.BancoRef),"(abra o arquivo 'Referência "&amp;Excel_BuiltIn_Database&amp;".xlsm)",IF(OR($C27&lt;&gt;"S",ORÇAMENTO.CodBarra=""),"(Sem Código)",IF(ISERROR(MATCH($AE27,INDIRECT(ORÇAMENTO.BancoRef),0)),"(Código não identificado nas referências)",MATCH($AE27,INDIRECT(ORÇAMENTO.BancoRef),0))))</f>
        <v>(Sem Código)</v>
      </c>
      <c r="AG27" s="427" cm="1">
        <f t="array" aca="1" ref="AG27" ca="1">ROUND(IF(DESONERACAO="sim",REFERENCIA.Desonerado,REFERENCIA.NaoDesonerado),2)</f>
        <v>0</v>
      </c>
      <c r="AH27" s="428">
        <f t="shared" ca="1" si="14"/>
        <v>3.09E-2</v>
      </c>
      <c r="AJ27" s="430"/>
      <c r="AL27" s="438"/>
      <c r="AM27" s="335">
        <f t="shared" ca="1" si="0"/>
        <v>7697.01</v>
      </c>
      <c r="AN27" s="469" cm="1">
        <f t="array" aca="1" ref="AN27" ca="1">ROUND(ORÇAMENTO.CustoUnitario*(1+$AH27),2)</f>
        <v>0</v>
      </c>
    </row>
    <row r="28" spans="1:40" ht="25.5" x14ac:dyDescent="0.2">
      <c r="A28" t="str">
        <f t="shared" si="1"/>
        <v>S</v>
      </c>
      <c r="B28">
        <f t="shared" ca="1" si="2"/>
        <v>2</v>
      </c>
      <c r="C28" t="str">
        <f t="shared" ca="1" si="3"/>
        <v>S</v>
      </c>
      <c r="D28">
        <f t="shared" ca="1" si="4"/>
        <v>0</v>
      </c>
      <c r="E28">
        <f ca="1">IF($C28=1,OFFSET(E28,-1,0)+MAX(1,COUNTIF(QCI!$A$13:$A$24,OFFSET(ORÇAMENTO!E28,-1,0))),OFFSET(E28,-1,0))</f>
        <v>1</v>
      </c>
      <c r="F28">
        <f t="shared" ca="1" si="5"/>
        <v>3</v>
      </c>
      <c r="G28">
        <f t="shared" ca="1" si="6"/>
        <v>0</v>
      </c>
      <c r="H28">
        <f t="shared" ca="1" si="7"/>
        <v>0</v>
      </c>
      <c r="I28">
        <f t="shared" ca="1" si="8"/>
        <v>1</v>
      </c>
      <c r="J28">
        <f t="shared" ca="1" si="9"/>
        <v>0</v>
      </c>
      <c r="K28">
        <f ca="1">IF(OR($C28="S",$C28=0),0,MATCH(OFFSET($D28,0,$C28)+IF($C28&lt;&gt;1,1,COUNTIF(QCI!$A$13:$A$24,ORÇAMENTO!E28)),OFFSET($D28,1,$C28,ROW($C$55)-ROW($C28)),0))</f>
        <v>0</v>
      </c>
      <c r="L28" s="113" t="str">
        <f t="shared" ca="1" si="10"/>
        <v>F</v>
      </c>
      <c r="M28" s="114" t="s">
        <v>705</v>
      </c>
      <c r="N28" s="115" t="str">
        <f t="shared" ca="1" si="11"/>
        <v>Serviço</v>
      </c>
      <c r="O28" s="116" t="str">
        <f t="shared" ca="1" si="12"/>
        <v>1.3.1.</v>
      </c>
      <c r="P28" s="117" t="s">
        <v>750</v>
      </c>
      <c r="Q28" s="118" t="s">
        <v>1046</v>
      </c>
      <c r="R28" s="119" t="s">
        <v>1053</v>
      </c>
      <c r="S28" s="120" t="s">
        <v>627</v>
      </c>
      <c r="T28" s="121">
        <f ca="1">OFFSET(CÁLCULO!H$15,ROW($T28)-ROW(T$15),0)</f>
        <v>1238.95</v>
      </c>
      <c r="U28" s="122">
        <v>3.17</v>
      </c>
      <c r="V28" s="123" t="s">
        <v>663</v>
      </c>
      <c r="W28" s="121" cm="1">
        <f t="array" aca="1" ref="W28" ca="1">IF($C28="S",ROUND(IF(TIPOORCAMENTO="Proposto",ORÇAMENTO.CustoUnitario*(1+$AH28),ORÇAMENTO.PrecoUnitarioLicitado),15-13*$AF$10),0)</f>
        <v>3.27</v>
      </c>
      <c r="X28" s="124" cm="1">
        <f t="array" aca="1" ref="X28" ca="1">IF($C28="S",IF(OR(Import.TipoArredondamento&lt;&gt;"TransfereGOV",ACOMPANHAMENTO="BM"),VTOTAL1,SUM(OFFSET(CÁLCULO!$AA$15,ROW($X28)-ROW($X$15),1):OFFSET(CÁLCULO!$AL$15,ROW($X28)-ROW($X$15),-1))),IF($C28=0,0,ROUND(SomaAgrup,15-13*$AF$11)))</f>
        <v>4051.37</v>
      </c>
      <c r="Y28" s="125" t="s">
        <v>751</v>
      </c>
      <c r="Z28" t="str">
        <f t="shared" ca="1" si="13"/>
        <v>RA</v>
      </c>
      <c r="AA28" s="126" cm="1">
        <f t="array" aca="1" ref="AA28" ca="1">IF($C28="S",IF($Z28="CP",$X28,IF($Z28="RA",(($X28)*QCI!$AA$3),0)),SomaAgrup)</f>
        <v>11.421277009374796</v>
      </c>
      <c r="AB28" s="127" cm="1">
        <f t="array" aca="1" ref="AB28" ca="1">IF($C28="S",IF($Z28="OU",ROUND($X28,2),0),SomaAgrup)</f>
        <v>0</v>
      </c>
      <c r="AC28" s="564" t="str" cm="1">
        <f t="array" aca="1" ref="AC28" ca="1">IF($N28=""," ",
IF(AND($C28&lt;&gt;"S",OR($R28="",$R28="(digite a descrição aqui)")),"DESCRIÇÃO",
IF(AND($C28="S",OR($Q28&lt;&gt;"",$T28&gt;0,$U28&gt;0),$P28=""),"FONTE",
IF(AND($C28="S",$P28&lt;&gt;"",OR($T28&gt;0,$U28&gt;0),$Q28=""),"CÓDIGO",
IF(AND($C28="S",$P28&lt;&gt;"",$Q28&lt;&gt;"",$R28="(Código não identificado nas referências)"),"CÓDIGO N/ID",
IF(AND($C28="S",OR($R28="",$R28="(digite a descrição aqui)"),OR($Q28&lt;&gt;"",$T28&gt;0,$U28&gt;0)),"DESCRIÇÃO",
IF(AND($C28="S",$P28&lt;&gt;"",$Q28&lt;&gt;"",$S28=""),"UNIDADE",
IF(AND($C28="S",$P28&lt;&gt;"",$Q28&lt;&gt;"",$U28=0),"SEM CUSTO",
IF(AND(TIPOORCAMENTO="Licitado",$AL28=0,$AN28&gt;0),"SEM PREÇO",
IF(AND($C28="S",$P28&lt;&gt;"",$Q28&lt;&gt;"",$U28&gt;0,AND($V28&lt;&gt;"BDI 1",$V28&lt;&gt;"BDI 2",$V28&lt;&gt;"BDI 3")),IF(ISNUMBER($V28),"JUSTIFICAR BDI","BDI"),
IF(OR(AND(import.recurso="OGU",TIPOORCAMENTO="Proposto",LEFT($O$8,5)&lt;&gt;"(N/D:",$AG28&lt;&gt;"",ORÇAMENTO.CustoUnitario&gt;$AG28),AND(TIPOORCAMENTO="LICITADO",ORÇAMENTO.PrecoUnitarioLicitado&gt;$AN28)),"ACIMA REF.",
IF(AND($C28="S",$P28&lt;&gt;"",$Q28&lt;&gt;"",$T28=0,$U28&gt;0),"QUANT.",
IF(AND(Import.TipoArredondamento="TransfereGOV",$L28="F",$C28="S",LEN($Q28)&gt;13),"Código &gt;13",
IF(AND(Import.TipoArredondamento="TransfereGOV",$L28="F",$C28&lt;&gt;"S",LEN($R28)&gt;100),"Descrição &gt;100",
IF(AND(Import.TipoArredondamento="TransfereGOV",$L28="F",$C28="S",LEN($R28)&gt;500),"Descrição &gt;500",
IF(AND(Import.TipoArredondamento="TransfereGOV",$L28="F",$C28="S",LEFT(TRIM(UPPER($P28)),6)&lt;&gt;"SINAPI",ISNA(VLOOKUP(TRIM(UPPER($S28)),ListaTgov.Unidades,1,FALSE))),"Unid. Não Disp",
" "))))))))))))))))</f>
        <v xml:space="preserve"> </v>
      </c>
      <c r="AD28" t="str">
        <f ca="1">IF(C28&lt;=CRONO.NivelExibicao,MAX($AD$15:OFFSET(AD28,-1,0))+IF($C28&lt;&gt;1,1,MAX(1,COUNTIF(QCI!$A$13:$A$24,OFFSET($E28,-1,0)))),"")</f>
        <v/>
      </c>
      <c r="AE28" s="7" t="str" cm="1">
        <f t="array" aca="1" ref="AE28" ca="1">IF(AND($C28="S",ORÇAMENTO.CodBarra&lt;&gt;""),IF(ORÇAMENTO.Fonte="",ORÇAMENTO.CodBarra,CONCATENATE(ORÇAMENTO.Fonte," ",ORÇAMENTO.CodBarra)))</f>
        <v>SINAPI 93588</v>
      </c>
      <c r="AF28" s="12" t="str" cm="1">
        <f t="array" aca="1" ref="AF28" ca="1">IF(ISERROR(ORÇAMENTO.BancoRef),"(abra o arquivo 'Referência "&amp;Excel_BuiltIn_Database&amp;".xlsm)",IF(OR($C28&lt;&gt;"S",ORÇAMENTO.CodBarra=""),"(Sem Código)",IF(ISERROR(MATCH($AE28,INDIRECT(ORÇAMENTO.BancoRef),0)),"(Código não identificado nas referências)",MATCH($AE28,INDIRECT(ORÇAMENTO.BancoRef),0))))</f>
        <v>(Código não identificado nas referências)</v>
      </c>
      <c r="AG28" s="427" cm="1">
        <f t="array" aca="1" ref="AG28" ca="1">ROUND(IF(DESONERACAO="sim",REFERENCIA.Desonerado,REFERENCIA.NaoDesonerado),2)</f>
        <v>0</v>
      </c>
      <c r="AH28" s="428">
        <f t="shared" ca="1" si="14"/>
        <v>3.09E-2</v>
      </c>
      <c r="AJ28" s="430"/>
      <c r="AL28" s="438"/>
      <c r="AM28" s="335">
        <f t="shared" ca="1" si="0"/>
        <v>4051.37</v>
      </c>
      <c r="AN28" s="469" cm="1">
        <f t="array" aca="1" ref="AN28" ca="1">ROUND(ORÇAMENTO.CustoUnitario*(1+$AH28),2)</f>
        <v>3.27</v>
      </c>
    </row>
    <row r="29" spans="1:40" ht="38.25" x14ac:dyDescent="0.2">
      <c r="A29" t="str">
        <f t="shared" si="1"/>
        <v>S</v>
      </c>
      <c r="B29">
        <f t="shared" ca="1" si="2"/>
        <v>2</v>
      </c>
      <c r="C29" t="str">
        <f t="shared" ca="1" si="3"/>
        <v>S</v>
      </c>
      <c r="D29">
        <f t="shared" ca="1" si="4"/>
        <v>0</v>
      </c>
      <c r="E29">
        <f ca="1">IF($C29=1,OFFSET(E29,-1,0)+MAX(1,COUNTIF(QCI!$A$13:$A$24,OFFSET(ORÇAMENTO!E29,-1,0))),OFFSET(E29,-1,0))</f>
        <v>1</v>
      </c>
      <c r="F29">
        <f t="shared" ca="1" si="5"/>
        <v>3</v>
      </c>
      <c r="G29">
        <f t="shared" ca="1" si="6"/>
        <v>0</v>
      </c>
      <c r="H29">
        <f t="shared" ca="1" si="7"/>
        <v>0</v>
      </c>
      <c r="I29">
        <f t="shared" ca="1" si="8"/>
        <v>2</v>
      </c>
      <c r="J29">
        <f t="shared" ca="1" si="9"/>
        <v>0</v>
      </c>
      <c r="K29">
        <f ca="1">IF(OR($C29="S",$C29=0),0,MATCH(OFFSET($D29,0,$C29)+IF($C29&lt;&gt;1,1,COUNTIF(QCI!$A$13:$A$24,ORÇAMENTO!E29)),OFFSET($D29,1,$C29,ROW($C$55)-ROW($C29)),0))</f>
        <v>0</v>
      </c>
      <c r="L29" s="113" t="str">
        <f t="shared" ca="1" si="10"/>
        <v>F</v>
      </c>
      <c r="M29" s="114" t="s">
        <v>705</v>
      </c>
      <c r="N29" s="115" t="str">
        <f t="shared" ca="1" si="11"/>
        <v>Serviço</v>
      </c>
      <c r="O29" s="116" t="str">
        <f t="shared" ca="1" si="12"/>
        <v>1.3.2.</v>
      </c>
      <c r="P29" s="117" t="s">
        <v>955</v>
      </c>
      <c r="Q29" s="118" t="s">
        <v>1064</v>
      </c>
      <c r="R29" s="119" t="s">
        <v>1063</v>
      </c>
      <c r="S29" s="120" t="s">
        <v>625</v>
      </c>
      <c r="T29" s="121">
        <f ca="1">OFFSET(CÁLCULO!H$15,ROW($T29)-ROW(T$15),0)</f>
        <v>309.74</v>
      </c>
      <c r="U29" s="122">
        <v>11.42</v>
      </c>
      <c r="V29" s="123" t="s">
        <v>663</v>
      </c>
      <c r="W29" s="121" cm="1">
        <f t="array" aca="1" ref="W29" ca="1">IF($C29="S",ROUND(IF(TIPOORCAMENTO="Proposto",ORÇAMENTO.CustoUnitario*(1+$AH29),ORÇAMENTO.PrecoUnitarioLicitado),15-13*$AF$10),0)</f>
        <v>11.77</v>
      </c>
      <c r="X29" s="124" cm="1">
        <f t="array" aca="1" ref="X29" ca="1">IF($C29="S",IF(OR(Import.TipoArredondamento&lt;&gt;"TransfereGOV",ACOMPANHAMENTO="BM"),VTOTAL1,SUM(OFFSET(CÁLCULO!$AA$15,ROW($X29)-ROW($X$15),1):OFFSET(CÁLCULO!$AL$15,ROW($X29)-ROW($X$15),-1))),IF($C29=0,0,ROUND(SomaAgrup,15-13*$AF$11)))</f>
        <v>3645.64</v>
      </c>
      <c r="Y29" s="125" t="s">
        <v>751</v>
      </c>
      <c r="Z29" t="str">
        <f t="shared" ca="1" si="13"/>
        <v>RA</v>
      </c>
      <c r="AA29" s="126" cm="1">
        <f t="array" aca="1" ref="AA29" ca="1">IF($C29="S",IF($Z29="CP",$X29,IF($Z29="RA",(($X29)*QCI!$AA$3),0)),SomaAgrup)</f>
        <v>10.277477573378174</v>
      </c>
      <c r="AB29" s="127" cm="1">
        <f t="array" aca="1" ref="AB29" ca="1">IF($C29="S",IF($Z29="OU",ROUND($X29,2),0),SomaAgrup)</f>
        <v>0</v>
      </c>
      <c r="AC29" s="564" t="str" cm="1">
        <f t="array" aca="1" ref="AC29" ca="1">IF($N29=""," ",
IF(AND($C29&lt;&gt;"S",OR($R29="",$R29="(digite a descrição aqui)")),"DESCRIÇÃO",
IF(AND($C29="S",OR($Q29&lt;&gt;"",$T29&gt;0,$U29&gt;0),$P29=""),"FONTE",
IF(AND($C29="S",$P29&lt;&gt;"",OR($T29&gt;0,$U29&gt;0),$Q29=""),"CÓDIGO",
IF(AND($C29="S",$P29&lt;&gt;"",$Q29&lt;&gt;"",$R29="(Código não identificado nas referências)"),"CÓDIGO N/ID",
IF(AND($C29="S",OR($R29="",$R29="(digite a descrição aqui)"),OR($Q29&lt;&gt;"",$T29&gt;0,$U29&gt;0)),"DESCRIÇÃO",
IF(AND($C29="S",$P29&lt;&gt;"",$Q29&lt;&gt;"",$S29=""),"UNIDADE",
IF(AND($C29="S",$P29&lt;&gt;"",$Q29&lt;&gt;"",$U29=0),"SEM CUSTO",
IF(AND(TIPOORCAMENTO="Licitado",$AL29=0,$AN29&gt;0),"SEM PREÇO",
IF(AND($C29="S",$P29&lt;&gt;"",$Q29&lt;&gt;"",$U29&gt;0,AND($V29&lt;&gt;"BDI 1",$V29&lt;&gt;"BDI 2",$V29&lt;&gt;"BDI 3")),IF(ISNUMBER($V29),"JUSTIFICAR BDI","BDI"),
IF(OR(AND(import.recurso="OGU",TIPOORCAMENTO="Proposto",LEFT($O$8,5)&lt;&gt;"(N/D:",$AG29&lt;&gt;"",ORÇAMENTO.CustoUnitario&gt;$AG29),AND(TIPOORCAMENTO="LICITADO",ORÇAMENTO.PrecoUnitarioLicitado&gt;$AN29)),"ACIMA REF.",
IF(AND($C29="S",$P29&lt;&gt;"",$Q29&lt;&gt;"",$T29=0,$U29&gt;0),"QUANT.",
IF(AND(Import.TipoArredondamento="TransfereGOV",$L29="F",$C29="S",LEN($Q29)&gt;13),"Código &gt;13",
IF(AND(Import.TipoArredondamento="TransfereGOV",$L29="F",$C29&lt;&gt;"S",LEN($R29)&gt;100),"Descrição &gt;100",
IF(AND(Import.TipoArredondamento="TransfereGOV",$L29="F",$C29="S",LEN($R29)&gt;500),"Descrição &gt;500",
IF(AND(Import.TipoArredondamento="TransfereGOV",$L29="F",$C29="S",LEFT(TRIM(UPPER($P29)),6)&lt;&gt;"SINAPI",ISNA(VLOOKUP(TRIM(UPPER($S29)),ListaTgov.Unidades,1,FALSE))),"Unid. Não Disp",
" "))))))))))))))))</f>
        <v xml:space="preserve"> </v>
      </c>
      <c r="AD29" t="str">
        <f ca="1">IF(C29&lt;=CRONO.NivelExibicao,MAX($AD$15:OFFSET(AD29,-1,0))+IF($C29&lt;&gt;1,1,MAX(1,COUNTIF(QCI!$A$13:$A$24,OFFSET($E29,-1,0)))),"")</f>
        <v/>
      </c>
      <c r="AE29" s="7" t="str" cm="1">
        <f t="array" aca="1" ref="AE29" ca="1">IF(AND($C29="S",ORÇAMENTO.CodBarra&lt;&gt;""),IF(ORÇAMENTO.Fonte="",ORÇAMENTO.CodBarra,CONCATENATE(ORÇAMENTO.Fonte," ",ORÇAMENTO.CodBarra)))</f>
        <v>SICRO  5502591</v>
      </c>
      <c r="AF29" s="12" t="str" cm="1">
        <f t="array" aca="1" ref="AF29" ca="1">IF(ISERROR(ORÇAMENTO.BancoRef),"(abra o arquivo 'Referência "&amp;Excel_BuiltIn_Database&amp;".xlsm)",IF(OR($C29&lt;&gt;"S",ORÇAMENTO.CodBarra=""),"(Sem Código)",IF(ISERROR(MATCH($AE29,INDIRECT(ORÇAMENTO.BancoRef),0)),"(Código não identificado nas referências)",MATCH($AE29,INDIRECT(ORÇAMENTO.BancoRef),0))))</f>
        <v>(Código não identificado nas referências)</v>
      </c>
      <c r="AG29" s="427" cm="1">
        <f t="array" aca="1" ref="AG29" ca="1">ROUND(IF(DESONERACAO="sim",REFERENCIA.Desonerado,REFERENCIA.NaoDesonerado),2)</f>
        <v>0</v>
      </c>
      <c r="AH29" s="428">
        <f t="shared" ca="1" si="14"/>
        <v>3.09E-2</v>
      </c>
      <c r="AJ29" s="430"/>
      <c r="AL29" s="438"/>
      <c r="AM29" s="335">
        <f t="shared" ca="1" si="0"/>
        <v>3645.64</v>
      </c>
      <c r="AN29" s="469" cm="1">
        <f t="array" aca="1" ref="AN29" ca="1">ROUND(ORÇAMENTO.CustoUnitario*(1+$AH29),2)</f>
        <v>11.77</v>
      </c>
    </row>
    <row r="30" spans="1:40" x14ac:dyDescent="0.2">
      <c r="A30">
        <f t="shared" si="1"/>
        <v>2</v>
      </c>
      <c r="B30">
        <f t="shared" ca="1" si="2"/>
        <v>2</v>
      </c>
      <c r="C30">
        <f t="shared" ca="1" si="3"/>
        <v>2</v>
      </c>
      <c r="D30">
        <f t="shared" ca="1" si="4"/>
        <v>3</v>
      </c>
      <c r="E30">
        <f ca="1">IF($C30=1,OFFSET(E30,-1,0)+MAX(1,COUNTIF(QCI!$A$13:$A$24,OFFSET(ORÇAMENTO!E30,-1,0))),OFFSET(E30,-1,0))</f>
        <v>1</v>
      </c>
      <c r="F30">
        <f t="shared" ca="1" si="5"/>
        <v>4</v>
      </c>
      <c r="G30">
        <f t="shared" ca="1" si="6"/>
        <v>0</v>
      </c>
      <c r="H30">
        <f t="shared" ca="1" si="7"/>
        <v>0</v>
      </c>
      <c r="I30">
        <f t="shared" ca="1" si="8"/>
        <v>0</v>
      </c>
      <c r="J30">
        <f t="shared" ca="1" si="9"/>
        <v>25</v>
      </c>
      <c r="K30">
        <f ca="1">IF(OR($C30="S",$C30=0),0,MATCH(OFFSET($D30,0,$C30)+IF($C30&lt;&gt;1,1,COUNTIF(QCI!$A$13:$A$24,ORÇAMENTO!E30)),OFFSET($D30,1,$C30,ROW($C$55)-ROW($C30)),0))</f>
        <v>3</v>
      </c>
      <c r="L30" s="113" t="str">
        <f t="shared" ca="1" si="10"/>
        <v>F</v>
      </c>
      <c r="M30" s="114" t="s">
        <v>702</v>
      </c>
      <c r="N30" s="115" t="str">
        <f t="shared" ca="1" si="11"/>
        <v>Nível 2</v>
      </c>
      <c r="O30" s="116" t="str">
        <f t="shared" ca="1" si="12"/>
        <v>1.4.</v>
      </c>
      <c r="P30" s="117" t="s">
        <v>750</v>
      </c>
      <c r="Q30" s="118"/>
      <c r="R30" s="119" t="s">
        <v>1019</v>
      </c>
      <c r="S30" s="120" t="str" cm="1">
        <f t="array" aca="1" ref="S30" ca="1">REFERENCIA.Unidade</f>
        <v>-</v>
      </c>
      <c r="T30" s="121">
        <f ca="1">OFFSET(CÁLCULO!H$15,ROW($T30)-ROW(T$15),0)</f>
        <v>0</v>
      </c>
      <c r="U30" s="122"/>
      <c r="V30" s="123" t="s">
        <v>663</v>
      </c>
      <c r="W30" s="121" cm="1">
        <f t="array" aca="1" ref="W30" ca="1">IF($C30="S",ROUND(IF(TIPOORCAMENTO="Proposto",ORÇAMENTO.CustoUnitario*(1+$AH30),ORÇAMENTO.PrecoUnitarioLicitado),15-13*$AF$10),0)</f>
        <v>0</v>
      </c>
      <c r="X30" s="124" cm="1">
        <f t="array" aca="1" ref="X30" ca="1">IF($C30="S",IF(OR(Import.TipoArredondamento&lt;&gt;"TransfereGOV",ACOMPANHAMENTO="BM"),VTOTAL1,SUM(OFFSET(CÁLCULO!$AA$15,ROW($X30)-ROW($X$15),1):OFFSET(CÁLCULO!$AL$15,ROW($X30)-ROW($X$15),-1))),IF($C30=0,0,ROUND(SomaAgrup,15-13*$AF$11)))</f>
        <v>54577.58</v>
      </c>
      <c r="Y30" s="125" t="s">
        <v>751</v>
      </c>
      <c r="Z30" t="str">
        <f t="shared" ca="1" si="13"/>
        <v/>
      </c>
      <c r="AA30" s="126" cm="1">
        <f t="array" aca="1" ref="AA30" ca="1">IF($C30="S",IF($Z30="CP",$X30,IF($Z30="RA",(($X30)*QCI!$AA$3),0)),SomaAgrup)</f>
        <v>153.86046193789105</v>
      </c>
      <c r="AB30" s="127" cm="1">
        <f t="array" aca="1" ref="AB30" ca="1">IF($C30="S",IF($Z30="OU",ROUND($X30,2),0),SomaAgrup)</f>
        <v>0</v>
      </c>
      <c r="AC30" s="564" t="str" cm="1">
        <f t="array" aca="1" ref="AC30" ca="1">IF($N30=""," ",
IF(AND($C30&lt;&gt;"S",OR($R30="",$R30="(digite a descrição aqui)")),"DESCRIÇÃO",
IF(AND($C30="S",OR($Q30&lt;&gt;"",$T30&gt;0,$U30&gt;0),$P30=""),"FONTE",
IF(AND($C30="S",$P30&lt;&gt;"",OR($T30&gt;0,$U30&gt;0),$Q30=""),"CÓDIGO",
IF(AND($C30="S",$P30&lt;&gt;"",$Q30&lt;&gt;"",$R30="(Código não identificado nas referências)"),"CÓDIGO N/ID",
IF(AND($C30="S",OR($R30="",$R30="(digite a descrição aqui)"),OR($Q30&lt;&gt;"",$T30&gt;0,$U30&gt;0)),"DESCRIÇÃO",
IF(AND($C30="S",$P30&lt;&gt;"",$Q30&lt;&gt;"",$S30=""),"UNIDADE",
IF(AND($C30="S",$P30&lt;&gt;"",$Q30&lt;&gt;"",$U30=0),"SEM CUSTO",
IF(AND(TIPOORCAMENTO="Licitado",$AL30=0,$AN30&gt;0),"SEM PREÇO",
IF(AND($C30="S",$P30&lt;&gt;"",$Q30&lt;&gt;"",$U30&gt;0,AND($V30&lt;&gt;"BDI 1",$V30&lt;&gt;"BDI 2",$V30&lt;&gt;"BDI 3")),IF(ISNUMBER($V30),"JUSTIFICAR BDI","BDI"),
IF(OR(AND(import.recurso="OGU",TIPOORCAMENTO="Proposto",LEFT($O$8,5)&lt;&gt;"(N/D:",$AG30&lt;&gt;"",ORÇAMENTO.CustoUnitario&gt;$AG30),AND(TIPOORCAMENTO="LICITADO",ORÇAMENTO.PrecoUnitarioLicitado&gt;$AN30)),"ACIMA REF.",
IF(AND($C30="S",$P30&lt;&gt;"",$Q30&lt;&gt;"",$T30=0,$U30&gt;0),"QUANT.",
IF(AND(Import.TipoArredondamento="TransfereGOV",$L30="F",$C30="S",LEN($Q30)&gt;13),"Código &gt;13",
IF(AND(Import.TipoArredondamento="TransfereGOV",$L30="F",$C30&lt;&gt;"S",LEN($R30)&gt;100),"Descrição &gt;100",
IF(AND(Import.TipoArredondamento="TransfereGOV",$L30="F",$C30="S",LEN($R30)&gt;500),"Descrição &gt;500",
IF(AND(Import.TipoArredondamento="TransfereGOV",$L30="F",$C30="S",LEFT(TRIM(UPPER($P30)),6)&lt;&gt;"SINAPI",ISNA(VLOOKUP(TRIM(UPPER($S30)),ListaTgov.Unidades,1,FALSE))),"Unid. Não Disp",
" "))))))))))))))))</f>
        <v xml:space="preserve"> </v>
      </c>
      <c r="AD30">
        <f ca="1">IF(C30&lt;=CRONO.NivelExibicao,MAX($AD$15:OFFSET(AD30,-1,0))+IF($C30&lt;&gt;1,1,MAX(1,COUNTIF(QCI!$A$13:$A$24,OFFSET($E30,-1,0)))),"")</f>
        <v>5</v>
      </c>
      <c r="AE30" s="7" t="b" cm="1">
        <f t="array" aca="1" ref="AE30" ca="1">IF(AND($C30="S",ORÇAMENTO.CodBarra&lt;&gt;""),IF(ORÇAMENTO.Fonte="",ORÇAMENTO.CodBarra,CONCATENATE(ORÇAMENTO.Fonte," ",ORÇAMENTO.CodBarra)))</f>
        <v>0</v>
      </c>
      <c r="AF30" s="12" t="str" cm="1">
        <f t="array" aca="1" ref="AF30" ca="1">IF(ISERROR(ORÇAMENTO.BancoRef),"(abra o arquivo 'Referência "&amp;Excel_BuiltIn_Database&amp;".xlsm)",IF(OR($C30&lt;&gt;"S",ORÇAMENTO.CodBarra=""),"(Sem Código)",IF(ISERROR(MATCH($AE30,INDIRECT(ORÇAMENTO.BancoRef),0)),"(Código não identificado nas referências)",MATCH($AE30,INDIRECT(ORÇAMENTO.BancoRef),0))))</f>
        <v>(Sem Código)</v>
      </c>
      <c r="AG30" s="427" cm="1">
        <f t="array" aca="1" ref="AG30" ca="1">ROUND(IF(DESONERACAO="sim",REFERENCIA.Desonerado,REFERENCIA.NaoDesonerado),2)</f>
        <v>0</v>
      </c>
      <c r="AH30" s="428">
        <f t="shared" ca="1" si="14"/>
        <v>3.09E-2</v>
      </c>
      <c r="AJ30" s="430"/>
      <c r="AL30" s="438"/>
      <c r="AM30" s="335">
        <f t="shared" ca="1" si="0"/>
        <v>54577.58</v>
      </c>
      <c r="AN30" s="469" cm="1">
        <f t="array" aca="1" ref="AN30" ca="1">ROUND(ORÇAMENTO.CustoUnitario*(1+$AH30),2)</f>
        <v>0</v>
      </c>
    </row>
    <row r="31" spans="1:40" ht="38.25" x14ac:dyDescent="0.2">
      <c r="A31" t="str">
        <f t="shared" si="1"/>
        <v>S</v>
      </c>
      <c r="B31">
        <f t="shared" ca="1" si="2"/>
        <v>2</v>
      </c>
      <c r="C31" t="str">
        <f t="shared" ca="1" si="3"/>
        <v>S</v>
      </c>
      <c r="D31">
        <f t="shared" ca="1" si="4"/>
        <v>0</v>
      </c>
      <c r="E31">
        <f ca="1">IF($C31=1,OFFSET(E31,-1,0)+MAX(1,COUNTIF(QCI!$A$13:$A$24,OFFSET(ORÇAMENTO!E31,-1,0))),OFFSET(E31,-1,0))</f>
        <v>1</v>
      </c>
      <c r="F31">
        <f t="shared" ca="1" si="5"/>
        <v>4</v>
      </c>
      <c r="G31">
        <f t="shared" ca="1" si="6"/>
        <v>0</v>
      </c>
      <c r="H31">
        <f t="shared" ca="1" si="7"/>
        <v>0</v>
      </c>
      <c r="I31">
        <f t="shared" ca="1" si="8"/>
        <v>1</v>
      </c>
      <c r="J31">
        <f t="shared" ca="1" si="9"/>
        <v>0</v>
      </c>
      <c r="K31">
        <f ca="1">IF(OR($C31="S",$C31=0),0,MATCH(OFFSET($D31,0,$C31)+IF($C31&lt;&gt;1,1,COUNTIF(QCI!$A$13:$A$24,ORÇAMENTO!E31)),OFFSET($D31,1,$C31,ROW($C$55)-ROW($C31)),0))</f>
        <v>0</v>
      </c>
      <c r="L31" s="113" t="str">
        <f t="shared" ca="1" si="10"/>
        <v>F</v>
      </c>
      <c r="M31" s="114" t="s">
        <v>705</v>
      </c>
      <c r="N31" s="115" t="str">
        <f t="shared" ca="1" si="11"/>
        <v>Serviço</v>
      </c>
      <c r="O31" s="116" t="str">
        <f t="shared" ca="1" si="12"/>
        <v>1.4.1.</v>
      </c>
      <c r="P31" s="117" t="s">
        <v>750</v>
      </c>
      <c r="Q31" s="118" t="s">
        <v>1020</v>
      </c>
      <c r="R31" s="119" t="s">
        <v>1021</v>
      </c>
      <c r="S31" s="120" t="s">
        <v>621</v>
      </c>
      <c r="T31" s="121">
        <f ca="1">OFFSET(CÁLCULO!H$15,ROW($T31)-ROW(T$15),0)</f>
        <v>180</v>
      </c>
      <c r="U31" s="122">
        <v>280.12</v>
      </c>
      <c r="V31" s="123" t="s">
        <v>663</v>
      </c>
      <c r="W31" s="121" cm="1">
        <f t="array" aca="1" ref="W31" ca="1">IF($C31="S",ROUND(IF(TIPOORCAMENTO="Proposto",ORÇAMENTO.CustoUnitario*(1+$AH31),ORÇAMENTO.PrecoUnitarioLicitado),15-13*$AF$10),0)</f>
        <v>288.77999999999997</v>
      </c>
      <c r="X31" s="124" cm="1">
        <f t="array" aca="1" ref="X31" ca="1">IF($C31="S",IF(OR(Import.TipoArredondamento&lt;&gt;"TransfereGOV",ACOMPANHAMENTO="BM"),VTOTAL1,SUM(OFFSET(CÁLCULO!$AA$15,ROW($X31)-ROW($X$15),1):OFFSET(CÁLCULO!$AL$15,ROW($X31)-ROW($X$15),-1))),IF($C31=0,0,ROUND(SomaAgrup,15-13*$AF$11)))</f>
        <v>51980.4</v>
      </c>
      <c r="Y31" s="125" t="s">
        <v>751</v>
      </c>
      <c r="Z31" t="str">
        <f t="shared" ca="1" si="13"/>
        <v>RA</v>
      </c>
      <c r="AA31" s="126" cm="1">
        <f t="array" aca="1" ref="AA31" ca="1">IF($C31="S",IF($Z31="CP",$X31,IF($Z31="RA",(($X31)*QCI!$AA$3),0)),SomaAgrup)</f>
        <v>146.53871343720905</v>
      </c>
      <c r="AB31" s="127" cm="1">
        <f t="array" aca="1" ref="AB31" ca="1">IF($C31="S",IF($Z31="OU",ROUND($X31,2),0),SomaAgrup)</f>
        <v>0</v>
      </c>
      <c r="AC31" s="564" t="str" cm="1">
        <f t="array" aca="1" ref="AC31" ca="1">IF($N31=""," ",
IF(AND($C31&lt;&gt;"S",OR($R31="",$R31="(digite a descrição aqui)")),"DESCRIÇÃO",
IF(AND($C31="S",OR($Q31&lt;&gt;"",$T31&gt;0,$U31&gt;0),$P31=""),"FONTE",
IF(AND($C31="S",$P31&lt;&gt;"",OR($T31&gt;0,$U31&gt;0),$Q31=""),"CÓDIGO",
IF(AND($C31="S",$P31&lt;&gt;"",$Q31&lt;&gt;"",$R31="(Código não identificado nas referências)"),"CÓDIGO N/ID",
IF(AND($C31="S",OR($R31="",$R31="(digite a descrição aqui)"),OR($Q31&lt;&gt;"",$T31&gt;0,$U31&gt;0)),"DESCRIÇÃO",
IF(AND($C31="S",$P31&lt;&gt;"",$Q31&lt;&gt;"",$S31=""),"UNIDADE",
IF(AND($C31="S",$P31&lt;&gt;"",$Q31&lt;&gt;"",$U31=0),"SEM CUSTO",
IF(AND(TIPOORCAMENTO="Licitado",$AL31=0,$AN31&gt;0),"SEM PREÇO",
IF(AND($C31="S",$P31&lt;&gt;"",$Q31&lt;&gt;"",$U31&gt;0,AND($V31&lt;&gt;"BDI 1",$V31&lt;&gt;"BDI 2",$V31&lt;&gt;"BDI 3")),IF(ISNUMBER($V31),"JUSTIFICAR BDI","BDI"),
IF(OR(AND(import.recurso="OGU",TIPOORCAMENTO="Proposto",LEFT($O$8,5)&lt;&gt;"(N/D:",$AG31&lt;&gt;"",ORÇAMENTO.CustoUnitario&gt;$AG31),AND(TIPOORCAMENTO="LICITADO",ORÇAMENTO.PrecoUnitarioLicitado&gt;$AN31)),"ACIMA REF.",
IF(AND($C31="S",$P31&lt;&gt;"",$Q31&lt;&gt;"",$T31=0,$U31&gt;0),"QUANT.",
IF(AND(Import.TipoArredondamento="TransfereGOV",$L31="F",$C31="S",LEN($Q31)&gt;13),"Código &gt;13",
IF(AND(Import.TipoArredondamento="TransfereGOV",$L31="F",$C31&lt;&gt;"S",LEN($R31)&gt;100),"Descrição &gt;100",
IF(AND(Import.TipoArredondamento="TransfereGOV",$L31="F",$C31="S",LEN($R31)&gt;500),"Descrição &gt;500",
IF(AND(Import.TipoArredondamento="TransfereGOV",$L31="F",$C31="S",LEFT(TRIM(UPPER($P31)),6)&lt;&gt;"SINAPI",ISNA(VLOOKUP(TRIM(UPPER($S31)),ListaTgov.Unidades,1,FALSE))),"Unid. Não Disp",
" "))))))))))))))))</f>
        <v xml:space="preserve"> </v>
      </c>
      <c r="AD31" t="str">
        <f ca="1">IF(C31&lt;=CRONO.NivelExibicao,MAX($AD$15:OFFSET(AD31,-1,0))+IF($C31&lt;&gt;1,1,MAX(1,COUNTIF(QCI!$A$13:$A$24,OFFSET($E31,-1,0)))),"")</f>
        <v/>
      </c>
      <c r="AE31" s="7" t="str" cm="1">
        <f t="array" aca="1" ref="AE31" ca="1">IF(AND($C31="S",ORÇAMENTO.CodBarra&lt;&gt;""),IF(ORÇAMENTO.Fonte="",ORÇAMENTO.CodBarra,CONCATENATE(ORÇAMENTO.Fonte," ",ORÇAMENTO.CodBarra)))</f>
        <v>SINAPI 100652</v>
      </c>
      <c r="AF31" s="12" t="str" cm="1">
        <f t="array" aca="1" ref="AF31" ca="1">IF(ISERROR(ORÇAMENTO.BancoRef),"(abra o arquivo 'Referência "&amp;Excel_BuiltIn_Database&amp;".xlsm)",IF(OR($C31&lt;&gt;"S",ORÇAMENTO.CodBarra=""),"(Sem Código)",IF(ISERROR(MATCH($AE31,INDIRECT(ORÇAMENTO.BancoRef),0)),"(Código não identificado nas referências)",MATCH($AE31,INDIRECT(ORÇAMENTO.BancoRef),0))))</f>
        <v>(Código não identificado nas referências)</v>
      </c>
      <c r="AG31" s="427" cm="1">
        <f t="array" aca="1" ref="AG31" ca="1">ROUND(IF(DESONERACAO="sim",REFERENCIA.Desonerado,REFERENCIA.NaoDesonerado),2)</f>
        <v>0</v>
      </c>
      <c r="AH31" s="428">
        <f t="shared" ca="1" si="14"/>
        <v>3.09E-2</v>
      </c>
      <c r="AJ31" s="430"/>
      <c r="AL31" s="438"/>
      <c r="AM31" s="335">
        <f t="shared" ca="1" si="0"/>
        <v>51980.4</v>
      </c>
      <c r="AN31" s="469" cm="1">
        <f t="array" aca="1" ref="AN31" ca="1">ROUND(ORÇAMENTO.CustoUnitario*(1+$AH31),2)</f>
        <v>288.77999999999997</v>
      </c>
    </row>
    <row r="32" spans="1:40" ht="38.25" x14ac:dyDescent="0.2">
      <c r="A32" t="str">
        <f t="shared" si="1"/>
        <v>S</v>
      </c>
      <c r="B32">
        <f t="shared" ca="1" si="2"/>
        <v>2</v>
      </c>
      <c r="C32" t="str">
        <f t="shared" ca="1" si="3"/>
        <v>S</v>
      </c>
      <c r="D32">
        <f t="shared" ca="1" si="4"/>
        <v>0</v>
      </c>
      <c r="E32">
        <f ca="1">IF($C32=1,OFFSET(E32,-1,0)+MAX(1,COUNTIF(QCI!$A$13:$A$24,OFFSET(ORÇAMENTO!E32,-1,0))),OFFSET(E32,-1,0))</f>
        <v>1</v>
      </c>
      <c r="F32">
        <f t="shared" ca="1" si="5"/>
        <v>4</v>
      </c>
      <c r="G32">
        <f t="shared" ca="1" si="6"/>
        <v>0</v>
      </c>
      <c r="H32">
        <f t="shared" ca="1" si="7"/>
        <v>0</v>
      </c>
      <c r="I32">
        <f t="shared" ca="1" si="8"/>
        <v>2</v>
      </c>
      <c r="J32">
        <f t="shared" ca="1" si="9"/>
        <v>0</v>
      </c>
      <c r="K32">
        <f ca="1">IF(OR($C32="S",$C32=0),0,MATCH(OFFSET($D32,0,$C32)+IF($C32&lt;&gt;1,1,COUNTIF(QCI!$A$13:$A$24,ORÇAMENTO!E32)),OFFSET($D32,1,$C32,ROW($C$55)-ROW($C32)),0))</f>
        <v>0</v>
      </c>
      <c r="L32" s="113" t="str">
        <f t="shared" ca="1" si="10"/>
        <v>F</v>
      </c>
      <c r="M32" s="114" t="s">
        <v>705</v>
      </c>
      <c r="N32" s="115" t="str">
        <f t="shared" ca="1" si="11"/>
        <v>Serviço</v>
      </c>
      <c r="O32" s="116" t="str">
        <f t="shared" ca="1" si="12"/>
        <v>1.4.2.</v>
      </c>
      <c r="P32" s="117" t="s">
        <v>956</v>
      </c>
      <c r="Q32" s="118" t="s">
        <v>1022</v>
      </c>
      <c r="R32" s="119" t="s">
        <v>1023</v>
      </c>
      <c r="S32" s="120" t="s">
        <v>625</v>
      </c>
      <c r="T32" s="121">
        <f ca="1">OFFSET(CÁLCULO!H$15,ROW($T32)-ROW(T$15),0)</f>
        <v>31.42</v>
      </c>
      <c r="U32" s="122">
        <v>80.180000000000007</v>
      </c>
      <c r="V32" s="123" t="s">
        <v>663</v>
      </c>
      <c r="W32" s="121" cm="1">
        <f t="array" aca="1" ref="W32" ca="1">IF($C32="S",ROUND(IF(TIPOORCAMENTO="Proposto",ORÇAMENTO.CustoUnitario*(1+$AH32),ORÇAMENTO.PrecoUnitarioLicitado),15-13*$AF$10),0)</f>
        <v>82.66</v>
      </c>
      <c r="X32" s="124" cm="1">
        <f t="array" aca="1" ref="X32" ca="1">IF($C32="S",IF(OR(Import.TipoArredondamento&lt;&gt;"TransfereGOV",ACOMPANHAMENTO="BM"),VTOTAL1,SUM(OFFSET(CÁLCULO!$AA$15,ROW($X32)-ROW($X$15),1):OFFSET(CÁLCULO!$AL$15,ROW($X32)-ROW($X$15),-1))),IF($C32=0,0,ROUND(SomaAgrup,15-13*$AF$11)))</f>
        <v>2597.1799999999998</v>
      </c>
      <c r="Y32" s="125" t="s">
        <v>751</v>
      </c>
      <c r="Z32" t="str">
        <f t="shared" ca="1" si="13"/>
        <v>RA</v>
      </c>
      <c r="AA32" s="126" cm="1">
        <f t="array" aca="1" ref="AA32" ca="1">IF($C32="S",IF($Z32="CP",$X32,IF($Z32="RA",(($X32)*QCI!$AA$3),0)),SomaAgrup)</f>
        <v>7.3217485006819993</v>
      </c>
      <c r="AB32" s="127" cm="1">
        <f t="array" aca="1" ref="AB32" ca="1">IF($C32="S",IF($Z32="OU",ROUND($X32,2),0),SomaAgrup)</f>
        <v>0</v>
      </c>
      <c r="AC32" s="564" t="str" cm="1">
        <f t="array" aca="1" ref="AC32" ca="1">IF($N32=""," ",
IF(AND($C32&lt;&gt;"S",OR($R32="",$R32="(digite a descrição aqui)")),"DESCRIÇÃO",
IF(AND($C32="S",OR($Q32&lt;&gt;"",$T32&gt;0,$U32&gt;0),$P32=""),"FONTE",
IF(AND($C32="S",$P32&lt;&gt;"",OR($T32&gt;0,$U32&gt;0),$Q32=""),"CÓDIGO",
IF(AND($C32="S",$P32&lt;&gt;"",$Q32&lt;&gt;"",$R32="(Código não identificado nas referências)"),"CÓDIGO N/ID",
IF(AND($C32="S",OR($R32="",$R32="(digite a descrição aqui)"),OR($Q32&lt;&gt;"",$T32&gt;0,$U32&gt;0)),"DESCRIÇÃO",
IF(AND($C32="S",$P32&lt;&gt;"",$Q32&lt;&gt;"",$S32=""),"UNIDADE",
IF(AND($C32="S",$P32&lt;&gt;"",$Q32&lt;&gt;"",$U32=0),"SEM CUSTO",
IF(AND(TIPOORCAMENTO="Licitado",$AL32=0,$AN32&gt;0),"SEM PREÇO",
IF(AND($C32="S",$P32&lt;&gt;"",$Q32&lt;&gt;"",$U32&gt;0,AND($V32&lt;&gt;"BDI 1",$V32&lt;&gt;"BDI 2",$V32&lt;&gt;"BDI 3")),IF(ISNUMBER($V32),"JUSTIFICAR BDI","BDI"),
IF(OR(AND(import.recurso="OGU",TIPOORCAMENTO="Proposto",LEFT($O$8,5)&lt;&gt;"(N/D:",$AG32&lt;&gt;"",ORÇAMENTO.CustoUnitario&gt;$AG32),AND(TIPOORCAMENTO="LICITADO",ORÇAMENTO.PrecoUnitarioLicitado&gt;$AN32)),"ACIMA REF.",
IF(AND($C32="S",$P32&lt;&gt;"",$Q32&lt;&gt;"",$T32=0,$U32&gt;0),"QUANT.",
IF(AND(Import.TipoArredondamento="TransfereGOV",$L32="F",$C32="S",LEN($Q32)&gt;13),"Código &gt;13",
IF(AND(Import.TipoArredondamento="TransfereGOV",$L32="F",$C32&lt;&gt;"S",LEN($R32)&gt;100),"Descrição &gt;100",
IF(AND(Import.TipoArredondamento="TransfereGOV",$L32="F",$C32="S",LEN($R32)&gt;500),"Descrição &gt;500",
IF(AND(Import.TipoArredondamento="TransfereGOV",$L32="F",$C32="S",LEFT(TRIM(UPPER($P32)),6)&lt;&gt;"SINAPI",ISNA(VLOOKUP(TRIM(UPPER($S32)),ListaTgov.Unidades,1,FALSE))),"Unid. Não Disp",
" "))))))))))))))))</f>
        <v xml:space="preserve"> </v>
      </c>
      <c r="AD32" t="str">
        <f ca="1">IF(C32&lt;=CRONO.NivelExibicao,MAX($AD$15:OFFSET(AD32,-1,0))+IF($C32&lt;&gt;1,1,MAX(1,COUNTIF(QCI!$A$13:$A$24,OFFSET($E32,-1,0)))),"")</f>
        <v/>
      </c>
      <c r="AE32" s="7" t="str" cm="1">
        <f t="array" aca="1" ref="AE32" ca="1">IF(AND($C32="S",ORÇAMENTO.CodBarra&lt;&gt;""),IF(ORÇAMENTO.Fonte="",ORÇAMENTO.CodBarra,CONCATENATE(ORÇAMENTO.Fonte," ",ORÇAMENTO.CodBarra)))</f>
        <v>Composição ED-8503</v>
      </c>
      <c r="AF32" s="12" t="str" cm="1">
        <f t="array" aca="1" ref="AF32" ca="1">IF(ISERROR(ORÇAMENTO.BancoRef),"(abra o arquivo 'Referência "&amp;Excel_BuiltIn_Database&amp;".xlsm)",IF(OR($C32&lt;&gt;"S",ORÇAMENTO.CodBarra=""),"(Sem Código)",IF(ISERROR(MATCH($AE32,INDIRECT(ORÇAMENTO.BancoRef),0)),"(Código não identificado nas referências)",MATCH($AE32,INDIRECT(ORÇAMENTO.BancoRef),0))))</f>
        <v>(Código não identificado nas referências)</v>
      </c>
      <c r="AG32" s="427" cm="1">
        <f t="array" aca="1" ref="AG32" ca="1">ROUND(IF(DESONERACAO="sim",REFERENCIA.Desonerado,REFERENCIA.NaoDesonerado),2)</f>
        <v>0</v>
      </c>
      <c r="AH32" s="428">
        <f t="shared" ca="1" si="14"/>
        <v>3.09E-2</v>
      </c>
      <c r="AJ32" s="430"/>
      <c r="AL32" s="438"/>
      <c r="AM32" s="335">
        <f t="shared" ca="1" si="0"/>
        <v>2597.1799999999998</v>
      </c>
      <c r="AN32" s="469" cm="1">
        <f t="array" aca="1" ref="AN32" ca="1">ROUND(ORÇAMENTO.CustoUnitario*(1+$AH32),2)</f>
        <v>82.66</v>
      </c>
    </row>
    <row r="33" spans="1:40" x14ac:dyDescent="0.2">
      <c r="A33">
        <f t="shared" si="1"/>
        <v>2</v>
      </c>
      <c r="B33">
        <f t="shared" ca="1" si="2"/>
        <v>2</v>
      </c>
      <c r="C33">
        <f t="shared" ca="1" si="3"/>
        <v>2</v>
      </c>
      <c r="D33">
        <f t="shared" ca="1" si="4"/>
        <v>5</v>
      </c>
      <c r="E33">
        <f ca="1">IF($C33=1,OFFSET(E33,-1,0)+MAX(1,COUNTIF(QCI!$A$13:$A$24,OFFSET(ORÇAMENTO!E33,-1,0))),OFFSET(E33,-1,0))</f>
        <v>1</v>
      </c>
      <c r="F33">
        <f t="shared" ca="1" si="5"/>
        <v>5</v>
      </c>
      <c r="G33">
        <f t="shared" ca="1" si="6"/>
        <v>0</v>
      </c>
      <c r="H33">
        <f t="shared" ca="1" si="7"/>
        <v>0</v>
      </c>
      <c r="I33">
        <f t="shared" ca="1" si="8"/>
        <v>0</v>
      </c>
      <c r="J33">
        <f t="shared" ca="1" si="9"/>
        <v>22</v>
      </c>
      <c r="K33">
        <f ca="1">IF(OR($C33="S",$C33=0),0,MATCH(OFFSET($D33,0,$C33)+IF($C33&lt;&gt;1,1,COUNTIF(QCI!$A$13:$A$24,ORÇAMENTO!E33)),OFFSET($D33,1,$C33,ROW($C$55)-ROW($C33)),0))</f>
        <v>5</v>
      </c>
      <c r="L33" s="113" t="str">
        <f t="shared" ca="1" si="10"/>
        <v>F</v>
      </c>
      <c r="M33" s="114" t="s">
        <v>702</v>
      </c>
      <c r="N33" s="115" t="str">
        <f t="shared" ca="1" si="11"/>
        <v>Nível 2</v>
      </c>
      <c r="O33" s="116" t="str">
        <f t="shared" ca="1" si="12"/>
        <v>1.5.</v>
      </c>
      <c r="P33" s="117" t="s">
        <v>750</v>
      </c>
      <c r="Q33" s="118"/>
      <c r="R33" s="119" t="s">
        <v>1024</v>
      </c>
      <c r="S33" s="120" t="str" cm="1">
        <f t="array" aca="1" ref="S33" ca="1">REFERENCIA.Unidade</f>
        <v>-</v>
      </c>
      <c r="T33" s="121">
        <f ca="1">OFFSET(CÁLCULO!H$15,ROW($T33)-ROW(T$15),0)</f>
        <v>0</v>
      </c>
      <c r="U33" s="122"/>
      <c r="V33" s="123" t="s">
        <v>663</v>
      </c>
      <c r="W33" s="121" cm="1">
        <f t="array" aca="1" ref="W33" ca="1">IF($C33="S",ROUND(IF(TIPOORCAMENTO="Proposto",ORÇAMENTO.CustoUnitario*(1+$AH33),ORÇAMENTO.PrecoUnitarioLicitado),15-13*$AF$10),0)</f>
        <v>0</v>
      </c>
      <c r="X33" s="124" cm="1">
        <f t="array" aca="1" ref="X33" ca="1">IF($C33="S",IF(OR(Import.TipoArredondamento&lt;&gt;"TransfereGOV",ACOMPANHAMENTO="BM"),VTOTAL1,SUM(OFFSET(CÁLCULO!$AA$15,ROW($X33)-ROW($X$15),1):OFFSET(CÁLCULO!$AL$15,ROW($X33)-ROW($X$15),-1))),IF($C33=0,0,ROUND(SomaAgrup,15-13*$AF$11)))</f>
        <v>142403.25</v>
      </c>
      <c r="Y33" s="125" t="s">
        <v>751</v>
      </c>
      <c r="Z33" t="str">
        <f t="shared" ca="1" si="13"/>
        <v/>
      </c>
      <c r="AA33" s="126" cm="1">
        <f t="array" aca="1" ref="AA33" ca="1">IF($C33="S",IF($Z33="CP",$X33,IF($Z33="RA",(($X33)*QCI!$AA$3),0)),SomaAgrup)</f>
        <v>401.45110549894264</v>
      </c>
      <c r="AB33" s="127" cm="1">
        <f t="array" aca="1" ref="AB33" ca="1">IF($C33="S",IF($Z33="OU",ROUND($X33,2),0),SomaAgrup)</f>
        <v>0</v>
      </c>
      <c r="AC33" s="564" t="str" cm="1">
        <f t="array" aca="1" ref="AC33" ca="1">IF($N33=""," ",
IF(AND($C33&lt;&gt;"S",OR($R33="",$R33="(digite a descrição aqui)")),"DESCRIÇÃO",
IF(AND($C33="S",OR($Q33&lt;&gt;"",$T33&gt;0,$U33&gt;0),$P33=""),"FONTE",
IF(AND($C33="S",$P33&lt;&gt;"",OR($T33&gt;0,$U33&gt;0),$Q33=""),"CÓDIGO",
IF(AND($C33="S",$P33&lt;&gt;"",$Q33&lt;&gt;"",$R33="(Código não identificado nas referências)"),"CÓDIGO N/ID",
IF(AND($C33="S",OR($R33="",$R33="(digite a descrição aqui)"),OR($Q33&lt;&gt;"",$T33&gt;0,$U33&gt;0)),"DESCRIÇÃO",
IF(AND($C33="S",$P33&lt;&gt;"",$Q33&lt;&gt;"",$S33=""),"UNIDADE",
IF(AND($C33="S",$P33&lt;&gt;"",$Q33&lt;&gt;"",$U33=0),"SEM CUSTO",
IF(AND(TIPOORCAMENTO="Licitado",$AL33=0,$AN33&gt;0),"SEM PREÇO",
IF(AND($C33="S",$P33&lt;&gt;"",$Q33&lt;&gt;"",$U33&gt;0,AND($V33&lt;&gt;"BDI 1",$V33&lt;&gt;"BDI 2",$V33&lt;&gt;"BDI 3")),IF(ISNUMBER($V33),"JUSTIFICAR BDI","BDI"),
IF(OR(AND(import.recurso="OGU",TIPOORCAMENTO="Proposto",LEFT($O$8,5)&lt;&gt;"(N/D:",$AG33&lt;&gt;"",ORÇAMENTO.CustoUnitario&gt;$AG33),AND(TIPOORCAMENTO="LICITADO",ORÇAMENTO.PrecoUnitarioLicitado&gt;$AN33)),"ACIMA REF.",
IF(AND($C33="S",$P33&lt;&gt;"",$Q33&lt;&gt;"",$T33=0,$U33&gt;0),"QUANT.",
IF(AND(Import.TipoArredondamento="TransfereGOV",$L33="F",$C33="S",LEN($Q33)&gt;13),"Código &gt;13",
IF(AND(Import.TipoArredondamento="TransfereGOV",$L33="F",$C33&lt;&gt;"S",LEN($R33)&gt;100),"Descrição &gt;100",
IF(AND(Import.TipoArredondamento="TransfereGOV",$L33="F",$C33="S",LEN($R33)&gt;500),"Descrição &gt;500",
IF(AND(Import.TipoArredondamento="TransfereGOV",$L33="F",$C33="S",LEFT(TRIM(UPPER($P33)),6)&lt;&gt;"SINAPI",ISNA(VLOOKUP(TRIM(UPPER($S33)),ListaTgov.Unidades,1,FALSE))),"Unid. Não Disp",
" "))))))))))))))))</f>
        <v xml:space="preserve"> </v>
      </c>
      <c r="AD33">
        <f ca="1">IF(C33&lt;=CRONO.NivelExibicao,MAX($AD$15:OFFSET(AD33,-1,0))+IF($C33&lt;&gt;1,1,MAX(1,COUNTIF(QCI!$A$13:$A$24,OFFSET($E33,-1,0)))),"")</f>
        <v>6</v>
      </c>
      <c r="AE33" s="7" t="b" cm="1">
        <f t="array" aca="1" ref="AE33" ca="1">IF(AND($C33="S",ORÇAMENTO.CodBarra&lt;&gt;""),IF(ORÇAMENTO.Fonte="",ORÇAMENTO.CodBarra,CONCATENATE(ORÇAMENTO.Fonte," ",ORÇAMENTO.CodBarra)))</f>
        <v>0</v>
      </c>
      <c r="AF33" s="12" t="str" cm="1">
        <f t="array" aca="1" ref="AF33" ca="1">IF(ISERROR(ORÇAMENTO.BancoRef),"(abra o arquivo 'Referência "&amp;Excel_BuiltIn_Database&amp;".xlsm)",IF(OR($C33&lt;&gt;"S",ORÇAMENTO.CodBarra=""),"(Sem Código)",IF(ISERROR(MATCH($AE33,INDIRECT(ORÇAMENTO.BancoRef),0)),"(Código não identificado nas referências)",MATCH($AE33,INDIRECT(ORÇAMENTO.BancoRef),0))))</f>
        <v>(Sem Código)</v>
      </c>
      <c r="AG33" s="427" cm="1">
        <f t="array" aca="1" ref="AG33" ca="1">ROUND(IF(DESONERACAO="sim",REFERENCIA.Desonerado,REFERENCIA.NaoDesonerado),2)</f>
        <v>0</v>
      </c>
      <c r="AH33" s="428">
        <f t="shared" ca="1" si="14"/>
        <v>3.09E-2</v>
      </c>
      <c r="AJ33" s="430"/>
      <c r="AL33" s="438"/>
      <c r="AM33" s="335">
        <f t="shared" ca="1" si="0"/>
        <v>142403.25</v>
      </c>
      <c r="AN33" s="469" cm="1">
        <f t="array" aca="1" ref="AN33" ca="1">ROUND(ORÇAMENTO.CustoUnitario*(1+$AH33),2)</f>
        <v>0</v>
      </c>
    </row>
    <row r="34" spans="1:40" ht="38.25" x14ac:dyDescent="0.2">
      <c r="A34" t="str">
        <f t="shared" si="1"/>
        <v>S</v>
      </c>
      <c r="B34">
        <f t="shared" ca="1" si="2"/>
        <v>2</v>
      </c>
      <c r="C34" t="str">
        <f t="shared" ca="1" si="3"/>
        <v>S</v>
      </c>
      <c r="D34">
        <f t="shared" ca="1" si="4"/>
        <v>0</v>
      </c>
      <c r="E34">
        <f ca="1">IF($C34=1,OFFSET(E34,-1,0)+MAX(1,COUNTIF(QCI!$A$13:$A$24,OFFSET(ORÇAMENTO!E34,-1,0))),OFFSET(E34,-1,0))</f>
        <v>1</v>
      </c>
      <c r="F34">
        <f t="shared" ca="1" si="5"/>
        <v>5</v>
      </c>
      <c r="G34">
        <f t="shared" ca="1" si="6"/>
        <v>0</v>
      </c>
      <c r="H34">
        <f t="shared" ca="1" si="7"/>
        <v>0</v>
      </c>
      <c r="I34">
        <f t="shared" ca="1" si="8"/>
        <v>1</v>
      </c>
      <c r="J34">
        <f t="shared" ca="1" si="9"/>
        <v>0</v>
      </c>
      <c r="K34">
        <f ca="1">IF(OR($C34="S",$C34=0),0,MATCH(OFFSET($D34,0,$C34)+IF($C34&lt;&gt;1,1,COUNTIF(QCI!$A$13:$A$24,ORÇAMENTO!E34)),OFFSET($D34,1,$C34,ROW($C$55)-ROW($C34)),0))</f>
        <v>0</v>
      </c>
      <c r="L34" s="113" t="str">
        <f t="shared" ca="1" si="10"/>
        <v>F</v>
      </c>
      <c r="M34" s="114" t="s">
        <v>705</v>
      </c>
      <c r="N34" s="115" t="str">
        <f t="shared" ca="1" si="11"/>
        <v>Serviço</v>
      </c>
      <c r="O34" s="116" t="str">
        <f t="shared" ca="1" si="12"/>
        <v>1.5.1.</v>
      </c>
      <c r="P34" s="117" t="s">
        <v>750</v>
      </c>
      <c r="Q34" s="118" t="s">
        <v>1025</v>
      </c>
      <c r="R34" s="119" t="s">
        <v>1026</v>
      </c>
      <c r="S34" s="120" t="s">
        <v>623</v>
      </c>
      <c r="T34" s="121">
        <f ca="1">OFFSET(CÁLCULO!H$15,ROW($T34)-ROW(T$15),0)</f>
        <v>146.32</v>
      </c>
      <c r="U34" s="122">
        <v>113.98</v>
      </c>
      <c r="V34" s="123" t="s">
        <v>663</v>
      </c>
      <c r="W34" s="121" cm="1">
        <f t="array" aca="1" ref="W34" ca="1">IF($C34="S",ROUND(IF(TIPOORCAMENTO="Proposto",ORÇAMENTO.CustoUnitario*(1+$AH34),ORÇAMENTO.PrecoUnitarioLicitado),15-13*$AF$10),0)</f>
        <v>117.5</v>
      </c>
      <c r="X34" s="124" cm="1">
        <f t="array" aca="1" ref="X34" ca="1">IF($C34="S",IF(OR(Import.TipoArredondamento&lt;&gt;"TransfereGOV",ACOMPANHAMENTO="BM"),VTOTAL1,SUM(OFFSET(CÁLCULO!$AA$15,ROW($X34)-ROW($X$15),1):OFFSET(CÁLCULO!$AL$15,ROW($X34)-ROW($X$15),-1))),IF($C34=0,0,ROUND(SomaAgrup,15-13*$AF$11)))</f>
        <v>17192.599999999999</v>
      </c>
      <c r="Y34" s="125" t="s">
        <v>751</v>
      </c>
      <c r="Z34" t="str">
        <f t="shared" ca="1" si="13"/>
        <v>RA</v>
      </c>
      <c r="AA34" s="126" cm="1">
        <f t="array" aca="1" ref="AA34" ca="1">IF($C34="S",IF($Z34="CP",$X34,IF($Z34="RA",(($X34)*QCI!$AA$3),0)),SomaAgrup)</f>
        <v>48.467912610148446</v>
      </c>
      <c r="AB34" s="127" cm="1">
        <f t="array" aca="1" ref="AB34" ca="1">IF($C34="S",IF($Z34="OU",ROUND($X34,2),0),SomaAgrup)</f>
        <v>0</v>
      </c>
      <c r="AC34" s="564" t="str" cm="1">
        <f t="array" aca="1" ref="AC34" ca="1">IF($N34=""," ",
IF(AND($C34&lt;&gt;"S",OR($R34="",$R34="(digite a descrição aqui)")),"DESCRIÇÃO",
IF(AND($C34="S",OR($Q34&lt;&gt;"",$T34&gt;0,$U34&gt;0),$P34=""),"FONTE",
IF(AND($C34="S",$P34&lt;&gt;"",OR($T34&gt;0,$U34&gt;0),$Q34=""),"CÓDIGO",
IF(AND($C34="S",$P34&lt;&gt;"",$Q34&lt;&gt;"",$R34="(Código não identificado nas referências)"),"CÓDIGO N/ID",
IF(AND($C34="S",OR($R34="",$R34="(digite a descrição aqui)"),OR($Q34&lt;&gt;"",$T34&gt;0,$U34&gt;0)),"DESCRIÇÃO",
IF(AND($C34="S",$P34&lt;&gt;"",$Q34&lt;&gt;"",$S34=""),"UNIDADE",
IF(AND($C34="S",$P34&lt;&gt;"",$Q34&lt;&gt;"",$U34=0),"SEM CUSTO",
IF(AND(TIPOORCAMENTO="Licitado",$AL34=0,$AN34&gt;0),"SEM PREÇO",
IF(AND($C34="S",$P34&lt;&gt;"",$Q34&lt;&gt;"",$U34&gt;0,AND($V34&lt;&gt;"BDI 1",$V34&lt;&gt;"BDI 2",$V34&lt;&gt;"BDI 3")),IF(ISNUMBER($V34),"JUSTIFICAR BDI","BDI"),
IF(OR(AND(import.recurso="OGU",TIPOORCAMENTO="Proposto",LEFT($O$8,5)&lt;&gt;"(N/D:",$AG34&lt;&gt;"",ORÇAMENTO.CustoUnitario&gt;$AG34),AND(TIPOORCAMENTO="LICITADO",ORÇAMENTO.PrecoUnitarioLicitado&gt;$AN34)),"ACIMA REF.",
IF(AND($C34="S",$P34&lt;&gt;"",$Q34&lt;&gt;"",$T34=0,$U34&gt;0),"QUANT.",
IF(AND(Import.TipoArredondamento="TransfereGOV",$L34="F",$C34="S",LEN($Q34)&gt;13),"Código &gt;13",
IF(AND(Import.TipoArredondamento="TransfereGOV",$L34="F",$C34&lt;&gt;"S",LEN($R34)&gt;100),"Descrição &gt;100",
IF(AND(Import.TipoArredondamento="TransfereGOV",$L34="F",$C34="S",LEN($R34)&gt;500),"Descrição &gt;500",
IF(AND(Import.TipoArredondamento="TransfereGOV",$L34="F",$C34="S",LEFT(TRIM(UPPER($P34)),6)&lt;&gt;"SINAPI",ISNA(VLOOKUP(TRIM(UPPER($S34)),ListaTgov.Unidades,1,FALSE))),"Unid. Não Disp",
" "))))))))))))))))</f>
        <v xml:space="preserve"> </v>
      </c>
      <c r="AD34" t="str">
        <f ca="1">IF(C34&lt;=CRONO.NivelExibicao,MAX($AD$15:OFFSET(AD34,-1,0))+IF($C34&lt;&gt;1,1,MAX(1,COUNTIF(QCI!$A$13:$A$24,OFFSET($E34,-1,0)))),"")</f>
        <v/>
      </c>
      <c r="AE34" s="7" t="str" cm="1">
        <f t="array" aca="1" ref="AE34" ca="1">IF(AND($C34="S",ORÇAMENTO.CodBarra&lt;&gt;""),IF(ORÇAMENTO.Fonte="",ORÇAMENTO.CodBarra,CONCATENATE(ORÇAMENTO.Fonte," ",ORÇAMENTO.CodBarra)))</f>
        <v>SINAPI 96531</v>
      </c>
      <c r="AF34" s="12" t="str" cm="1">
        <f t="array" aca="1" ref="AF34" ca="1">IF(ISERROR(ORÇAMENTO.BancoRef),"(abra o arquivo 'Referência "&amp;Excel_BuiltIn_Database&amp;".xlsm)",IF(OR($C34&lt;&gt;"S",ORÇAMENTO.CodBarra=""),"(Sem Código)",IF(ISERROR(MATCH($AE34,INDIRECT(ORÇAMENTO.BancoRef),0)),"(Código não identificado nas referências)",MATCH($AE34,INDIRECT(ORÇAMENTO.BancoRef),0))))</f>
        <v>(Código não identificado nas referências)</v>
      </c>
      <c r="AG34" s="427" cm="1">
        <f t="array" aca="1" ref="AG34" ca="1">ROUND(IF(DESONERACAO="sim",REFERENCIA.Desonerado,REFERENCIA.NaoDesonerado),2)</f>
        <v>0</v>
      </c>
      <c r="AH34" s="428">
        <f t="shared" ca="1" si="14"/>
        <v>3.09E-2</v>
      </c>
      <c r="AJ34" s="430"/>
      <c r="AL34" s="438"/>
      <c r="AM34" s="335">
        <f t="shared" ca="1" si="0"/>
        <v>17192.599999999999</v>
      </c>
      <c r="AN34" s="469" cm="1">
        <f t="array" aca="1" ref="AN34" ca="1">ROUND(ORÇAMENTO.CustoUnitario*(1+$AH34),2)</f>
        <v>117.5</v>
      </c>
    </row>
    <row r="35" spans="1:40" ht="38.25" x14ac:dyDescent="0.2">
      <c r="A35" t="str">
        <f t="shared" si="1"/>
        <v>S</v>
      </c>
      <c r="B35">
        <f t="shared" ca="1" si="2"/>
        <v>2</v>
      </c>
      <c r="C35" t="str">
        <f t="shared" ca="1" si="3"/>
        <v>S</v>
      </c>
      <c r="D35">
        <f t="shared" ca="1" si="4"/>
        <v>0</v>
      </c>
      <c r="E35">
        <f ca="1">IF($C35=1,OFFSET(E35,-1,0)+MAX(1,COUNTIF(QCI!$A$13:$A$24,OFFSET(ORÇAMENTO!E35,-1,0))),OFFSET(E35,-1,0))</f>
        <v>1</v>
      </c>
      <c r="F35">
        <f t="shared" ca="1" si="5"/>
        <v>5</v>
      </c>
      <c r="G35">
        <f t="shared" ca="1" si="6"/>
        <v>0</v>
      </c>
      <c r="H35">
        <f t="shared" ca="1" si="7"/>
        <v>0</v>
      </c>
      <c r="I35">
        <f t="shared" ca="1" si="8"/>
        <v>2</v>
      </c>
      <c r="J35">
        <f t="shared" ca="1" si="9"/>
        <v>0</v>
      </c>
      <c r="K35">
        <f ca="1">IF(OR($C35="S",$C35=0),0,MATCH(OFFSET($D35,0,$C35)+IF($C35&lt;&gt;1,1,COUNTIF(QCI!$A$13:$A$24,ORÇAMENTO!E35)),OFFSET($D35,1,$C35,ROW($C$55)-ROW($C35)),0))</f>
        <v>0</v>
      </c>
      <c r="L35" s="113" t="str">
        <f t="shared" ca="1" si="10"/>
        <v>F</v>
      </c>
      <c r="M35" s="114" t="s">
        <v>705</v>
      </c>
      <c r="N35" s="115" t="str">
        <f t="shared" ca="1" si="11"/>
        <v>Serviço</v>
      </c>
      <c r="O35" s="116" t="str">
        <f t="shared" ca="1" si="12"/>
        <v>1.5.2.</v>
      </c>
      <c r="P35" s="117" t="s">
        <v>956</v>
      </c>
      <c r="Q35" s="118" t="s">
        <v>1027</v>
      </c>
      <c r="R35" s="119" t="s">
        <v>1028</v>
      </c>
      <c r="S35" s="120" t="s">
        <v>625</v>
      </c>
      <c r="T35" s="121">
        <f ca="1">OFFSET(CÁLCULO!H$15,ROW($T35)-ROW(T$15),0)</f>
        <v>40.99</v>
      </c>
      <c r="U35" s="122">
        <v>716.36</v>
      </c>
      <c r="V35" s="123" t="s">
        <v>663</v>
      </c>
      <c r="W35" s="121" cm="1">
        <f t="array" aca="1" ref="W35" ca="1">IF($C35="S",ROUND(IF(TIPOORCAMENTO="Proposto",ORÇAMENTO.CustoUnitario*(1+$AH35),ORÇAMENTO.PrecoUnitarioLicitado),15-13*$AF$10),0)</f>
        <v>738.5</v>
      </c>
      <c r="X35" s="124" cm="1">
        <f t="array" aca="1" ref="X35" ca="1">IF($C35="S",IF(OR(Import.TipoArredondamento&lt;&gt;"TransfereGOV",ACOMPANHAMENTO="BM"),VTOTAL1,SUM(OFFSET(CÁLCULO!$AA$15,ROW($X35)-ROW($X$15),1):OFFSET(CÁLCULO!$AL$15,ROW($X35)-ROW($X$15),-1))),IF($C35=0,0,ROUND(SomaAgrup,15-13*$AF$11)))</f>
        <v>30271.119999999999</v>
      </c>
      <c r="Y35" s="125" t="s">
        <v>751</v>
      </c>
      <c r="Z35" t="str">
        <f t="shared" ca="1" si="13"/>
        <v>RA</v>
      </c>
      <c r="AA35" s="126" cm="1">
        <f t="array" aca="1" ref="AA35" ca="1">IF($C35="S",IF($Z35="CP",$X35,IF($Z35="RA",(($X35)*QCI!$AA$3),0)),SomaAgrup)</f>
        <v>85.33776152363906</v>
      </c>
      <c r="AB35" s="127" cm="1">
        <f t="array" aca="1" ref="AB35" ca="1">IF($C35="S",IF($Z35="OU",ROUND($X35,2),0),SomaAgrup)</f>
        <v>0</v>
      </c>
      <c r="AC35" s="564" t="str" cm="1">
        <f t="array" aca="1" ref="AC35" ca="1">IF($N35=""," ",
IF(AND($C35&lt;&gt;"S",OR($R35="",$R35="(digite a descrição aqui)")),"DESCRIÇÃO",
IF(AND($C35="S",OR($Q35&lt;&gt;"",$T35&gt;0,$U35&gt;0),$P35=""),"FONTE",
IF(AND($C35="S",$P35&lt;&gt;"",OR($T35&gt;0,$U35&gt;0),$Q35=""),"CÓDIGO",
IF(AND($C35="S",$P35&lt;&gt;"",$Q35&lt;&gt;"",$R35="(Código não identificado nas referências)"),"CÓDIGO N/ID",
IF(AND($C35="S",OR($R35="",$R35="(digite a descrição aqui)"),OR($Q35&lt;&gt;"",$T35&gt;0,$U35&gt;0)),"DESCRIÇÃO",
IF(AND($C35="S",$P35&lt;&gt;"",$Q35&lt;&gt;"",$S35=""),"UNIDADE",
IF(AND($C35="S",$P35&lt;&gt;"",$Q35&lt;&gt;"",$U35=0),"SEM CUSTO",
IF(AND(TIPOORCAMENTO="Licitado",$AL35=0,$AN35&gt;0),"SEM PREÇO",
IF(AND($C35="S",$P35&lt;&gt;"",$Q35&lt;&gt;"",$U35&gt;0,AND($V35&lt;&gt;"BDI 1",$V35&lt;&gt;"BDI 2",$V35&lt;&gt;"BDI 3")),IF(ISNUMBER($V35),"JUSTIFICAR BDI","BDI"),
IF(OR(AND(import.recurso="OGU",TIPOORCAMENTO="Proposto",LEFT($O$8,5)&lt;&gt;"(N/D:",$AG35&lt;&gt;"",ORÇAMENTO.CustoUnitario&gt;$AG35),AND(TIPOORCAMENTO="LICITADO",ORÇAMENTO.PrecoUnitarioLicitado&gt;$AN35)),"ACIMA REF.",
IF(AND($C35="S",$P35&lt;&gt;"",$Q35&lt;&gt;"",$T35=0,$U35&gt;0),"QUANT.",
IF(AND(Import.TipoArredondamento="TransfereGOV",$L35="F",$C35="S",LEN($Q35)&gt;13),"Código &gt;13",
IF(AND(Import.TipoArredondamento="TransfereGOV",$L35="F",$C35&lt;&gt;"S",LEN($R35)&gt;100),"Descrição &gt;100",
IF(AND(Import.TipoArredondamento="TransfereGOV",$L35="F",$C35="S",LEN($R35)&gt;500),"Descrição &gt;500",
IF(AND(Import.TipoArredondamento="TransfereGOV",$L35="F",$C35="S",LEFT(TRIM(UPPER($P35)),6)&lt;&gt;"SINAPI",ISNA(VLOOKUP(TRIM(UPPER($S35)),ListaTgov.Unidades,1,FALSE))),"Unid. Não Disp",
" "))))))))))))))))</f>
        <v xml:space="preserve"> </v>
      </c>
      <c r="AD35" t="str">
        <f ca="1">IF(C35&lt;=CRONO.NivelExibicao,MAX($AD$15:OFFSET(AD35,-1,0))+IF($C35&lt;&gt;1,1,MAX(1,COUNTIF(QCI!$A$13:$A$24,OFFSET($E35,-1,0)))),"")</f>
        <v/>
      </c>
      <c r="AE35" s="7" t="str" cm="1">
        <f t="array" aca="1" ref="AE35" ca="1">IF(AND($C35="S",ORÇAMENTO.CodBarra&lt;&gt;""),IF(ORÇAMENTO.Fonte="",ORÇAMENTO.CodBarra,CONCATENATE(ORÇAMENTO.Fonte," ",ORÇAMENTO.CodBarra)))</f>
        <v>Composição ED-49805</v>
      </c>
      <c r="AF35" s="12" t="str" cm="1">
        <f t="array" aca="1" ref="AF35" ca="1">IF(ISERROR(ORÇAMENTO.BancoRef),"(abra o arquivo 'Referência "&amp;Excel_BuiltIn_Database&amp;".xlsm)",IF(OR($C35&lt;&gt;"S",ORÇAMENTO.CodBarra=""),"(Sem Código)",IF(ISERROR(MATCH($AE35,INDIRECT(ORÇAMENTO.BancoRef),0)),"(Código não identificado nas referências)",MATCH($AE35,INDIRECT(ORÇAMENTO.BancoRef),0))))</f>
        <v>(Código não identificado nas referências)</v>
      </c>
      <c r="AG35" s="427" cm="1">
        <f t="array" aca="1" ref="AG35" ca="1">ROUND(IF(DESONERACAO="sim",REFERENCIA.Desonerado,REFERENCIA.NaoDesonerado),2)</f>
        <v>0</v>
      </c>
      <c r="AH35" s="428">
        <f t="shared" ca="1" si="14"/>
        <v>3.09E-2</v>
      </c>
      <c r="AJ35" s="430"/>
      <c r="AL35" s="438"/>
      <c r="AM35" s="335">
        <f t="shared" ca="1" si="0"/>
        <v>30271.119999999999</v>
      </c>
      <c r="AN35" s="469" cm="1">
        <f t="array" aca="1" ref="AN35" ca="1">ROUND(ORÇAMENTO.CustoUnitario*(1+$AH35),2)</f>
        <v>738.5</v>
      </c>
    </row>
    <row r="36" spans="1:40" ht="25.5" x14ac:dyDescent="0.2">
      <c r="A36" t="str">
        <f t="shared" si="1"/>
        <v>S</v>
      </c>
      <c r="B36">
        <f t="shared" ca="1" si="2"/>
        <v>2</v>
      </c>
      <c r="C36" t="str">
        <f t="shared" ca="1" si="3"/>
        <v>S</v>
      </c>
      <c r="D36">
        <f t="shared" ca="1" si="4"/>
        <v>0</v>
      </c>
      <c r="E36">
        <f ca="1">IF($C36=1,OFFSET(E36,-1,0)+MAX(1,COUNTIF(QCI!$A$13:$A$24,OFFSET(ORÇAMENTO!E36,-1,0))),OFFSET(E36,-1,0))</f>
        <v>1</v>
      </c>
      <c r="F36">
        <f t="shared" ca="1" si="5"/>
        <v>5</v>
      </c>
      <c r="G36">
        <f t="shared" ca="1" si="6"/>
        <v>0</v>
      </c>
      <c r="H36">
        <f t="shared" ca="1" si="7"/>
        <v>0</v>
      </c>
      <c r="I36">
        <f t="shared" ca="1" si="8"/>
        <v>3</v>
      </c>
      <c r="J36">
        <f t="shared" ca="1" si="9"/>
        <v>0</v>
      </c>
      <c r="K36">
        <f ca="1">IF(OR($C36="S",$C36=0),0,MATCH(OFFSET($D36,0,$C36)+IF($C36&lt;&gt;1,1,COUNTIF(QCI!$A$13:$A$24,ORÇAMENTO!E36)),OFFSET($D36,1,$C36,ROW($C$55)-ROW($C36)),0))</f>
        <v>0</v>
      </c>
      <c r="L36" s="113" t="str">
        <f t="shared" ca="1" si="10"/>
        <v>F</v>
      </c>
      <c r="M36" s="114" t="s">
        <v>705</v>
      </c>
      <c r="N36" s="115" t="str">
        <f t="shared" ca="1" si="11"/>
        <v>Serviço</v>
      </c>
      <c r="O36" s="116" t="str">
        <f t="shared" ca="1" si="12"/>
        <v>1.5.3.</v>
      </c>
      <c r="P36" s="117" t="s">
        <v>956</v>
      </c>
      <c r="Q36" s="118" t="s">
        <v>1029</v>
      </c>
      <c r="R36" s="119" t="s">
        <v>1030</v>
      </c>
      <c r="S36" s="120" t="s">
        <v>1031</v>
      </c>
      <c r="T36" s="121">
        <f ca="1">OFFSET(CÁLCULO!H$15,ROW($T36)-ROW(T$15),0)</f>
        <v>3689.1</v>
      </c>
      <c r="U36" s="122">
        <v>14.26</v>
      </c>
      <c r="V36" s="123" t="s">
        <v>663</v>
      </c>
      <c r="W36" s="121" cm="1">
        <f t="array" aca="1" ref="W36" ca="1">IF($C36="S",ROUND(IF(TIPOORCAMENTO="Proposto",ORÇAMENTO.CustoUnitario*(1+$AH36),ORÇAMENTO.PrecoUnitarioLicitado),15-13*$AF$10),0)</f>
        <v>14.7</v>
      </c>
      <c r="X36" s="124" cm="1">
        <f t="array" aca="1" ref="X36" ca="1">IF($C36="S",IF(OR(Import.TipoArredondamento&lt;&gt;"TransfereGOV",ACOMPANHAMENTO="BM"),VTOTAL1,SUM(OFFSET(CÁLCULO!$AA$15,ROW($X36)-ROW($X$15),1):OFFSET(CÁLCULO!$AL$15,ROW($X36)-ROW($X$15),-1))),IF($C36=0,0,ROUND(SomaAgrup,15-13*$AF$11)))</f>
        <v>54229.77</v>
      </c>
      <c r="Y36" s="125" t="s">
        <v>751</v>
      </c>
      <c r="Z36" t="str">
        <f t="shared" ca="1" si="13"/>
        <v>RA</v>
      </c>
      <c r="AA36" s="126" cm="1">
        <f t="array" aca="1" ref="AA36" ca="1">IF($C36="S",IF($Z36="CP",$X36,IF($Z36="RA",(($X36)*QCI!$AA$3),0)),SomaAgrup)</f>
        <v>152.87994562942487</v>
      </c>
      <c r="AB36" s="127" cm="1">
        <f t="array" aca="1" ref="AB36" ca="1">IF($C36="S",IF($Z36="OU",ROUND($X36,2),0),SomaAgrup)</f>
        <v>0</v>
      </c>
      <c r="AC36" s="564" t="str" cm="1">
        <f t="array" aca="1" ref="AC36" ca="1">IF($N36=""," ",
IF(AND($C36&lt;&gt;"S",OR($R36="",$R36="(digite a descrição aqui)")),"DESCRIÇÃO",
IF(AND($C36="S",OR($Q36&lt;&gt;"",$T36&gt;0,$U36&gt;0),$P36=""),"FONTE",
IF(AND($C36="S",$P36&lt;&gt;"",OR($T36&gt;0,$U36&gt;0),$Q36=""),"CÓDIGO",
IF(AND($C36="S",$P36&lt;&gt;"",$Q36&lt;&gt;"",$R36="(Código não identificado nas referências)"),"CÓDIGO N/ID",
IF(AND($C36="S",OR($R36="",$R36="(digite a descrição aqui)"),OR($Q36&lt;&gt;"",$T36&gt;0,$U36&gt;0)),"DESCRIÇÃO",
IF(AND($C36="S",$P36&lt;&gt;"",$Q36&lt;&gt;"",$S36=""),"UNIDADE",
IF(AND($C36="S",$P36&lt;&gt;"",$Q36&lt;&gt;"",$U36=0),"SEM CUSTO",
IF(AND(TIPOORCAMENTO="Licitado",$AL36=0,$AN36&gt;0),"SEM PREÇO",
IF(AND($C36="S",$P36&lt;&gt;"",$Q36&lt;&gt;"",$U36&gt;0,AND($V36&lt;&gt;"BDI 1",$V36&lt;&gt;"BDI 2",$V36&lt;&gt;"BDI 3")),IF(ISNUMBER($V36),"JUSTIFICAR BDI","BDI"),
IF(OR(AND(import.recurso="OGU",TIPOORCAMENTO="Proposto",LEFT($O$8,5)&lt;&gt;"(N/D:",$AG36&lt;&gt;"",ORÇAMENTO.CustoUnitario&gt;$AG36),AND(TIPOORCAMENTO="LICITADO",ORÇAMENTO.PrecoUnitarioLicitado&gt;$AN36)),"ACIMA REF.",
IF(AND($C36="S",$P36&lt;&gt;"",$Q36&lt;&gt;"",$T36=0,$U36&gt;0),"QUANT.",
IF(AND(Import.TipoArredondamento="TransfereGOV",$L36="F",$C36="S",LEN($Q36)&gt;13),"Código &gt;13",
IF(AND(Import.TipoArredondamento="TransfereGOV",$L36="F",$C36&lt;&gt;"S",LEN($R36)&gt;100),"Descrição &gt;100",
IF(AND(Import.TipoArredondamento="TransfereGOV",$L36="F",$C36="S",LEN($R36)&gt;500),"Descrição &gt;500",
IF(AND(Import.TipoArredondamento="TransfereGOV",$L36="F",$C36="S",LEFT(TRIM(UPPER($P36)),6)&lt;&gt;"SINAPI",ISNA(VLOOKUP(TRIM(UPPER($S36)),ListaTgov.Unidades,1,FALSE))),"Unid. Não Disp",
" "))))))))))))))))</f>
        <v xml:space="preserve"> </v>
      </c>
      <c r="AD36" t="str">
        <f ca="1">IF(C36&lt;=CRONO.NivelExibicao,MAX($AD$15:OFFSET(AD36,-1,0))+IF($C36&lt;&gt;1,1,MAX(1,COUNTIF(QCI!$A$13:$A$24,OFFSET($E36,-1,0)))),"")</f>
        <v/>
      </c>
      <c r="AE36" s="7" t="str" cm="1">
        <f t="array" aca="1" ref="AE36" ca="1">IF(AND($C36="S",ORÇAMENTO.CodBarra&lt;&gt;""),IF(ORÇAMENTO.Fonte="",ORÇAMENTO.CodBarra,CONCATENATE(ORÇAMENTO.Fonte," ",ORÇAMENTO.CodBarra)))</f>
        <v>Composição ED-48295</v>
      </c>
      <c r="AF36" s="12" t="str" cm="1">
        <f t="array" aca="1" ref="AF36" ca="1">IF(ISERROR(ORÇAMENTO.BancoRef),"(abra o arquivo 'Referência "&amp;Excel_BuiltIn_Database&amp;".xlsm)",IF(OR($C36&lt;&gt;"S",ORÇAMENTO.CodBarra=""),"(Sem Código)",IF(ISERROR(MATCH($AE36,INDIRECT(ORÇAMENTO.BancoRef),0)),"(Código não identificado nas referências)",MATCH($AE36,INDIRECT(ORÇAMENTO.BancoRef),0))))</f>
        <v>(Código não identificado nas referências)</v>
      </c>
      <c r="AG36" s="427" cm="1">
        <f t="array" aca="1" ref="AG36" ca="1">ROUND(IF(DESONERACAO="sim",REFERENCIA.Desonerado,REFERENCIA.NaoDesonerado),2)</f>
        <v>0</v>
      </c>
      <c r="AH36" s="428">
        <f t="shared" ca="1" si="14"/>
        <v>3.09E-2</v>
      </c>
      <c r="AJ36" s="430"/>
      <c r="AL36" s="438"/>
      <c r="AM36" s="335">
        <f t="shared" ca="1" si="0"/>
        <v>54229.77</v>
      </c>
      <c r="AN36" s="469" cm="1">
        <f t="array" aca="1" ref="AN36" ca="1">ROUND(ORÇAMENTO.CustoUnitario*(1+$AH36),2)</f>
        <v>14.7</v>
      </c>
    </row>
    <row r="37" spans="1:40" ht="25.5" x14ac:dyDescent="0.2">
      <c r="A37" t="str">
        <f t="shared" si="1"/>
        <v>S</v>
      </c>
      <c r="B37">
        <f t="shared" ca="1" si="2"/>
        <v>2</v>
      </c>
      <c r="C37" t="str">
        <f t="shared" ca="1" si="3"/>
        <v>S</v>
      </c>
      <c r="D37">
        <f t="shared" ca="1" si="4"/>
        <v>0</v>
      </c>
      <c r="E37">
        <f ca="1">IF($C37=1,OFFSET(E37,-1,0)+MAX(1,COUNTIF(QCI!$A$13:$A$24,OFFSET(ORÇAMENTO!E37,-1,0))),OFFSET(E37,-1,0))</f>
        <v>1</v>
      </c>
      <c r="F37">
        <f t="shared" ca="1" si="5"/>
        <v>5</v>
      </c>
      <c r="G37">
        <f t="shared" ca="1" si="6"/>
        <v>0</v>
      </c>
      <c r="H37">
        <f t="shared" ca="1" si="7"/>
        <v>0</v>
      </c>
      <c r="I37">
        <f t="shared" ca="1" si="8"/>
        <v>4</v>
      </c>
      <c r="J37">
        <f t="shared" ca="1" si="9"/>
        <v>0</v>
      </c>
      <c r="K37">
        <f ca="1">IF(OR($C37="S",$C37=0),0,MATCH(OFFSET($D37,0,$C37)+IF($C37&lt;&gt;1,1,COUNTIF(QCI!$A$13:$A$24,ORÇAMENTO!E37)),OFFSET($D37,1,$C37,ROW($C$55)-ROW($C37)),0))</f>
        <v>0</v>
      </c>
      <c r="L37" s="113" t="str">
        <f t="shared" ca="1" si="10"/>
        <v>F</v>
      </c>
      <c r="M37" s="114" t="s">
        <v>705</v>
      </c>
      <c r="N37" s="115" t="str">
        <f t="shared" ca="1" si="11"/>
        <v>Serviço</v>
      </c>
      <c r="O37" s="116" t="str">
        <f t="shared" ca="1" si="12"/>
        <v>1.5.4.</v>
      </c>
      <c r="P37" s="117" t="s">
        <v>955</v>
      </c>
      <c r="Q37" s="118" t="s">
        <v>1032</v>
      </c>
      <c r="R37" s="119" t="s">
        <v>1084</v>
      </c>
      <c r="S37" s="120" t="s">
        <v>625</v>
      </c>
      <c r="T37" s="121">
        <f ca="1">OFFSET(CÁLCULO!H$15,ROW($T37)-ROW(T$15),0)</f>
        <v>78</v>
      </c>
      <c r="U37" s="122">
        <v>506.28</v>
      </c>
      <c r="V37" s="123" t="s">
        <v>663</v>
      </c>
      <c r="W37" s="121" cm="1">
        <f t="array" aca="1" ref="W37" ca="1">IF($C37="S",ROUND(IF(TIPOORCAMENTO="Proposto",ORÇAMENTO.CustoUnitario*(1+$AH37),ORÇAMENTO.PrecoUnitarioLicitado),15-13*$AF$10),0)</f>
        <v>521.91999999999996</v>
      </c>
      <c r="X37" s="124" cm="1">
        <f t="array" aca="1" ref="X37" ca="1">IF($C37="S",IF(OR(Import.TipoArredondamento&lt;&gt;"TransfereGOV",ACOMPANHAMENTO="BM"),VTOTAL1,SUM(OFFSET(CÁLCULO!$AA$15,ROW($X37)-ROW($X$15),1):OFFSET(CÁLCULO!$AL$15,ROW($X37)-ROW($X$15),-1))),IF($C37=0,0,ROUND(SomaAgrup,15-13*$AF$11)))</f>
        <v>40709.760000000002</v>
      </c>
      <c r="Y37" s="125" t="s">
        <v>751</v>
      </c>
      <c r="Z37" t="str">
        <f t="shared" ca="1" si="13"/>
        <v>RA</v>
      </c>
      <c r="AA37" s="126" cm="1">
        <f t="array" aca="1" ref="AA37" ca="1">IF($C37="S",IF($Z37="CP",$X37,IF($Z37="RA",(($X37)*QCI!$AA$3),0)),SomaAgrup)</f>
        <v>114.76548573573032</v>
      </c>
      <c r="AB37" s="127" cm="1">
        <f t="array" aca="1" ref="AB37" ca="1">IF($C37="S",IF($Z37="OU",ROUND($X37,2),0),SomaAgrup)</f>
        <v>0</v>
      </c>
      <c r="AC37" s="564" t="str" cm="1">
        <f t="array" aca="1" ref="AC37" ca="1">IF($N37=""," ",
IF(AND($C37&lt;&gt;"S",OR($R37="",$R37="(digite a descrição aqui)")),"DESCRIÇÃO",
IF(AND($C37="S",OR($Q37&lt;&gt;"",$T37&gt;0,$U37&gt;0),$P37=""),"FONTE",
IF(AND($C37="S",$P37&lt;&gt;"",OR($T37&gt;0,$U37&gt;0),$Q37=""),"CÓDIGO",
IF(AND($C37="S",$P37&lt;&gt;"",$Q37&lt;&gt;"",$R37="(Código não identificado nas referências)"),"CÓDIGO N/ID",
IF(AND($C37="S",OR($R37="",$R37="(digite a descrição aqui)"),OR($Q37&lt;&gt;"",$T37&gt;0,$U37&gt;0)),"DESCRIÇÃO",
IF(AND($C37="S",$P37&lt;&gt;"",$Q37&lt;&gt;"",$S37=""),"UNIDADE",
IF(AND($C37="S",$P37&lt;&gt;"",$Q37&lt;&gt;"",$U37=0),"SEM CUSTO",
IF(AND(TIPOORCAMENTO="Licitado",$AL37=0,$AN37&gt;0),"SEM PREÇO",
IF(AND($C37="S",$P37&lt;&gt;"",$Q37&lt;&gt;"",$U37&gt;0,AND($V37&lt;&gt;"BDI 1",$V37&lt;&gt;"BDI 2",$V37&lt;&gt;"BDI 3")),IF(ISNUMBER($V37),"JUSTIFICAR BDI","BDI"),
IF(OR(AND(import.recurso="OGU",TIPOORCAMENTO="Proposto",LEFT($O$8,5)&lt;&gt;"(N/D:",$AG37&lt;&gt;"",ORÇAMENTO.CustoUnitario&gt;$AG37),AND(TIPOORCAMENTO="LICITADO",ORÇAMENTO.PrecoUnitarioLicitado&gt;$AN37)),"ACIMA REF.",
IF(AND($C37="S",$P37&lt;&gt;"",$Q37&lt;&gt;"",$T37=0,$U37&gt;0),"QUANT.",
IF(AND(Import.TipoArredondamento="TransfereGOV",$L37="F",$C37="S",LEN($Q37)&gt;13),"Código &gt;13",
IF(AND(Import.TipoArredondamento="TransfereGOV",$L37="F",$C37&lt;&gt;"S",LEN($R37)&gt;100),"Descrição &gt;100",
IF(AND(Import.TipoArredondamento="TransfereGOV",$L37="F",$C37="S",LEN($R37)&gt;500),"Descrição &gt;500",
IF(AND(Import.TipoArredondamento="TransfereGOV",$L37="F",$C37="S",LEFT(TRIM(UPPER($P37)),6)&lt;&gt;"SINAPI",ISNA(VLOOKUP(TRIM(UPPER($S37)),ListaTgov.Unidades,1,FALSE))),"Unid. Não Disp",
" "))))))))))))))))</f>
        <v xml:space="preserve"> </v>
      </c>
      <c r="AD37" t="str">
        <f ca="1">IF(C37&lt;=CRONO.NivelExibicao,MAX($AD$15:OFFSET(AD37,-1,0))+IF($C37&lt;&gt;1,1,MAX(1,COUNTIF(QCI!$A$13:$A$24,OFFSET($E37,-1,0)))),"")</f>
        <v/>
      </c>
      <c r="AE37" s="7" t="str" cm="1">
        <f t="array" aca="1" ref="AE37" ca="1">IF(AND($C37="S",ORÇAMENTO.CodBarra&lt;&gt;""),IF(ORÇAMENTO.Fonte="",ORÇAMENTO.CodBarra,CONCATENATE(ORÇAMENTO.Fonte," ",ORÇAMENTO.CodBarra)))</f>
        <v>SICRO 1513941</v>
      </c>
      <c r="AF37" s="12" t="str" cm="1">
        <f t="array" aca="1" ref="AF37" ca="1">IF(ISERROR(ORÇAMENTO.BancoRef),"(abra o arquivo 'Referência "&amp;Excel_BuiltIn_Database&amp;".xlsm)",IF(OR($C37&lt;&gt;"S",ORÇAMENTO.CodBarra=""),"(Sem Código)",IF(ISERROR(MATCH($AE37,INDIRECT(ORÇAMENTO.BancoRef),0)),"(Código não identificado nas referências)",MATCH($AE37,INDIRECT(ORÇAMENTO.BancoRef),0))))</f>
        <v>(Código não identificado nas referências)</v>
      </c>
      <c r="AG37" s="427" cm="1">
        <f t="array" aca="1" ref="AG37" ca="1">ROUND(IF(DESONERACAO="sim",REFERENCIA.Desonerado,REFERENCIA.NaoDesonerado),2)</f>
        <v>0</v>
      </c>
      <c r="AH37" s="428">
        <f t="shared" ca="1" si="14"/>
        <v>3.09E-2</v>
      </c>
      <c r="AJ37" s="430"/>
      <c r="AL37" s="438"/>
      <c r="AM37" s="335">
        <f t="shared" ca="1" si="0"/>
        <v>40709.760000000002</v>
      </c>
      <c r="AN37" s="469" cm="1">
        <f t="array" aca="1" ref="AN37" ca="1">ROUND(ORÇAMENTO.CustoUnitario*(1+$AH37),2)</f>
        <v>521.91999999999996</v>
      </c>
    </row>
    <row r="38" spans="1:40" x14ac:dyDescent="0.2">
      <c r="A38">
        <f t="shared" si="1"/>
        <v>2</v>
      </c>
      <c r="B38">
        <f t="shared" ca="1" si="2"/>
        <v>2</v>
      </c>
      <c r="C38">
        <f t="shared" ca="1" si="3"/>
        <v>2</v>
      </c>
      <c r="D38">
        <f t="shared" ca="1" si="4"/>
        <v>10</v>
      </c>
      <c r="E38">
        <f ca="1">IF($C38=1,OFFSET(E38,-1,0)+MAX(1,COUNTIF(QCI!$A$13:$A$24,OFFSET(ORÇAMENTO!E38,-1,0))),OFFSET(E38,-1,0))</f>
        <v>1</v>
      </c>
      <c r="F38">
        <f t="shared" ca="1" si="5"/>
        <v>6</v>
      </c>
      <c r="G38">
        <f t="shared" ca="1" si="6"/>
        <v>0</v>
      </c>
      <c r="H38">
        <f t="shared" ca="1" si="7"/>
        <v>0</v>
      </c>
      <c r="I38">
        <f t="shared" ca="1" si="8"/>
        <v>0</v>
      </c>
      <c r="J38">
        <f t="shared" ca="1" si="9"/>
        <v>17</v>
      </c>
      <c r="K38">
        <f ca="1">IF(OR($C38="S",$C38=0),0,MATCH(OFFSET($D38,0,$C38)+IF($C38&lt;&gt;1,1,COUNTIF(QCI!$A$13:$A$24,ORÇAMENTO!E38)),OFFSET($D38,1,$C38,ROW($C$55)-ROW($C38)),0))</f>
        <v>10</v>
      </c>
      <c r="L38" s="113" t="str">
        <f t="shared" ca="1" si="10"/>
        <v>F</v>
      </c>
      <c r="M38" s="114" t="s">
        <v>702</v>
      </c>
      <c r="N38" s="115" t="str">
        <f t="shared" ca="1" si="11"/>
        <v>Nível 2</v>
      </c>
      <c r="O38" s="116" t="str">
        <f t="shared" ca="1" si="12"/>
        <v>1.6.</v>
      </c>
      <c r="P38" s="117" t="s">
        <v>750</v>
      </c>
      <c r="Q38" s="118"/>
      <c r="R38" s="119" t="s">
        <v>1033</v>
      </c>
      <c r="S38" s="120" t="str" cm="1">
        <f t="array" aca="1" ref="S38" ca="1">REFERENCIA.Unidade</f>
        <v>-</v>
      </c>
      <c r="T38" s="121">
        <f ca="1">OFFSET(CÁLCULO!H$15,ROW($T38)-ROW(T$15),0)</f>
        <v>0</v>
      </c>
      <c r="U38" s="122"/>
      <c r="V38" s="123" t="s">
        <v>663</v>
      </c>
      <c r="W38" s="121" cm="1">
        <f t="array" aca="1" ref="W38" ca="1">IF($C38="S",ROUND(IF(TIPOORCAMENTO="Proposto",ORÇAMENTO.CustoUnitario*(1+$AH38),ORÇAMENTO.PrecoUnitarioLicitado),15-13*$AF$10),0)</f>
        <v>0</v>
      </c>
      <c r="X38" s="124" cm="1">
        <f t="array" aca="1" ref="X38" ca="1">IF($C38="S",IF(OR(Import.TipoArredondamento&lt;&gt;"TransfereGOV",ACOMPANHAMENTO="BM"),VTOTAL1,SUM(OFFSET(CÁLCULO!$AA$15,ROW($X38)-ROW($X$15),1):OFFSET(CÁLCULO!$AL$15,ROW($X38)-ROW($X$15),-1))),IF($C38=0,0,ROUND(SomaAgrup,15-13*$AF$11)))</f>
        <v>468010.88</v>
      </c>
      <c r="Y38" s="125" t="s">
        <v>751</v>
      </c>
      <c r="Z38" t="str">
        <f t="shared" ca="1" si="13"/>
        <v/>
      </c>
      <c r="AA38" s="126" cm="1">
        <f t="array" aca="1" ref="AA38" ca="1">IF($C38="S",IF($Z38="CP",$X38,IF($Z38="RA",(($X38)*QCI!$AA$3),0)),SomaAgrup)</f>
        <v>1319.3763847491753</v>
      </c>
      <c r="AB38" s="127" cm="1">
        <f t="array" aca="1" ref="AB38" ca="1">IF($C38="S",IF($Z38="OU",ROUND($X38,2),0),SomaAgrup)</f>
        <v>0</v>
      </c>
      <c r="AC38" s="564" t="str" cm="1">
        <f t="array" aca="1" ref="AC38" ca="1">IF($N38=""," ",
IF(AND($C38&lt;&gt;"S",OR($R38="",$R38="(digite a descrição aqui)")),"DESCRIÇÃO",
IF(AND($C38="S",OR($Q38&lt;&gt;"",$T38&gt;0,$U38&gt;0),$P38=""),"FONTE",
IF(AND($C38="S",$P38&lt;&gt;"",OR($T38&gt;0,$U38&gt;0),$Q38=""),"CÓDIGO",
IF(AND($C38="S",$P38&lt;&gt;"",$Q38&lt;&gt;"",$R38="(Código não identificado nas referências)"),"CÓDIGO N/ID",
IF(AND($C38="S",OR($R38="",$R38="(digite a descrição aqui)"),OR($Q38&lt;&gt;"",$T38&gt;0,$U38&gt;0)),"DESCRIÇÃO",
IF(AND($C38="S",$P38&lt;&gt;"",$Q38&lt;&gt;"",$S38=""),"UNIDADE",
IF(AND($C38="S",$P38&lt;&gt;"",$Q38&lt;&gt;"",$U38=0),"SEM CUSTO",
IF(AND(TIPOORCAMENTO="Licitado",$AL38=0,$AN38&gt;0),"SEM PREÇO",
IF(AND($C38="S",$P38&lt;&gt;"",$Q38&lt;&gt;"",$U38&gt;0,AND($V38&lt;&gt;"BDI 1",$V38&lt;&gt;"BDI 2",$V38&lt;&gt;"BDI 3")),IF(ISNUMBER($V38),"JUSTIFICAR BDI","BDI"),
IF(OR(AND(import.recurso="OGU",TIPOORCAMENTO="Proposto",LEFT($O$8,5)&lt;&gt;"(N/D:",$AG38&lt;&gt;"",ORÇAMENTO.CustoUnitario&gt;$AG38),AND(TIPOORCAMENTO="LICITADO",ORÇAMENTO.PrecoUnitarioLicitado&gt;$AN38)),"ACIMA REF.",
IF(AND($C38="S",$P38&lt;&gt;"",$Q38&lt;&gt;"",$T38=0,$U38&gt;0),"QUANT.",
IF(AND(Import.TipoArredondamento="TransfereGOV",$L38="F",$C38="S",LEN($Q38)&gt;13),"Código &gt;13",
IF(AND(Import.TipoArredondamento="TransfereGOV",$L38="F",$C38&lt;&gt;"S",LEN($R38)&gt;100),"Descrição &gt;100",
IF(AND(Import.TipoArredondamento="TransfereGOV",$L38="F",$C38="S",LEN($R38)&gt;500),"Descrição &gt;500",
IF(AND(Import.TipoArredondamento="TransfereGOV",$L38="F",$C38="S",LEFT(TRIM(UPPER($P38)),6)&lt;&gt;"SINAPI",ISNA(VLOOKUP(TRIM(UPPER($S38)),ListaTgov.Unidades,1,FALSE))),"Unid. Não Disp",
" "))))))))))))))))</f>
        <v xml:space="preserve"> </v>
      </c>
      <c r="AD38">
        <f ca="1">IF(C38&lt;=CRONO.NivelExibicao,MAX($AD$15:OFFSET(AD38,-1,0))+IF($C38&lt;&gt;1,1,MAX(1,COUNTIF(QCI!$A$13:$A$24,OFFSET($E38,-1,0)))),"")</f>
        <v>7</v>
      </c>
      <c r="AE38" s="7" t="b" cm="1">
        <f t="array" aca="1" ref="AE38" ca="1">IF(AND($C38="S",ORÇAMENTO.CodBarra&lt;&gt;""),IF(ORÇAMENTO.Fonte="",ORÇAMENTO.CodBarra,CONCATENATE(ORÇAMENTO.Fonte," ",ORÇAMENTO.CodBarra)))</f>
        <v>0</v>
      </c>
      <c r="AF38" s="12" t="str" cm="1">
        <f t="array" aca="1" ref="AF38" ca="1">IF(ISERROR(ORÇAMENTO.BancoRef),"(abra o arquivo 'Referência "&amp;Excel_BuiltIn_Database&amp;".xlsm)",IF(OR($C38&lt;&gt;"S",ORÇAMENTO.CodBarra=""),"(Sem Código)",IF(ISERROR(MATCH($AE38,INDIRECT(ORÇAMENTO.BancoRef),0)),"(Código não identificado nas referências)",MATCH($AE38,INDIRECT(ORÇAMENTO.BancoRef),0))))</f>
        <v>(Sem Código)</v>
      </c>
      <c r="AG38" s="427" cm="1">
        <f t="array" aca="1" ref="AG38" ca="1">ROUND(IF(DESONERACAO="sim",REFERENCIA.Desonerado,REFERENCIA.NaoDesonerado),2)</f>
        <v>0</v>
      </c>
      <c r="AH38" s="428">
        <f t="shared" ca="1" si="14"/>
        <v>3.09E-2</v>
      </c>
      <c r="AJ38" s="430"/>
      <c r="AL38" s="438"/>
      <c r="AM38" s="335">
        <f t="shared" ca="1" si="0"/>
        <v>468010.88</v>
      </c>
      <c r="AN38" s="469" cm="1">
        <f t="array" aca="1" ref="AN38" ca="1">ROUND(ORÇAMENTO.CustoUnitario*(1+$AH38),2)</f>
        <v>0</v>
      </c>
    </row>
    <row r="39" spans="1:40" ht="51" x14ac:dyDescent="0.2">
      <c r="A39" t="str">
        <f t="shared" si="1"/>
        <v>S</v>
      </c>
      <c r="B39">
        <f t="shared" ca="1" si="2"/>
        <v>2</v>
      </c>
      <c r="C39" t="str">
        <f t="shared" ca="1" si="3"/>
        <v>S</v>
      </c>
      <c r="D39">
        <f t="shared" ca="1" si="4"/>
        <v>0</v>
      </c>
      <c r="E39">
        <f ca="1">IF($C39=1,OFFSET(E39,-1,0)+MAX(1,COUNTIF(QCI!$A$13:$A$24,OFFSET(ORÇAMENTO!E39,-1,0))),OFFSET(E39,-1,0))</f>
        <v>1</v>
      </c>
      <c r="F39">
        <f t="shared" ca="1" si="5"/>
        <v>6</v>
      </c>
      <c r="G39">
        <f t="shared" ca="1" si="6"/>
        <v>0</v>
      </c>
      <c r="H39">
        <f t="shared" ca="1" si="7"/>
        <v>0</v>
      </c>
      <c r="I39">
        <f t="shared" ca="1" si="8"/>
        <v>1</v>
      </c>
      <c r="J39">
        <f t="shared" ca="1" si="9"/>
        <v>0</v>
      </c>
      <c r="K39">
        <f ca="1">IF(OR($C39="S",$C39=0),0,MATCH(OFFSET($D39,0,$C39)+IF($C39&lt;&gt;1,1,COUNTIF(QCI!$A$13:$A$24,ORÇAMENTO!E39)),OFFSET($D39,1,$C39,ROW($C$55)-ROW($C39)),0))</f>
        <v>0</v>
      </c>
      <c r="L39" s="113" t="str">
        <f t="shared" ca="1" si="10"/>
        <v>F</v>
      </c>
      <c r="M39" s="114" t="s">
        <v>705</v>
      </c>
      <c r="N39" s="115" t="str">
        <f t="shared" ca="1" si="11"/>
        <v>Serviço</v>
      </c>
      <c r="O39" s="116" t="str">
        <f t="shared" ca="1" si="12"/>
        <v>1.6.1.</v>
      </c>
      <c r="P39" s="117" t="s">
        <v>956</v>
      </c>
      <c r="Q39" s="118" t="s">
        <v>1034</v>
      </c>
      <c r="R39" s="119" t="s">
        <v>1035</v>
      </c>
      <c r="S39" s="120" t="s">
        <v>1031</v>
      </c>
      <c r="T39" s="121">
        <f ca="1">OFFSET(CÁLCULO!H$15,ROW($T39)-ROW(T$15),0)</f>
        <v>12960</v>
      </c>
      <c r="U39" s="122">
        <v>25.28</v>
      </c>
      <c r="V39" s="123" t="s">
        <v>663</v>
      </c>
      <c r="W39" s="121" cm="1">
        <f t="array" aca="1" ref="W39" ca="1">IF($C39="S",ROUND(IF(TIPOORCAMENTO="Proposto",ORÇAMENTO.CustoUnitario*(1+$AH39),ORÇAMENTO.PrecoUnitarioLicitado),15-13*$AF$10),0)</f>
        <v>26.06</v>
      </c>
      <c r="X39" s="124" cm="1">
        <f t="array" aca="1" ref="X39" ca="1">IF($C39="S",IF(OR(Import.TipoArredondamento&lt;&gt;"TransfereGOV",ACOMPANHAMENTO="BM"),VTOTAL1,SUM(OFFSET(CÁLCULO!$AA$15,ROW($X39)-ROW($X$15),1):OFFSET(CÁLCULO!$AL$15,ROW($X39)-ROW($X$15),-1))),IF($C39=0,0,ROUND(SomaAgrup,15-13*$AF$11)))</f>
        <v>337737.6</v>
      </c>
      <c r="Y39" s="125" t="s">
        <v>751</v>
      </c>
      <c r="Z39" t="str">
        <f t="shared" ca="1" si="13"/>
        <v>RA</v>
      </c>
      <c r="AA39" s="126" cm="1">
        <f t="array" aca="1" ref="AA39" ca="1">IF($C39="S",IF($Z39="CP",$X39,IF($Z39="RA",(($X39)*QCI!$AA$3),0)),SomaAgrup)</f>
        <v>952.12105684778749</v>
      </c>
      <c r="AB39" s="127" cm="1">
        <f t="array" aca="1" ref="AB39" ca="1">IF($C39="S",IF($Z39="OU",ROUND($X39,2),0),SomaAgrup)</f>
        <v>0</v>
      </c>
      <c r="AC39" s="564" t="str" cm="1">
        <f t="array" aca="1" ref="AC39" ca="1">IF($N39=""," ",
IF(AND($C39&lt;&gt;"S",OR($R39="",$R39="(digite a descrição aqui)")),"DESCRIÇÃO",
IF(AND($C39="S",OR($Q39&lt;&gt;"",$T39&gt;0,$U39&gt;0),$P39=""),"FONTE",
IF(AND($C39="S",$P39&lt;&gt;"",OR($T39&gt;0,$U39&gt;0),$Q39=""),"CÓDIGO",
IF(AND($C39="S",$P39&lt;&gt;"",$Q39&lt;&gt;"",$R39="(Código não identificado nas referências)"),"CÓDIGO N/ID",
IF(AND($C39="S",OR($R39="",$R39="(digite a descrição aqui)"),OR($Q39&lt;&gt;"",$T39&gt;0,$U39&gt;0)),"DESCRIÇÃO",
IF(AND($C39="S",$P39&lt;&gt;"",$Q39&lt;&gt;"",$S39=""),"UNIDADE",
IF(AND($C39="S",$P39&lt;&gt;"",$Q39&lt;&gt;"",$U39=0),"SEM CUSTO",
IF(AND(TIPOORCAMENTO="Licitado",$AL39=0,$AN39&gt;0),"SEM PREÇO",
IF(AND($C39="S",$P39&lt;&gt;"",$Q39&lt;&gt;"",$U39&gt;0,AND($V39&lt;&gt;"BDI 1",$V39&lt;&gt;"BDI 2",$V39&lt;&gt;"BDI 3")),IF(ISNUMBER($V39),"JUSTIFICAR BDI","BDI"),
IF(OR(AND(import.recurso="OGU",TIPOORCAMENTO="Proposto",LEFT($O$8,5)&lt;&gt;"(N/D:",$AG39&lt;&gt;"",ORÇAMENTO.CustoUnitario&gt;$AG39),AND(TIPOORCAMENTO="LICITADO",ORÇAMENTO.PrecoUnitarioLicitado&gt;$AN39)),"ACIMA REF.",
IF(AND($C39="S",$P39&lt;&gt;"",$Q39&lt;&gt;"",$T39=0,$U39&gt;0),"QUANT.",
IF(AND(Import.TipoArredondamento="TransfereGOV",$L39="F",$C39="S",LEN($Q39)&gt;13),"Código &gt;13",
IF(AND(Import.TipoArredondamento="TransfereGOV",$L39="F",$C39&lt;&gt;"S",LEN($R39)&gt;100),"Descrição &gt;100",
IF(AND(Import.TipoArredondamento="TransfereGOV",$L39="F",$C39="S",LEN($R39)&gt;500),"Descrição &gt;500",
IF(AND(Import.TipoArredondamento="TransfereGOV",$L39="F",$C39="S",LEFT(TRIM(UPPER($P39)),6)&lt;&gt;"SINAPI",ISNA(VLOOKUP(TRIM(UPPER($S39)),ListaTgov.Unidades,1,FALSE))),"Unid. Não Disp",
" "))))))))))))))))</f>
        <v xml:space="preserve"> </v>
      </c>
      <c r="AD39" t="str">
        <f ca="1">IF(C39&lt;=CRONO.NivelExibicao,MAX($AD$15:OFFSET(AD39,-1,0))+IF($C39&lt;&gt;1,1,MAX(1,COUNTIF(QCI!$A$13:$A$24,OFFSET($E39,-1,0)))),"")</f>
        <v/>
      </c>
      <c r="AE39" s="7" t="str" cm="1">
        <f t="array" aca="1" ref="AE39" ca="1">IF(AND($C39="S",ORÇAMENTO.CodBarra&lt;&gt;""),IF(ORÇAMENTO.Fonte="",ORÇAMENTO.CodBarra,CONCATENATE(ORÇAMENTO.Fonte," ",ORÇAMENTO.CodBarra)))</f>
        <v>Composição ED-49664</v>
      </c>
      <c r="AF39" s="12" t="str" cm="1">
        <f t="array" aca="1" ref="AF39" ca="1">IF(ISERROR(ORÇAMENTO.BancoRef),"(abra o arquivo 'Referência "&amp;Excel_BuiltIn_Database&amp;".xlsm)",IF(OR($C39&lt;&gt;"S",ORÇAMENTO.CodBarra=""),"(Sem Código)",IF(ISERROR(MATCH($AE39,INDIRECT(ORÇAMENTO.BancoRef),0)),"(Código não identificado nas referências)",MATCH($AE39,INDIRECT(ORÇAMENTO.BancoRef),0))))</f>
        <v>(Código não identificado nas referências)</v>
      </c>
      <c r="AG39" s="427" cm="1">
        <f t="array" aca="1" ref="AG39" ca="1">ROUND(IF(DESONERACAO="sim",REFERENCIA.Desonerado,REFERENCIA.NaoDesonerado),2)</f>
        <v>0</v>
      </c>
      <c r="AH39" s="428">
        <f t="shared" ca="1" si="14"/>
        <v>3.09E-2</v>
      </c>
      <c r="AJ39" s="430"/>
      <c r="AL39" s="438"/>
      <c r="AM39" s="335">
        <f t="shared" ca="1" si="0"/>
        <v>337737.6</v>
      </c>
      <c r="AN39" s="469" cm="1">
        <f t="array" aca="1" ref="AN39" ca="1">ROUND(ORÇAMENTO.CustoUnitario*(1+$AH39),2)</f>
        <v>26.06</v>
      </c>
    </row>
    <row r="40" spans="1:40" ht="25.5" x14ac:dyDescent="0.2">
      <c r="A40" t="str">
        <f t="shared" si="1"/>
        <v>S</v>
      </c>
      <c r="B40">
        <f t="shared" ca="1" si="2"/>
        <v>2</v>
      </c>
      <c r="C40" t="str">
        <f t="shared" ca="1" si="3"/>
        <v>S</v>
      </c>
      <c r="D40">
        <f t="shared" ca="1" si="4"/>
        <v>0</v>
      </c>
      <c r="E40">
        <f ca="1">IF($C40=1,OFFSET(E40,-1,0)+MAX(1,COUNTIF(QCI!$A$13:$A$24,OFFSET(ORÇAMENTO!E40,-1,0))),OFFSET(E40,-1,0))</f>
        <v>1</v>
      </c>
      <c r="F40">
        <f t="shared" ca="1" si="5"/>
        <v>6</v>
      </c>
      <c r="G40">
        <f t="shared" ca="1" si="6"/>
        <v>0</v>
      </c>
      <c r="H40">
        <f t="shared" ca="1" si="7"/>
        <v>0</v>
      </c>
      <c r="I40">
        <f t="shared" ca="1" si="8"/>
        <v>2</v>
      </c>
      <c r="J40">
        <f t="shared" ca="1" si="9"/>
        <v>0</v>
      </c>
      <c r="K40">
        <f ca="1">IF(OR($C40="S",$C40=0),0,MATCH(OFFSET($D40,0,$C40)+IF($C40&lt;&gt;1,1,COUNTIF(QCI!$A$13:$A$24,ORÇAMENTO!E40)),OFFSET($D40,1,$C40,ROW($C$55)-ROW($C40)),0))</f>
        <v>0</v>
      </c>
      <c r="L40" s="113" t="str">
        <f t="shared" ca="1" si="10"/>
        <v>F</v>
      </c>
      <c r="M40" s="114" t="s">
        <v>705</v>
      </c>
      <c r="N40" s="115" t="str">
        <f t="shared" ca="1" si="11"/>
        <v>Serviço</v>
      </c>
      <c r="O40" s="116" t="str">
        <f t="shared" ca="1" si="12"/>
        <v>1.6.2.</v>
      </c>
      <c r="P40" s="117" t="s">
        <v>956</v>
      </c>
      <c r="Q40" s="118" t="s">
        <v>1036</v>
      </c>
      <c r="R40" s="119" t="s">
        <v>1037</v>
      </c>
      <c r="S40" s="120" t="s">
        <v>623</v>
      </c>
      <c r="T40" s="121">
        <f ca="1">OFFSET(CÁLCULO!H$15,ROW($T40)-ROW(T$15),0)</f>
        <v>388.8</v>
      </c>
      <c r="U40" s="122">
        <v>28.78</v>
      </c>
      <c r="V40" s="123" t="s">
        <v>663</v>
      </c>
      <c r="W40" s="121" cm="1">
        <f t="array" aca="1" ref="W40" ca="1">IF($C40="S",ROUND(IF(TIPOORCAMENTO="Proposto",ORÇAMENTO.CustoUnitario*(1+$AH40),ORÇAMENTO.PrecoUnitarioLicitado),15-13*$AF$10),0)</f>
        <v>29.67</v>
      </c>
      <c r="X40" s="124" cm="1">
        <f t="array" aca="1" ref="X40" ca="1">IF($C40="S",IF(OR(Import.TipoArredondamento&lt;&gt;"TransfereGOV",ACOMPANHAMENTO="BM"),VTOTAL1,SUM(OFFSET(CÁLCULO!$AA$15,ROW($X40)-ROW($X$15),1):OFFSET(CÁLCULO!$AL$15,ROW($X40)-ROW($X$15),-1))),IF($C40=0,0,ROUND(SomaAgrup,15-13*$AF$11)))</f>
        <v>11535.7</v>
      </c>
      <c r="Y40" s="125" t="s">
        <v>751</v>
      </c>
      <c r="Z40" t="str">
        <f t="shared" ca="1" si="13"/>
        <v>RA</v>
      </c>
      <c r="AA40" s="126" cm="1">
        <f t="array" aca="1" ref="AA40" ca="1">IF($C40="S",IF($Z40="CP",$X40,IF($Z40="RA",(($X40)*QCI!$AA$3),0)),SomaAgrup)</f>
        <v>32.520462262653091</v>
      </c>
      <c r="AB40" s="127" cm="1">
        <f t="array" aca="1" ref="AB40" ca="1">IF($C40="S",IF($Z40="OU",ROUND($X40,2),0),SomaAgrup)</f>
        <v>0</v>
      </c>
      <c r="AC40" s="564" t="str" cm="1">
        <f t="array" aca="1" ref="AC40" ca="1">IF($N40=""," ",
IF(AND($C40&lt;&gt;"S",OR($R40="",$R40="(digite a descrição aqui)")),"DESCRIÇÃO",
IF(AND($C40="S",OR($Q40&lt;&gt;"",$T40&gt;0,$U40&gt;0),$P40=""),"FONTE",
IF(AND($C40="S",$P40&lt;&gt;"",OR($T40&gt;0,$U40&gt;0),$Q40=""),"CÓDIGO",
IF(AND($C40="S",$P40&lt;&gt;"",$Q40&lt;&gt;"",$R40="(Código não identificado nas referências)"),"CÓDIGO N/ID",
IF(AND($C40="S",OR($R40="",$R40="(digite a descrição aqui)"),OR($Q40&lt;&gt;"",$T40&gt;0,$U40&gt;0)),"DESCRIÇÃO",
IF(AND($C40="S",$P40&lt;&gt;"",$Q40&lt;&gt;"",$S40=""),"UNIDADE",
IF(AND($C40="S",$P40&lt;&gt;"",$Q40&lt;&gt;"",$U40=0),"SEM CUSTO",
IF(AND(TIPOORCAMENTO="Licitado",$AL40=0,$AN40&gt;0),"SEM PREÇO",
IF(AND($C40="S",$P40&lt;&gt;"",$Q40&lt;&gt;"",$U40&gt;0,AND($V40&lt;&gt;"BDI 1",$V40&lt;&gt;"BDI 2",$V40&lt;&gt;"BDI 3")),IF(ISNUMBER($V40),"JUSTIFICAR BDI","BDI"),
IF(OR(AND(import.recurso="OGU",TIPOORCAMENTO="Proposto",LEFT($O$8,5)&lt;&gt;"(N/D:",$AG40&lt;&gt;"",ORÇAMENTO.CustoUnitario&gt;$AG40),AND(TIPOORCAMENTO="LICITADO",ORÇAMENTO.PrecoUnitarioLicitado&gt;$AN40)),"ACIMA REF.",
IF(AND($C40="S",$P40&lt;&gt;"",$Q40&lt;&gt;"",$T40=0,$U40&gt;0),"QUANT.",
IF(AND(Import.TipoArredondamento="TransfereGOV",$L40="F",$C40="S",LEN($Q40)&gt;13),"Código &gt;13",
IF(AND(Import.TipoArredondamento="TransfereGOV",$L40="F",$C40&lt;&gt;"S",LEN($R40)&gt;100),"Descrição &gt;100",
IF(AND(Import.TipoArredondamento="TransfereGOV",$L40="F",$C40="S",LEN($R40)&gt;500),"Descrição &gt;500",
IF(AND(Import.TipoArredondamento="TransfereGOV",$L40="F",$C40="S",LEFT(TRIM(UPPER($P40)),6)&lt;&gt;"SINAPI",ISNA(VLOOKUP(TRIM(UPPER($S40)),ListaTgov.Unidades,1,FALSE))),"Unid. Não Disp",
" "))))))))))))))))</f>
        <v xml:space="preserve"> </v>
      </c>
      <c r="AD40" t="str">
        <f ca="1">IF(C40&lt;=CRONO.NivelExibicao,MAX($AD$15:OFFSET(AD40,-1,0))+IF($C40&lt;&gt;1,1,MAX(1,COUNTIF(QCI!$A$13:$A$24,OFFSET($E40,-1,0)))),"")</f>
        <v/>
      </c>
      <c r="AE40" s="7" t="str" cm="1">
        <f t="array" aca="1" ref="AE40" ca="1">IF(AND($C40="S",ORÇAMENTO.CodBarra&lt;&gt;""),IF(ORÇAMENTO.Fonte="",ORÇAMENTO.CodBarra,CONCATENATE(ORÇAMENTO.Fonte," ",ORÇAMENTO.CodBarra)))</f>
        <v>Composição ED-50487</v>
      </c>
      <c r="AF40" s="12" t="str" cm="1">
        <f t="array" aca="1" ref="AF40" ca="1">IF(ISERROR(ORÇAMENTO.BancoRef),"(abra o arquivo 'Referência "&amp;Excel_BuiltIn_Database&amp;".xlsm)",IF(OR($C40&lt;&gt;"S",ORÇAMENTO.CodBarra=""),"(Sem Código)",IF(ISERROR(MATCH($AE40,INDIRECT(ORÇAMENTO.BancoRef),0)),"(Código não identificado nas referências)",MATCH($AE40,INDIRECT(ORÇAMENTO.BancoRef),0))))</f>
        <v>(Código não identificado nas referências)</v>
      </c>
      <c r="AG40" s="427" cm="1">
        <f t="array" aca="1" ref="AG40" ca="1">ROUND(IF(DESONERACAO="sim",REFERENCIA.Desonerado,REFERENCIA.NaoDesonerado),2)</f>
        <v>0</v>
      </c>
      <c r="AH40" s="428">
        <f t="shared" ca="1" si="14"/>
        <v>3.09E-2</v>
      </c>
      <c r="AJ40" s="430"/>
      <c r="AL40" s="438"/>
      <c r="AM40" s="335">
        <f t="shared" ca="1" si="0"/>
        <v>11535.7</v>
      </c>
      <c r="AN40" s="469" cm="1">
        <f t="array" aca="1" ref="AN40" ca="1">ROUND(ORÇAMENTO.CustoUnitario*(1+$AH40),2)</f>
        <v>29.67</v>
      </c>
    </row>
    <row r="41" spans="1:40" ht="25.5" x14ac:dyDescent="0.2">
      <c r="A41" t="str">
        <f t="shared" si="1"/>
        <v>S</v>
      </c>
      <c r="B41">
        <f t="shared" ca="1" si="2"/>
        <v>2</v>
      </c>
      <c r="C41" t="str">
        <f t="shared" ca="1" si="3"/>
        <v>S</v>
      </c>
      <c r="D41">
        <f t="shared" ca="1" si="4"/>
        <v>0</v>
      </c>
      <c r="E41">
        <f ca="1">IF($C41=1,OFFSET(E41,-1,0)+MAX(1,COUNTIF(QCI!$A$13:$A$24,OFFSET(ORÇAMENTO!E41,-1,0))),OFFSET(E41,-1,0))</f>
        <v>1</v>
      </c>
      <c r="F41">
        <f t="shared" ca="1" si="5"/>
        <v>6</v>
      </c>
      <c r="G41">
        <f t="shared" ca="1" si="6"/>
        <v>0</v>
      </c>
      <c r="H41">
        <f t="shared" ca="1" si="7"/>
        <v>0</v>
      </c>
      <c r="I41">
        <f t="shared" ca="1" si="8"/>
        <v>3</v>
      </c>
      <c r="J41">
        <f t="shared" ca="1" si="9"/>
        <v>0</v>
      </c>
      <c r="K41">
        <f ca="1">IF(OR($C41="S",$C41=0),0,MATCH(OFFSET($D41,0,$C41)+IF($C41&lt;&gt;1,1,COUNTIF(QCI!$A$13:$A$24,ORÇAMENTO!E41)),OFFSET($D41,1,$C41,ROW($C$55)-ROW($C41)),0))</f>
        <v>0</v>
      </c>
      <c r="L41" s="113" t="str">
        <f t="shared" ca="1" si="10"/>
        <v>F</v>
      </c>
      <c r="M41" s="114" t="s">
        <v>705</v>
      </c>
      <c r="N41" s="115" t="str">
        <f t="shared" ca="1" si="11"/>
        <v>Serviço</v>
      </c>
      <c r="O41" s="116" t="str">
        <f t="shared" ca="1" si="12"/>
        <v>1.6.3.</v>
      </c>
      <c r="P41" s="117" t="s">
        <v>955</v>
      </c>
      <c r="Q41" s="118" t="s">
        <v>1038</v>
      </c>
      <c r="R41" s="119" t="s">
        <v>1039</v>
      </c>
      <c r="S41" s="120" t="s">
        <v>507</v>
      </c>
      <c r="T41" s="121">
        <f ca="1">OFFSET(CÁLCULO!H$15,ROW($T41)-ROW(T$15),0)</f>
        <v>9.3000000000000007</v>
      </c>
      <c r="U41" s="122">
        <v>145.78</v>
      </c>
      <c r="V41" s="123" t="s">
        <v>663</v>
      </c>
      <c r="W41" s="121" cm="1">
        <f t="array" aca="1" ref="W41" ca="1">IF($C41="S",ROUND(IF(TIPOORCAMENTO="Proposto",ORÇAMENTO.CustoUnitario*(1+$AH41),ORÇAMENTO.PrecoUnitarioLicitado),15-13*$AF$10),0)</f>
        <v>150.28</v>
      </c>
      <c r="X41" s="124" cm="1">
        <f t="array" aca="1" ref="X41" ca="1">IF($C41="S",IF(OR(Import.TipoArredondamento&lt;&gt;"TransfereGOV",ACOMPANHAMENTO="BM"),VTOTAL1,SUM(OFFSET(CÁLCULO!$AA$15,ROW($X41)-ROW($X$15),1):OFFSET(CÁLCULO!$AL$15,ROW($X41)-ROW($X$15),-1))),IF($C41=0,0,ROUND(SomaAgrup,15-13*$AF$11)))</f>
        <v>1397.6</v>
      </c>
      <c r="Y41" s="125" t="s">
        <v>751</v>
      </c>
      <c r="Z41" t="str">
        <f t="shared" ca="1" si="13"/>
        <v>RA</v>
      </c>
      <c r="AA41" s="126" cm="1">
        <f t="array" aca="1" ref="AA41" ca="1">IF($C41="S",IF($Z41="CP",$X41,IF($Z41="RA",(($X41)*QCI!$AA$3),0)),SomaAgrup)</f>
        <v>3.9399948038076538</v>
      </c>
      <c r="AB41" s="127" cm="1">
        <f t="array" aca="1" ref="AB41" ca="1">IF($C41="S",IF($Z41="OU",ROUND($X41,2),0),SomaAgrup)</f>
        <v>0</v>
      </c>
      <c r="AC41" s="564" t="str" cm="1">
        <f t="array" aca="1" ref="AC41" ca="1">IF($N41=""," ",
IF(AND($C41&lt;&gt;"S",OR($R41="",$R41="(digite a descrição aqui)")),"DESCRIÇÃO",
IF(AND($C41="S",OR($Q41&lt;&gt;"",$T41&gt;0,$U41&gt;0),$P41=""),"FONTE",
IF(AND($C41="S",$P41&lt;&gt;"",OR($T41&gt;0,$U41&gt;0),$Q41=""),"CÓDIGO",
IF(AND($C41="S",$P41&lt;&gt;"",$Q41&lt;&gt;"",$R41="(Código não identificado nas referências)"),"CÓDIGO N/ID",
IF(AND($C41="S",OR($R41="",$R41="(digite a descrição aqui)"),OR($Q41&lt;&gt;"",$T41&gt;0,$U41&gt;0)),"DESCRIÇÃO",
IF(AND($C41="S",$P41&lt;&gt;"",$Q41&lt;&gt;"",$S41=""),"UNIDADE",
IF(AND($C41="S",$P41&lt;&gt;"",$Q41&lt;&gt;"",$U41=0),"SEM CUSTO",
IF(AND(TIPOORCAMENTO="Licitado",$AL41=0,$AN41&gt;0),"SEM PREÇO",
IF(AND($C41="S",$P41&lt;&gt;"",$Q41&lt;&gt;"",$U41&gt;0,AND($V41&lt;&gt;"BDI 1",$V41&lt;&gt;"BDI 2",$V41&lt;&gt;"BDI 3")),IF(ISNUMBER($V41),"JUSTIFICAR BDI","BDI"),
IF(OR(AND(import.recurso="OGU",TIPOORCAMENTO="Proposto",LEFT($O$8,5)&lt;&gt;"(N/D:",$AG41&lt;&gt;"",ORÇAMENTO.CustoUnitario&gt;$AG41),AND(TIPOORCAMENTO="LICITADO",ORÇAMENTO.PrecoUnitarioLicitado&gt;$AN41)),"ACIMA REF.",
IF(AND($C41="S",$P41&lt;&gt;"",$Q41&lt;&gt;"",$T41=0,$U41&gt;0),"QUANT.",
IF(AND(Import.TipoArredondamento="TransfereGOV",$L41="F",$C41="S",LEN($Q41)&gt;13),"Código &gt;13",
IF(AND(Import.TipoArredondamento="TransfereGOV",$L41="F",$C41&lt;&gt;"S",LEN($R41)&gt;100),"Descrição &gt;100",
IF(AND(Import.TipoArredondamento="TransfereGOV",$L41="F",$C41="S",LEN($R41)&gt;500),"Descrição &gt;500",
IF(AND(Import.TipoArredondamento="TransfereGOV",$L41="F",$C41="S",LEFT(TRIM(UPPER($P41)),6)&lt;&gt;"SINAPI",ISNA(VLOOKUP(TRIM(UPPER($S41)),ListaTgov.Unidades,1,FALSE))),"Unid. Não Disp",
" "))))))))))))))))</f>
        <v xml:space="preserve"> </v>
      </c>
      <c r="AD41" t="str">
        <f ca="1">IF(C41&lt;=CRONO.NivelExibicao,MAX($AD$15:OFFSET(AD41,-1,0))+IF($C41&lt;&gt;1,1,MAX(1,COUNTIF(QCI!$A$13:$A$24,OFFSET($E41,-1,0)))),"")</f>
        <v/>
      </c>
      <c r="AE41" s="7" t="str" cm="1">
        <f t="array" aca="1" ref="AE41" ca="1">IF(AND($C41="S",ORÇAMENTO.CodBarra&lt;&gt;""),IF(ORÇAMENTO.Fonte="",ORÇAMENTO.CodBarra,CONCATENATE(ORÇAMENTO.Fonte," ",ORÇAMENTO.CodBarra)))</f>
        <v>SICRO 0307731</v>
      </c>
      <c r="AF41" s="12" t="str" cm="1">
        <f t="array" aca="1" ref="AF41" ca="1">IF(ISERROR(ORÇAMENTO.BancoRef),"(abra o arquivo 'Referência "&amp;Excel_BuiltIn_Database&amp;".xlsm)",IF(OR($C41&lt;&gt;"S",ORÇAMENTO.CodBarra=""),"(Sem Código)",IF(ISERROR(MATCH($AE41,INDIRECT(ORÇAMENTO.BancoRef),0)),"(Código não identificado nas referências)",MATCH($AE41,INDIRECT(ORÇAMENTO.BancoRef),0))))</f>
        <v>(Código não identificado nas referências)</v>
      </c>
      <c r="AG41" s="427" cm="1">
        <f t="array" aca="1" ref="AG41" ca="1">ROUND(IF(DESONERACAO="sim",REFERENCIA.Desonerado,REFERENCIA.NaoDesonerado),2)</f>
        <v>0</v>
      </c>
      <c r="AH41" s="428">
        <f t="shared" ca="1" si="14"/>
        <v>3.09E-2</v>
      </c>
      <c r="AJ41" s="430"/>
      <c r="AL41" s="438"/>
      <c r="AM41" s="335">
        <f t="shared" ca="1" si="0"/>
        <v>1397.6</v>
      </c>
      <c r="AN41" s="469" cm="1">
        <f t="array" aca="1" ref="AN41" ca="1">ROUND(ORÇAMENTO.CustoUnitario*(1+$AH41),2)</f>
        <v>150.28</v>
      </c>
    </row>
    <row r="42" spans="1:40" x14ac:dyDescent="0.2">
      <c r="A42" t="str">
        <f t="shared" si="1"/>
        <v>S</v>
      </c>
      <c r="B42">
        <f t="shared" ca="1" si="2"/>
        <v>2</v>
      </c>
      <c r="C42" t="str">
        <f t="shared" ca="1" si="3"/>
        <v>S</v>
      </c>
      <c r="D42">
        <f t="shared" ca="1" si="4"/>
        <v>0</v>
      </c>
      <c r="E42">
        <f ca="1">IF($C42=1,OFFSET(E42,-1,0)+MAX(1,COUNTIF(QCI!$A$13:$A$24,OFFSET(ORÇAMENTO!E42,-1,0))),OFFSET(E42,-1,0))</f>
        <v>1</v>
      </c>
      <c r="F42">
        <f t="shared" ca="1" si="5"/>
        <v>6</v>
      </c>
      <c r="G42">
        <f t="shared" ca="1" si="6"/>
        <v>0</v>
      </c>
      <c r="H42">
        <f t="shared" ca="1" si="7"/>
        <v>0</v>
      </c>
      <c r="I42">
        <f t="shared" ca="1" si="8"/>
        <v>4</v>
      </c>
      <c r="J42">
        <f t="shared" ca="1" si="9"/>
        <v>0</v>
      </c>
      <c r="K42">
        <f ca="1">IF(OR($C42="S",$C42=0),0,MATCH(OFFSET($D42,0,$C42)+IF($C42&lt;&gt;1,1,COUNTIF(QCI!$A$13:$A$24,ORÇAMENTO!E42)),OFFSET($D42,1,$C42,ROW($C$55)-ROW($C42)),0))</f>
        <v>0</v>
      </c>
      <c r="L42" s="113" t="str">
        <f t="shared" ca="1" si="10"/>
        <v>F</v>
      </c>
      <c r="M42" s="114" t="s">
        <v>705</v>
      </c>
      <c r="N42" s="115" t="str">
        <f t="shared" ca="1" si="11"/>
        <v>Serviço</v>
      </c>
      <c r="O42" s="116" t="str">
        <f t="shared" ca="1" si="12"/>
        <v>1.6.4.</v>
      </c>
      <c r="P42" s="117" t="s">
        <v>955</v>
      </c>
      <c r="Q42" s="118" t="s">
        <v>1040</v>
      </c>
      <c r="R42" s="119" t="s">
        <v>1041</v>
      </c>
      <c r="S42" s="120" t="s">
        <v>623</v>
      </c>
      <c r="T42" s="121">
        <f ca="1">OFFSET(CÁLCULO!H$15,ROW($T42)-ROW(T$15),0)</f>
        <v>90</v>
      </c>
      <c r="U42" s="122">
        <v>143.63999999999999</v>
      </c>
      <c r="V42" s="123" t="s">
        <v>663</v>
      </c>
      <c r="W42" s="121" cm="1">
        <f t="array" aca="1" ref="W42" ca="1">IF($C42="S",ROUND(IF(TIPOORCAMENTO="Proposto",ORÇAMENTO.CustoUnitario*(1+$AH42),ORÇAMENTO.PrecoUnitarioLicitado),15-13*$AF$10),0)</f>
        <v>148.08000000000001</v>
      </c>
      <c r="X42" s="124" cm="1">
        <f t="array" aca="1" ref="X42" ca="1">IF($C42="S",IF(OR(Import.TipoArredondamento&lt;&gt;"TransfereGOV",ACOMPANHAMENTO="BM"),VTOTAL1,SUM(OFFSET(CÁLCULO!$AA$15,ROW($X42)-ROW($X$15),1):OFFSET(CÁLCULO!$AL$15,ROW($X42)-ROW($X$15),-1))),IF($C42=0,0,ROUND(SomaAgrup,15-13*$AF$11)))</f>
        <v>13327.2</v>
      </c>
      <c r="Y42" s="125" t="s">
        <v>751</v>
      </c>
      <c r="Z42" t="str">
        <f t="shared" ca="1" si="13"/>
        <v>RA</v>
      </c>
      <c r="AA42" s="126" cm="1">
        <f t="array" aca="1" ref="AA42" ca="1">IF($C42="S",IF($Z42="CP",$X42,IF($Z42="RA",(($X42)*QCI!$AA$3),0)),SomaAgrup)</f>
        <v>37.570906374717637</v>
      </c>
      <c r="AB42" s="127" cm="1">
        <f t="array" aca="1" ref="AB42" ca="1">IF($C42="S",IF($Z42="OU",ROUND($X42,2),0),SomaAgrup)</f>
        <v>0</v>
      </c>
      <c r="AC42" s="564" t="str" cm="1">
        <f t="array" aca="1" ref="AC42" ca="1">IF($N42=""," ",
IF(AND($C42&lt;&gt;"S",OR($R42="",$R42="(digite a descrição aqui)")),"DESCRIÇÃO",
IF(AND($C42="S",OR($Q42&lt;&gt;"",$T42&gt;0,$U42&gt;0),$P42=""),"FONTE",
IF(AND($C42="S",$P42&lt;&gt;"",OR($T42&gt;0,$U42&gt;0),$Q42=""),"CÓDIGO",
IF(AND($C42="S",$P42&lt;&gt;"",$Q42&lt;&gt;"",$R42="(Código não identificado nas referências)"),"CÓDIGO N/ID",
IF(AND($C42="S",OR($R42="",$R42="(digite a descrição aqui)"),OR($Q42&lt;&gt;"",$T42&gt;0,$U42&gt;0)),"DESCRIÇÃO",
IF(AND($C42="S",$P42&lt;&gt;"",$Q42&lt;&gt;"",$S42=""),"UNIDADE",
IF(AND($C42="S",$P42&lt;&gt;"",$Q42&lt;&gt;"",$U42=0),"SEM CUSTO",
IF(AND(TIPOORCAMENTO="Licitado",$AL42=0,$AN42&gt;0),"SEM PREÇO",
IF(AND($C42="S",$P42&lt;&gt;"",$Q42&lt;&gt;"",$U42&gt;0,AND($V42&lt;&gt;"BDI 1",$V42&lt;&gt;"BDI 2",$V42&lt;&gt;"BDI 3")),IF(ISNUMBER($V42),"JUSTIFICAR BDI","BDI"),
IF(OR(AND(import.recurso="OGU",TIPOORCAMENTO="Proposto",LEFT($O$8,5)&lt;&gt;"(N/D:",$AG42&lt;&gt;"",ORÇAMENTO.CustoUnitario&gt;$AG42),AND(TIPOORCAMENTO="LICITADO",ORÇAMENTO.PrecoUnitarioLicitado&gt;$AN42)),"ACIMA REF.",
IF(AND($C42="S",$P42&lt;&gt;"",$Q42&lt;&gt;"",$T42=0,$U42&gt;0),"QUANT.",
IF(AND(Import.TipoArredondamento="TransfereGOV",$L42="F",$C42="S",LEN($Q42)&gt;13),"Código &gt;13",
IF(AND(Import.TipoArredondamento="TransfereGOV",$L42="F",$C42&lt;&gt;"S",LEN($R42)&gt;100),"Descrição &gt;100",
IF(AND(Import.TipoArredondamento="TransfereGOV",$L42="F",$C42="S",LEN($R42)&gt;500),"Descrição &gt;500",
IF(AND(Import.TipoArredondamento="TransfereGOV",$L42="F",$C42="S",LEFT(TRIM(UPPER($P42)),6)&lt;&gt;"SINAPI",ISNA(VLOOKUP(TRIM(UPPER($S42)),ListaTgov.Unidades,1,FALSE))),"Unid. Não Disp",
" "))))))))))))))))</f>
        <v xml:space="preserve"> </v>
      </c>
      <c r="AD42" t="str">
        <f ca="1">IF(C42&lt;=CRONO.NivelExibicao,MAX($AD$15:OFFSET(AD42,-1,0))+IF($C42&lt;&gt;1,1,MAX(1,COUNTIF(QCI!$A$13:$A$24,OFFSET($E42,-1,0)))),"")</f>
        <v/>
      </c>
      <c r="AE42" s="7" t="str" cm="1">
        <f t="array" aca="1" ref="AE42" ca="1">IF(AND($C42="S",ORÇAMENTO.CodBarra&lt;&gt;""),IF(ORÇAMENTO.Fonte="",ORÇAMENTO.CodBarra,CONCATENATE(ORÇAMENTO.Fonte," ",ORÇAMENTO.CodBarra)))</f>
        <v>SICRO M0969</v>
      </c>
      <c r="AF42" s="12" t="str" cm="1">
        <f t="array" aca="1" ref="AF42" ca="1">IF(ISERROR(ORÇAMENTO.BancoRef),"(abra o arquivo 'Referência "&amp;Excel_BuiltIn_Database&amp;".xlsm)",IF(OR($C42&lt;&gt;"S",ORÇAMENTO.CodBarra=""),"(Sem Código)",IF(ISERROR(MATCH($AE42,INDIRECT(ORÇAMENTO.BancoRef),0)),"(Código não identificado nas referências)",MATCH($AE42,INDIRECT(ORÇAMENTO.BancoRef),0))))</f>
        <v>(Código não identificado nas referências)</v>
      </c>
      <c r="AG42" s="427" cm="1">
        <f t="array" aca="1" ref="AG42" ca="1">ROUND(IF(DESONERACAO="sim",REFERENCIA.Desonerado,REFERENCIA.NaoDesonerado),2)</f>
        <v>0</v>
      </c>
      <c r="AH42" s="428">
        <f t="shared" ca="1" si="14"/>
        <v>3.09E-2</v>
      </c>
      <c r="AJ42" s="430"/>
      <c r="AL42" s="438"/>
      <c r="AM42" s="335">
        <f t="shared" ca="1" si="0"/>
        <v>13327.2</v>
      </c>
      <c r="AN42" s="469" cm="1">
        <f t="array" aca="1" ref="AN42" ca="1">ROUND(ORÇAMENTO.CustoUnitario*(1+$AH42),2)</f>
        <v>148.08000000000001</v>
      </c>
    </row>
    <row r="43" spans="1:40" ht="25.5" x14ac:dyDescent="0.2">
      <c r="A43" t="str">
        <f t="shared" si="1"/>
        <v>S</v>
      </c>
      <c r="B43">
        <f t="shared" ca="1" si="2"/>
        <v>2</v>
      </c>
      <c r="C43" t="str">
        <f t="shared" ca="1" si="3"/>
        <v>S</v>
      </c>
      <c r="D43">
        <f t="shared" ca="1" si="4"/>
        <v>0</v>
      </c>
      <c r="E43">
        <f ca="1">IF($C43=1,OFFSET(E43,-1,0)+MAX(1,COUNTIF(QCI!$A$13:$A$24,OFFSET(ORÇAMENTO!E43,-1,0))),OFFSET(E43,-1,0))</f>
        <v>1</v>
      </c>
      <c r="F43">
        <f t="shared" ca="1" si="5"/>
        <v>6</v>
      </c>
      <c r="G43">
        <f t="shared" ca="1" si="6"/>
        <v>0</v>
      </c>
      <c r="H43">
        <f t="shared" ca="1" si="7"/>
        <v>0</v>
      </c>
      <c r="I43">
        <f t="shared" ca="1" si="8"/>
        <v>5</v>
      </c>
      <c r="J43">
        <f t="shared" ca="1" si="9"/>
        <v>0</v>
      </c>
      <c r="K43">
        <f ca="1">IF(OR($C43="S",$C43=0),0,MATCH(OFFSET($D43,0,$C43)+IF($C43&lt;&gt;1,1,COUNTIF(QCI!$A$13:$A$24,ORÇAMENTO!E43)),OFFSET($D43,1,$C43,ROW($C$55)-ROW($C43)),0))</f>
        <v>0</v>
      </c>
      <c r="L43" s="113" t="str">
        <f t="shared" ca="1" si="10"/>
        <v>F</v>
      </c>
      <c r="M43" s="114" t="s">
        <v>705</v>
      </c>
      <c r="N43" s="115" t="str">
        <f t="shared" ca="1" si="11"/>
        <v>Serviço</v>
      </c>
      <c r="O43" s="116" t="str">
        <f t="shared" ca="1" si="12"/>
        <v>1.6.5.</v>
      </c>
      <c r="P43" s="117" t="s">
        <v>955</v>
      </c>
      <c r="Q43" s="118" t="s">
        <v>1042</v>
      </c>
      <c r="R43" s="119" t="s">
        <v>1043</v>
      </c>
      <c r="S43" s="120" t="str" cm="1">
        <f t="array" aca="1" ref="S43" ca="1">REFERENCIA.Unidade</f>
        <v>-</v>
      </c>
      <c r="T43" s="121">
        <f ca="1">OFFSET(CÁLCULO!H$15,ROW($T43)-ROW(T$15),0)</f>
        <v>8</v>
      </c>
      <c r="U43" s="122">
        <v>5546.41</v>
      </c>
      <c r="V43" s="123" t="s">
        <v>663</v>
      </c>
      <c r="W43" s="121" cm="1">
        <f t="array" aca="1" ref="W43" ca="1">IF($C43="S",ROUND(IF(TIPOORCAMENTO="Proposto",ORÇAMENTO.CustoUnitario*(1+$AH43),ORÇAMENTO.PrecoUnitarioLicitado),15-13*$AF$10),0)</f>
        <v>5717.79</v>
      </c>
      <c r="X43" s="124" cm="1">
        <f t="array" aca="1" ref="X43" ca="1">IF($C43="S",IF(OR(Import.TipoArredondamento&lt;&gt;"TransfereGOV",ACOMPANHAMENTO="BM"),VTOTAL1,SUM(OFFSET(CÁLCULO!$AA$15,ROW($X43)-ROW($X$15),1):OFFSET(CÁLCULO!$AL$15,ROW($X43)-ROW($X$15),-1))),IF($C43=0,0,ROUND(SomaAgrup,15-13*$AF$11)))</f>
        <v>45742.32</v>
      </c>
      <c r="Y43" s="125" t="s">
        <v>751</v>
      </c>
      <c r="Z43" t="str">
        <f t="shared" ca="1" si="13"/>
        <v>RA</v>
      </c>
      <c r="AA43" s="126" cm="1">
        <f t="array" aca="1" ref="AA43" ca="1">IF($C43="S",IF($Z43="CP",$X43,IF($Z43="RA",(($X43)*QCI!$AA$3),0)),SomaAgrup)</f>
        <v>128.95284996716293</v>
      </c>
      <c r="AB43" s="127" cm="1">
        <f t="array" aca="1" ref="AB43" ca="1">IF($C43="S",IF($Z43="OU",ROUND($X43,2),0),SomaAgrup)</f>
        <v>0</v>
      </c>
      <c r="AC43" s="564" t="str" cm="1">
        <f t="array" aca="1" ref="AC43" ca="1">IF($N43=""," ",
IF(AND($C43&lt;&gt;"S",OR($R43="",$R43="(digite a descrição aqui)")),"DESCRIÇÃO",
IF(AND($C43="S",OR($Q43&lt;&gt;"",$T43&gt;0,$U43&gt;0),$P43=""),"FONTE",
IF(AND($C43="S",$P43&lt;&gt;"",OR($T43&gt;0,$U43&gt;0),$Q43=""),"CÓDIGO",
IF(AND($C43="S",$P43&lt;&gt;"",$Q43&lt;&gt;"",$R43="(Código não identificado nas referências)"),"CÓDIGO N/ID",
IF(AND($C43="S",OR($R43="",$R43="(digite a descrição aqui)"),OR($Q43&lt;&gt;"",$T43&gt;0,$U43&gt;0)),"DESCRIÇÃO",
IF(AND($C43="S",$P43&lt;&gt;"",$Q43&lt;&gt;"",$S43=""),"UNIDADE",
IF(AND($C43="S",$P43&lt;&gt;"",$Q43&lt;&gt;"",$U43=0),"SEM CUSTO",
IF(AND(TIPOORCAMENTO="Licitado",$AL43=0,$AN43&gt;0),"SEM PREÇO",
IF(AND($C43="S",$P43&lt;&gt;"",$Q43&lt;&gt;"",$U43&gt;0,AND($V43&lt;&gt;"BDI 1",$V43&lt;&gt;"BDI 2",$V43&lt;&gt;"BDI 3")),IF(ISNUMBER($V43),"JUSTIFICAR BDI","BDI"),
IF(OR(AND(import.recurso="OGU",TIPOORCAMENTO="Proposto",LEFT($O$8,5)&lt;&gt;"(N/D:",$AG43&lt;&gt;"",ORÇAMENTO.CustoUnitario&gt;$AG43),AND(TIPOORCAMENTO="LICITADO",ORÇAMENTO.PrecoUnitarioLicitado&gt;$AN43)),"ACIMA REF.",
IF(AND($C43="S",$P43&lt;&gt;"",$Q43&lt;&gt;"",$T43=0,$U43&gt;0),"QUANT.",
IF(AND(Import.TipoArredondamento="TransfereGOV",$L43="F",$C43="S",LEN($Q43)&gt;13),"Código &gt;13",
IF(AND(Import.TipoArredondamento="TransfereGOV",$L43="F",$C43&lt;&gt;"S",LEN($R43)&gt;100),"Descrição &gt;100",
IF(AND(Import.TipoArredondamento="TransfereGOV",$L43="F",$C43="S",LEN($R43)&gt;500),"Descrição &gt;500",
IF(AND(Import.TipoArredondamento="TransfereGOV",$L43="F",$C43="S",LEFT(TRIM(UPPER($P43)),6)&lt;&gt;"SINAPI",ISNA(VLOOKUP(TRIM(UPPER($S43)),ListaTgov.Unidades,1,FALSE))),"Unid. Não Disp",
" "))))))))))))))))</f>
        <v>Unid. Não Disp</v>
      </c>
      <c r="AD43" t="str">
        <f ca="1">IF(C43&lt;=CRONO.NivelExibicao,MAX($AD$15:OFFSET(AD43,-1,0))+IF($C43&lt;&gt;1,1,MAX(1,COUNTIF(QCI!$A$13:$A$24,OFFSET($E43,-1,0)))),"")</f>
        <v/>
      </c>
      <c r="AE43" s="7" t="str" cm="1">
        <f t="array" aca="1" ref="AE43" ca="1">IF(AND($C43="S",ORÇAMENTO.CodBarra&lt;&gt;""),IF(ORÇAMENTO.Fonte="",ORÇAMENTO.CodBarra,CONCATENATE(ORÇAMENTO.Fonte," ",ORÇAMENTO.CodBarra)))</f>
        <v>SICRO 3806431</v>
      </c>
      <c r="AF43" s="12" t="str" cm="1">
        <f t="array" aca="1" ref="AF43" ca="1">IF(ISERROR(ORÇAMENTO.BancoRef),"(abra o arquivo 'Referência "&amp;Excel_BuiltIn_Database&amp;".xlsm)",IF(OR($C43&lt;&gt;"S",ORÇAMENTO.CodBarra=""),"(Sem Código)",IF(ISERROR(MATCH($AE43,INDIRECT(ORÇAMENTO.BancoRef),0)),"(Código não identificado nas referências)",MATCH($AE43,INDIRECT(ORÇAMENTO.BancoRef),0))))</f>
        <v>(Código não identificado nas referências)</v>
      </c>
      <c r="AG43" s="427" cm="1">
        <f t="array" aca="1" ref="AG43" ca="1">ROUND(IF(DESONERACAO="sim",REFERENCIA.Desonerado,REFERENCIA.NaoDesonerado),2)</f>
        <v>0</v>
      </c>
      <c r="AH43" s="428">
        <f t="shared" ca="1" si="14"/>
        <v>3.09E-2</v>
      </c>
      <c r="AJ43" s="430"/>
      <c r="AL43" s="438"/>
      <c r="AM43" s="335">
        <f t="shared" ca="1" si="0"/>
        <v>45742.32</v>
      </c>
      <c r="AN43" s="469" cm="1">
        <f t="array" aca="1" ref="AN43" ca="1">ROUND(ORÇAMENTO.CustoUnitario*(1+$AH43),2)</f>
        <v>5717.79</v>
      </c>
    </row>
    <row r="44" spans="1:40" ht="38.25" x14ac:dyDescent="0.2">
      <c r="A44" t="str">
        <f t="shared" si="1"/>
        <v>S</v>
      </c>
      <c r="B44">
        <f t="shared" ca="1" si="2"/>
        <v>2</v>
      </c>
      <c r="C44" t="str">
        <f t="shared" ca="1" si="3"/>
        <v>S</v>
      </c>
      <c r="D44">
        <f t="shared" ca="1" si="4"/>
        <v>0</v>
      </c>
      <c r="E44">
        <f ca="1">IF($C44=1,OFFSET(E44,-1,0)+MAX(1,COUNTIF(QCI!$A$13:$A$24,OFFSET(ORÇAMENTO!E44,-1,0))),OFFSET(E44,-1,0))</f>
        <v>1</v>
      </c>
      <c r="F44">
        <f t="shared" ca="1" si="5"/>
        <v>6</v>
      </c>
      <c r="G44">
        <f t="shared" ca="1" si="6"/>
        <v>0</v>
      </c>
      <c r="H44">
        <f t="shared" ca="1" si="7"/>
        <v>0</v>
      </c>
      <c r="I44">
        <f t="shared" ca="1" si="8"/>
        <v>6</v>
      </c>
      <c r="J44">
        <f t="shared" ca="1" si="9"/>
        <v>0</v>
      </c>
      <c r="K44">
        <f ca="1">IF(OR($C44="S",$C44=0),0,MATCH(OFFSET($D44,0,$C44)+IF($C44&lt;&gt;1,1,COUNTIF(QCI!$A$13:$A$24,ORÇAMENTO!E44)),OFFSET($D44,1,$C44,ROW($C$55)-ROW($C44)),0))</f>
        <v>0</v>
      </c>
      <c r="L44" s="113" t="str">
        <f t="shared" ca="1" si="10"/>
        <v>F</v>
      </c>
      <c r="M44" s="114" t="s">
        <v>705</v>
      </c>
      <c r="N44" s="115" t="str">
        <f t="shared" ca="1" si="11"/>
        <v>Serviço</v>
      </c>
      <c r="O44" s="116" t="str">
        <f t="shared" ca="1" si="12"/>
        <v>1.6.6.</v>
      </c>
      <c r="P44" s="117" t="s">
        <v>956</v>
      </c>
      <c r="Q44" s="118" t="s">
        <v>1044</v>
      </c>
      <c r="R44" s="119" t="s">
        <v>1045</v>
      </c>
      <c r="S44" s="120" t="s">
        <v>625</v>
      </c>
      <c r="T44" s="121">
        <f ca="1">OFFSET(CÁLCULO!H$15,ROW($T44)-ROW(T$15),0)</f>
        <v>18</v>
      </c>
      <c r="U44" s="122">
        <v>838.17</v>
      </c>
      <c r="V44" s="123" t="s">
        <v>663</v>
      </c>
      <c r="W44" s="121" cm="1">
        <f t="array" aca="1" ref="W44" ca="1">IF($C44="S",ROUND(IF(TIPOORCAMENTO="Proposto",ORÇAMENTO.CustoUnitario*(1+$AH44),ORÇAMENTO.PrecoUnitarioLicitado),15-13*$AF$10),0)</f>
        <v>864.07</v>
      </c>
      <c r="X44" s="124" cm="1">
        <f t="array" aca="1" ref="X44" ca="1">IF($C44="S",IF(OR(Import.TipoArredondamento&lt;&gt;"TransfereGOV",ACOMPANHAMENTO="BM"),VTOTAL1,SUM(OFFSET(CÁLCULO!$AA$15,ROW($X44)-ROW($X$15),1):OFFSET(CÁLCULO!$AL$15,ROW($X44)-ROW($X$15),-1))),IF($C44=0,0,ROUND(SomaAgrup,15-13*$AF$11)))</f>
        <v>15553.26</v>
      </c>
      <c r="Y44" s="125" t="s">
        <v>751</v>
      </c>
      <c r="Z44" t="str">
        <f t="shared" ca="1" si="13"/>
        <v>RA</v>
      </c>
      <c r="AA44" s="126" cm="1">
        <f t="array" aca="1" ref="AA44" ca="1">IF($C44="S",IF($Z44="CP",$X44,IF($Z44="RA",(($X44)*QCI!$AA$3),0)),SomaAgrup)</f>
        <v>43.846425001623807</v>
      </c>
      <c r="AB44" s="127" cm="1">
        <f t="array" aca="1" ref="AB44" ca="1">IF($C44="S",IF($Z44="OU",ROUND($X44,2),0),SomaAgrup)</f>
        <v>0</v>
      </c>
      <c r="AC44" s="564" t="str" cm="1">
        <f t="array" aca="1" ref="AC44" ca="1">IF($N44=""," ",
IF(AND($C44&lt;&gt;"S",OR($R44="",$R44="(digite a descrição aqui)")),"DESCRIÇÃO",
IF(AND($C44="S",OR($Q44&lt;&gt;"",$T44&gt;0,$U44&gt;0),$P44=""),"FONTE",
IF(AND($C44="S",$P44&lt;&gt;"",OR($T44&gt;0,$U44&gt;0),$Q44=""),"CÓDIGO",
IF(AND($C44="S",$P44&lt;&gt;"",$Q44&lt;&gt;"",$R44="(Código não identificado nas referências)"),"CÓDIGO N/ID",
IF(AND($C44="S",OR($R44="",$R44="(digite a descrição aqui)"),OR($Q44&lt;&gt;"",$T44&gt;0,$U44&gt;0)),"DESCRIÇÃO",
IF(AND($C44="S",$P44&lt;&gt;"",$Q44&lt;&gt;"",$S44=""),"UNIDADE",
IF(AND($C44="S",$P44&lt;&gt;"",$Q44&lt;&gt;"",$U44=0),"SEM CUSTO",
IF(AND(TIPOORCAMENTO="Licitado",$AL44=0,$AN44&gt;0),"SEM PREÇO",
IF(AND($C44="S",$P44&lt;&gt;"",$Q44&lt;&gt;"",$U44&gt;0,AND($V44&lt;&gt;"BDI 1",$V44&lt;&gt;"BDI 2",$V44&lt;&gt;"BDI 3")),IF(ISNUMBER($V44),"JUSTIFICAR BDI","BDI"),
IF(OR(AND(import.recurso="OGU",TIPOORCAMENTO="Proposto",LEFT($O$8,5)&lt;&gt;"(N/D:",$AG44&lt;&gt;"",ORÇAMENTO.CustoUnitario&gt;$AG44),AND(TIPOORCAMENTO="LICITADO",ORÇAMENTO.PrecoUnitarioLicitado&gt;$AN44)),"ACIMA REF.",
IF(AND($C44="S",$P44&lt;&gt;"",$Q44&lt;&gt;"",$T44=0,$U44&gt;0),"QUANT.",
IF(AND(Import.TipoArredondamento="TransfereGOV",$L44="F",$C44="S",LEN($Q44)&gt;13),"Código &gt;13",
IF(AND(Import.TipoArredondamento="TransfereGOV",$L44="F",$C44&lt;&gt;"S",LEN($R44)&gt;100),"Descrição &gt;100",
IF(AND(Import.TipoArredondamento="TransfereGOV",$L44="F",$C44="S",LEN($R44)&gt;500),"Descrição &gt;500",
IF(AND(Import.TipoArredondamento="TransfereGOV",$L44="F",$C44="S",LEFT(TRIM(UPPER($P44)),6)&lt;&gt;"SINAPI",ISNA(VLOOKUP(TRIM(UPPER($S44)),ListaTgov.Unidades,1,FALSE))),"Unid. Não Disp",
" "))))))))))))))))</f>
        <v xml:space="preserve"> </v>
      </c>
      <c r="AD44" t="str">
        <f ca="1">IF(C44&lt;=CRONO.NivelExibicao,MAX($AD$15:OFFSET(AD44,-1,0))+IF($C44&lt;&gt;1,1,MAX(1,COUNTIF(QCI!$A$13:$A$24,OFFSET($E44,-1,0)))),"")</f>
        <v/>
      </c>
      <c r="AE44" s="7" t="str" cm="1">
        <f t="array" aca="1" ref="AE44" ca="1">IF(AND($C44="S",ORÇAMENTO.CodBarra&lt;&gt;""),IF(ORÇAMENTO.Fonte="",ORÇAMENTO.CodBarra,CONCATENATE(ORÇAMENTO.Fonte," ",ORÇAMENTO.CodBarra)))</f>
        <v>Composição ED-9056</v>
      </c>
      <c r="AF44" s="12" t="str" cm="1">
        <f t="array" aca="1" ref="AF44" ca="1">IF(ISERROR(ORÇAMENTO.BancoRef),"(abra o arquivo 'Referência "&amp;Excel_BuiltIn_Database&amp;".xlsm)",IF(OR($C44&lt;&gt;"S",ORÇAMENTO.CodBarra=""),"(Sem Código)",IF(ISERROR(MATCH($AE44,INDIRECT(ORÇAMENTO.BancoRef),0)),"(Código não identificado nas referências)",MATCH($AE44,INDIRECT(ORÇAMENTO.BancoRef),0))))</f>
        <v>(Código não identificado nas referências)</v>
      </c>
      <c r="AG44" s="427" cm="1">
        <f t="array" aca="1" ref="AG44" ca="1">ROUND(IF(DESONERACAO="sim",REFERENCIA.Desonerado,REFERENCIA.NaoDesonerado),2)</f>
        <v>0</v>
      </c>
      <c r="AH44" s="428">
        <f t="shared" ca="1" si="14"/>
        <v>3.09E-2</v>
      </c>
      <c r="AJ44" s="430"/>
      <c r="AL44" s="438"/>
      <c r="AM44" s="335">
        <f t="shared" ca="1" si="0"/>
        <v>15553.26</v>
      </c>
      <c r="AN44" s="469" cm="1">
        <f t="array" aca="1" ref="AN44" ca="1">ROUND(ORÇAMENTO.CustoUnitario*(1+$AH44),2)</f>
        <v>864.07</v>
      </c>
    </row>
    <row r="45" spans="1:40" ht="25.5" x14ac:dyDescent="0.2">
      <c r="A45" t="str">
        <f t="shared" si="1"/>
        <v>S</v>
      </c>
      <c r="B45">
        <f t="shared" ca="1" si="2"/>
        <v>2</v>
      </c>
      <c r="C45" t="str">
        <f t="shared" ca="1" si="3"/>
        <v>S</v>
      </c>
      <c r="D45">
        <f t="shared" ca="1" si="4"/>
        <v>0</v>
      </c>
      <c r="E45">
        <f ca="1">IF($C45=1,OFFSET(E45,-1,0)+MAX(1,COUNTIF(QCI!$A$13:$A$24,OFFSET(ORÇAMENTO!E45,-1,0))),OFFSET(E45,-1,0))</f>
        <v>1</v>
      </c>
      <c r="F45">
        <f t="shared" ca="1" si="5"/>
        <v>6</v>
      </c>
      <c r="G45">
        <f t="shared" ca="1" si="6"/>
        <v>0</v>
      </c>
      <c r="H45">
        <f t="shared" ca="1" si="7"/>
        <v>0</v>
      </c>
      <c r="I45">
        <f t="shared" ca="1" si="8"/>
        <v>7</v>
      </c>
      <c r="J45">
        <f t="shared" ca="1" si="9"/>
        <v>0</v>
      </c>
      <c r="K45">
        <f ca="1">IF(OR($C45="S",$C45=0),0,MATCH(OFFSET($D45,0,$C45)+IF($C45&lt;&gt;1,1,COUNTIF(QCI!$A$13:$A$24,ORÇAMENTO!E45)),OFFSET($D45,1,$C45,ROW($C$55)-ROW($C45)),0))</f>
        <v>0</v>
      </c>
      <c r="L45" s="113" t="str">
        <f t="shared" ca="1" si="10"/>
        <v>F</v>
      </c>
      <c r="M45" s="114" t="s">
        <v>705</v>
      </c>
      <c r="N45" s="115" t="str">
        <f t="shared" ca="1" si="11"/>
        <v>Serviço</v>
      </c>
      <c r="O45" s="116" t="str">
        <f t="shared" ca="1" si="12"/>
        <v>1.6.7.</v>
      </c>
      <c r="P45" s="117" t="s">
        <v>956</v>
      </c>
      <c r="Q45" s="118" t="s">
        <v>1029</v>
      </c>
      <c r="R45" s="119" t="s">
        <v>1030</v>
      </c>
      <c r="S45" s="120" t="s">
        <v>1031</v>
      </c>
      <c r="T45" s="121">
        <f ca="1">OFFSET(CÁLCULO!H$15,ROW($T45)-ROW(T$15),0)</f>
        <v>1620</v>
      </c>
      <c r="U45" s="122">
        <v>14.26</v>
      </c>
      <c r="V45" s="123" t="s">
        <v>663</v>
      </c>
      <c r="W45" s="121" cm="1">
        <f t="array" aca="1" ref="W45" ca="1">IF($C45="S",ROUND(IF(TIPOORCAMENTO="Proposto",ORÇAMENTO.CustoUnitario*(1+$AH45),ORÇAMENTO.PrecoUnitarioLicitado),15-13*$AF$10),0)</f>
        <v>14.7</v>
      </c>
      <c r="X45" s="124" cm="1">
        <f t="array" aca="1" ref="X45" ca="1">IF($C45="S",IF(OR(Import.TipoArredondamento&lt;&gt;"TransfereGOV",ACOMPANHAMENTO="BM"),VTOTAL1,SUM(OFFSET(CÁLCULO!$AA$15,ROW($X45)-ROW($X$15),1):OFFSET(CÁLCULO!$AL$15,ROW($X45)-ROW($X$15),-1))),IF($C45=0,0,ROUND(SomaAgrup,15-13*$AF$11)))</f>
        <v>23814</v>
      </c>
      <c r="Y45" s="125" t="s">
        <v>751</v>
      </c>
      <c r="Z45" t="str">
        <f t="shared" ca="1" si="13"/>
        <v>RA</v>
      </c>
      <c r="AA45" s="126" cm="1">
        <f t="array" aca="1" ref="AA45" ca="1">IF($C45="S",IF($Z45="CP",$X45,IF($Z45="RA",(($X45)*QCI!$AA$3),0)),SomaAgrup)</f>
        <v>67.134399154175355</v>
      </c>
      <c r="AB45" s="127" cm="1">
        <f t="array" aca="1" ref="AB45" ca="1">IF($C45="S",IF($Z45="OU",ROUND($X45,2),0),SomaAgrup)</f>
        <v>0</v>
      </c>
      <c r="AC45" s="564" t="str" cm="1">
        <f t="array" aca="1" ref="AC45" ca="1">IF($N45=""," ",
IF(AND($C45&lt;&gt;"S",OR($R45="",$R45="(digite a descrição aqui)")),"DESCRIÇÃO",
IF(AND($C45="S",OR($Q45&lt;&gt;"",$T45&gt;0,$U45&gt;0),$P45=""),"FONTE",
IF(AND($C45="S",$P45&lt;&gt;"",OR($T45&gt;0,$U45&gt;0),$Q45=""),"CÓDIGO",
IF(AND($C45="S",$P45&lt;&gt;"",$Q45&lt;&gt;"",$R45="(Código não identificado nas referências)"),"CÓDIGO N/ID",
IF(AND($C45="S",OR($R45="",$R45="(digite a descrição aqui)"),OR($Q45&lt;&gt;"",$T45&gt;0,$U45&gt;0)),"DESCRIÇÃO",
IF(AND($C45="S",$P45&lt;&gt;"",$Q45&lt;&gt;"",$S45=""),"UNIDADE",
IF(AND($C45="S",$P45&lt;&gt;"",$Q45&lt;&gt;"",$U45=0),"SEM CUSTO",
IF(AND(TIPOORCAMENTO="Licitado",$AL45=0,$AN45&gt;0),"SEM PREÇO",
IF(AND($C45="S",$P45&lt;&gt;"",$Q45&lt;&gt;"",$U45&gt;0,AND($V45&lt;&gt;"BDI 1",$V45&lt;&gt;"BDI 2",$V45&lt;&gt;"BDI 3")),IF(ISNUMBER($V45),"JUSTIFICAR BDI","BDI"),
IF(OR(AND(import.recurso="OGU",TIPOORCAMENTO="Proposto",LEFT($O$8,5)&lt;&gt;"(N/D:",$AG45&lt;&gt;"",ORÇAMENTO.CustoUnitario&gt;$AG45),AND(TIPOORCAMENTO="LICITADO",ORÇAMENTO.PrecoUnitarioLicitado&gt;$AN45)),"ACIMA REF.",
IF(AND($C45="S",$P45&lt;&gt;"",$Q45&lt;&gt;"",$T45=0,$U45&gt;0),"QUANT.",
IF(AND(Import.TipoArredondamento="TransfereGOV",$L45="F",$C45="S",LEN($Q45)&gt;13),"Código &gt;13",
IF(AND(Import.TipoArredondamento="TransfereGOV",$L45="F",$C45&lt;&gt;"S",LEN($R45)&gt;100),"Descrição &gt;100",
IF(AND(Import.TipoArredondamento="TransfereGOV",$L45="F",$C45="S",LEN($R45)&gt;500),"Descrição &gt;500",
IF(AND(Import.TipoArredondamento="TransfereGOV",$L45="F",$C45="S",LEFT(TRIM(UPPER($P45)),6)&lt;&gt;"SINAPI",ISNA(VLOOKUP(TRIM(UPPER($S45)),ListaTgov.Unidades,1,FALSE))),"Unid. Não Disp",
" "))))))))))))))))</f>
        <v xml:space="preserve"> </v>
      </c>
      <c r="AD45" t="str">
        <f ca="1">IF(C45&lt;=CRONO.NivelExibicao,MAX($AD$15:OFFSET(AD45,-1,0))+IF($C45&lt;&gt;1,1,MAX(1,COUNTIF(QCI!$A$13:$A$24,OFFSET($E45,-1,0)))),"")</f>
        <v/>
      </c>
      <c r="AE45" s="7" t="str" cm="1">
        <f t="array" aca="1" ref="AE45" ca="1">IF(AND($C45="S",ORÇAMENTO.CodBarra&lt;&gt;""),IF(ORÇAMENTO.Fonte="",ORÇAMENTO.CodBarra,CONCATENATE(ORÇAMENTO.Fonte," ",ORÇAMENTO.CodBarra)))</f>
        <v>Composição ED-48295</v>
      </c>
      <c r="AF45" s="12" t="str" cm="1">
        <f t="array" aca="1" ref="AF45" ca="1">IF(ISERROR(ORÇAMENTO.BancoRef),"(abra o arquivo 'Referência "&amp;Excel_BuiltIn_Database&amp;".xlsm)",IF(OR($C45&lt;&gt;"S",ORÇAMENTO.CodBarra=""),"(Sem Código)",IF(ISERROR(MATCH($AE45,INDIRECT(ORÇAMENTO.BancoRef),0)),"(Código não identificado nas referências)",MATCH($AE45,INDIRECT(ORÇAMENTO.BancoRef),0))))</f>
        <v>(Código não identificado nas referências)</v>
      </c>
      <c r="AG45" s="427" cm="1">
        <f t="array" aca="1" ref="AG45" ca="1">ROUND(IF(DESONERACAO="sim",REFERENCIA.Desonerado,REFERENCIA.NaoDesonerado),2)</f>
        <v>0</v>
      </c>
      <c r="AH45" s="428">
        <f t="shared" ca="1" si="14"/>
        <v>3.09E-2</v>
      </c>
      <c r="AJ45" s="430"/>
      <c r="AL45" s="438"/>
      <c r="AM45" s="335">
        <f t="shared" ca="1" si="0"/>
        <v>23814</v>
      </c>
      <c r="AN45" s="469" cm="1">
        <f t="array" aca="1" ref="AN45" ca="1">ROUND(ORÇAMENTO.CustoUnitario*(1+$AH45),2)</f>
        <v>14.7</v>
      </c>
    </row>
    <row r="46" spans="1:40" x14ac:dyDescent="0.2">
      <c r="A46" t="str">
        <f>CHOOSE(1+LOG(1+2*(ORÇAMENTO.Nivel="Meta")+4*(ORÇAMENTO.Nivel="Nível 2")+8*(ORÇAMENTO.Nivel="Nível 3")+16*(ORÇAMENTO.Nivel="Nível 4")+32*(ORÇAMENTO.Nivel="Serviço"),2),0,1,2,3,4,"S")</f>
        <v>S</v>
      </c>
      <c r="B46">
        <f ca="1">IF(OR(C46="s",C46=0),OFFSET(B46,-1,0),C46)</f>
        <v>2</v>
      </c>
      <c r="C46" t="str">
        <f ca="1">IF(OFFSET(C46,-1,0)="L",1,IF(OFFSET(C46,-1,0)=1,2,IF(OR(A46="s",A46=0),"S",IF(AND(OFFSET(C46,-1,0)=2,A46=4),3,IF(AND(OR(OFFSET(C46,-1,0)="s",OFFSET(C46,-1,0)=0),A46&lt;&gt;"s",A46&gt;OFFSET(B46,-1,0)),OFFSET(B46,-1,0),A46)))))</f>
        <v>S</v>
      </c>
      <c r="D46">
        <f ca="1">IF(OR(C46="S",C46=0),0,IF(ISERROR(K46),J46,SMALL(J46:K46,1)))</f>
        <v>0</v>
      </c>
      <c r="E46">
        <f ca="1">IF($C46=1,OFFSET(E46,-1,0)+MAX(1,COUNTIF(QCI!$A$13:$A$24,OFFSET(ORÇAMENTO!E46,-1,0))),OFFSET(E46,-1,0))</f>
        <v>1</v>
      </c>
      <c r="F46">
        <f ca="1">IF($C46=1,0,IF($C46=2,OFFSET(F46,-1,0)+1,OFFSET(F46,-1,0)))</f>
        <v>6</v>
      </c>
      <c r="G46">
        <f ca="1">IF(AND($C46&lt;=2,$C46&lt;&gt;0),0,IF($C46=3,OFFSET(G46,-1,0)+1,OFFSET(G46,-1,0)))</f>
        <v>0</v>
      </c>
      <c r="H46">
        <f ca="1">IF(AND($C46&lt;=3,$C46&lt;&gt;0),0,IF($C46=4,OFFSET(H46,-1,0)+1,OFFSET(H46,-1,0)))</f>
        <v>0</v>
      </c>
      <c r="I46">
        <f ca="1">IF(AND($C46&lt;=4,$C46&lt;&gt;0),0,IF(AND($C46="S",$X46&gt;0),OFFSET(I46,-1,0)+1,OFFSET(I46,-1,0)))</f>
        <v>8</v>
      </c>
      <c r="J46">
        <f t="shared" ca="1" si="9"/>
        <v>0</v>
      </c>
      <c r="K46">
        <f ca="1">IF(OR($C46="S",$C46=0),0,MATCH(OFFSET($D46,0,$C46)+IF($C46&lt;&gt;1,1,COUNTIF(QCI!$A$13:$A$24,ORÇAMENTO!E46)),OFFSET($D46,1,$C46,ROW($C$55)-ROW($C46)),0))</f>
        <v>0</v>
      </c>
      <c r="L46" s="113" t="str">
        <f ca="1">IF(OR($X46&gt;0,$C46=1,$C46=2,$C46=3,$C46=4),"F","")</f>
        <v>F</v>
      </c>
      <c r="M46" s="114" t="s">
        <v>705</v>
      </c>
      <c r="N46" s="115" t="str">
        <f ca="1">CHOOSE(1+LOG(1+2*(C46=1)+4*(C46=2)+8*(C46=3)+16*(C46=4)+32*(C46="S"),2),"","Meta","Nível 2","Nível 3","Nível 4","Serviço")</f>
        <v>Serviço</v>
      </c>
      <c r="O46" s="116" t="str">
        <f ca="1">IF(OR($C46=0,$L46=""),"-",CONCATENATE(E46&amp;".",IF(AND($A$5&gt;=2,$C46&gt;=2),F46&amp;".",""),IF(AND($A$5&gt;=3,$C46&gt;=3),G46&amp;".",""),IF(AND($A$5&gt;=4,$C46&gt;=4),H46&amp;".",""),IF($C46="S",I46&amp;".","")))</f>
        <v>1.6.8.</v>
      </c>
      <c r="P46" s="117" t="s">
        <v>955</v>
      </c>
      <c r="Q46" s="118" t="s">
        <v>1056</v>
      </c>
      <c r="R46" s="119" t="s">
        <v>1057</v>
      </c>
      <c r="S46" s="120" t="s">
        <v>621</v>
      </c>
      <c r="T46" s="121">
        <f ca="1">OFFSET(CÁLCULO!H$15,ROW($T46)-ROW(T$15),0)</f>
        <v>40</v>
      </c>
      <c r="U46" s="122">
        <v>99.89</v>
      </c>
      <c r="V46" s="123" t="s">
        <v>663</v>
      </c>
      <c r="W46" s="121" cm="1">
        <f t="array" aca="1" ref="W46" ca="1">IF($C46="S",ROUND(IF(TIPOORCAMENTO="Proposto",ORÇAMENTO.CustoUnitario*(1+$AH46),ORÇAMENTO.PrecoUnitarioLicitado),15-13*$AF$10),0)</f>
        <v>102.98</v>
      </c>
      <c r="X46" s="124" cm="1">
        <f t="array" aca="1" ref="X46" ca="1">IF($C46="S",IF(OR(Import.TipoArredondamento&lt;&gt;"TransfereGOV",ACOMPANHAMENTO="BM"),VTOTAL1,SUM(OFFSET(CÁLCULO!$AA$15,ROW($X46)-ROW($X$15),1):OFFSET(CÁLCULO!$AL$15,ROW($X46)-ROW($X$15),-1))),IF($C46=0,0,ROUND(SomaAgrup,15-13*$AF$11)))</f>
        <v>4119.2</v>
      </c>
      <c r="Y46" s="125" t="s">
        <v>751</v>
      </c>
      <c r="Z46" t="str">
        <f ca="1">IF(AND($C46="S",$X46&gt;0),IF(ISBLANK($Y46),"RA",LEFT($Y46,2)),"")</f>
        <v>RA</v>
      </c>
      <c r="AA46" s="126" cm="1">
        <f t="array" aca="1" ref="AA46" ca="1">IF($C46="S",IF($Z46="CP",$X46,IF($Z46="RA",(($X46)*QCI!$AA$3),0)),SomaAgrup)</f>
        <v>11.612497564284837</v>
      </c>
      <c r="AB46" s="127" cm="1">
        <f t="array" aca="1" ref="AB46" ca="1">IF($C46="S",IF($Z46="OU",ROUND($X46,2),0),SomaAgrup)</f>
        <v>0</v>
      </c>
      <c r="AC46" s="564" t="str" cm="1">
        <f t="array" aca="1" ref="AC46" ca="1">IF($N46=""," ",
IF(AND($C46&lt;&gt;"S",OR($R46="",$R46="(digite a descrição aqui)")),"DESCRIÇÃO",
IF(AND($C46="S",OR($Q46&lt;&gt;"",$T46&gt;0,$U46&gt;0),$P46=""),"FONTE",
IF(AND($C46="S",$P46&lt;&gt;"",OR($T46&gt;0,$U46&gt;0),$Q46=""),"CÓDIGO",
IF(AND($C46="S",$P46&lt;&gt;"",$Q46&lt;&gt;"",$R46="(Código não identificado nas referências)"),"CÓDIGO N/ID",
IF(AND($C46="S",OR($R46="",$R46="(digite a descrição aqui)"),OR($Q46&lt;&gt;"",$T46&gt;0,$U46&gt;0)),"DESCRIÇÃO",
IF(AND($C46="S",$P46&lt;&gt;"",$Q46&lt;&gt;"",$S46=""),"UNIDADE",
IF(AND($C46="S",$P46&lt;&gt;"",$Q46&lt;&gt;"",$U46=0),"SEM CUSTO",
IF(AND(TIPOORCAMENTO="Licitado",$AL46=0,$AN46&gt;0),"SEM PREÇO",
IF(AND($C46="S",$P46&lt;&gt;"",$Q46&lt;&gt;"",$U46&gt;0,AND($V46&lt;&gt;"BDI 1",$V46&lt;&gt;"BDI 2",$V46&lt;&gt;"BDI 3")),IF(ISNUMBER($V46),"JUSTIFICAR BDI","BDI"),
IF(OR(AND(import.recurso="OGU",TIPOORCAMENTO="Proposto",LEFT($O$8,5)&lt;&gt;"(N/D:",$AG46&lt;&gt;"",ORÇAMENTO.CustoUnitario&gt;$AG46),AND(TIPOORCAMENTO="LICITADO",ORÇAMENTO.PrecoUnitarioLicitado&gt;$AN46)),"ACIMA REF.",
IF(AND($C46="S",$P46&lt;&gt;"",$Q46&lt;&gt;"",$T46=0,$U46&gt;0),"QUANT.",
IF(AND(Import.TipoArredondamento="TransfereGOV",$L46="F",$C46="S",LEN($Q46)&gt;13),"Código &gt;13",
IF(AND(Import.TipoArredondamento="TransfereGOV",$L46="F",$C46&lt;&gt;"S",LEN($R46)&gt;100),"Descrição &gt;100",
IF(AND(Import.TipoArredondamento="TransfereGOV",$L46="F",$C46="S",LEN($R46)&gt;500),"Descrição &gt;500",
IF(AND(Import.TipoArredondamento="TransfereGOV",$L46="F",$C46="S",LEFT(TRIM(UPPER($P46)),6)&lt;&gt;"SINAPI",ISNA(VLOOKUP(TRIM(UPPER($S46)),ListaTgov.Unidades,1,FALSE))),"Unid. Não Disp",
" "))))))))))))))))</f>
        <v xml:space="preserve"> </v>
      </c>
      <c r="AD46" t="str">
        <f ca="1">IF(C46&lt;=CRONO.NivelExibicao,MAX($AD$15:OFFSET(AD46,-1,0))+IF($C46&lt;&gt;1,1,MAX(1,COUNTIF(QCI!$A$13:$A$24,OFFSET($E46,-1,0)))),"")</f>
        <v/>
      </c>
      <c r="AE46" s="7" t="str" cm="1">
        <f t="array" aca="1" ref="AE46" ca="1">IF(AND($C46="S",ORÇAMENTO.CodBarra&lt;&gt;""),IF(ORÇAMENTO.Fonte="",ORÇAMENTO.CodBarra,CONCATENATE(ORÇAMENTO.Fonte," ",ORÇAMENTO.CodBarra)))</f>
        <v>SICRO  3816118</v>
      </c>
      <c r="AF46" s="12" t="str" cm="1">
        <f t="array" aca="1" ref="AF46" ca="1">IF(ISERROR(ORÇAMENTO.BancoRef),"(abra o arquivo 'Referência "&amp;Excel_BuiltIn_Database&amp;".xlsm)",IF(OR($C46&lt;&gt;"S",ORÇAMENTO.CodBarra=""),"(Sem Código)",IF(ISERROR(MATCH($AE46,INDIRECT(ORÇAMENTO.BancoRef),0)),"(Código não identificado nas referências)",MATCH($AE46,INDIRECT(ORÇAMENTO.BancoRef),0))))</f>
        <v>(Código não identificado nas referências)</v>
      </c>
      <c r="AG46" s="427" cm="1">
        <f t="array" aca="1" ref="AG46" ca="1">ROUND(IF(DESONERACAO="sim",REFERENCIA.Desonerado,REFERENCIA.NaoDesonerado),2)</f>
        <v>0</v>
      </c>
      <c r="AH46" s="428">
        <f ca="1">ROUND(IF(ISNUMBER(ORÇAMENTO.OpcaoBDI),ORÇAMENTO.OpcaoBDI,IF(LEFT(ORÇAMENTO.OpcaoBDI,3)="BDI",HLOOKUP(ORÇAMENTO.OpcaoBDI,$F$4:$H$5,2,FALSE),0)),15-11*$AF$9)</f>
        <v>3.09E-2</v>
      </c>
      <c r="AJ46" s="430"/>
      <c r="AL46" s="438"/>
      <c r="AM46" s="335">
        <f t="shared" ca="1" si="0"/>
        <v>4119.2</v>
      </c>
      <c r="AN46" s="469" cm="1">
        <f t="array" aca="1" ref="AN46" ca="1">ROUND(ORÇAMENTO.CustoUnitario*(1+$AH46),2)</f>
        <v>102.98</v>
      </c>
    </row>
    <row r="47" spans="1:40" ht="25.5" x14ac:dyDescent="0.2">
      <c r="A47" t="str">
        <f>CHOOSE(1+LOG(1+2*(ORÇAMENTO.Nivel="Meta")+4*(ORÇAMENTO.Nivel="Nível 2")+8*(ORÇAMENTO.Nivel="Nível 3")+16*(ORÇAMENTO.Nivel="Nível 4")+32*(ORÇAMENTO.Nivel="Serviço"),2),0,1,2,3,4,"S")</f>
        <v>S</v>
      </c>
      <c r="B47">
        <f ca="1">IF(OR(C47="s",C47=0),OFFSET(B47,-1,0),C47)</f>
        <v>2</v>
      </c>
      <c r="C47" t="str">
        <f ca="1">IF(OFFSET(C47,-1,0)="L",1,IF(OFFSET(C47,-1,0)=1,2,IF(OR(A47="s",A47=0),"S",IF(AND(OFFSET(C47,-1,0)=2,A47=4),3,IF(AND(OR(OFFSET(C47,-1,0)="s",OFFSET(C47,-1,0)=0),A47&lt;&gt;"s",A47&gt;OFFSET(B47,-1,0)),OFFSET(B47,-1,0),A47)))))</f>
        <v>S</v>
      </c>
      <c r="D47">
        <f ca="1">IF(OR(C47="S",C47=0),0,IF(ISERROR(K47),J47,SMALL(J47:K47,1)))</f>
        <v>0</v>
      </c>
      <c r="E47">
        <f ca="1">IF($C47=1,OFFSET(E47,-1,0)+MAX(1,COUNTIF(QCI!$A$13:$A$24,OFFSET(ORÇAMENTO!E47,-1,0))),OFFSET(E47,-1,0))</f>
        <v>1</v>
      </c>
      <c r="F47">
        <f ca="1">IF($C47=1,0,IF($C47=2,OFFSET(F47,-1,0)+1,OFFSET(F47,-1,0)))</f>
        <v>6</v>
      </c>
      <c r="G47">
        <f ca="1">IF(AND($C47&lt;=2,$C47&lt;&gt;0),0,IF($C47=3,OFFSET(G47,-1,0)+1,OFFSET(G47,-1,0)))</f>
        <v>0</v>
      </c>
      <c r="H47">
        <f ca="1">IF(AND($C47&lt;=3,$C47&lt;&gt;0),0,IF($C47=4,OFFSET(H47,-1,0)+1,OFFSET(H47,-1,0)))</f>
        <v>0</v>
      </c>
      <c r="I47">
        <f ca="1">IF(AND($C47&lt;=4,$C47&lt;&gt;0),0,IF(AND($C47="S",$X47&gt;0),OFFSET(I47,-1,0)+1,OFFSET(I47,-1,0)))</f>
        <v>9</v>
      </c>
      <c r="J47">
        <f t="shared" ca="1" si="9"/>
        <v>0</v>
      </c>
      <c r="K47">
        <f ca="1">IF(OR($C47="S",$C47=0),0,MATCH(OFFSET($D47,0,$C47)+IF($C47&lt;&gt;1,1,COUNTIF(QCI!$A$13:$A$24,ORÇAMENTO!E47)),OFFSET($D47,1,$C47,ROW($C$55)-ROW($C47)),0))</f>
        <v>0</v>
      </c>
      <c r="L47" s="113" t="str">
        <f ca="1">IF(OR($X47&gt;0,$C47=1,$C47=2,$C47=3,$C47=4),"F","")</f>
        <v>F</v>
      </c>
      <c r="M47" s="114" t="s">
        <v>705</v>
      </c>
      <c r="N47" s="115" t="str">
        <f ca="1">CHOOSE(1+LOG(1+2*(C47=1)+4*(C47=2)+8*(C47=3)+16*(C47=4)+32*(C47="S"),2),"","Meta","Nível 2","Nível 3","Nível 4","Serviço")</f>
        <v>Serviço</v>
      </c>
      <c r="O47" s="116" t="str">
        <f ca="1">IF(OR($C47=0,$L47=""),"-",CONCATENATE(E47&amp;".",IF(AND($A$5&gt;=2,$C47&gt;=2),F47&amp;".",""),IF(AND($A$5&gt;=3,$C47&gt;=3),G47&amp;".",""),IF(AND($A$5&gt;=4,$C47&gt;=4),H47&amp;".",""),IF($C47="S",I47&amp;".","")))</f>
        <v>1.6.9.</v>
      </c>
      <c r="P47" s="117" t="s">
        <v>956</v>
      </c>
      <c r="Q47" s="118" t="s">
        <v>1067</v>
      </c>
      <c r="R47" s="119" t="s">
        <v>1066</v>
      </c>
      <c r="S47" s="120" t="s">
        <v>1031</v>
      </c>
      <c r="T47" s="121">
        <f ca="1">OFFSET(CÁLCULO!H$15,ROW($T47)-ROW(T$15),0)</f>
        <v>8800</v>
      </c>
      <c r="U47" s="122">
        <v>1.63</v>
      </c>
      <c r="V47" s="123" t="s">
        <v>663</v>
      </c>
      <c r="W47" s="121" cm="1">
        <f t="array" aca="1" ref="W47" ca="1">IF($C47="S",ROUND(IF(TIPOORCAMENTO="Proposto",ORÇAMENTO.CustoUnitario*(1+$AH47),ORÇAMENTO.PrecoUnitarioLicitado),15-13*$AF$10),0)</f>
        <v>1.68</v>
      </c>
      <c r="X47" s="124" cm="1">
        <f t="array" aca="1" ref="X47" ca="1">IF($C47="S",IF(OR(Import.TipoArredondamento&lt;&gt;"TransfereGOV",ACOMPANHAMENTO="BM"),VTOTAL1,SUM(OFFSET(CÁLCULO!$AA$15,ROW($X47)-ROW($X$15),1):OFFSET(CÁLCULO!$AL$15,ROW($X47)-ROW($X$15),-1))),IF($C47=0,0,ROUND(SomaAgrup,15-13*$AF$11)))</f>
        <v>14784</v>
      </c>
      <c r="Y47" s="125" t="s">
        <v>751</v>
      </c>
      <c r="Z47" t="str">
        <f ca="1">IF(AND($C47="S",$X47&gt;0),IF(ISBLANK($Y47),"RA",LEFT($Y47,2)),"")</f>
        <v>RA</v>
      </c>
      <c r="AA47" s="126" cm="1">
        <f t="array" aca="1" ref="AA47" ca="1">IF($C47="S",IF($Z47="CP",$X47,IF($Z47="RA",(($X47)*QCI!$AA$3),0)),SomaAgrup)</f>
        <v>41.677792772962476</v>
      </c>
      <c r="AB47" s="127" cm="1">
        <f t="array" aca="1" ref="AB47" ca="1">IF($C47="S",IF($Z47="OU",ROUND($X47,2),0),SomaAgrup)</f>
        <v>0</v>
      </c>
      <c r="AC47" s="564" t="str" cm="1">
        <f t="array" aca="1" ref="AC47" ca="1">IF($N47=""," ",
IF(AND($C47&lt;&gt;"S",OR($R47="",$R47="(digite a descrição aqui)")),"DESCRIÇÃO",
IF(AND($C47="S",OR($Q47&lt;&gt;"",$T47&gt;0,$U47&gt;0),$P47=""),"FONTE",
IF(AND($C47="S",$P47&lt;&gt;"",OR($T47&gt;0,$U47&gt;0),$Q47=""),"CÓDIGO",
IF(AND($C47="S",$P47&lt;&gt;"",$Q47&lt;&gt;"",$R47="(Código não identificado nas referências)"),"CÓDIGO N/ID",
IF(AND($C47="S",OR($R47="",$R47="(digite a descrição aqui)"),OR($Q47&lt;&gt;"",$T47&gt;0,$U47&gt;0)),"DESCRIÇÃO",
IF(AND($C47="S",$P47&lt;&gt;"",$Q47&lt;&gt;"",$S47=""),"UNIDADE",
IF(AND($C47="S",$P47&lt;&gt;"",$Q47&lt;&gt;"",$U47=0),"SEM CUSTO",
IF(AND(TIPOORCAMENTO="Licitado",$AL47=0,$AN47&gt;0),"SEM PREÇO",
IF(AND($C47="S",$P47&lt;&gt;"",$Q47&lt;&gt;"",$U47&gt;0,AND($V47&lt;&gt;"BDI 1",$V47&lt;&gt;"BDI 2",$V47&lt;&gt;"BDI 3")),IF(ISNUMBER($V47),"JUSTIFICAR BDI","BDI"),
IF(OR(AND(import.recurso="OGU",TIPOORCAMENTO="Proposto",LEFT($O$8,5)&lt;&gt;"(N/D:",$AG47&lt;&gt;"",ORÇAMENTO.CustoUnitario&gt;$AG47),AND(TIPOORCAMENTO="LICITADO",ORÇAMENTO.PrecoUnitarioLicitado&gt;$AN47)),"ACIMA REF.",
IF(AND($C47="S",$P47&lt;&gt;"",$Q47&lt;&gt;"",$T47=0,$U47&gt;0),"QUANT.",
IF(AND(Import.TipoArredondamento="TransfereGOV",$L47="F",$C47="S",LEN($Q47)&gt;13),"Código &gt;13",
IF(AND(Import.TipoArredondamento="TransfereGOV",$L47="F",$C47&lt;&gt;"S",LEN($R47)&gt;100),"Descrição &gt;100",
IF(AND(Import.TipoArredondamento="TransfereGOV",$L47="F",$C47="S",LEN($R47)&gt;500),"Descrição &gt;500",
IF(AND(Import.TipoArredondamento="TransfereGOV",$L47="F",$C47="S",LEFT(TRIM(UPPER($P47)),6)&lt;&gt;"SINAPI",ISNA(VLOOKUP(TRIM(UPPER($S47)),ListaTgov.Unidades,1,FALSE))),"Unid. Não Disp",
" "))))))))))))))))</f>
        <v xml:space="preserve"> </v>
      </c>
      <c r="AD47" t="str">
        <f ca="1">IF(C47&lt;=CRONO.NivelExibicao,MAX($AD$15:OFFSET(AD47,-1,0))+IF($C47&lt;&gt;1,1,MAX(1,COUNTIF(QCI!$A$13:$A$24,OFFSET($E47,-1,0)))),"")</f>
        <v/>
      </c>
      <c r="AE47" s="7" t="str" cm="1">
        <f t="array" aca="1" ref="AE47" ca="1">IF(AND($C47="S",ORÇAMENTO.CodBarra&lt;&gt;""),IF(ORÇAMENTO.Fonte="",ORÇAMENTO.CodBarra,CONCATENATE(ORÇAMENTO.Fonte," ",ORÇAMENTO.CodBarra)))</f>
        <v>Composição  ED-50428</v>
      </c>
      <c r="AF47" s="12" t="str" cm="1">
        <f t="array" aca="1" ref="AF47" ca="1">IF(ISERROR(ORÇAMENTO.BancoRef),"(abra o arquivo 'Referência "&amp;Excel_BuiltIn_Database&amp;".xlsm)",IF(OR($C47&lt;&gt;"S",ORÇAMENTO.CodBarra=""),"(Sem Código)",IF(ISERROR(MATCH($AE47,INDIRECT(ORÇAMENTO.BancoRef),0)),"(Código não identificado nas referências)",MATCH($AE47,INDIRECT(ORÇAMENTO.BancoRef),0))))</f>
        <v>(Código não identificado nas referências)</v>
      </c>
      <c r="AG47" s="427" cm="1">
        <f t="array" aca="1" ref="AG47" ca="1">ROUND(IF(DESONERACAO="sim",REFERENCIA.Desonerado,REFERENCIA.NaoDesonerado),2)</f>
        <v>0</v>
      </c>
      <c r="AH47" s="428">
        <f ca="1">ROUND(IF(ISNUMBER(ORÇAMENTO.OpcaoBDI),ORÇAMENTO.OpcaoBDI,IF(LEFT(ORÇAMENTO.OpcaoBDI,3)="BDI",HLOOKUP(ORÇAMENTO.OpcaoBDI,$F$4:$H$5,2,FALSE),0)),15-11*$AF$9)</f>
        <v>3.09E-2</v>
      </c>
      <c r="AJ47" s="430"/>
      <c r="AL47" s="438"/>
      <c r="AM47" s="335">
        <f t="shared" ca="1" si="0"/>
        <v>14784</v>
      </c>
      <c r="AN47" s="469" cm="1">
        <f t="array" aca="1" ref="AN47" ca="1">ROUND(ORÇAMENTO.CustoUnitario*(1+$AH47),2)</f>
        <v>1.68</v>
      </c>
    </row>
    <row r="48" spans="1:40" x14ac:dyDescent="0.2">
      <c r="A48">
        <f t="shared" si="1"/>
        <v>2</v>
      </c>
      <c r="B48">
        <f t="shared" ca="1" si="2"/>
        <v>2</v>
      </c>
      <c r="C48">
        <f t="shared" ca="1" si="3"/>
        <v>2</v>
      </c>
      <c r="D48">
        <f t="shared" ca="1" si="4"/>
        <v>5</v>
      </c>
      <c r="E48">
        <f ca="1">IF($C48=1,OFFSET(E48,-1,0)+MAX(1,COUNTIF(QCI!$A$13:$A$24,OFFSET(ORÇAMENTO!E48,-1,0))),OFFSET(E48,-1,0))</f>
        <v>1</v>
      </c>
      <c r="F48">
        <f t="shared" ca="1" si="5"/>
        <v>7</v>
      </c>
      <c r="G48">
        <f t="shared" ca="1" si="6"/>
        <v>0</v>
      </c>
      <c r="H48">
        <f t="shared" ca="1" si="7"/>
        <v>0</v>
      </c>
      <c r="I48">
        <f t="shared" ca="1" si="8"/>
        <v>0</v>
      </c>
      <c r="J48">
        <f t="shared" ca="1" si="9"/>
        <v>7</v>
      </c>
      <c r="K48">
        <f ca="1">IF(OR($C48="S",$C48=0),0,MATCH(OFFSET($D48,0,$C48)+IF($C48&lt;&gt;1,1,COUNTIF(QCI!$A$13:$A$24,ORÇAMENTO!E48)),OFFSET($D48,1,$C48,ROW($C$55)-ROW($C48)),0))</f>
        <v>5</v>
      </c>
      <c r="L48" s="113" t="str">
        <f t="shared" ca="1" si="10"/>
        <v>F</v>
      </c>
      <c r="M48" s="114" t="s">
        <v>702</v>
      </c>
      <c r="N48" s="115" t="str">
        <f t="shared" ca="1" si="11"/>
        <v>Nível 2</v>
      </c>
      <c r="O48" s="116" t="str">
        <f t="shared" ca="1" si="12"/>
        <v>1.7.</v>
      </c>
      <c r="P48" s="117" t="s">
        <v>750</v>
      </c>
      <c r="Q48" s="118"/>
      <c r="R48" s="119" t="s">
        <v>1077</v>
      </c>
      <c r="S48" s="120" t="str" cm="1">
        <f t="array" aca="1" ref="S48" ca="1">REFERENCIA.Unidade</f>
        <v>-</v>
      </c>
      <c r="T48" s="121">
        <f ca="1">OFFSET(CÁLCULO!H$15,ROW($T48)-ROW(T$15),0)</f>
        <v>0</v>
      </c>
      <c r="U48" s="122"/>
      <c r="V48" s="123" t="s">
        <v>663</v>
      </c>
      <c r="W48" s="121" cm="1">
        <f t="array" aca="1" ref="W48" ca="1">IF($C48="S",ROUND(IF(TIPOORCAMENTO="Proposto",ORÇAMENTO.CustoUnitario*(1+$AH48),ORÇAMENTO.PrecoUnitarioLicitado),15-13*$AF$10),0)</f>
        <v>0</v>
      </c>
      <c r="X48" s="124" cm="1">
        <f t="array" aca="1" ref="X48" ca="1">IF($C48="S",IF(OR(Import.TipoArredondamento&lt;&gt;"TransfereGOV",ACOMPANHAMENTO="BM"),VTOTAL1,SUM(OFFSET(CÁLCULO!$AA$15,ROW($X48)-ROW($X$15),1):OFFSET(CÁLCULO!$AL$15,ROW($X48)-ROW($X$15),-1))),IF($C48=0,0,ROUND(SomaAgrup,15-13*$AF$11)))</f>
        <v>215352</v>
      </c>
      <c r="Y48" s="125" t="s">
        <v>751</v>
      </c>
      <c r="Z48" t="str">
        <f t="shared" ca="1" si="13"/>
        <v/>
      </c>
      <c r="AA48" s="126" cm="1">
        <f t="array" aca="1" ref="AA48" ca="1">IF($C48="S",IF($Z48="CP",$X48,IF($Z48="RA",(($X48)*QCI!$AA$3),0)),SomaAgrup)</f>
        <v>607.10200414251995</v>
      </c>
      <c r="AB48" s="127" cm="1">
        <f t="array" aca="1" ref="AB48" ca="1">IF($C48="S",IF($Z48="OU",ROUND($X48,2),0),SomaAgrup)</f>
        <v>0</v>
      </c>
      <c r="AC48" s="564" t="str" cm="1">
        <f t="array" aca="1" ref="AC48" ca="1">IF($N48=""," ",
IF(AND($C48&lt;&gt;"S",OR($R48="",$R48="(digite a descrição aqui)")),"DESCRIÇÃO",
IF(AND($C48="S",OR($Q48&lt;&gt;"",$T48&gt;0,$U48&gt;0),$P48=""),"FONTE",
IF(AND($C48="S",$P48&lt;&gt;"",OR($T48&gt;0,$U48&gt;0),$Q48=""),"CÓDIGO",
IF(AND($C48="S",$P48&lt;&gt;"",$Q48&lt;&gt;"",$R48="(Código não identificado nas referências)"),"CÓDIGO N/ID",
IF(AND($C48="S",OR($R48="",$R48="(digite a descrição aqui)"),OR($Q48&lt;&gt;"",$T48&gt;0,$U48&gt;0)),"DESCRIÇÃO",
IF(AND($C48="S",$P48&lt;&gt;"",$Q48&lt;&gt;"",$S48=""),"UNIDADE",
IF(AND($C48="S",$P48&lt;&gt;"",$Q48&lt;&gt;"",$U48=0),"SEM CUSTO",
IF(AND(TIPOORCAMENTO="Licitado",$AL48=0,$AN48&gt;0),"SEM PREÇO",
IF(AND($C48="S",$P48&lt;&gt;"",$Q48&lt;&gt;"",$U48&gt;0,AND($V48&lt;&gt;"BDI 1",$V48&lt;&gt;"BDI 2",$V48&lt;&gt;"BDI 3")),IF(ISNUMBER($V48),"JUSTIFICAR BDI","BDI"),
IF(OR(AND(import.recurso="OGU",TIPOORCAMENTO="Proposto",LEFT($O$8,5)&lt;&gt;"(N/D:",$AG48&lt;&gt;"",ORÇAMENTO.CustoUnitario&gt;$AG48),AND(TIPOORCAMENTO="LICITADO",ORÇAMENTO.PrecoUnitarioLicitado&gt;$AN48)),"ACIMA REF.",
IF(AND($C48="S",$P48&lt;&gt;"",$Q48&lt;&gt;"",$T48=0,$U48&gt;0),"QUANT.",
IF(AND(Import.TipoArredondamento="TransfereGOV",$L48="F",$C48="S",LEN($Q48)&gt;13),"Código &gt;13",
IF(AND(Import.TipoArredondamento="TransfereGOV",$L48="F",$C48&lt;&gt;"S",LEN($R48)&gt;100),"Descrição &gt;100",
IF(AND(Import.TipoArredondamento="TransfereGOV",$L48="F",$C48="S",LEN($R48)&gt;500),"Descrição &gt;500",
IF(AND(Import.TipoArredondamento="TransfereGOV",$L48="F",$C48="S",LEFT(TRIM(UPPER($P48)),6)&lt;&gt;"SINAPI",ISNA(VLOOKUP(TRIM(UPPER($S48)),ListaTgov.Unidades,1,FALSE))),"Unid. Não Disp",
" "))))))))))))))))</f>
        <v xml:space="preserve"> </v>
      </c>
      <c r="AD48">
        <f ca="1">IF(C48&lt;=CRONO.NivelExibicao,MAX($AD$15:OFFSET(AD48,-1,0))+IF($C48&lt;&gt;1,1,MAX(1,COUNTIF(QCI!$A$13:$A$24,OFFSET($E48,-1,0)))),"")</f>
        <v>8</v>
      </c>
      <c r="AE48" s="7" t="b" cm="1">
        <f t="array" aca="1" ref="AE48" ca="1">IF(AND($C48="S",ORÇAMENTO.CodBarra&lt;&gt;""),IF(ORÇAMENTO.Fonte="",ORÇAMENTO.CodBarra,CONCATENATE(ORÇAMENTO.Fonte," ",ORÇAMENTO.CodBarra)))</f>
        <v>0</v>
      </c>
      <c r="AF48" s="12" t="str" cm="1">
        <f t="array" aca="1" ref="AF48" ca="1">IF(ISERROR(ORÇAMENTO.BancoRef),"(abra o arquivo 'Referência "&amp;Excel_BuiltIn_Database&amp;".xlsm)",IF(OR($C48&lt;&gt;"S",ORÇAMENTO.CodBarra=""),"(Sem Código)",IF(ISERROR(MATCH($AE48,INDIRECT(ORÇAMENTO.BancoRef),0)),"(Código não identificado nas referências)",MATCH($AE48,INDIRECT(ORÇAMENTO.BancoRef),0))))</f>
        <v>(Sem Código)</v>
      </c>
      <c r="AG48" s="427" cm="1">
        <f t="array" aca="1" ref="AG48" ca="1">ROUND(IF(DESONERACAO="sim",REFERENCIA.Desonerado,REFERENCIA.NaoDesonerado),2)</f>
        <v>0</v>
      </c>
      <c r="AH48" s="428">
        <f t="shared" ca="1" si="14"/>
        <v>3.09E-2</v>
      </c>
      <c r="AJ48" s="430"/>
      <c r="AL48" s="438"/>
      <c r="AM48" s="335">
        <f t="shared" ca="1" si="0"/>
        <v>215352</v>
      </c>
      <c r="AN48" s="469" cm="1">
        <f t="array" aca="1" ref="AN48" ca="1">ROUND(ORÇAMENTO.CustoUnitario*(1+$AH48),2)</f>
        <v>0</v>
      </c>
    </row>
    <row r="49" spans="1:40" ht="38.25" x14ac:dyDescent="0.2">
      <c r="A49" t="str">
        <f t="shared" si="1"/>
        <v>S</v>
      </c>
      <c r="B49">
        <f t="shared" ca="1" si="2"/>
        <v>2</v>
      </c>
      <c r="C49" t="str">
        <f t="shared" ca="1" si="3"/>
        <v>S</v>
      </c>
      <c r="D49">
        <f t="shared" ca="1" si="4"/>
        <v>0</v>
      </c>
      <c r="E49">
        <f ca="1">IF($C49=1,OFFSET(E49,-1,0)+MAX(1,COUNTIF(QCI!$A$13:$A$24,OFFSET(ORÇAMENTO!E49,-1,0))),OFFSET(E49,-1,0))</f>
        <v>1</v>
      </c>
      <c r="F49">
        <f t="shared" ca="1" si="5"/>
        <v>7</v>
      </c>
      <c r="G49">
        <f t="shared" ca="1" si="6"/>
        <v>0</v>
      </c>
      <c r="H49">
        <f t="shared" ca="1" si="7"/>
        <v>0</v>
      </c>
      <c r="I49">
        <f t="shared" ca="1" si="8"/>
        <v>1</v>
      </c>
      <c r="J49">
        <f t="shared" ca="1" si="9"/>
        <v>0</v>
      </c>
      <c r="K49">
        <f ca="1">IF(OR($C49="S",$C49=0),0,MATCH(OFFSET($D49,0,$C49)+IF($C49&lt;&gt;1,1,COUNTIF(QCI!$A$13:$A$24,ORÇAMENTO!E49)),OFFSET($D49,1,$C49,ROW($C$55)-ROW($C49)),0))</f>
        <v>0</v>
      </c>
      <c r="L49" s="113" t="str">
        <f t="shared" ca="1" si="10"/>
        <v>F</v>
      </c>
      <c r="M49" s="114" t="s">
        <v>705</v>
      </c>
      <c r="N49" s="115" t="str">
        <f t="shared" ca="1" si="11"/>
        <v>Serviço</v>
      </c>
      <c r="O49" s="116" t="str">
        <f t="shared" ca="1" si="12"/>
        <v>1.7.1.</v>
      </c>
      <c r="P49" s="117" t="s">
        <v>750</v>
      </c>
      <c r="Q49" s="118" t="s">
        <v>1049</v>
      </c>
      <c r="R49" s="119" t="s">
        <v>1052</v>
      </c>
      <c r="S49" s="120" t="s">
        <v>623</v>
      </c>
      <c r="T49" s="121">
        <f ca="1">OFFSET(CÁLCULO!H$15,ROW($T49)-ROW(T$15),0)</f>
        <v>2038.52</v>
      </c>
      <c r="U49" s="122">
        <v>2.85</v>
      </c>
      <c r="V49" s="123" t="s">
        <v>663</v>
      </c>
      <c r="W49" s="121" cm="1">
        <f t="array" aca="1" ref="W49" ca="1">IF($C49="S",ROUND(IF(TIPOORCAMENTO="Proposto",ORÇAMENTO.CustoUnitario*(1+$AH49),ORÇAMENTO.PrecoUnitarioLicitado),15-13*$AF$10),0)</f>
        <v>2.94</v>
      </c>
      <c r="X49" s="124" cm="1">
        <f t="array" aca="1" ref="X49" ca="1">IF($C49="S",IF(OR(Import.TipoArredondamento&lt;&gt;"TransfereGOV",ACOMPANHAMENTO="BM"),VTOTAL1,SUM(OFFSET(CÁLCULO!$AA$15,ROW($X49)-ROW($X$15),1):OFFSET(CÁLCULO!$AL$15,ROW($X49)-ROW($X$15),-1))),IF($C49=0,0,ROUND(SomaAgrup,15-13*$AF$11)))</f>
        <v>5993.25</v>
      </c>
      <c r="Y49" s="125" t="s">
        <v>751</v>
      </c>
      <c r="Z49" t="str">
        <f t="shared" ca="1" si="13"/>
        <v>RA</v>
      </c>
      <c r="AA49" s="126" cm="1">
        <f t="array" aca="1" ref="AA49" ca="1">IF($C49="S",IF($Z49="CP",$X49,IF($Z49="RA",(($X49)*QCI!$AA$3),0)),SomaAgrup)</f>
        <v>16.895659600687051</v>
      </c>
      <c r="AB49" s="127" cm="1">
        <f t="array" aca="1" ref="AB49" ca="1">IF($C49="S",IF($Z49="OU",ROUND($X49,2),0),SomaAgrup)</f>
        <v>0</v>
      </c>
      <c r="AC49" s="564" t="str" cm="1">
        <f t="array" aca="1" ref="AC49" ca="1">IF($N49=""," ",
IF(AND($C49&lt;&gt;"S",OR($R49="",$R49="(digite a descrição aqui)")),"DESCRIÇÃO",
IF(AND($C49="S",OR($Q49&lt;&gt;"",$T49&gt;0,$U49&gt;0),$P49=""),"FONTE",
IF(AND($C49="S",$P49&lt;&gt;"",OR($T49&gt;0,$U49&gt;0),$Q49=""),"CÓDIGO",
IF(AND($C49="S",$P49&lt;&gt;"",$Q49&lt;&gt;"",$R49="(Código não identificado nas referências)"),"CÓDIGO N/ID",
IF(AND($C49="S",OR($R49="",$R49="(digite a descrição aqui)"),OR($Q49&lt;&gt;"",$T49&gt;0,$U49&gt;0)),"DESCRIÇÃO",
IF(AND($C49="S",$P49&lt;&gt;"",$Q49&lt;&gt;"",$S49=""),"UNIDADE",
IF(AND($C49="S",$P49&lt;&gt;"",$Q49&lt;&gt;"",$U49=0),"SEM CUSTO",
IF(AND(TIPOORCAMENTO="Licitado",$AL49=0,$AN49&gt;0),"SEM PREÇO",
IF(AND($C49="S",$P49&lt;&gt;"",$Q49&lt;&gt;"",$U49&gt;0,AND($V49&lt;&gt;"BDI 1",$V49&lt;&gt;"BDI 2",$V49&lt;&gt;"BDI 3")),IF(ISNUMBER($V49),"JUSTIFICAR BDI","BDI"),
IF(OR(AND(import.recurso="OGU",TIPOORCAMENTO="Proposto",LEFT($O$8,5)&lt;&gt;"(N/D:",$AG49&lt;&gt;"",ORÇAMENTO.CustoUnitario&gt;$AG49),AND(TIPOORCAMENTO="LICITADO",ORÇAMENTO.PrecoUnitarioLicitado&gt;$AN49)),"ACIMA REF.",
IF(AND($C49="S",$P49&lt;&gt;"",$Q49&lt;&gt;"",$T49=0,$U49&gt;0),"QUANT.",
IF(AND(Import.TipoArredondamento="TransfereGOV",$L49="F",$C49="S",LEN($Q49)&gt;13),"Código &gt;13",
IF(AND(Import.TipoArredondamento="TransfereGOV",$L49="F",$C49&lt;&gt;"S",LEN($R49)&gt;100),"Descrição &gt;100",
IF(AND(Import.TipoArredondamento="TransfereGOV",$L49="F",$C49="S",LEN($R49)&gt;500),"Descrição &gt;500",
IF(AND(Import.TipoArredondamento="TransfereGOV",$L49="F",$C49="S",LEFT(TRIM(UPPER($P49)),6)&lt;&gt;"SINAPI",ISNA(VLOOKUP(TRIM(UPPER($S49)),ListaTgov.Unidades,1,FALSE))),"Unid. Não Disp",
" "))))))))))))))))</f>
        <v xml:space="preserve"> </v>
      </c>
      <c r="AD49" t="str">
        <f ca="1">IF(C49&lt;=CRONO.NivelExibicao,MAX($AD$15:OFFSET(AD49,-1,0))+IF($C49&lt;&gt;1,1,MAX(1,COUNTIF(QCI!$A$13:$A$24,OFFSET($E49,-1,0)))),"")</f>
        <v/>
      </c>
      <c r="AE49" s="7" t="str" cm="1">
        <f t="array" aca="1" ref="AE49" ca="1">IF(AND($C49="S",ORÇAMENTO.CodBarra&lt;&gt;""),IF(ORÇAMENTO.Fonte="",ORÇAMENTO.CodBarra,CONCATENATE(ORÇAMENTO.Fonte," ",ORÇAMENTO.CodBarra)))</f>
        <v>SINAPI 100576</v>
      </c>
      <c r="AF49" s="12" t="str" cm="1">
        <f t="array" aca="1" ref="AF49" ca="1">IF(ISERROR(ORÇAMENTO.BancoRef),"(abra o arquivo 'Referência "&amp;Excel_BuiltIn_Database&amp;".xlsm)",IF(OR($C49&lt;&gt;"S",ORÇAMENTO.CodBarra=""),"(Sem Código)",IF(ISERROR(MATCH($AE49,INDIRECT(ORÇAMENTO.BancoRef),0)),"(Código não identificado nas referências)",MATCH($AE49,INDIRECT(ORÇAMENTO.BancoRef),0))))</f>
        <v>(Código não identificado nas referências)</v>
      </c>
      <c r="AG49" s="427" cm="1">
        <f t="array" aca="1" ref="AG49" ca="1">ROUND(IF(DESONERACAO="sim",REFERENCIA.Desonerado,REFERENCIA.NaoDesonerado),2)</f>
        <v>0</v>
      </c>
      <c r="AH49" s="428">
        <f t="shared" ca="1" si="14"/>
        <v>3.09E-2</v>
      </c>
      <c r="AJ49" s="430"/>
      <c r="AL49" s="438"/>
      <c r="AM49" s="335">
        <f t="shared" ca="1" si="0"/>
        <v>5993.25</v>
      </c>
      <c r="AN49" s="469" cm="1">
        <f t="array" aca="1" ref="AN49" ca="1">ROUND(ORÇAMENTO.CustoUnitario*(1+$AH49),2)</f>
        <v>2.94</v>
      </c>
    </row>
    <row r="50" spans="1:40" ht="51" x14ac:dyDescent="0.2">
      <c r="A50" t="str">
        <f t="shared" si="1"/>
        <v>S</v>
      </c>
      <c r="B50">
        <f t="shared" ca="1" si="2"/>
        <v>2</v>
      </c>
      <c r="C50" t="str">
        <f t="shared" ca="1" si="3"/>
        <v>S</v>
      </c>
      <c r="D50">
        <f t="shared" ca="1" si="4"/>
        <v>0</v>
      </c>
      <c r="E50">
        <f ca="1">IF($C50=1,OFFSET(E50,-1,0)+MAX(1,COUNTIF(QCI!$A$13:$A$24,OFFSET(ORÇAMENTO!E50,-1,0))),OFFSET(E50,-1,0))</f>
        <v>1</v>
      </c>
      <c r="F50">
        <f t="shared" ca="1" si="5"/>
        <v>7</v>
      </c>
      <c r="G50">
        <f t="shared" ca="1" si="6"/>
        <v>0</v>
      </c>
      <c r="H50">
        <f t="shared" ca="1" si="7"/>
        <v>0</v>
      </c>
      <c r="I50">
        <f t="shared" ca="1" si="8"/>
        <v>2</v>
      </c>
      <c r="J50">
        <f t="shared" ca="1" si="9"/>
        <v>0</v>
      </c>
      <c r="K50">
        <f ca="1">IF(OR($C50="S",$C50=0),0,MATCH(OFFSET($D50,0,$C50)+IF($C50&lt;&gt;1,1,COUNTIF(QCI!$A$13:$A$24,ORÇAMENTO!E50)),OFFSET($D50,1,$C50,ROW($C$55)-ROW($C50)),0))</f>
        <v>0</v>
      </c>
      <c r="L50" s="113" t="str">
        <f t="shared" ca="1" si="10"/>
        <v>F</v>
      </c>
      <c r="M50" s="114" t="s">
        <v>705</v>
      </c>
      <c r="N50" s="115" t="str">
        <f t="shared" ca="1" si="11"/>
        <v>Serviço</v>
      </c>
      <c r="O50" s="116" t="str">
        <f t="shared" ca="1" si="12"/>
        <v>1.7.2.</v>
      </c>
      <c r="P50" s="117" t="s">
        <v>750</v>
      </c>
      <c r="Q50" s="118" t="s">
        <v>1048</v>
      </c>
      <c r="R50" s="119" t="s">
        <v>1051</v>
      </c>
      <c r="S50" s="120" t="s">
        <v>621</v>
      </c>
      <c r="T50" s="121">
        <f ca="1">OFFSET(CÁLCULO!H$15,ROW($T50)-ROW(T$15),0)</f>
        <v>641.41999999999996</v>
      </c>
      <c r="U50" s="122">
        <v>66.97</v>
      </c>
      <c r="V50" s="123" t="s">
        <v>663</v>
      </c>
      <c r="W50" s="121" cm="1">
        <f t="array" aca="1" ref="W50" ca="1">IF($C50="S",ROUND(IF(TIPOORCAMENTO="Proposto",ORÇAMENTO.CustoUnitario*(1+$AH50),ORÇAMENTO.PrecoUnitarioLicitado),15-13*$AF$10),0)</f>
        <v>69.040000000000006</v>
      </c>
      <c r="X50" s="124" cm="1">
        <f t="array" aca="1" ref="X50" ca="1">IF($C50="S",IF(OR(Import.TipoArredondamento&lt;&gt;"TransfereGOV",ACOMPANHAMENTO="BM"),VTOTAL1,SUM(OFFSET(CÁLCULO!$AA$15,ROW($X50)-ROW($X$15),1):OFFSET(CÁLCULO!$AL$15,ROW($X50)-ROW($X$15),-1))),IF($C50=0,0,ROUND(SomaAgrup,15-13*$AF$11)))</f>
        <v>44283.64</v>
      </c>
      <c r="Y50" s="125" t="s">
        <v>751</v>
      </c>
      <c r="Z50" t="str">
        <f t="shared" ca="1" si="13"/>
        <v>RA</v>
      </c>
      <c r="AA50" s="126" cm="1">
        <f t="array" aca="1" ref="AA50" ca="1">IF($C50="S",IF($Z50="CP",$X50,IF($Z50="RA",(($X50)*QCI!$AA$3),0)),SomaAgrup)</f>
        <v>124.84066363314881</v>
      </c>
      <c r="AB50" s="127" cm="1">
        <f t="array" aca="1" ref="AB50" ca="1">IF($C50="S",IF($Z50="OU",ROUND($X50,2),0),SomaAgrup)</f>
        <v>0</v>
      </c>
      <c r="AC50" s="564" t="str" cm="1">
        <f t="array" aca="1" ref="AC50" ca="1">IF($N50=""," ",
IF(AND($C50&lt;&gt;"S",OR($R50="",$R50="(digite a descrição aqui)")),"DESCRIÇÃO",
IF(AND($C50="S",OR($Q50&lt;&gt;"",$T50&gt;0,$U50&gt;0),$P50=""),"FONTE",
IF(AND($C50="S",$P50&lt;&gt;"",OR($T50&gt;0,$U50&gt;0),$Q50=""),"CÓDIGO",
IF(AND($C50="S",$P50&lt;&gt;"",$Q50&lt;&gt;"",$R50="(Código não identificado nas referências)"),"CÓDIGO N/ID",
IF(AND($C50="S",OR($R50="",$R50="(digite a descrição aqui)"),OR($Q50&lt;&gt;"",$T50&gt;0,$U50&gt;0)),"DESCRIÇÃO",
IF(AND($C50="S",$P50&lt;&gt;"",$Q50&lt;&gt;"",$S50=""),"UNIDADE",
IF(AND($C50="S",$P50&lt;&gt;"",$Q50&lt;&gt;"",$U50=0),"SEM CUSTO",
IF(AND(TIPOORCAMENTO="Licitado",$AL50=0,$AN50&gt;0),"SEM PREÇO",
IF(AND($C50="S",$P50&lt;&gt;"",$Q50&lt;&gt;"",$U50&gt;0,AND($V50&lt;&gt;"BDI 1",$V50&lt;&gt;"BDI 2",$V50&lt;&gt;"BDI 3")),IF(ISNUMBER($V50),"JUSTIFICAR BDI","BDI"),
IF(OR(AND(import.recurso="OGU",TIPOORCAMENTO="Proposto",LEFT($O$8,5)&lt;&gt;"(N/D:",$AG50&lt;&gt;"",ORÇAMENTO.CustoUnitario&gt;$AG50),AND(TIPOORCAMENTO="LICITADO",ORÇAMENTO.PrecoUnitarioLicitado&gt;$AN50)),"ACIMA REF.",
IF(AND($C50="S",$P50&lt;&gt;"",$Q50&lt;&gt;"",$T50=0,$U50&gt;0),"QUANT.",
IF(AND(Import.TipoArredondamento="TransfereGOV",$L50="F",$C50="S",LEN($Q50)&gt;13),"Código &gt;13",
IF(AND(Import.TipoArredondamento="TransfereGOV",$L50="F",$C50&lt;&gt;"S",LEN($R50)&gt;100),"Descrição &gt;100",
IF(AND(Import.TipoArredondamento="TransfereGOV",$L50="F",$C50="S",LEN($R50)&gt;500),"Descrição &gt;500",
IF(AND(Import.TipoArredondamento="TransfereGOV",$L50="F",$C50="S",LEFT(TRIM(UPPER($P50)),6)&lt;&gt;"SINAPI",ISNA(VLOOKUP(TRIM(UPPER($S50)),ListaTgov.Unidades,1,FALSE))),"Unid. Não Disp",
" "))))))))))))))))</f>
        <v xml:space="preserve"> </v>
      </c>
      <c r="AD50" t="str">
        <f ca="1">IF(C50&lt;=CRONO.NivelExibicao,MAX($AD$15:OFFSET(AD50,-1,0))+IF($C50&lt;&gt;1,1,MAX(1,COUNTIF(QCI!$A$13:$A$24,OFFSET($E50,-1,0)))),"")</f>
        <v/>
      </c>
      <c r="AE50" s="7" t="str" cm="1">
        <f t="array" aca="1" ref="AE50" ca="1">IF(AND($C50="S",ORÇAMENTO.CodBarra&lt;&gt;""),IF(ORÇAMENTO.Fonte="",ORÇAMENTO.CodBarra,CONCATENATE(ORÇAMENTO.Fonte," ",ORÇAMENTO.CodBarra)))</f>
        <v>SINAPI 94268</v>
      </c>
      <c r="AF50" s="12" t="str" cm="1">
        <f t="array" aca="1" ref="AF50" ca="1">IF(ISERROR(ORÇAMENTO.BancoRef),"(abra o arquivo 'Referência "&amp;Excel_BuiltIn_Database&amp;".xlsm)",IF(OR($C50&lt;&gt;"S",ORÇAMENTO.CodBarra=""),"(Sem Código)",IF(ISERROR(MATCH($AE50,INDIRECT(ORÇAMENTO.BancoRef),0)),"(Código não identificado nas referências)",MATCH($AE50,INDIRECT(ORÇAMENTO.BancoRef),0))))</f>
        <v>(Código não identificado nas referências)</v>
      </c>
      <c r="AG50" s="427" cm="1">
        <f t="array" aca="1" ref="AG50" ca="1">ROUND(IF(DESONERACAO="sim",REFERENCIA.Desonerado,REFERENCIA.NaoDesonerado),2)</f>
        <v>0</v>
      </c>
      <c r="AH50" s="428">
        <f t="shared" ca="1" si="14"/>
        <v>3.09E-2</v>
      </c>
      <c r="AJ50" s="430"/>
      <c r="AL50" s="438"/>
      <c r="AM50" s="335">
        <f t="shared" ca="1" si="0"/>
        <v>44283.64</v>
      </c>
      <c r="AN50" s="469" cm="1">
        <f t="array" aca="1" ref="AN50" ca="1">ROUND(ORÇAMENTO.CustoUnitario*(1+$AH50),2)</f>
        <v>69.040000000000006</v>
      </c>
    </row>
    <row r="51" spans="1:40" ht="25.5" x14ac:dyDescent="0.2">
      <c r="A51" t="str">
        <f t="shared" si="1"/>
        <v>S</v>
      </c>
      <c r="B51">
        <f t="shared" ca="1" si="2"/>
        <v>2</v>
      </c>
      <c r="C51" t="str">
        <f t="shared" ca="1" si="3"/>
        <v>S</v>
      </c>
      <c r="D51">
        <f t="shared" ca="1" si="4"/>
        <v>0</v>
      </c>
      <c r="E51">
        <f ca="1">IF($C51=1,OFFSET(E51,-1,0)+MAX(1,COUNTIF(QCI!$A$13:$A$24,OFFSET(ORÇAMENTO!E51,-1,0))),OFFSET(E51,-1,0))</f>
        <v>1</v>
      </c>
      <c r="F51">
        <f t="shared" ca="1" si="5"/>
        <v>7</v>
      </c>
      <c r="G51">
        <f t="shared" ca="1" si="6"/>
        <v>0</v>
      </c>
      <c r="H51">
        <f t="shared" ca="1" si="7"/>
        <v>0</v>
      </c>
      <c r="I51">
        <f t="shared" ca="1" si="8"/>
        <v>3</v>
      </c>
      <c r="J51">
        <f t="shared" ca="1" si="9"/>
        <v>0</v>
      </c>
      <c r="K51">
        <f ca="1">IF(OR($C51="S",$C51=0),0,MATCH(OFFSET($D51,0,$C51)+IF($C51&lt;&gt;1,1,COUNTIF(QCI!$A$13:$A$24,ORÇAMENTO!E51)),OFFSET($D51,1,$C51,ROW($C$55)-ROW($C51)),0))</f>
        <v>0</v>
      </c>
      <c r="L51" s="113" t="str">
        <f t="shared" ca="1" si="10"/>
        <v>F</v>
      </c>
      <c r="M51" s="114" t="s">
        <v>705</v>
      </c>
      <c r="N51" s="115" t="str">
        <f t="shared" ca="1" si="11"/>
        <v>Serviço</v>
      </c>
      <c r="O51" s="116" t="str">
        <f t="shared" ca="1" si="12"/>
        <v>1.7.3.</v>
      </c>
      <c r="P51" s="117" t="s">
        <v>750</v>
      </c>
      <c r="Q51" s="118" t="s">
        <v>1047</v>
      </c>
      <c r="R51" s="119" t="s">
        <v>1050</v>
      </c>
      <c r="S51" s="120" t="s">
        <v>623</v>
      </c>
      <c r="T51" s="121">
        <f ca="1">OFFSET(CÁLCULO!H$15,ROW($T51)-ROW(T$15),0)</f>
        <v>1685.74</v>
      </c>
      <c r="U51" s="122">
        <v>90.51</v>
      </c>
      <c r="V51" s="123" t="s">
        <v>663</v>
      </c>
      <c r="W51" s="121" cm="1">
        <f t="array" aca="1" ref="W51" ca="1">IF($C51="S",ROUND(IF(TIPOORCAMENTO="Proposto",ORÇAMENTO.CustoUnitario*(1+$AH51),ORÇAMENTO.PrecoUnitarioLicitado),15-13*$AF$10),0)</f>
        <v>93.31</v>
      </c>
      <c r="X51" s="124" cm="1">
        <f t="array" aca="1" ref="X51" ca="1">IF($C51="S",IF(OR(Import.TipoArredondamento&lt;&gt;"TransfereGOV",ACOMPANHAMENTO="BM"),VTOTAL1,SUM(OFFSET(CÁLCULO!$AA$15,ROW($X51)-ROW($X$15),1):OFFSET(CÁLCULO!$AL$15,ROW($X51)-ROW($X$15),-1))),IF($C51=0,0,ROUND(SomaAgrup,15-13*$AF$11)))</f>
        <v>157296.4</v>
      </c>
      <c r="Y51" s="125" t="s">
        <v>751</v>
      </c>
      <c r="Z51" t="str">
        <f t="shared" ca="1" si="13"/>
        <v>RA</v>
      </c>
      <c r="AA51" s="126" cm="1">
        <f t="array" aca="1" ref="AA51" ca="1">IF($C51="S",IF($Z51="CP",$X51,IF($Z51="RA",(($X51)*QCI!$AA$3),0)),SomaAgrup)</f>
        <v>443.43660464914871</v>
      </c>
      <c r="AB51" s="127" cm="1">
        <f t="array" aca="1" ref="AB51" ca="1">IF($C51="S",IF($Z51="OU",ROUND($X51,2),0),SomaAgrup)</f>
        <v>0</v>
      </c>
      <c r="AC51" s="564" t="str" cm="1">
        <f t="array" aca="1" ref="AC51" ca="1">IF($N51=""," ",
IF(AND($C51&lt;&gt;"S",OR($R51="",$R51="(digite a descrição aqui)")),"DESCRIÇÃO",
IF(AND($C51="S",OR($Q51&lt;&gt;"",$T51&gt;0,$U51&gt;0),$P51=""),"FONTE",
IF(AND($C51="S",$P51&lt;&gt;"",OR($T51&gt;0,$U51&gt;0),$Q51=""),"CÓDIGO",
IF(AND($C51="S",$P51&lt;&gt;"",$Q51&lt;&gt;"",$R51="(Código não identificado nas referências)"),"CÓDIGO N/ID",
IF(AND($C51="S",OR($R51="",$R51="(digite a descrição aqui)"),OR($Q51&lt;&gt;"",$T51&gt;0,$U51&gt;0)),"DESCRIÇÃO",
IF(AND($C51="S",$P51&lt;&gt;"",$Q51&lt;&gt;"",$S51=""),"UNIDADE",
IF(AND($C51="S",$P51&lt;&gt;"",$Q51&lt;&gt;"",$U51=0),"SEM CUSTO",
IF(AND(TIPOORCAMENTO="Licitado",$AL51=0,$AN51&gt;0),"SEM PREÇO",
IF(AND($C51="S",$P51&lt;&gt;"",$Q51&lt;&gt;"",$U51&gt;0,AND($V51&lt;&gt;"BDI 1",$V51&lt;&gt;"BDI 2",$V51&lt;&gt;"BDI 3")),IF(ISNUMBER($V51),"JUSTIFICAR BDI","BDI"),
IF(OR(AND(import.recurso="OGU",TIPOORCAMENTO="Proposto",LEFT($O$8,5)&lt;&gt;"(N/D:",$AG51&lt;&gt;"",ORÇAMENTO.CustoUnitario&gt;$AG51),AND(TIPOORCAMENTO="LICITADO",ORÇAMENTO.PrecoUnitarioLicitado&gt;$AN51)),"ACIMA REF.",
IF(AND($C51="S",$P51&lt;&gt;"",$Q51&lt;&gt;"",$T51=0,$U51&gt;0),"QUANT.",
IF(AND(Import.TipoArredondamento="TransfereGOV",$L51="F",$C51="S",LEN($Q51)&gt;13),"Código &gt;13",
IF(AND(Import.TipoArredondamento="TransfereGOV",$L51="F",$C51&lt;&gt;"S",LEN($R51)&gt;100),"Descrição &gt;100",
IF(AND(Import.TipoArredondamento="TransfereGOV",$L51="F",$C51="S",LEN($R51)&gt;500),"Descrição &gt;500",
IF(AND(Import.TipoArredondamento="TransfereGOV",$L51="F",$C51="S",LEFT(TRIM(UPPER($P51)),6)&lt;&gt;"SINAPI",ISNA(VLOOKUP(TRIM(UPPER($S51)),ListaTgov.Unidades,1,FALSE))),"Unid. Não Disp",
" "))))))))))))))))</f>
        <v xml:space="preserve"> </v>
      </c>
      <c r="AD51" t="str">
        <f ca="1">IF(C51&lt;=CRONO.NivelExibicao,MAX($AD$15:OFFSET(AD51,-1,0))+IF($C51&lt;&gt;1,1,MAX(1,COUNTIF(QCI!$A$13:$A$24,OFFSET($E51,-1,0)))),"")</f>
        <v/>
      </c>
      <c r="AE51" s="7" t="str" cm="1">
        <f t="array" aca="1" ref="AE51" ca="1">IF(AND($C51="S",ORÇAMENTO.CodBarra&lt;&gt;""),IF(ORÇAMENTO.Fonte="",ORÇAMENTO.CodBarra,CONCATENATE(ORÇAMENTO.Fonte," ",ORÇAMENTO.CodBarra)))</f>
        <v>SINAPI 92404</v>
      </c>
      <c r="AF51" s="12" t="str" cm="1">
        <f t="array" aca="1" ref="AF51" ca="1">IF(ISERROR(ORÇAMENTO.BancoRef),"(abra o arquivo 'Referência "&amp;Excel_BuiltIn_Database&amp;".xlsm)",IF(OR($C51&lt;&gt;"S",ORÇAMENTO.CodBarra=""),"(Sem Código)",IF(ISERROR(MATCH($AE51,INDIRECT(ORÇAMENTO.BancoRef),0)),"(Código não identificado nas referências)",MATCH($AE51,INDIRECT(ORÇAMENTO.BancoRef),0))))</f>
        <v>(Código não identificado nas referências)</v>
      </c>
      <c r="AG51" s="427" cm="1">
        <f t="array" aca="1" ref="AG51" ca="1">ROUND(IF(DESONERACAO="sim",REFERENCIA.Desonerado,REFERENCIA.NaoDesonerado),2)</f>
        <v>0</v>
      </c>
      <c r="AH51" s="428">
        <f t="shared" ca="1" si="14"/>
        <v>3.09E-2</v>
      </c>
      <c r="AJ51" s="430"/>
      <c r="AL51" s="438"/>
      <c r="AM51" s="335">
        <f t="shared" ca="1" si="0"/>
        <v>157296.4</v>
      </c>
      <c r="AN51" s="469" cm="1">
        <f t="array" aca="1" ref="AN51" ca="1">ROUND(ORÇAMENTO.CustoUnitario*(1+$AH51),2)</f>
        <v>93.31</v>
      </c>
    </row>
    <row r="52" spans="1:40" ht="38.25" x14ac:dyDescent="0.2">
      <c r="A52" t="str">
        <f t="shared" si="1"/>
        <v>S</v>
      </c>
      <c r="B52">
        <f t="shared" ca="1" si="2"/>
        <v>2</v>
      </c>
      <c r="C52" t="str">
        <f t="shared" ca="1" si="3"/>
        <v>S</v>
      </c>
      <c r="D52">
        <f t="shared" ca="1" si="4"/>
        <v>0</v>
      </c>
      <c r="E52">
        <f ca="1">IF($C52=1,OFFSET(E52,-1,0)+MAX(1,COUNTIF(QCI!$A$13:$A$24,OFFSET(ORÇAMENTO!E52,-1,0))),OFFSET(E52,-1,0))</f>
        <v>1</v>
      </c>
      <c r="F52">
        <f t="shared" ca="1" si="5"/>
        <v>7</v>
      </c>
      <c r="G52">
        <f t="shared" ca="1" si="6"/>
        <v>0</v>
      </c>
      <c r="H52">
        <f t="shared" ca="1" si="7"/>
        <v>0</v>
      </c>
      <c r="I52">
        <f t="shared" ca="1" si="8"/>
        <v>4</v>
      </c>
      <c r="J52">
        <f t="shared" ca="1" si="9"/>
        <v>0</v>
      </c>
      <c r="K52">
        <f ca="1">IF(OR($C52="S",$C52=0),0,MATCH(OFFSET($D52,0,$C52)+IF($C52&lt;&gt;1,1,COUNTIF(QCI!$A$13:$A$24,ORÇAMENTO!E52)),OFFSET($D52,1,$C52,ROW($C$55)-ROW($C52)),0))</f>
        <v>0</v>
      </c>
      <c r="L52" s="113" t="str">
        <f t="shared" ca="1" si="10"/>
        <v>F</v>
      </c>
      <c r="M52" s="114" t="s">
        <v>705</v>
      </c>
      <c r="N52" s="115" t="str">
        <f t="shared" ca="1" si="11"/>
        <v>Serviço</v>
      </c>
      <c r="O52" s="116" t="str">
        <f t="shared" ca="1" si="12"/>
        <v>1.7.4.</v>
      </c>
      <c r="P52" s="117" t="s">
        <v>750</v>
      </c>
      <c r="Q52" s="118" t="s">
        <v>1054</v>
      </c>
      <c r="R52" s="119" t="s">
        <v>1055</v>
      </c>
      <c r="S52" s="120" t="s">
        <v>627</v>
      </c>
      <c r="T52" s="121">
        <f ca="1">OFFSET(CÁLCULO!H$15,ROW($T52)-ROW(T$15),0)</f>
        <v>2778.11</v>
      </c>
      <c r="U52" s="122">
        <v>2.72</v>
      </c>
      <c r="V52" s="123" t="s">
        <v>663</v>
      </c>
      <c r="W52" s="121" cm="1">
        <f t="array" aca="1" ref="W52" ca="1">IF($C52="S",ROUND(IF(TIPOORCAMENTO="Proposto",ORÇAMENTO.CustoUnitario*(1+$AH52),ORÇAMENTO.PrecoUnitarioLicitado),15-13*$AF$10),0)</f>
        <v>2.8</v>
      </c>
      <c r="X52" s="124" cm="1">
        <f t="array" aca="1" ref="X52" ca="1">IF($C52="S",IF(OR(Import.TipoArredondamento&lt;&gt;"TransfereGOV",ACOMPANHAMENTO="BM"),VTOTAL1,SUM(OFFSET(CÁLCULO!$AA$15,ROW($X52)-ROW($X$15),1):OFFSET(CÁLCULO!$AL$15,ROW($X52)-ROW($X$15),-1))),IF($C52=0,0,ROUND(SomaAgrup,15-13*$AF$11)))</f>
        <v>7778.71</v>
      </c>
      <c r="Y52" s="125" t="s">
        <v>751</v>
      </c>
      <c r="Z52" t="str">
        <f t="shared" ca="1" si="13"/>
        <v>RA</v>
      </c>
      <c r="AA52" s="126" cm="1">
        <f t="array" aca="1" ref="AA52" ca="1">IF($C52="S",IF($Z52="CP",$X52,IF($Z52="RA",(($X52)*QCI!$AA$3),0)),SomaAgrup)</f>
        <v>21.929076259535371</v>
      </c>
      <c r="AB52" s="127" cm="1">
        <f t="array" aca="1" ref="AB52" ca="1">IF($C52="S",IF($Z52="OU",ROUND($X52,2),0),SomaAgrup)</f>
        <v>0</v>
      </c>
      <c r="AC52" s="564" t="str" cm="1">
        <f t="array" aca="1" ref="AC52" ca="1">IF($N52=""," ",
IF(AND($C52&lt;&gt;"S",OR($R52="",$R52="(digite a descrição aqui)")),"DESCRIÇÃO",
IF(AND($C52="S",OR($Q52&lt;&gt;"",$T52&gt;0,$U52&gt;0),$P52=""),"FONTE",
IF(AND($C52="S",$P52&lt;&gt;"",OR($T52&gt;0,$U52&gt;0),$Q52=""),"CÓDIGO",
IF(AND($C52="S",$P52&lt;&gt;"",$Q52&lt;&gt;"",$R52="(Código não identificado nas referências)"),"CÓDIGO N/ID",
IF(AND($C52="S",OR($R52="",$R52="(digite a descrição aqui)"),OR($Q52&lt;&gt;"",$T52&gt;0,$U52&gt;0)),"DESCRIÇÃO",
IF(AND($C52="S",$P52&lt;&gt;"",$Q52&lt;&gt;"",$S52=""),"UNIDADE",
IF(AND($C52="S",$P52&lt;&gt;"",$Q52&lt;&gt;"",$U52=0),"SEM CUSTO",
IF(AND(TIPOORCAMENTO="Licitado",$AL52=0,$AN52&gt;0),"SEM PREÇO",
IF(AND($C52="S",$P52&lt;&gt;"",$Q52&lt;&gt;"",$U52&gt;0,AND($V52&lt;&gt;"BDI 1",$V52&lt;&gt;"BDI 2",$V52&lt;&gt;"BDI 3")),IF(ISNUMBER($V52),"JUSTIFICAR BDI","BDI"),
IF(OR(AND(import.recurso="OGU",TIPOORCAMENTO="Proposto",LEFT($O$8,5)&lt;&gt;"(N/D:",$AG52&lt;&gt;"",ORÇAMENTO.CustoUnitario&gt;$AG52),AND(TIPOORCAMENTO="LICITADO",ORÇAMENTO.PrecoUnitarioLicitado&gt;$AN52)),"ACIMA REF.",
IF(AND($C52="S",$P52&lt;&gt;"",$Q52&lt;&gt;"",$T52=0,$U52&gt;0),"QUANT.",
IF(AND(Import.TipoArredondamento="TransfereGOV",$L52="F",$C52="S",LEN($Q52)&gt;13),"Código &gt;13",
IF(AND(Import.TipoArredondamento="TransfereGOV",$L52="F",$C52&lt;&gt;"S",LEN($R52)&gt;100),"Descrição &gt;100",
IF(AND(Import.TipoArredondamento="TransfereGOV",$L52="F",$C52="S",LEN($R52)&gt;500),"Descrição &gt;500",
IF(AND(Import.TipoArredondamento="TransfereGOV",$L52="F",$C52="S",LEFT(TRIM(UPPER($P52)),6)&lt;&gt;"SINAPI",ISNA(VLOOKUP(TRIM(UPPER($S52)),ListaTgov.Unidades,1,FALSE))),"Unid. Não Disp",
" "))))))))))))))))</f>
        <v xml:space="preserve"> </v>
      </c>
      <c r="AD52" t="str">
        <f ca="1">IF(C52&lt;=CRONO.NivelExibicao,MAX($AD$15:OFFSET(AD52,-1,0))+IF($C52&lt;&gt;1,1,MAX(1,COUNTIF(QCI!$A$13:$A$24,OFFSET($E52,-1,0)))),"")</f>
        <v/>
      </c>
      <c r="AE52" s="7" t="str" cm="1">
        <f t="array" aca="1" ref="AE52" ca="1">IF(AND($C52="S",ORÇAMENTO.CodBarra&lt;&gt;""),IF(ORÇAMENTO.Fonte="",ORÇAMENTO.CodBarra,CONCATENATE(ORÇAMENTO.Fonte," ",ORÇAMENTO.CodBarra)))</f>
        <v>SINAPI 93589</v>
      </c>
      <c r="AF52" s="12" t="str" cm="1">
        <f t="array" aca="1" ref="AF52" ca="1">IF(ISERROR(ORÇAMENTO.BancoRef),"(abra o arquivo 'Referência "&amp;Excel_BuiltIn_Database&amp;".xlsm)",IF(OR($C52&lt;&gt;"S",ORÇAMENTO.CodBarra=""),"(Sem Código)",IF(ISERROR(MATCH($AE52,INDIRECT(ORÇAMENTO.BancoRef),0)),"(Código não identificado nas referências)",MATCH($AE52,INDIRECT(ORÇAMENTO.BancoRef),0))))</f>
        <v>(Código não identificado nas referências)</v>
      </c>
      <c r="AG52" s="427" cm="1">
        <f t="array" aca="1" ref="AG52" ca="1">ROUND(IF(DESONERACAO="sim",REFERENCIA.Desonerado,REFERENCIA.NaoDesonerado),2)</f>
        <v>0</v>
      </c>
      <c r="AH52" s="428">
        <f t="shared" ca="1" si="14"/>
        <v>3.09E-2</v>
      </c>
      <c r="AJ52" s="430"/>
      <c r="AL52" s="438"/>
      <c r="AM52" s="335">
        <f t="shared" ca="1" si="0"/>
        <v>7778.71</v>
      </c>
      <c r="AN52" s="469" cm="1">
        <f t="array" aca="1" ref="AN52" ca="1">ROUND(ORÇAMENTO.CustoUnitario*(1+$AH52),2)</f>
        <v>2.8</v>
      </c>
    </row>
    <row r="53" spans="1:40" x14ac:dyDescent="0.2">
      <c r="A53">
        <f t="shared" si="1"/>
        <v>2</v>
      </c>
      <c r="B53">
        <f t="shared" ca="1" si="2"/>
        <v>2</v>
      </c>
      <c r="C53">
        <f t="shared" ca="1" si="3"/>
        <v>2</v>
      </c>
      <c r="D53">
        <f t="shared" ca="1" si="4"/>
        <v>2</v>
      </c>
      <c r="E53">
        <f ca="1">IF($C53=1,OFFSET(E53,-1,0)+MAX(1,COUNTIF(QCI!$A$13:$A$24,OFFSET(ORÇAMENTO!E53,-1,0))),OFFSET(E53,-1,0))</f>
        <v>1</v>
      </c>
      <c r="F53">
        <f t="shared" ca="1" si="5"/>
        <v>8</v>
      </c>
      <c r="G53">
        <f t="shared" ca="1" si="6"/>
        <v>0</v>
      </c>
      <c r="H53">
        <f t="shared" ca="1" si="7"/>
        <v>0</v>
      </c>
      <c r="I53">
        <f t="shared" ca="1" si="8"/>
        <v>0</v>
      </c>
      <c r="J53">
        <f t="shared" ca="1" si="9"/>
        <v>2</v>
      </c>
      <c r="K53" t="e">
        <f ca="1">IF(OR($C53="S",$C53=0),0,MATCH(OFFSET($D53,0,$C53)+IF($C53&lt;&gt;1,1,COUNTIF(QCI!$A$13:$A$24,ORÇAMENTO!E53)),OFFSET($D53,1,$C53,ROW($C$55)-ROW($C53)),0))</f>
        <v>#N/A</v>
      </c>
      <c r="L53" s="113" t="str">
        <f t="shared" ca="1" si="10"/>
        <v>F</v>
      </c>
      <c r="M53" s="114" t="s">
        <v>702</v>
      </c>
      <c r="N53" s="115" t="str">
        <f t="shared" ca="1" si="11"/>
        <v>Nível 2</v>
      </c>
      <c r="O53" s="116" t="str">
        <f t="shared" ca="1" si="12"/>
        <v>1.8.</v>
      </c>
      <c r="P53" s="117" t="s">
        <v>750</v>
      </c>
      <c r="Q53" s="118"/>
      <c r="R53" s="119" t="s">
        <v>1068</v>
      </c>
      <c r="S53" s="120" t="str" cm="1">
        <f t="array" aca="1" ref="S53" ca="1">REFERENCIA.Unidade</f>
        <v>-</v>
      </c>
      <c r="T53" s="121">
        <f ca="1">OFFSET(CÁLCULO!H$15,ROW($T53)-ROW(T$15),0)</f>
        <v>0</v>
      </c>
      <c r="U53" s="122"/>
      <c r="V53" s="123" t="s">
        <v>663</v>
      </c>
      <c r="W53" s="121" cm="1">
        <f t="array" aca="1" ref="W53" ca="1">IF($C53="S",ROUND(IF(TIPOORCAMENTO="Proposto",ORÇAMENTO.CustoUnitario*(1+$AH53),ORÇAMENTO.PrecoUnitarioLicitado),15-13*$AF$10),0)</f>
        <v>0</v>
      </c>
      <c r="X53" s="124" cm="1">
        <f t="array" aca="1" ref="X53" ca="1">IF($C53="S",IF(OR(Import.TipoArredondamento&lt;&gt;"TransfereGOV",ACOMPANHAMENTO="BM"),VTOTAL1,SUM(OFFSET(CÁLCULO!$AA$15,ROW($X53)-ROW($X$15),1):OFFSET(CÁLCULO!$AL$15,ROW($X53)-ROW($X$15),-1))),IF($C53=0,0,ROUND(SomaAgrup,15-13*$AF$11)))</f>
        <v>5610.47</v>
      </c>
      <c r="Y53" s="125" t="s">
        <v>751</v>
      </c>
      <c r="Z53" t="str">
        <f t="shared" ca="1" si="13"/>
        <v/>
      </c>
      <c r="AA53" s="126" cm="1">
        <f t="array" aca="1" ref="AA53" ca="1">IF($C53="S",IF($Z53="CP",$X53,IF($Z53="RA",(($X53)*QCI!$AA$3),0)),SomaAgrup)</f>
        <v>15.816558848682549</v>
      </c>
      <c r="AB53" s="127" cm="1">
        <f t="array" aca="1" ref="AB53" ca="1">IF($C53="S",IF($Z53="OU",ROUND($X53,2),0),SomaAgrup)</f>
        <v>0</v>
      </c>
      <c r="AC53" s="564" t="str" cm="1">
        <f t="array" aca="1" ref="AC53" ca="1">IF($N53=""," ",
IF(AND($C53&lt;&gt;"S",OR($R53="",$R53="(digite a descrição aqui)")),"DESCRIÇÃO",
IF(AND($C53="S",OR($Q53&lt;&gt;"",$T53&gt;0,$U53&gt;0),$P53=""),"FONTE",
IF(AND($C53="S",$P53&lt;&gt;"",OR($T53&gt;0,$U53&gt;0),$Q53=""),"CÓDIGO",
IF(AND($C53="S",$P53&lt;&gt;"",$Q53&lt;&gt;"",$R53="(Código não identificado nas referências)"),"CÓDIGO N/ID",
IF(AND($C53="S",OR($R53="",$R53="(digite a descrição aqui)"),OR($Q53&lt;&gt;"",$T53&gt;0,$U53&gt;0)),"DESCRIÇÃO",
IF(AND($C53="S",$P53&lt;&gt;"",$Q53&lt;&gt;"",$S53=""),"UNIDADE",
IF(AND($C53="S",$P53&lt;&gt;"",$Q53&lt;&gt;"",$U53=0),"SEM CUSTO",
IF(AND(TIPOORCAMENTO="Licitado",$AL53=0,$AN53&gt;0),"SEM PREÇO",
IF(AND($C53="S",$P53&lt;&gt;"",$Q53&lt;&gt;"",$U53&gt;0,AND($V53&lt;&gt;"BDI 1",$V53&lt;&gt;"BDI 2",$V53&lt;&gt;"BDI 3")),IF(ISNUMBER($V53),"JUSTIFICAR BDI","BDI"),
IF(OR(AND(import.recurso="OGU",TIPOORCAMENTO="Proposto",LEFT($O$8,5)&lt;&gt;"(N/D:",$AG53&lt;&gt;"",ORÇAMENTO.CustoUnitario&gt;$AG53),AND(TIPOORCAMENTO="LICITADO",ORÇAMENTO.PrecoUnitarioLicitado&gt;$AN53)),"ACIMA REF.",
IF(AND($C53="S",$P53&lt;&gt;"",$Q53&lt;&gt;"",$T53=0,$U53&gt;0),"QUANT.",
IF(AND(Import.TipoArredondamento="TransfereGOV",$L53="F",$C53="S",LEN($Q53)&gt;13),"Código &gt;13",
IF(AND(Import.TipoArredondamento="TransfereGOV",$L53="F",$C53&lt;&gt;"S",LEN($R53)&gt;100),"Descrição &gt;100",
IF(AND(Import.TipoArredondamento="TransfereGOV",$L53="F",$C53="S",LEN($R53)&gt;500),"Descrição &gt;500",
IF(AND(Import.TipoArredondamento="TransfereGOV",$L53="F",$C53="S",LEFT(TRIM(UPPER($P53)),6)&lt;&gt;"SINAPI",ISNA(VLOOKUP(TRIM(UPPER($S53)),ListaTgov.Unidades,1,FALSE))),"Unid. Não Disp",
" "))))))))))))))))</f>
        <v xml:space="preserve"> </v>
      </c>
      <c r="AD53">
        <f ca="1">IF(C53&lt;=CRONO.NivelExibicao,MAX($AD$15:OFFSET(AD53,-1,0))+IF($C53&lt;&gt;1,1,MAX(1,COUNTIF(QCI!$A$13:$A$24,OFFSET($E53,-1,0)))),"")</f>
        <v>9</v>
      </c>
      <c r="AE53" s="7" t="b" cm="1">
        <f t="array" aca="1" ref="AE53" ca="1">IF(AND($C53="S",ORÇAMENTO.CodBarra&lt;&gt;""),IF(ORÇAMENTO.Fonte="",ORÇAMENTO.CodBarra,CONCATENATE(ORÇAMENTO.Fonte," ",ORÇAMENTO.CodBarra)))</f>
        <v>0</v>
      </c>
      <c r="AF53" s="12" t="str" cm="1">
        <f t="array" aca="1" ref="AF53" ca="1">IF(ISERROR(ORÇAMENTO.BancoRef),"(abra o arquivo 'Referência "&amp;Excel_BuiltIn_Database&amp;".xlsm)",IF(OR($C53&lt;&gt;"S",ORÇAMENTO.CodBarra=""),"(Sem Código)",IF(ISERROR(MATCH($AE53,INDIRECT(ORÇAMENTO.BancoRef),0)),"(Código não identificado nas referências)",MATCH($AE53,INDIRECT(ORÇAMENTO.BancoRef),0))))</f>
        <v>(Sem Código)</v>
      </c>
      <c r="AG53" s="427" cm="1">
        <f t="array" aca="1" ref="AG53" ca="1">ROUND(IF(DESONERACAO="sim",REFERENCIA.Desonerado,REFERENCIA.NaoDesonerado),2)</f>
        <v>0</v>
      </c>
      <c r="AH53" s="428">
        <f t="shared" ca="1" si="14"/>
        <v>3.09E-2</v>
      </c>
      <c r="AJ53" s="430"/>
      <c r="AL53" s="438"/>
      <c r="AM53" s="335">
        <f t="shared" ca="1" si="0"/>
        <v>5610.47</v>
      </c>
      <c r="AN53" s="469" cm="1">
        <f t="array" aca="1" ref="AN53" ca="1">ROUND(ORÇAMENTO.CustoUnitario*(1+$AH53),2)</f>
        <v>0</v>
      </c>
    </row>
    <row r="54" spans="1:40" x14ac:dyDescent="0.2">
      <c r="A54" t="str">
        <f t="shared" si="1"/>
        <v>S</v>
      </c>
      <c r="B54">
        <f t="shared" ca="1" si="2"/>
        <v>2</v>
      </c>
      <c r="C54" t="str">
        <f t="shared" ca="1" si="3"/>
        <v>S</v>
      </c>
      <c r="D54">
        <f t="shared" ca="1" si="4"/>
        <v>0</v>
      </c>
      <c r="E54">
        <f ca="1">IF($C54=1,OFFSET(E54,-1,0)+MAX(1,COUNTIF(QCI!$A$13:$A$24,OFFSET(ORÇAMENTO!E54,-1,0))),OFFSET(E54,-1,0))</f>
        <v>1</v>
      </c>
      <c r="F54">
        <f t="shared" ca="1" si="5"/>
        <v>8</v>
      </c>
      <c r="G54">
        <f t="shared" ca="1" si="6"/>
        <v>0</v>
      </c>
      <c r="H54">
        <f t="shared" ca="1" si="7"/>
        <v>0</v>
      </c>
      <c r="I54">
        <f t="shared" ca="1" si="8"/>
        <v>1</v>
      </c>
      <c r="J54">
        <f t="shared" ca="1" si="9"/>
        <v>0</v>
      </c>
      <c r="K54">
        <f ca="1">IF(OR($C54="S",$C54=0),0,MATCH(OFFSET($D54,0,$C54)+IF($C54&lt;&gt;1,1,COUNTIF(QCI!$A$13:$A$24,ORÇAMENTO!E54)),OFFSET($D54,1,$C54,ROW($C$55)-ROW($C54)),0))</f>
        <v>0</v>
      </c>
      <c r="L54" s="113" t="str">
        <f t="shared" ca="1" si="10"/>
        <v>F</v>
      </c>
      <c r="M54" s="114" t="s">
        <v>705</v>
      </c>
      <c r="N54" s="115" t="str">
        <f t="shared" ca="1" si="11"/>
        <v>Serviço</v>
      </c>
      <c r="O54" s="116" t="str">
        <f t="shared" ca="1" si="12"/>
        <v>1.8.1.</v>
      </c>
      <c r="P54" s="117" t="s">
        <v>750</v>
      </c>
      <c r="Q54" s="118" t="s">
        <v>1070</v>
      </c>
      <c r="R54" s="119" t="s">
        <v>1069</v>
      </c>
      <c r="S54" s="120" t="s">
        <v>623</v>
      </c>
      <c r="T54" s="121">
        <f ca="1">OFFSET(CÁLCULO!H$15,ROW($T54)-ROW(T$15),0)</f>
        <v>653.14</v>
      </c>
      <c r="U54" s="122">
        <v>8.33</v>
      </c>
      <c r="V54" s="123" t="s">
        <v>663</v>
      </c>
      <c r="W54" s="121" cm="1">
        <f t="array" aca="1" ref="W54" ca="1">IF($C54="S",ROUND(IF(TIPOORCAMENTO="Proposto",ORÇAMENTO.CustoUnitario*(1+$AH54),ORÇAMENTO.PrecoUnitarioLicitado),15-13*$AF$10),0)</f>
        <v>8.59</v>
      </c>
      <c r="X54" s="124" cm="1">
        <f t="array" aca="1" ref="X54" ca="1">IF($C54="S",IF(OR(Import.TipoArredondamento&lt;&gt;"TransfereGOV",ACOMPANHAMENTO="BM"),VTOTAL1,SUM(OFFSET(CÁLCULO!$AA$15,ROW($X54)-ROW($X$15),1):OFFSET(CÁLCULO!$AL$15,ROW($X54)-ROW($X$15),-1))),IF($C54=0,0,ROUND(SomaAgrup,15-13*$AF$11)))</f>
        <v>5610.47</v>
      </c>
      <c r="Y54" s="125" t="s">
        <v>751</v>
      </c>
      <c r="Z54" t="str">
        <f t="shared" ca="1" si="13"/>
        <v>RA</v>
      </c>
      <c r="AA54" s="126" cm="1">
        <f t="array" aca="1" ref="AA54" ca="1">IF($C54="S",IF($Z54="CP",$X54,IF($Z54="RA",(($X54)*QCI!$AA$3),0)),SomaAgrup)</f>
        <v>15.816558848682549</v>
      </c>
      <c r="AB54" s="127" cm="1">
        <f t="array" aca="1" ref="AB54" ca="1">IF($C54="S",IF($Z54="OU",ROUND($X54,2),0),SomaAgrup)</f>
        <v>0</v>
      </c>
      <c r="AC54" s="564" t="str" cm="1">
        <f t="array" aca="1" ref="AC54" ca="1">IF($N54=""," ",
IF(AND($C54&lt;&gt;"S",OR($R54="",$R54="(digite a descrição aqui)")),"DESCRIÇÃO",
IF(AND($C54="S",OR($Q54&lt;&gt;"",$T54&gt;0,$U54&gt;0),$P54=""),"FONTE",
IF(AND($C54="S",$P54&lt;&gt;"",OR($T54&gt;0,$U54&gt;0),$Q54=""),"CÓDIGO",
IF(AND($C54="S",$P54&lt;&gt;"",$Q54&lt;&gt;"",$R54="(Código não identificado nas referências)"),"CÓDIGO N/ID",
IF(AND($C54="S",OR($R54="",$R54="(digite a descrição aqui)"),OR($Q54&lt;&gt;"",$T54&gt;0,$U54&gt;0)),"DESCRIÇÃO",
IF(AND($C54="S",$P54&lt;&gt;"",$Q54&lt;&gt;"",$S54=""),"UNIDADE",
IF(AND($C54="S",$P54&lt;&gt;"",$Q54&lt;&gt;"",$U54=0),"SEM CUSTO",
IF(AND(TIPOORCAMENTO="Licitado",$AL54=0,$AN54&gt;0),"SEM PREÇO",
IF(AND($C54="S",$P54&lt;&gt;"",$Q54&lt;&gt;"",$U54&gt;0,AND($V54&lt;&gt;"BDI 1",$V54&lt;&gt;"BDI 2",$V54&lt;&gt;"BDI 3")),IF(ISNUMBER($V54),"JUSTIFICAR BDI","BDI"),
IF(OR(AND(import.recurso="OGU",TIPOORCAMENTO="Proposto",LEFT($O$8,5)&lt;&gt;"(N/D:",$AG54&lt;&gt;"",ORÇAMENTO.CustoUnitario&gt;$AG54),AND(TIPOORCAMENTO="LICITADO",ORÇAMENTO.PrecoUnitarioLicitado&gt;$AN54)),"ACIMA REF.",
IF(AND($C54="S",$P54&lt;&gt;"",$Q54&lt;&gt;"",$T54=0,$U54&gt;0),"QUANT.",
IF(AND(Import.TipoArredondamento="TransfereGOV",$L54="F",$C54="S",LEN($Q54)&gt;13),"Código &gt;13",
IF(AND(Import.TipoArredondamento="TransfereGOV",$L54="F",$C54&lt;&gt;"S",LEN($R54)&gt;100),"Descrição &gt;100",
IF(AND(Import.TipoArredondamento="TransfereGOV",$L54="F",$C54="S",LEN($R54)&gt;500),"Descrição &gt;500",
IF(AND(Import.TipoArredondamento="TransfereGOV",$L54="F",$C54="S",LEFT(TRIM(UPPER($P54)),6)&lt;&gt;"SINAPI",ISNA(VLOOKUP(TRIM(UPPER($S54)),ListaTgov.Unidades,1,FALSE))),"Unid. Não Disp",
" "))))))))))))))))</f>
        <v xml:space="preserve"> </v>
      </c>
      <c r="AD54" t="str">
        <f ca="1">IF(C54&lt;=CRONO.NivelExibicao,MAX($AD$15:OFFSET(AD54,-1,0))+IF($C54&lt;&gt;1,1,MAX(1,COUNTIF(QCI!$A$13:$A$24,OFFSET($E54,-1,0)))),"")</f>
        <v/>
      </c>
      <c r="AE54" s="7" t="str" cm="1">
        <f t="array" aca="1" ref="AE54" ca="1">IF(AND($C54="S",ORÇAMENTO.CodBarra&lt;&gt;""),IF(ORÇAMENTO.Fonte="",ORÇAMENTO.CodBarra,CONCATENATE(ORÇAMENTO.Fonte," ",ORÇAMENTO.CodBarra)))</f>
        <v>SINAPI  ED-50266</v>
      </c>
      <c r="AF54" s="12" t="str" cm="1">
        <f t="array" aca="1" ref="AF54" ca="1">IF(ISERROR(ORÇAMENTO.BancoRef),"(abra o arquivo 'Referência "&amp;Excel_BuiltIn_Database&amp;".xlsm)",IF(OR($C54&lt;&gt;"S",ORÇAMENTO.CodBarra=""),"(Sem Código)",IF(ISERROR(MATCH($AE54,INDIRECT(ORÇAMENTO.BancoRef),0)),"(Código não identificado nas referências)",MATCH($AE54,INDIRECT(ORÇAMENTO.BancoRef),0))))</f>
        <v>(Código não identificado nas referências)</v>
      </c>
      <c r="AG54" s="427" cm="1">
        <f t="array" aca="1" ref="AG54" ca="1">ROUND(IF(DESONERACAO="sim",REFERENCIA.Desonerado,REFERENCIA.NaoDesonerado),2)</f>
        <v>0</v>
      </c>
      <c r="AH54" s="428">
        <f t="shared" ca="1" si="14"/>
        <v>3.09E-2</v>
      </c>
      <c r="AJ54" s="430"/>
      <c r="AL54" s="438"/>
      <c r="AM54" s="335">
        <f t="shared" ca="1" si="0"/>
        <v>5610.47</v>
      </c>
      <c r="AN54" s="469" cm="1">
        <f t="array" aca="1" ref="AN54" ca="1">ROUND(ORÇAMENTO.CustoUnitario*(1+$AH54),2)</f>
        <v>8.59</v>
      </c>
    </row>
    <row r="55" spans="1:40" ht="5.0999999999999996" customHeight="1" x14ac:dyDescent="0.2">
      <c r="A55">
        <v>-1</v>
      </c>
      <c r="C55">
        <v>-1</v>
      </c>
      <c r="E55">
        <v>0</v>
      </c>
      <c r="F55">
        <v>0</v>
      </c>
      <c r="G55">
        <v>0</v>
      </c>
      <c r="H55">
        <v>0</v>
      </c>
      <c r="I55">
        <v>0</v>
      </c>
      <c r="L55" s="113" t="s">
        <v>536</v>
      </c>
      <c r="M55" s="615"/>
      <c r="N55" s="423"/>
      <c r="O55" s="615"/>
      <c r="P55" s="616"/>
      <c r="Q55" s="616"/>
      <c r="R55" s="616"/>
      <c r="S55" s="616"/>
      <c r="T55" s="616"/>
      <c r="U55" s="616"/>
      <c r="V55" s="616"/>
      <c r="W55" s="616"/>
      <c r="X55" s="423"/>
      <c r="Y55" s="423"/>
      <c r="AC55" s="564" t="str" cm="1">
        <f t="array" ref="AC55">IF($N55=""," ",
IF(AND($C55&lt;&gt;"S",OR($R55="",$R55="(digite a descrição aqui)")),"DESCRIÇÃO",
IF(AND($C55="S",OR($Q55&lt;&gt;"",$T55&gt;0,$U55&gt;0),$P55=""),"FONTE",
IF(AND($C55="S",$P55&lt;&gt;"",OR($T55&gt;0,$U55&gt;0),$Q55=""),"CÓDIGO",
IF(AND($C55="S",$P55&lt;&gt;"",$Q55&lt;&gt;"",$R55="(Código não identificado nas referências)"),"CÓDIGO N/ID",
IF(AND($C55="S",OR($R55="",$R55="(digite a descrição aqui)"),OR($Q55&lt;&gt;"",$T55&gt;0,$U55&gt;0)),"DESCRIÇÃO",
IF(AND($C55="S",$P55&lt;&gt;"",$Q55&lt;&gt;"",$S55=""),"UNIDADE",
IF(AND($C55="S",$P55&lt;&gt;"",$Q55&lt;&gt;"",$U55=0),"SEM CUSTO",
IF(AND(TIPOORCAMENTO="Licitado",$AL55=0,$AN55&gt;0),"SEM PREÇO",
IF(AND($C55="S",$P55&lt;&gt;"",$Q55&lt;&gt;"",$U55&gt;0,AND($V55&lt;&gt;"BDI 1",$V55&lt;&gt;"BDI 2",$V55&lt;&gt;"BDI 3")),IF(ISNUMBER($V55),"JUSTIFICAR BDI","BDI"),
IF(OR(AND(import.recurso="OGU",TIPOORCAMENTO="Proposto",LEFT($O$8,5)&lt;&gt;"(N/D:",$AG55&lt;&gt;"",ORÇAMENTO.CustoUnitario&gt;$AG55),AND(TIPOORCAMENTO="LICITADO",ORÇAMENTO.PrecoUnitarioLicitado&gt;$AN55)),"ACIMA REF.",
IF(AND($C55="S",$P55&lt;&gt;"",$Q55&lt;&gt;"",$T55=0,$U55&gt;0),"QUANT.",
IF(AND(Import.TipoArredondamento="TransfereGOV",$L55="F",$C55="S",LEN($Q55)&gt;13),"Código &gt;13",
IF(AND(Import.TipoArredondamento="TransfereGOV",$L55="F",$C55&lt;&gt;"S",LEN($R55)&gt;100),"Descrição &gt;100",
IF(AND(Import.TipoArredondamento="TransfereGOV",$L55="F",$C55="S",LEN($R55)&gt;500),"Descrição &gt;500",
IF(AND(Import.TipoArredondamento="TransfereGOV",$L55="F",$C55="S",LEFT(TRIM(UPPER($P55)),6)&lt;&gt;"SINAPI",ISNA(VLOOKUP(TRIM(UPPER($S55)),ListaTgov.Unidades,1,FALSE))),"Unid. Não Disp",
" "))))))))))))))))</f>
        <v xml:space="preserve"> </v>
      </c>
      <c r="AF55" s="12"/>
      <c r="AG55" s="617"/>
      <c r="AH55" s="418"/>
      <c r="AJ55" s="424"/>
      <c r="AL55" s="617"/>
      <c r="AM55" s="618"/>
      <c r="AN55" s="418"/>
    </row>
    <row r="56" spans="1:40" x14ac:dyDescent="0.2">
      <c r="AF56" s="12"/>
    </row>
    <row r="57" spans="1:40" x14ac:dyDescent="0.2">
      <c r="AF57" s="12"/>
    </row>
    <row r="58" spans="1:40" ht="14.25" x14ac:dyDescent="0.2">
      <c r="O58" s="133" t="s">
        <v>753</v>
      </c>
      <c r="Q58" s="719" t="s">
        <v>754</v>
      </c>
      <c r="R58" s="719"/>
      <c r="S58" s="719"/>
      <c r="T58" s="719"/>
      <c r="U58" s="719"/>
      <c r="V58" s="719"/>
      <c r="W58" s="719"/>
      <c r="X58" s="719"/>
      <c r="AF58" s="12"/>
    </row>
    <row r="59" spans="1:40" x14ac:dyDescent="0.2">
      <c r="AF59" s="12"/>
    </row>
    <row r="60" spans="1:40" ht="14.25" x14ac:dyDescent="0.2">
      <c r="O60" s="134" t="s">
        <v>689</v>
      </c>
      <c r="X60" s="4"/>
      <c r="AF60" s="12"/>
    </row>
    <row r="61" spans="1:40" ht="12.75" customHeight="1" x14ac:dyDescent="0.2">
      <c r="O61" s="720"/>
      <c r="P61" s="720"/>
      <c r="Q61" s="720"/>
      <c r="R61" s="720"/>
      <c r="S61" s="720"/>
      <c r="T61" s="720"/>
      <c r="U61" s="720"/>
      <c r="V61" s="720"/>
      <c r="W61" s="720"/>
      <c r="X61" s="720"/>
      <c r="AF61" s="12"/>
    </row>
    <row r="62" spans="1:40" x14ac:dyDescent="0.2">
      <c r="O62" s="720"/>
      <c r="P62" s="720"/>
      <c r="Q62" s="720"/>
      <c r="R62" s="720"/>
      <c r="S62" s="720"/>
      <c r="T62" s="720"/>
      <c r="U62" s="720"/>
      <c r="V62" s="720"/>
      <c r="W62" s="720"/>
      <c r="X62" s="720"/>
      <c r="AF62" s="12"/>
    </row>
    <row r="63" spans="1:40" x14ac:dyDescent="0.2">
      <c r="O63" s="720"/>
      <c r="P63" s="720"/>
      <c r="Q63" s="720"/>
      <c r="R63" s="720"/>
      <c r="S63" s="720"/>
      <c r="T63" s="720"/>
      <c r="U63" s="720"/>
      <c r="V63" s="720"/>
      <c r="W63" s="720"/>
      <c r="X63" s="720"/>
      <c r="AF63" s="12"/>
    </row>
    <row r="64" spans="1:40" ht="14.25" x14ac:dyDescent="0.2">
      <c r="O64" s="442"/>
      <c r="P64" s="442"/>
      <c r="Q64" s="442"/>
      <c r="R64" s="442"/>
      <c r="S64" s="442"/>
      <c r="T64" s="442"/>
      <c r="U64" s="442"/>
      <c r="V64" s="442"/>
      <c r="W64" s="442"/>
      <c r="X64" s="442"/>
      <c r="Y64" s="442"/>
      <c r="Z64" s="135"/>
      <c r="AA64" s="135"/>
      <c r="AB64" s="135"/>
      <c r="AF64" s="12"/>
    </row>
    <row r="65" spans="15:32" ht="15" x14ac:dyDescent="0.25">
      <c r="O65" s="721" t="str">
        <f>IF(AND($AF$7=FALSE,$AF$8=FALSE,$AF$9=FALSE,$AF$10=FALSE,$AF$11=FALSE),"Não foi considerado arredondamento nos valores da planilha.",CONCATENATE("Foi considerado arredondamento de duas casas decimais para ",IF($AF$7=TRUE,"Quantidade; ",""),IF($AF$8=TRUE,"Custo Unitário; ",""),IF($AF$9=TRUE,"BDI; ",""),IF($AF$10=TRUE,"Preço Unitário; ",""),IF($AF$11=TRUE,"Preço Total.","")))</f>
        <v>Foi considerado arredondamento de duas casas decimais para Quantidade; Custo Unitário; BDI; Preço Unitário; Preço Total.</v>
      </c>
      <c r="P65" s="721"/>
      <c r="Q65" s="721"/>
      <c r="R65" s="721"/>
      <c r="S65" s="721"/>
      <c r="T65" s="721"/>
      <c r="U65" s="721"/>
      <c r="V65" s="721"/>
      <c r="W65" s="721"/>
      <c r="X65" s="721"/>
      <c r="Y65" s="136"/>
      <c r="Z65" s="136"/>
      <c r="AA65" s="136"/>
      <c r="AB65" s="136"/>
      <c r="AF65" s="12"/>
    </row>
    <row r="66" spans="15:32" ht="15" customHeight="1" x14ac:dyDescent="0.25">
      <c r="O66" s="723" t="s">
        <v>755</v>
      </c>
      <c r="P66" s="723"/>
      <c r="Q66" s="723"/>
      <c r="R66" s="723"/>
      <c r="S66" s="723"/>
      <c r="T66" s="723"/>
      <c r="U66" s="723"/>
      <c r="V66" s="723"/>
      <c r="W66" s="723"/>
      <c r="X66" s="723"/>
      <c r="Y66" s="136"/>
      <c r="Z66" s="136"/>
      <c r="AA66" s="136"/>
      <c r="AB66" s="136"/>
      <c r="AF66" s="12"/>
    </row>
    <row r="67" spans="15:32" x14ac:dyDescent="0.2">
      <c r="AF67" s="12"/>
    </row>
    <row r="68" spans="15:32" ht="30" customHeight="1" x14ac:dyDescent="0.2">
      <c r="O68" s="722" t="str">
        <f>Import.Município</f>
        <v>Liberdade - MG</v>
      </c>
      <c r="P68" s="722"/>
      <c r="Q68" s="722"/>
      <c r="S68" s="459"/>
      <c r="T68" s="459"/>
      <c r="U68" s="459"/>
      <c r="V68" s="459"/>
      <c r="W68" s="416"/>
      <c r="AF68" s="12"/>
    </row>
    <row r="69" spans="15:32" x14ac:dyDescent="0.2">
      <c r="O69" s="9" t="s">
        <v>693</v>
      </c>
      <c r="S69" s="180" t="s">
        <v>696</v>
      </c>
      <c r="T69" s="180"/>
      <c r="U69" s="180"/>
      <c r="V69" s="180"/>
      <c r="AF69" s="12"/>
    </row>
    <row r="70" spans="15:32" x14ac:dyDescent="0.2">
      <c r="S70" s="76" t="s">
        <v>240</v>
      </c>
      <c r="T70" s="77" t="str">
        <f t="array" ref="T70:T72">Import.RespOrçamento</f>
        <v>Antônio Carlos Sampaio Alves</v>
      </c>
      <c r="V70" s="78"/>
      <c r="AF70" s="12"/>
    </row>
    <row r="71" spans="15:32" x14ac:dyDescent="0.2">
      <c r="O71" s="716">
        <f>DADOS!$C$25</f>
        <v>45880</v>
      </c>
      <c r="P71" s="716"/>
      <c r="Q71" s="716"/>
      <c r="S71" s="76" t="s">
        <v>243</v>
      </c>
      <c r="T71" s="77" t="str">
        <v>214010-D</v>
      </c>
      <c r="U71" s="78"/>
      <c r="V71" s="78"/>
      <c r="AF71" s="12"/>
    </row>
    <row r="72" spans="15:32" x14ac:dyDescent="0.2">
      <c r="O72" s="139" t="s">
        <v>694</v>
      </c>
      <c r="P72" s="1"/>
      <c r="Q72" s="1"/>
      <c r="S72" s="76" t="s">
        <v>246</v>
      </c>
      <c r="T72" s="77" t="str">
        <v>MG 20254192207</v>
      </c>
      <c r="U72" s="78"/>
      <c r="V72" s="78"/>
      <c r="AF72" s="12"/>
    </row>
    <row r="73" spans="15:32" x14ac:dyDescent="0.2">
      <c r="AF73" s="12"/>
    </row>
    <row r="74" spans="15:32" x14ac:dyDescent="0.2">
      <c r="AF74" s="12"/>
    </row>
    <row r="75" spans="15:32" x14ac:dyDescent="0.2">
      <c r="AF75" s="12"/>
    </row>
    <row r="76" spans="15:32" x14ac:dyDescent="0.2">
      <c r="AF76" s="12"/>
    </row>
    <row r="77" spans="15:32" x14ac:dyDescent="0.2">
      <c r="AF77" s="12"/>
    </row>
    <row r="78" spans="15:32" x14ac:dyDescent="0.2">
      <c r="AF78" s="12"/>
    </row>
    <row r="79" spans="15:32" x14ac:dyDescent="0.2">
      <c r="AF79" s="12"/>
    </row>
    <row r="80" spans="15:32" x14ac:dyDescent="0.2">
      <c r="AF80" s="12"/>
    </row>
    <row r="81" spans="32:32" x14ac:dyDescent="0.2">
      <c r="AF81" s="12"/>
    </row>
    <row r="82" spans="32:32" x14ac:dyDescent="0.2">
      <c r="AF82" s="12"/>
    </row>
    <row r="83" spans="32:32" x14ac:dyDescent="0.2">
      <c r="AF83" s="12"/>
    </row>
    <row r="84" spans="32:32" x14ac:dyDescent="0.2">
      <c r="AF84" s="12"/>
    </row>
    <row r="85" spans="32:32" x14ac:dyDescent="0.2">
      <c r="AF85" s="12"/>
    </row>
    <row r="86" spans="32:32" x14ac:dyDescent="0.2">
      <c r="AF86" s="12"/>
    </row>
    <row r="87" spans="32:32" x14ac:dyDescent="0.2">
      <c r="AF87" s="12"/>
    </row>
    <row r="88" spans="32:32" x14ac:dyDescent="0.2">
      <c r="AF88" s="12"/>
    </row>
    <row r="89" spans="32:32" x14ac:dyDescent="0.2">
      <c r="AF89" s="12"/>
    </row>
    <row r="90" spans="32:32" x14ac:dyDescent="0.2">
      <c r="AF90" s="12"/>
    </row>
    <row r="91" spans="32:32" x14ac:dyDescent="0.2">
      <c r="AF91" s="12"/>
    </row>
    <row r="92" spans="32:32" x14ac:dyDescent="0.2">
      <c r="AF92" s="12"/>
    </row>
    <row r="93" spans="32:32" x14ac:dyDescent="0.2">
      <c r="AF93" s="12"/>
    </row>
    <row r="94" spans="32:32" x14ac:dyDescent="0.2">
      <c r="AF94" s="12"/>
    </row>
    <row r="95" spans="32:32" x14ac:dyDescent="0.2">
      <c r="AF95" s="12"/>
    </row>
    <row r="96" spans="32:32" x14ac:dyDescent="0.2">
      <c r="AF96" s="12"/>
    </row>
    <row r="97" spans="32:32" x14ac:dyDescent="0.2">
      <c r="AF97" s="12"/>
    </row>
    <row r="98" spans="32:32" x14ac:dyDescent="0.2">
      <c r="AF98" s="12"/>
    </row>
    <row r="99" spans="32:32" x14ac:dyDescent="0.2">
      <c r="AF99" s="12"/>
    </row>
    <row r="100" spans="32:32" x14ac:dyDescent="0.2">
      <c r="AF100" s="12"/>
    </row>
    <row r="101" spans="32:32" x14ac:dyDescent="0.2">
      <c r="AF101" s="12"/>
    </row>
    <row r="102" spans="32:32" x14ac:dyDescent="0.2">
      <c r="AF102" s="12"/>
    </row>
    <row r="103" spans="32:32" x14ac:dyDescent="0.2">
      <c r="AF103" s="12"/>
    </row>
    <row r="104" spans="32:32" x14ac:dyDescent="0.2">
      <c r="AF104" s="12"/>
    </row>
    <row r="105" spans="32:32" x14ac:dyDescent="0.2">
      <c r="AF105" s="12"/>
    </row>
    <row r="106" spans="32:32" x14ac:dyDescent="0.2">
      <c r="AF106" s="12"/>
    </row>
    <row r="107" spans="32:32" x14ac:dyDescent="0.2">
      <c r="AF107" s="12"/>
    </row>
    <row r="108" spans="32:32" x14ac:dyDescent="0.2">
      <c r="AF108" s="12"/>
    </row>
    <row r="109" spans="32:32" x14ac:dyDescent="0.2">
      <c r="AF109" s="12"/>
    </row>
    <row r="110" spans="32:32" x14ac:dyDescent="0.2">
      <c r="AF110" s="12"/>
    </row>
    <row r="111" spans="32:32" x14ac:dyDescent="0.2">
      <c r="AF111" s="12"/>
    </row>
    <row r="112" spans="32:32" x14ac:dyDescent="0.2">
      <c r="AF112" s="12"/>
    </row>
    <row r="113" spans="32:32" x14ac:dyDescent="0.2">
      <c r="AF113" s="12"/>
    </row>
    <row r="114" spans="32:32" x14ac:dyDescent="0.2">
      <c r="AF114" s="12"/>
    </row>
    <row r="115" spans="32:32" x14ac:dyDescent="0.2">
      <c r="AF115" s="12"/>
    </row>
    <row r="116" spans="32:32" x14ac:dyDescent="0.2">
      <c r="AF116" s="12"/>
    </row>
    <row r="117" spans="32:32" x14ac:dyDescent="0.2">
      <c r="AF117" s="12"/>
    </row>
    <row r="118" spans="32:32" x14ac:dyDescent="0.2">
      <c r="AF118" s="12"/>
    </row>
    <row r="119" spans="32:32" x14ac:dyDescent="0.2">
      <c r="AF119" s="12"/>
    </row>
    <row r="120" spans="32:32" x14ac:dyDescent="0.2">
      <c r="AF120" s="12"/>
    </row>
    <row r="121" spans="32:32" x14ac:dyDescent="0.2">
      <c r="AF121" s="12"/>
    </row>
    <row r="122" spans="32:32" x14ac:dyDescent="0.2">
      <c r="AF122" s="12"/>
    </row>
    <row r="123" spans="32:32" x14ac:dyDescent="0.2">
      <c r="AF123" s="12"/>
    </row>
    <row r="124" spans="32:32" x14ac:dyDescent="0.2">
      <c r="AF124" s="12"/>
    </row>
    <row r="125" spans="32:32" x14ac:dyDescent="0.2">
      <c r="AF125" s="12"/>
    </row>
    <row r="126" spans="32:32" x14ac:dyDescent="0.2">
      <c r="AF126" s="12"/>
    </row>
    <row r="127" spans="32:32" x14ac:dyDescent="0.2">
      <c r="AF127" s="12"/>
    </row>
    <row r="128" spans="32:32" x14ac:dyDescent="0.2">
      <c r="AF128" s="12"/>
    </row>
    <row r="129" spans="32:32" x14ac:dyDescent="0.2">
      <c r="AF129" s="12"/>
    </row>
    <row r="130" spans="32:32" x14ac:dyDescent="0.2">
      <c r="AF130" s="12"/>
    </row>
    <row r="131" spans="32:32" x14ac:dyDescent="0.2">
      <c r="AF131" s="12"/>
    </row>
    <row r="132" spans="32:32" x14ac:dyDescent="0.2">
      <c r="AF132" s="12"/>
    </row>
    <row r="133" spans="32:32" x14ac:dyDescent="0.2">
      <c r="AF133" s="12"/>
    </row>
    <row r="134" spans="32:32" x14ac:dyDescent="0.2">
      <c r="AF134" s="12"/>
    </row>
    <row r="135" spans="32:32" x14ac:dyDescent="0.2">
      <c r="AF135" s="12"/>
    </row>
    <row r="136" spans="32:32" x14ac:dyDescent="0.2">
      <c r="AF136" s="12"/>
    </row>
    <row r="137" spans="32:32" x14ac:dyDescent="0.2">
      <c r="AF137" s="12"/>
    </row>
    <row r="138" spans="32:32" x14ac:dyDescent="0.2">
      <c r="AF138" s="12"/>
    </row>
    <row r="139" spans="32:32" x14ac:dyDescent="0.2">
      <c r="AF139" s="12"/>
    </row>
    <row r="140" spans="32:32" x14ac:dyDescent="0.2">
      <c r="AF140" s="12"/>
    </row>
    <row r="141" spans="32:32" x14ac:dyDescent="0.2">
      <c r="AF141" s="12"/>
    </row>
    <row r="142" spans="32:32" x14ac:dyDescent="0.2">
      <c r="AF142" s="12"/>
    </row>
    <row r="143" spans="32:32" x14ac:dyDescent="0.2">
      <c r="AF143" s="12"/>
    </row>
    <row r="144" spans="32:32" x14ac:dyDescent="0.2">
      <c r="AF144" s="12"/>
    </row>
    <row r="145" spans="32:32" x14ac:dyDescent="0.2">
      <c r="AF145" s="12"/>
    </row>
    <row r="146" spans="32:32" x14ac:dyDescent="0.2">
      <c r="AF146" s="12"/>
    </row>
    <row r="147" spans="32:32" x14ac:dyDescent="0.2">
      <c r="AF147" s="12"/>
    </row>
    <row r="148" spans="32:32" x14ac:dyDescent="0.2">
      <c r="AF148" s="12"/>
    </row>
    <row r="149" spans="32:32" x14ac:dyDescent="0.2">
      <c r="AF149" s="12"/>
    </row>
    <row r="150" spans="32:32" x14ac:dyDescent="0.2">
      <c r="AF150" s="12"/>
    </row>
    <row r="151" spans="32:32" x14ac:dyDescent="0.2">
      <c r="AF151" s="12"/>
    </row>
    <row r="152" spans="32:32" x14ac:dyDescent="0.2">
      <c r="AF152" s="12"/>
    </row>
    <row r="153" spans="32:32" x14ac:dyDescent="0.2">
      <c r="AF153" s="12"/>
    </row>
    <row r="154" spans="32:32" x14ac:dyDescent="0.2">
      <c r="AF154" s="12"/>
    </row>
    <row r="155" spans="32:32" x14ac:dyDescent="0.2">
      <c r="AF155" s="12"/>
    </row>
    <row r="156" spans="32:32" x14ac:dyDescent="0.2">
      <c r="AF156" s="12"/>
    </row>
    <row r="157" spans="32:32" x14ac:dyDescent="0.2">
      <c r="AF157" s="12"/>
    </row>
    <row r="158" spans="32:32" x14ac:dyDescent="0.2">
      <c r="AF158" s="12"/>
    </row>
    <row r="159" spans="32:32" x14ac:dyDescent="0.2">
      <c r="AF159" s="12"/>
    </row>
    <row r="160" spans="32:32" x14ac:dyDescent="0.2">
      <c r="AF160" s="12"/>
    </row>
    <row r="161" spans="32:32" x14ac:dyDescent="0.2">
      <c r="AF161" s="12"/>
    </row>
    <row r="162" spans="32:32" x14ac:dyDescent="0.2">
      <c r="AF162" s="12"/>
    </row>
    <row r="163" spans="32:32" x14ac:dyDescent="0.2">
      <c r="AF163" s="12"/>
    </row>
    <row r="164" spans="32:32" x14ac:dyDescent="0.2">
      <c r="AF164" s="12"/>
    </row>
    <row r="165" spans="32:32" x14ac:dyDescent="0.2">
      <c r="AF165" s="12"/>
    </row>
    <row r="166" spans="32:32" x14ac:dyDescent="0.2">
      <c r="AF166" s="12"/>
    </row>
    <row r="167" spans="32:32" x14ac:dyDescent="0.2">
      <c r="AF167" s="12"/>
    </row>
    <row r="168" spans="32:32" x14ac:dyDescent="0.2">
      <c r="AF168" s="12"/>
    </row>
    <row r="169" spans="32:32" x14ac:dyDescent="0.2">
      <c r="AF169" s="12"/>
    </row>
    <row r="170" spans="32:32" x14ac:dyDescent="0.2">
      <c r="AF170" s="12"/>
    </row>
    <row r="171" spans="32:32" x14ac:dyDescent="0.2">
      <c r="AF171" s="12"/>
    </row>
    <row r="172" spans="32:32" x14ac:dyDescent="0.2">
      <c r="AF172" s="12"/>
    </row>
    <row r="173" spans="32:32" x14ac:dyDescent="0.2">
      <c r="AF173" s="12"/>
    </row>
    <row r="174" spans="32:32" x14ac:dyDescent="0.2">
      <c r="AF174" s="12"/>
    </row>
    <row r="175" spans="32:32" x14ac:dyDescent="0.2">
      <c r="AF175" s="12"/>
    </row>
    <row r="176" spans="32:32" x14ac:dyDescent="0.2">
      <c r="AF176" s="12"/>
    </row>
    <row r="177" spans="32:32" x14ac:dyDescent="0.2">
      <c r="AF177" s="12"/>
    </row>
    <row r="178" spans="32:32" x14ac:dyDescent="0.2">
      <c r="AF178" s="12"/>
    </row>
    <row r="179" spans="32:32" x14ac:dyDescent="0.2">
      <c r="AF179" s="12"/>
    </row>
    <row r="180" spans="32:32" x14ac:dyDescent="0.2">
      <c r="AF180" s="12"/>
    </row>
    <row r="181" spans="32:32" x14ac:dyDescent="0.2">
      <c r="AF181" s="12"/>
    </row>
    <row r="182" spans="32:32" x14ac:dyDescent="0.2">
      <c r="AF182" s="12"/>
    </row>
    <row r="183" spans="32:32" x14ac:dyDescent="0.2">
      <c r="AF183" s="12"/>
    </row>
    <row r="184" spans="32:32" x14ac:dyDescent="0.2">
      <c r="AF184" s="12"/>
    </row>
    <row r="185" spans="32:32" x14ac:dyDescent="0.2">
      <c r="AF185" s="12"/>
    </row>
    <row r="186" spans="32:32" x14ac:dyDescent="0.2">
      <c r="AF186" s="12"/>
    </row>
    <row r="187" spans="32:32" x14ac:dyDescent="0.2">
      <c r="AF187" s="12"/>
    </row>
    <row r="188" spans="32:32" x14ac:dyDescent="0.2">
      <c r="AF188" s="12"/>
    </row>
    <row r="189" spans="32:32" x14ac:dyDescent="0.2">
      <c r="AF189" s="12"/>
    </row>
    <row r="190" spans="32:32" x14ac:dyDescent="0.2">
      <c r="AF190" s="12"/>
    </row>
    <row r="191" spans="32:32" x14ac:dyDescent="0.2">
      <c r="AF191" s="12"/>
    </row>
    <row r="192" spans="32:32" x14ac:dyDescent="0.2">
      <c r="AF192" s="12"/>
    </row>
    <row r="193" spans="32:32" x14ac:dyDescent="0.2">
      <c r="AF193" s="12"/>
    </row>
    <row r="194" spans="32:32" x14ac:dyDescent="0.2">
      <c r="AF194" s="12"/>
    </row>
    <row r="195" spans="32:32" x14ac:dyDescent="0.2">
      <c r="AF195" s="12"/>
    </row>
    <row r="196" spans="32:32" x14ac:dyDescent="0.2">
      <c r="AF196" s="12"/>
    </row>
    <row r="197" spans="32:32" x14ac:dyDescent="0.2">
      <c r="AF197" s="12"/>
    </row>
    <row r="198" spans="32:32" x14ac:dyDescent="0.2">
      <c r="AF198" s="12"/>
    </row>
    <row r="199" spans="32:32" x14ac:dyDescent="0.2">
      <c r="AF199" s="12"/>
    </row>
    <row r="200" spans="32:32" x14ac:dyDescent="0.2">
      <c r="AF200" s="12"/>
    </row>
    <row r="201" spans="32:32" x14ac:dyDescent="0.2">
      <c r="AF201" s="12"/>
    </row>
    <row r="202" spans="32:32" x14ac:dyDescent="0.2">
      <c r="AF202" s="12"/>
    </row>
    <row r="203" spans="32:32" x14ac:dyDescent="0.2">
      <c r="AF203" s="12"/>
    </row>
    <row r="204" spans="32:32" x14ac:dyDescent="0.2">
      <c r="AF204" s="12"/>
    </row>
    <row r="205" spans="32:32" x14ac:dyDescent="0.2">
      <c r="AF205" s="12"/>
    </row>
    <row r="206" spans="32:32" x14ac:dyDescent="0.2">
      <c r="AF206" s="12"/>
    </row>
    <row r="207" spans="32:32" x14ac:dyDescent="0.2">
      <c r="AF207" s="12"/>
    </row>
    <row r="208" spans="32:32" x14ac:dyDescent="0.2">
      <c r="AF208" s="12"/>
    </row>
    <row r="209" spans="32:32" x14ac:dyDescent="0.2">
      <c r="AF209" s="12"/>
    </row>
    <row r="210" spans="32:32" x14ac:dyDescent="0.2">
      <c r="AF210" s="12"/>
    </row>
    <row r="211" spans="32:32" x14ac:dyDescent="0.2">
      <c r="AF211" s="12"/>
    </row>
    <row r="212" spans="32:32" x14ac:dyDescent="0.2">
      <c r="AF212" s="12"/>
    </row>
    <row r="213" spans="32:32" x14ac:dyDescent="0.2">
      <c r="AF213" s="12"/>
    </row>
    <row r="214" spans="32:32" x14ac:dyDescent="0.2">
      <c r="AF214" s="12"/>
    </row>
    <row r="215" spans="32:32" x14ac:dyDescent="0.2">
      <c r="AF215" s="12"/>
    </row>
    <row r="216" spans="32:32" x14ac:dyDescent="0.2">
      <c r="AF216" s="12"/>
    </row>
    <row r="217" spans="32:32" x14ac:dyDescent="0.2">
      <c r="AF217" s="12"/>
    </row>
    <row r="218" spans="32:32" x14ac:dyDescent="0.2">
      <c r="AF218" s="12"/>
    </row>
    <row r="219" spans="32:32" x14ac:dyDescent="0.2">
      <c r="AF219" s="12"/>
    </row>
    <row r="220" spans="32:32" x14ac:dyDescent="0.2">
      <c r="AF220" s="12"/>
    </row>
    <row r="221" spans="32:32" x14ac:dyDescent="0.2">
      <c r="AF221" s="12"/>
    </row>
    <row r="222" spans="32:32" x14ac:dyDescent="0.2">
      <c r="AF222" s="12"/>
    </row>
    <row r="223" spans="32:32" x14ac:dyDescent="0.2">
      <c r="AF223" s="12"/>
    </row>
    <row r="224" spans="32:32" x14ac:dyDescent="0.2">
      <c r="AF224" s="12"/>
    </row>
    <row r="225" spans="32:32" x14ac:dyDescent="0.2">
      <c r="AF225" s="12"/>
    </row>
    <row r="226" spans="32:32" x14ac:dyDescent="0.2">
      <c r="AF226" s="12"/>
    </row>
    <row r="227" spans="32:32" x14ac:dyDescent="0.2">
      <c r="AF227" s="12"/>
    </row>
    <row r="228" spans="32:32" x14ac:dyDescent="0.2">
      <c r="AF228" s="12"/>
    </row>
    <row r="229" spans="32:32" x14ac:dyDescent="0.2">
      <c r="AF229" s="12"/>
    </row>
    <row r="230" spans="32:32" x14ac:dyDescent="0.2">
      <c r="AF230" s="12"/>
    </row>
    <row r="231" spans="32:32" x14ac:dyDescent="0.2">
      <c r="AF231" s="12"/>
    </row>
    <row r="232" spans="32:32" x14ac:dyDescent="0.2">
      <c r="AF232" s="12"/>
    </row>
    <row r="233" spans="32:32" x14ac:dyDescent="0.2">
      <c r="AF233" s="12"/>
    </row>
    <row r="234" spans="32:32" x14ac:dyDescent="0.2">
      <c r="AF234" s="12"/>
    </row>
    <row r="235" spans="32:32" x14ac:dyDescent="0.2">
      <c r="AF235" s="12"/>
    </row>
    <row r="236" spans="32:32" x14ac:dyDescent="0.2">
      <c r="AF236" s="12"/>
    </row>
    <row r="237" spans="32:32" x14ac:dyDescent="0.2">
      <c r="AF237" s="12"/>
    </row>
    <row r="238" spans="32:32" x14ac:dyDescent="0.2">
      <c r="AF238" s="12"/>
    </row>
    <row r="239" spans="32:32" x14ac:dyDescent="0.2">
      <c r="AF239" s="12"/>
    </row>
    <row r="240" spans="32:32" x14ac:dyDescent="0.2">
      <c r="AF240" s="12"/>
    </row>
    <row r="241" spans="32:32" x14ac:dyDescent="0.2">
      <c r="AF241" s="12"/>
    </row>
    <row r="242" spans="32:32" x14ac:dyDescent="0.2">
      <c r="AF242" s="12"/>
    </row>
    <row r="243" spans="32:32" x14ac:dyDescent="0.2">
      <c r="AF243" s="12"/>
    </row>
    <row r="244" spans="32:32" x14ac:dyDescent="0.2">
      <c r="AF244" s="12"/>
    </row>
    <row r="245" spans="32:32" x14ac:dyDescent="0.2">
      <c r="AF245" s="12"/>
    </row>
    <row r="246" spans="32:32" x14ac:dyDescent="0.2">
      <c r="AF246" s="12"/>
    </row>
    <row r="247" spans="32:32" x14ac:dyDescent="0.2">
      <c r="AF247" s="12"/>
    </row>
    <row r="248" spans="32:32" x14ac:dyDescent="0.2">
      <c r="AF248" s="12"/>
    </row>
    <row r="249" spans="32:32" x14ac:dyDescent="0.2">
      <c r="AF249" s="12"/>
    </row>
    <row r="250" spans="32:32" x14ac:dyDescent="0.2">
      <c r="AF250" s="12"/>
    </row>
    <row r="251" spans="32:32" x14ac:dyDescent="0.2">
      <c r="AF251" s="12"/>
    </row>
    <row r="252" spans="32:32" x14ac:dyDescent="0.2">
      <c r="AF252" s="12"/>
    </row>
    <row r="253" spans="32:32" x14ac:dyDescent="0.2">
      <c r="AF253" s="12"/>
    </row>
    <row r="254" spans="32:32" x14ac:dyDescent="0.2">
      <c r="AF254" s="12"/>
    </row>
    <row r="255" spans="32:32" x14ac:dyDescent="0.2">
      <c r="AF255" s="12"/>
    </row>
    <row r="256" spans="32:32" x14ac:dyDescent="0.2">
      <c r="AF256" s="12"/>
    </row>
    <row r="257" spans="32:32" x14ac:dyDescent="0.2">
      <c r="AF257" s="12"/>
    </row>
    <row r="258" spans="32:32" x14ac:dyDescent="0.2">
      <c r="AF258" s="12"/>
    </row>
    <row r="259" spans="32:32" x14ac:dyDescent="0.2">
      <c r="AF259" s="12"/>
    </row>
    <row r="260" spans="32:32" x14ac:dyDescent="0.2">
      <c r="AF260" s="12"/>
    </row>
    <row r="261" spans="32:32" x14ac:dyDescent="0.2">
      <c r="AF261" s="12"/>
    </row>
    <row r="262" spans="32:32" x14ac:dyDescent="0.2">
      <c r="AF262" s="12"/>
    </row>
    <row r="263" spans="32:32" x14ac:dyDescent="0.2">
      <c r="AF263" s="12"/>
    </row>
    <row r="264" spans="32:32" x14ac:dyDescent="0.2">
      <c r="AF264" s="12"/>
    </row>
    <row r="265" spans="32:32" x14ac:dyDescent="0.2">
      <c r="AF265" s="12"/>
    </row>
    <row r="266" spans="32:32" x14ac:dyDescent="0.2">
      <c r="AF266" s="12"/>
    </row>
    <row r="267" spans="32:32" x14ac:dyDescent="0.2">
      <c r="AF267" s="12"/>
    </row>
    <row r="268" spans="32:32" x14ac:dyDescent="0.2">
      <c r="AF268" s="12"/>
    </row>
    <row r="269" spans="32:32" x14ac:dyDescent="0.2">
      <c r="AF269" s="12"/>
    </row>
    <row r="270" spans="32:32" x14ac:dyDescent="0.2">
      <c r="AF270" s="12"/>
    </row>
    <row r="271" spans="32:32" x14ac:dyDescent="0.2">
      <c r="AF271" s="12"/>
    </row>
    <row r="272" spans="32:32" x14ac:dyDescent="0.2">
      <c r="AF272" s="12"/>
    </row>
    <row r="273" spans="32:32" x14ac:dyDescent="0.2">
      <c r="AF273" s="12"/>
    </row>
    <row r="274" spans="32:32" x14ac:dyDescent="0.2">
      <c r="AF274" s="12"/>
    </row>
    <row r="275" spans="32:32" x14ac:dyDescent="0.2">
      <c r="AF275" s="12"/>
    </row>
    <row r="276" spans="32:32" x14ac:dyDescent="0.2">
      <c r="AF276" s="12"/>
    </row>
    <row r="277" spans="32:32" x14ac:dyDescent="0.2">
      <c r="AF277" s="12"/>
    </row>
    <row r="278" spans="32:32" x14ac:dyDescent="0.2">
      <c r="AF278" s="12"/>
    </row>
    <row r="279" spans="32:32" x14ac:dyDescent="0.2">
      <c r="AF279" s="12"/>
    </row>
    <row r="280" spans="32:32" x14ac:dyDescent="0.2">
      <c r="AF280" s="12"/>
    </row>
    <row r="281" spans="32:32" x14ac:dyDescent="0.2">
      <c r="AF281" s="12"/>
    </row>
    <row r="282" spans="32:32" x14ac:dyDescent="0.2">
      <c r="AF282" s="12"/>
    </row>
    <row r="283" spans="32:32" x14ac:dyDescent="0.2">
      <c r="AF283" s="12"/>
    </row>
    <row r="284" spans="32:32" x14ac:dyDescent="0.2">
      <c r="AF284" s="12"/>
    </row>
    <row r="285" spans="32:32" x14ac:dyDescent="0.2">
      <c r="AF285" s="12"/>
    </row>
    <row r="286" spans="32:32" x14ac:dyDescent="0.2">
      <c r="AF286" s="12"/>
    </row>
    <row r="287" spans="32:32" x14ac:dyDescent="0.2">
      <c r="AF287" s="12"/>
    </row>
    <row r="288" spans="32:32" x14ac:dyDescent="0.2">
      <c r="AF288" s="12"/>
    </row>
    <row r="289" spans="32:32" x14ac:dyDescent="0.2">
      <c r="AF289" s="12"/>
    </row>
    <row r="290" spans="32:32" x14ac:dyDescent="0.2">
      <c r="AF290" s="12"/>
    </row>
    <row r="291" spans="32:32" x14ac:dyDescent="0.2">
      <c r="AF291" s="12"/>
    </row>
    <row r="292" spans="32:32" x14ac:dyDescent="0.2">
      <c r="AF292" s="12"/>
    </row>
    <row r="293" spans="32:32" x14ac:dyDescent="0.2">
      <c r="AF293" s="12"/>
    </row>
    <row r="294" spans="32:32" x14ac:dyDescent="0.2">
      <c r="AF294" s="12"/>
    </row>
    <row r="295" spans="32:32" x14ac:dyDescent="0.2">
      <c r="AF295" s="12"/>
    </row>
    <row r="296" spans="32:32" x14ac:dyDescent="0.2">
      <c r="AF296" s="12"/>
    </row>
    <row r="297" spans="32:32" x14ac:dyDescent="0.2">
      <c r="AF297" s="12"/>
    </row>
    <row r="298" spans="32:32" x14ac:dyDescent="0.2">
      <c r="AF298" s="12"/>
    </row>
    <row r="299" spans="32:32" x14ac:dyDescent="0.2">
      <c r="AF299" s="12"/>
    </row>
    <row r="300" spans="32:32" x14ac:dyDescent="0.2">
      <c r="AF300" s="12"/>
    </row>
    <row r="301" spans="32:32" x14ac:dyDescent="0.2">
      <c r="AF301" s="12"/>
    </row>
    <row r="302" spans="32:32" x14ac:dyDescent="0.2">
      <c r="AF302" s="12"/>
    </row>
    <row r="303" spans="32:32" x14ac:dyDescent="0.2">
      <c r="AF303" s="12"/>
    </row>
    <row r="304" spans="32:32" x14ac:dyDescent="0.2">
      <c r="AF304" s="12"/>
    </row>
    <row r="305" spans="32:32" x14ac:dyDescent="0.2">
      <c r="AF305" s="12"/>
    </row>
    <row r="306" spans="32:32" x14ac:dyDescent="0.2">
      <c r="AF306" s="12"/>
    </row>
    <row r="307" spans="32:32" x14ac:dyDescent="0.2">
      <c r="AF307" s="12"/>
    </row>
    <row r="308" spans="32:32" x14ac:dyDescent="0.2">
      <c r="AF308" s="12"/>
    </row>
    <row r="309" spans="32:32" x14ac:dyDescent="0.2">
      <c r="AF309" s="12"/>
    </row>
    <row r="310" spans="32:32" x14ac:dyDescent="0.2">
      <c r="AF310" s="12"/>
    </row>
    <row r="311" spans="32:32" x14ac:dyDescent="0.2">
      <c r="AF311" s="12"/>
    </row>
    <row r="312" spans="32:32" x14ac:dyDescent="0.2">
      <c r="AF312" s="12"/>
    </row>
    <row r="313" spans="32:32" x14ac:dyDescent="0.2">
      <c r="AF313" s="12"/>
    </row>
    <row r="314" spans="32:32" x14ac:dyDescent="0.2">
      <c r="AF314" s="12"/>
    </row>
    <row r="315" spans="32:32" x14ac:dyDescent="0.2">
      <c r="AF315" s="12"/>
    </row>
    <row r="316" spans="32:32" x14ac:dyDescent="0.2">
      <c r="AF316" s="12"/>
    </row>
    <row r="317" spans="32:32" x14ac:dyDescent="0.2">
      <c r="AF317" s="12"/>
    </row>
    <row r="318" spans="32:32" x14ac:dyDescent="0.2">
      <c r="AF318" s="12"/>
    </row>
    <row r="319" spans="32:32" x14ac:dyDescent="0.2">
      <c r="AF319" s="12"/>
    </row>
    <row r="320" spans="32:32" x14ac:dyDescent="0.2">
      <c r="AF320" s="12"/>
    </row>
    <row r="321" spans="32:32" x14ac:dyDescent="0.2">
      <c r="AF321" s="12"/>
    </row>
    <row r="322" spans="32:32" x14ac:dyDescent="0.2">
      <c r="AF322" s="12"/>
    </row>
    <row r="323" spans="32:32" x14ac:dyDescent="0.2">
      <c r="AF323" s="12"/>
    </row>
    <row r="324" spans="32:32" x14ac:dyDescent="0.2">
      <c r="AF324" s="12"/>
    </row>
    <row r="325" spans="32:32" x14ac:dyDescent="0.2">
      <c r="AF325" s="12"/>
    </row>
    <row r="326" spans="32:32" x14ac:dyDescent="0.2">
      <c r="AF326" s="12"/>
    </row>
    <row r="327" spans="32:32" x14ac:dyDescent="0.2">
      <c r="AF327" s="12"/>
    </row>
    <row r="328" spans="32:32" x14ac:dyDescent="0.2">
      <c r="AF328" s="12"/>
    </row>
    <row r="329" spans="32:32" x14ac:dyDescent="0.2">
      <c r="AF329" s="12"/>
    </row>
    <row r="330" spans="32:32" x14ac:dyDescent="0.2">
      <c r="AF330" s="12"/>
    </row>
    <row r="331" spans="32:32" x14ac:dyDescent="0.2">
      <c r="AF331" s="12"/>
    </row>
    <row r="332" spans="32:32" x14ac:dyDescent="0.2">
      <c r="AF332" s="12"/>
    </row>
    <row r="333" spans="32:32" x14ac:dyDescent="0.2">
      <c r="AF333" s="12"/>
    </row>
    <row r="334" spans="32:32" x14ac:dyDescent="0.2">
      <c r="AF334" s="12"/>
    </row>
    <row r="335" spans="32:32" x14ac:dyDescent="0.2">
      <c r="AF335" s="12"/>
    </row>
    <row r="336" spans="32:32" x14ac:dyDescent="0.2">
      <c r="AF336" s="12"/>
    </row>
    <row r="337" spans="32:32" x14ac:dyDescent="0.2">
      <c r="AF337" s="12"/>
    </row>
    <row r="338" spans="32:32" x14ac:dyDescent="0.2">
      <c r="AF338" s="12"/>
    </row>
    <row r="339" spans="32:32" x14ac:dyDescent="0.2">
      <c r="AF339" s="12"/>
    </row>
    <row r="340" spans="32:32" x14ac:dyDescent="0.2">
      <c r="AF340" s="12"/>
    </row>
    <row r="341" spans="32:32" x14ac:dyDescent="0.2">
      <c r="AF341" s="12"/>
    </row>
    <row r="342" spans="32:32" x14ac:dyDescent="0.2">
      <c r="AF342" s="12"/>
    </row>
    <row r="343" spans="32:32" x14ac:dyDescent="0.2">
      <c r="AF343" s="12"/>
    </row>
    <row r="344" spans="32:32" x14ac:dyDescent="0.2">
      <c r="AF344" s="12"/>
    </row>
    <row r="345" spans="32:32" x14ac:dyDescent="0.2">
      <c r="AF345" s="12"/>
    </row>
    <row r="346" spans="32:32" x14ac:dyDescent="0.2">
      <c r="AF346" s="12"/>
    </row>
    <row r="347" spans="32:32" x14ac:dyDescent="0.2">
      <c r="AF347" s="12"/>
    </row>
    <row r="348" spans="32:32" x14ac:dyDescent="0.2">
      <c r="AF348" s="12"/>
    </row>
    <row r="349" spans="32:32" x14ac:dyDescent="0.2">
      <c r="AF349" s="12"/>
    </row>
    <row r="350" spans="32:32" x14ac:dyDescent="0.2">
      <c r="AF350" s="12"/>
    </row>
    <row r="351" spans="32:32" x14ac:dyDescent="0.2">
      <c r="AF351" s="12"/>
    </row>
    <row r="352" spans="32:32" x14ac:dyDescent="0.2">
      <c r="AF352" s="12"/>
    </row>
    <row r="353" spans="32:32" x14ac:dyDescent="0.2">
      <c r="AF353" s="12"/>
    </row>
    <row r="354" spans="32:32" x14ac:dyDescent="0.2">
      <c r="AF354" s="12"/>
    </row>
    <row r="355" spans="32:32" x14ac:dyDescent="0.2">
      <c r="AF355" s="12"/>
    </row>
    <row r="356" spans="32:32" x14ac:dyDescent="0.2">
      <c r="AF356" s="12"/>
    </row>
    <row r="357" spans="32:32" x14ac:dyDescent="0.2">
      <c r="AF357" s="12"/>
    </row>
    <row r="358" spans="32:32" x14ac:dyDescent="0.2">
      <c r="AF358" s="12"/>
    </row>
    <row r="359" spans="32:32" x14ac:dyDescent="0.2">
      <c r="AF359" s="12"/>
    </row>
    <row r="360" spans="32:32" x14ac:dyDescent="0.2">
      <c r="AF360" s="12"/>
    </row>
    <row r="361" spans="32:32" x14ac:dyDescent="0.2">
      <c r="AF361" s="12"/>
    </row>
    <row r="362" spans="32:32" x14ac:dyDescent="0.2">
      <c r="AF362" s="12"/>
    </row>
    <row r="363" spans="32:32" x14ac:dyDescent="0.2">
      <c r="AF363" s="12"/>
    </row>
    <row r="364" spans="32:32" x14ac:dyDescent="0.2">
      <c r="AF364" s="12"/>
    </row>
    <row r="365" spans="32:32" x14ac:dyDescent="0.2">
      <c r="AF365" s="12"/>
    </row>
    <row r="366" spans="32:32" x14ac:dyDescent="0.2">
      <c r="AF366" s="12"/>
    </row>
    <row r="367" spans="32:32" x14ac:dyDescent="0.2">
      <c r="AF367" s="12"/>
    </row>
    <row r="368" spans="32:32" x14ac:dyDescent="0.2">
      <c r="AF368" s="12"/>
    </row>
    <row r="369" spans="32:32" x14ac:dyDescent="0.2">
      <c r="AF369" s="12"/>
    </row>
    <row r="370" spans="32:32" x14ac:dyDescent="0.2">
      <c r="AF370" s="12"/>
    </row>
    <row r="371" spans="32:32" x14ac:dyDescent="0.2">
      <c r="AF371" s="12"/>
    </row>
    <row r="372" spans="32:32" x14ac:dyDescent="0.2">
      <c r="AF372" s="12"/>
    </row>
    <row r="373" spans="32:32" x14ac:dyDescent="0.2">
      <c r="AF373" s="12"/>
    </row>
    <row r="374" spans="32:32" x14ac:dyDescent="0.2">
      <c r="AF374" s="12"/>
    </row>
    <row r="375" spans="32:32" x14ac:dyDescent="0.2">
      <c r="AF375" s="12"/>
    </row>
    <row r="376" spans="32:32" x14ac:dyDescent="0.2">
      <c r="AF376" s="12"/>
    </row>
    <row r="377" spans="32:32" x14ac:dyDescent="0.2">
      <c r="AF377" s="12"/>
    </row>
    <row r="378" spans="32:32" x14ac:dyDescent="0.2">
      <c r="AF378" s="12"/>
    </row>
    <row r="379" spans="32:32" x14ac:dyDescent="0.2">
      <c r="AF379" s="12"/>
    </row>
    <row r="380" spans="32:32" x14ac:dyDescent="0.2">
      <c r="AF380" s="12"/>
    </row>
    <row r="381" spans="32:32" x14ac:dyDescent="0.2">
      <c r="AF381" s="12"/>
    </row>
    <row r="382" spans="32:32" x14ac:dyDescent="0.2">
      <c r="AF382" s="12"/>
    </row>
    <row r="383" spans="32:32" x14ac:dyDescent="0.2">
      <c r="AF383" s="12"/>
    </row>
    <row r="384" spans="32:32" x14ac:dyDescent="0.2">
      <c r="AF384" s="12"/>
    </row>
    <row r="385" spans="32:32" x14ac:dyDescent="0.2">
      <c r="AF385" s="12"/>
    </row>
    <row r="386" spans="32:32" x14ac:dyDescent="0.2">
      <c r="AF386" s="12"/>
    </row>
    <row r="387" spans="32:32" x14ac:dyDescent="0.2">
      <c r="AF387" s="12"/>
    </row>
    <row r="388" spans="32:32" x14ac:dyDescent="0.2">
      <c r="AF388" s="12"/>
    </row>
    <row r="389" spans="32:32" x14ac:dyDescent="0.2">
      <c r="AF389" s="12"/>
    </row>
    <row r="390" spans="32:32" x14ac:dyDescent="0.2">
      <c r="AF390" s="12"/>
    </row>
    <row r="391" spans="32:32" x14ac:dyDescent="0.2">
      <c r="AF391" s="12"/>
    </row>
    <row r="392" spans="32:32" x14ac:dyDescent="0.2">
      <c r="AF392" s="12"/>
    </row>
    <row r="393" spans="32:32" x14ac:dyDescent="0.2">
      <c r="AF393" s="12"/>
    </row>
    <row r="394" spans="32:32" x14ac:dyDescent="0.2">
      <c r="AF394" s="12"/>
    </row>
    <row r="395" spans="32:32" x14ac:dyDescent="0.2">
      <c r="AF395" s="12"/>
    </row>
    <row r="396" spans="32:32" x14ac:dyDescent="0.2">
      <c r="AF396" s="12"/>
    </row>
    <row r="397" spans="32:32" x14ac:dyDescent="0.2">
      <c r="AF397" s="12"/>
    </row>
    <row r="398" spans="32:32" x14ac:dyDescent="0.2">
      <c r="AF398" s="12"/>
    </row>
    <row r="399" spans="32:32" x14ac:dyDescent="0.2">
      <c r="AF399" s="12"/>
    </row>
    <row r="400" spans="32:32" x14ac:dyDescent="0.2">
      <c r="AF400" s="12"/>
    </row>
    <row r="401" spans="32:32" x14ac:dyDescent="0.2">
      <c r="AF401" s="12"/>
    </row>
    <row r="402" spans="32:32" x14ac:dyDescent="0.2">
      <c r="AF402" s="12"/>
    </row>
    <row r="403" spans="32:32" x14ac:dyDescent="0.2">
      <c r="AF403" s="12"/>
    </row>
    <row r="404" spans="32:32" x14ac:dyDescent="0.2">
      <c r="AF404" s="12"/>
    </row>
    <row r="405" spans="32:32" x14ac:dyDescent="0.2">
      <c r="AF405" s="12"/>
    </row>
    <row r="406" spans="32:32" x14ac:dyDescent="0.2">
      <c r="AF406" s="12"/>
    </row>
    <row r="407" spans="32:32" x14ac:dyDescent="0.2">
      <c r="AF407" s="12"/>
    </row>
    <row r="408" spans="32:32" x14ac:dyDescent="0.2">
      <c r="AF408" s="12"/>
    </row>
    <row r="409" spans="32:32" x14ac:dyDescent="0.2">
      <c r="AF409" s="12"/>
    </row>
    <row r="410" spans="32:32" x14ac:dyDescent="0.2">
      <c r="AF410" s="12"/>
    </row>
    <row r="411" spans="32:32" x14ac:dyDescent="0.2">
      <c r="AF411" s="12"/>
    </row>
    <row r="412" spans="32:32" x14ac:dyDescent="0.2">
      <c r="AF412" s="12"/>
    </row>
    <row r="413" spans="32:32" x14ac:dyDescent="0.2">
      <c r="AF413" s="12"/>
    </row>
    <row r="414" spans="32:32" x14ac:dyDescent="0.2">
      <c r="AF414" s="12"/>
    </row>
    <row r="415" spans="32:32" x14ac:dyDescent="0.2">
      <c r="AF415" s="12"/>
    </row>
    <row r="416" spans="32:32" x14ac:dyDescent="0.2">
      <c r="AF416" s="12"/>
    </row>
    <row r="417" spans="32:32" x14ac:dyDescent="0.2">
      <c r="AF417" s="12"/>
    </row>
    <row r="418" spans="32:32" x14ac:dyDescent="0.2">
      <c r="AF418" s="12"/>
    </row>
    <row r="419" spans="32:32" x14ac:dyDescent="0.2">
      <c r="AF419" s="12"/>
    </row>
    <row r="420" spans="32:32" x14ac:dyDescent="0.2">
      <c r="AF420" s="12"/>
    </row>
    <row r="421" spans="32:32" x14ac:dyDescent="0.2">
      <c r="AF421" s="12"/>
    </row>
    <row r="422" spans="32:32" x14ac:dyDescent="0.2">
      <c r="AF422" s="12"/>
    </row>
    <row r="423" spans="32:32" x14ac:dyDescent="0.2">
      <c r="AF423" s="12"/>
    </row>
    <row r="424" spans="32:32" x14ac:dyDescent="0.2">
      <c r="AF424" s="12"/>
    </row>
    <row r="425" spans="32:32" x14ac:dyDescent="0.2">
      <c r="AF425" s="12"/>
    </row>
    <row r="426" spans="32:32" x14ac:dyDescent="0.2">
      <c r="AF426" s="12"/>
    </row>
    <row r="427" spans="32:32" x14ac:dyDescent="0.2">
      <c r="AF427" s="12"/>
    </row>
    <row r="428" spans="32:32" x14ac:dyDescent="0.2">
      <c r="AF428" s="12"/>
    </row>
    <row r="429" spans="32:32" x14ac:dyDescent="0.2">
      <c r="AF429" s="12"/>
    </row>
    <row r="430" spans="32:32" x14ac:dyDescent="0.2">
      <c r="AF430" s="12"/>
    </row>
    <row r="431" spans="32:32" x14ac:dyDescent="0.2">
      <c r="AF431" s="12"/>
    </row>
    <row r="432" spans="32:32" x14ac:dyDescent="0.2">
      <c r="AF432" s="12"/>
    </row>
    <row r="433" spans="32:32" x14ac:dyDescent="0.2">
      <c r="AF433" s="12"/>
    </row>
    <row r="434" spans="32:32" x14ac:dyDescent="0.2">
      <c r="AF434" s="12"/>
    </row>
    <row r="435" spans="32:32" x14ac:dyDescent="0.2">
      <c r="AF435" s="12"/>
    </row>
    <row r="436" spans="32:32" x14ac:dyDescent="0.2">
      <c r="AF436" s="12"/>
    </row>
    <row r="437" spans="32:32" x14ac:dyDescent="0.2">
      <c r="AF437" s="12"/>
    </row>
    <row r="438" spans="32:32" x14ac:dyDescent="0.2">
      <c r="AF438" s="12"/>
    </row>
    <row r="439" spans="32:32" x14ac:dyDescent="0.2">
      <c r="AF439" s="12"/>
    </row>
    <row r="440" spans="32:32" x14ac:dyDescent="0.2">
      <c r="AF440" s="12"/>
    </row>
    <row r="441" spans="32:32" x14ac:dyDescent="0.2">
      <c r="AF441" s="12"/>
    </row>
    <row r="442" spans="32:32" x14ac:dyDescent="0.2">
      <c r="AF442" s="12"/>
    </row>
    <row r="443" spans="32:32" x14ac:dyDescent="0.2">
      <c r="AF443" s="12"/>
    </row>
    <row r="444" spans="32:32" x14ac:dyDescent="0.2">
      <c r="AF444" s="12"/>
    </row>
    <row r="445" spans="32:32" x14ac:dyDescent="0.2">
      <c r="AF445" s="12"/>
    </row>
    <row r="446" spans="32:32" x14ac:dyDescent="0.2">
      <c r="AF446" s="12"/>
    </row>
    <row r="447" spans="32:32" x14ac:dyDescent="0.2">
      <c r="AF447" s="12"/>
    </row>
    <row r="448" spans="32:32" x14ac:dyDescent="0.2">
      <c r="AF448" s="12"/>
    </row>
    <row r="449" spans="32:32" x14ac:dyDescent="0.2">
      <c r="AF449" s="12"/>
    </row>
    <row r="450" spans="32:32" x14ac:dyDescent="0.2">
      <c r="AF450" s="12"/>
    </row>
    <row r="451" spans="32:32" x14ac:dyDescent="0.2">
      <c r="AF451" s="12"/>
    </row>
    <row r="452" spans="32:32" x14ac:dyDescent="0.2">
      <c r="AF452" s="12"/>
    </row>
    <row r="453" spans="32:32" x14ac:dyDescent="0.2">
      <c r="AF453" s="12"/>
    </row>
    <row r="454" spans="32:32" x14ac:dyDescent="0.2">
      <c r="AF454" s="12"/>
    </row>
    <row r="455" spans="32:32" x14ac:dyDescent="0.2">
      <c r="AF455" s="12"/>
    </row>
    <row r="456" spans="32:32" x14ac:dyDescent="0.2">
      <c r="AF456" s="12"/>
    </row>
    <row r="457" spans="32:32" x14ac:dyDescent="0.2">
      <c r="AF457" s="12"/>
    </row>
    <row r="458" spans="32:32" x14ac:dyDescent="0.2">
      <c r="AF458" s="12"/>
    </row>
    <row r="459" spans="32:32" x14ac:dyDescent="0.2">
      <c r="AF459" s="12"/>
    </row>
    <row r="460" spans="32:32" x14ac:dyDescent="0.2">
      <c r="AF460" s="12"/>
    </row>
    <row r="461" spans="32:32" x14ac:dyDescent="0.2">
      <c r="AF461" s="12"/>
    </row>
    <row r="462" spans="32:32" x14ac:dyDescent="0.2">
      <c r="AF462" s="12"/>
    </row>
    <row r="463" spans="32:32" x14ac:dyDescent="0.2">
      <c r="AF463" s="12"/>
    </row>
    <row r="464" spans="32:32" x14ac:dyDescent="0.2">
      <c r="AF464" s="12"/>
    </row>
    <row r="465" spans="32:32" x14ac:dyDescent="0.2">
      <c r="AF465" s="12"/>
    </row>
    <row r="466" spans="32:32" x14ac:dyDescent="0.2">
      <c r="AF466" s="12"/>
    </row>
    <row r="467" spans="32:32" x14ac:dyDescent="0.2">
      <c r="AF467" s="12"/>
    </row>
    <row r="468" spans="32:32" x14ac:dyDescent="0.2">
      <c r="AF468" s="12"/>
    </row>
    <row r="469" spans="32:32" x14ac:dyDescent="0.2">
      <c r="AF469" s="12"/>
    </row>
    <row r="470" spans="32:32" x14ac:dyDescent="0.2">
      <c r="AF470" s="12"/>
    </row>
    <row r="471" spans="32:32" x14ac:dyDescent="0.2">
      <c r="AF471" s="12"/>
    </row>
    <row r="472" spans="32:32" x14ac:dyDescent="0.2">
      <c r="AF472" s="12"/>
    </row>
    <row r="473" spans="32:32" x14ac:dyDescent="0.2">
      <c r="AF473" s="12"/>
    </row>
    <row r="474" spans="32:32" x14ac:dyDescent="0.2">
      <c r="AF474" s="12"/>
    </row>
    <row r="475" spans="32:32" x14ac:dyDescent="0.2">
      <c r="AF475" s="12"/>
    </row>
    <row r="476" spans="32:32" x14ac:dyDescent="0.2">
      <c r="AF476" s="12"/>
    </row>
    <row r="477" spans="32:32" x14ac:dyDescent="0.2">
      <c r="AF477" s="12"/>
    </row>
    <row r="478" spans="32:32" x14ac:dyDescent="0.2">
      <c r="AF478" s="12"/>
    </row>
    <row r="479" spans="32:32" x14ac:dyDescent="0.2">
      <c r="AF479" s="12"/>
    </row>
    <row r="480" spans="32:32" x14ac:dyDescent="0.2">
      <c r="AF480" s="12"/>
    </row>
    <row r="481" spans="32:32" x14ac:dyDescent="0.2">
      <c r="AF481" s="12"/>
    </row>
    <row r="482" spans="32:32" x14ac:dyDescent="0.2">
      <c r="AF482" s="12"/>
    </row>
    <row r="483" spans="32:32" x14ac:dyDescent="0.2">
      <c r="AF483" s="12"/>
    </row>
    <row r="484" spans="32:32" x14ac:dyDescent="0.2">
      <c r="AF484" s="12"/>
    </row>
    <row r="485" spans="32:32" x14ac:dyDescent="0.2">
      <c r="AF485" s="12"/>
    </row>
    <row r="486" spans="32:32" x14ac:dyDescent="0.2">
      <c r="AF486" s="12"/>
    </row>
    <row r="487" spans="32:32" x14ac:dyDescent="0.2">
      <c r="AF487" s="12"/>
    </row>
    <row r="488" spans="32:32" x14ac:dyDescent="0.2">
      <c r="AF488" s="12"/>
    </row>
    <row r="489" spans="32:32" x14ac:dyDescent="0.2">
      <c r="AF489" s="12"/>
    </row>
    <row r="490" spans="32:32" x14ac:dyDescent="0.2">
      <c r="AF490" s="12"/>
    </row>
    <row r="491" spans="32:32" x14ac:dyDescent="0.2">
      <c r="AF491" s="12"/>
    </row>
    <row r="492" spans="32:32" x14ac:dyDescent="0.2">
      <c r="AF492" s="12"/>
    </row>
    <row r="493" spans="32:32" x14ac:dyDescent="0.2">
      <c r="AF493" s="12"/>
    </row>
    <row r="494" spans="32:32" x14ac:dyDescent="0.2">
      <c r="AF494" s="12"/>
    </row>
    <row r="495" spans="32:32" x14ac:dyDescent="0.2">
      <c r="AF495" s="12"/>
    </row>
    <row r="496" spans="32:32" x14ac:dyDescent="0.2">
      <c r="AF496" s="12"/>
    </row>
    <row r="497" spans="32:32" x14ac:dyDescent="0.2">
      <c r="AF497" s="12"/>
    </row>
    <row r="498" spans="32:32" x14ac:dyDescent="0.2">
      <c r="AF498" s="12"/>
    </row>
    <row r="499" spans="32:32" x14ac:dyDescent="0.2">
      <c r="AF499" s="12"/>
    </row>
    <row r="500" spans="32:32" x14ac:dyDescent="0.2">
      <c r="AF500" s="12"/>
    </row>
    <row r="501" spans="32:32" x14ac:dyDescent="0.2">
      <c r="AF501" s="12"/>
    </row>
    <row r="502" spans="32:32" x14ac:dyDescent="0.2">
      <c r="AF502" s="12"/>
    </row>
    <row r="503" spans="32:32" x14ac:dyDescent="0.2">
      <c r="AF503" s="12"/>
    </row>
    <row r="504" spans="32:32" x14ac:dyDescent="0.2">
      <c r="AF504" s="12"/>
    </row>
    <row r="505" spans="32:32" x14ac:dyDescent="0.2">
      <c r="AF505" s="12"/>
    </row>
    <row r="506" spans="32:32" x14ac:dyDescent="0.2">
      <c r="AF506" s="12"/>
    </row>
    <row r="507" spans="32:32" x14ac:dyDescent="0.2">
      <c r="AF507" s="12"/>
    </row>
    <row r="508" spans="32:32" x14ac:dyDescent="0.2">
      <c r="AF508" s="12"/>
    </row>
    <row r="509" spans="32:32" x14ac:dyDescent="0.2">
      <c r="AF509" s="12"/>
    </row>
    <row r="510" spans="32:32" x14ac:dyDescent="0.2">
      <c r="AF510" s="12"/>
    </row>
    <row r="511" spans="32:32" x14ac:dyDescent="0.2">
      <c r="AF511" s="12"/>
    </row>
    <row r="512" spans="32:32" x14ac:dyDescent="0.2">
      <c r="AF512" s="12"/>
    </row>
    <row r="513" spans="32:32" x14ac:dyDescent="0.2">
      <c r="AF513" s="12"/>
    </row>
    <row r="514" spans="32:32" x14ac:dyDescent="0.2">
      <c r="AF514" s="12"/>
    </row>
    <row r="515" spans="32:32" x14ac:dyDescent="0.2">
      <c r="AF515" s="12"/>
    </row>
    <row r="516" spans="32:32" x14ac:dyDescent="0.2">
      <c r="AF516" s="12"/>
    </row>
    <row r="517" spans="32:32" x14ac:dyDescent="0.2">
      <c r="AF517" s="12"/>
    </row>
    <row r="518" spans="32:32" x14ac:dyDescent="0.2">
      <c r="AF518" s="12"/>
    </row>
    <row r="519" spans="32:32" x14ac:dyDescent="0.2">
      <c r="AF519" s="12"/>
    </row>
    <row r="520" spans="32:32" x14ac:dyDescent="0.2">
      <c r="AF520" s="12"/>
    </row>
    <row r="521" spans="32:32" x14ac:dyDescent="0.2">
      <c r="AF521" s="12"/>
    </row>
    <row r="522" spans="32:32" x14ac:dyDescent="0.2">
      <c r="AF522" s="12"/>
    </row>
    <row r="523" spans="32:32" x14ac:dyDescent="0.2">
      <c r="AF523" s="12"/>
    </row>
    <row r="524" spans="32:32" x14ac:dyDescent="0.2">
      <c r="AF524" s="12"/>
    </row>
    <row r="525" spans="32:32" x14ac:dyDescent="0.2">
      <c r="AF525" s="12"/>
    </row>
    <row r="526" spans="32:32" x14ac:dyDescent="0.2">
      <c r="AF526" s="12"/>
    </row>
    <row r="527" spans="32:32" x14ac:dyDescent="0.2">
      <c r="AF527" s="12"/>
    </row>
    <row r="528" spans="32:32" x14ac:dyDescent="0.2">
      <c r="AF528" s="12"/>
    </row>
    <row r="529" spans="32:32" x14ac:dyDescent="0.2">
      <c r="AF529" s="12"/>
    </row>
    <row r="530" spans="32:32" x14ac:dyDescent="0.2">
      <c r="AF530" s="12"/>
    </row>
    <row r="531" spans="32:32" x14ac:dyDescent="0.2">
      <c r="AF531" s="12"/>
    </row>
    <row r="532" spans="32:32" x14ac:dyDescent="0.2">
      <c r="AF532" s="12"/>
    </row>
    <row r="533" spans="32:32" x14ac:dyDescent="0.2">
      <c r="AF533" s="12"/>
    </row>
    <row r="534" spans="32:32" x14ac:dyDescent="0.2">
      <c r="AF534" s="12"/>
    </row>
    <row r="535" spans="32:32" x14ac:dyDescent="0.2">
      <c r="AF535" s="12"/>
    </row>
    <row r="536" spans="32:32" x14ac:dyDescent="0.2">
      <c r="AF536" s="12"/>
    </row>
    <row r="537" spans="32:32" x14ac:dyDescent="0.2">
      <c r="AF537" s="12"/>
    </row>
    <row r="538" spans="32:32" x14ac:dyDescent="0.2">
      <c r="AF538" s="12"/>
    </row>
    <row r="539" spans="32:32" x14ac:dyDescent="0.2">
      <c r="AF539" s="12"/>
    </row>
    <row r="540" spans="32:32" x14ac:dyDescent="0.2">
      <c r="AF540" s="12"/>
    </row>
    <row r="541" spans="32:32" x14ac:dyDescent="0.2">
      <c r="AF541" s="12"/>
    </row>
    <row r="542" spans="32:32" x14ac:dyDescent="0.2">
      <c r="AF542" s="12"/>
    </row>
    <row r="543" spans="32:32" x14ac:dyDescent="0.2">
      <c r="AF543" s="12"/>
    </row>
    <row r="544" spans="32:32" x14ac:dyDescent="0.2">
      <c r="AF544" s="12"/>
    </row>
    <row r="545" spans="32:32" x14ac:dyDescent="0.2">
      <c r="AF545" s="12"/>
    </row>
    <row r="546" spans="32:32" x14ac:dyDescent="0.2">
      <c r="AF546" s="12"/>
    </row>
    <row r="547" spans="32:32" x14ac:dyDescent="0.2">
      <c r="AF547" s="12"/>
    </row>
    <row r="548" spans="32:32" x14ac:dyDescent="0.2">
      <c r="AF548" s="12"/>
    </row>
    <row r="549" spans="32:32" x14ac:dyDescent="0.2">
      <c r="AF549" s="12"/>
    </row>
    <row r="550" spans="32:32" x14ac:dyDescent="0.2">
      <c r="AF550" s="12"/>
    </row>
    <row r="551" spans="32:32" x14ac:dyDescent="0.2">
      <c r="AF551" s="12"/>
    </row>
    <row r="552" spans="32:32" x14ac:dyDescent="0.2">
      <c r="AF552" s="12"/>
    </row>
    <row r="553" spans="32:32" x14ac:dyDescent="0.2">
      <c r="AF553" s="12"/>
    </row>
    <row r="554" spans="32:32" x14ac:dyDescent="0.2">
      <c r="AF554" s="12"/>
    </row>
    <row r="555" spans="32:32" x14ac:dyDescent="0.2">
      <c r="AF555" s="12"/>
    </row>
    <row r="556" spans="32:32" x14ac:dyDescent="0.2">
      <c r="AF556" s="12"/>
    </row>
    <row r="557" spans="32:32" x14ac:dyDescent="0.2">
      <c r="AF557" s="12"/>
    </row>
    <row r="558" spans="32:32" x14ac:dyDescent="0.2">
      <c r="AF558" s="12"/>
    </row>
    <row r="559" spans="32:32" x14ac:dyDescent="0.2">
      <c r="AF559" s="12"/>
    </row>
    <row r="560" spans="32:32" x14ac:dyDescent="0.2">
      <c r="AF560" s="12"/>
    </row>
    <row r="561" spans="32:32" x14ac:dyDescent="0.2">
      <c r="AF561" s="12"/>
    </row>
    <row r="562" spans="32:32" x14ac:dyDescent="0.2">
      <c r="AF562" s="12"/>
    </row>
    <row r="563" spans="32:32" x14ac:dyDescent="0.2">
      <c r="AF563" s="12"/>
    </row>
    <row r="564" spans="32:32" x14ac:dyDescent="0.2">
      <c r="AF564" s="12"/>
    </row>
    <row r="565" spans="32:32" x14ac:dyDescent="0.2">
      <c r="AF565" s="12"/>
    </row>
    <row r="566" spans="32:32" x14ac:dyDescent="0.2">
      <c r="AF566" s="12"/>
    </row>
    <row r="567" spans="32:32" x14ac:dyDescent="0.2">
      <c r="AF567" s="12"/>
    </row>
    <row r="568" spans="32:32" x14ac:dyDescent="0.2">
      <c r="AF568" s="12"/>
    </row>
    <row r="569" spans="32:32" x14ac:dyDescent="0.2">
      <c r="AF569" s="12"/>
    </row>
    <row r="570" spans="32:32" x14ac:dyDescent="0.2">
      <c r="AF570" s="12"/>
    </row>
    <row r="571" spans="32:32" x14ac:dyDescent="0.2">
      <c r="AF571" s="12"/>
    </row>
    <row r="572" spans="32:32" x14ac:dyDescent="0.2">
      <c r="AF572" s="12"/>
    </row>
    <row r="573" spans="32:32" x14ac:dyDescent="0.2">
      <c r="AF573" s="12"/>
    </row>
    <row r="574" spans="32:32" x14ac:dyDescent="0.2">
      <c r="AF574" s="12"/>
    </row>
    <row r="575" spans="32:32" x14ac:dyDescent="0.2">
      <c r="AF575" s="12"/>
    </row>
    <row r="576" spans="32:32" x14ac:dyDescent="0.2">
      <c r="AF576" s="12"/>
    </row>
    <row r="577" spans="32:32" x14ac:dyDescent="0.2">
      <c r="AF577" s="12"/>
    </row>
    <row r="578" spans="32:32" x14ac:dyDescent="0.2">
      <c r="AF578" s="12"/>
    </row>
    <row r="579" spans="32:32" x14ac:dyDescent="0.2">
      <c r="AF579" s="12"/>
    </row>
    <row r="580" spans="32:32" x14ac:dyDescent="0.2">
      <c r="AF580" s="12"/>
    </row>
    <row r="581" spans="32:32" x14ac:dyDescent="0.2">
      <c r="AF581" s="12"/>
    </row>
    <row r="582" spans="32:32" x14ac:dyDescent="0.2">
      <c r="AF582" s="12"/>
    </row>
    <row r="583" spans="32:32" x14ac:dyDescent="0.2">
      <c r="AF583" s="12"/>
    </row>
    <row r="584" spans="32:32" x14ac:dyDescent="0.2">
      <c r="AF584" s="12"/>
    </row>
    <row r="585" spans="32:32" x14ac:dyDescent="0.2">
      <c r="AF585" s="12"/>
    </row>
    <row r="586" spans="32:32" x14ac:dyDescent="0.2">
      <c r="AF586" s="12"/>
    </row>
    <row r="587" spans="32:32" x14ac:dyDescent="0.2">
      <c r="AF587" s="12"/>
    </row>
    <row r="588" spans="32:32" x14ac:dyDescent="0.2">
      <c r="AF588" s="12"/>
    </row>
    <row r="589" spans="32:32" x14ac:dyDescent="0.2">
      <c r="AF589" s="12"/>
    </row>
    <row r="590" spans="32:32" x14ac:dyDescent="0.2">
      <c r="AF590" s="12"/>
    </row>
    <row r="591" spans="32:32" x14ac:dyDescent="0.2">
      <c r="AF591" s="12"/>
    </row>
    <row r="592" spans="32:32" x14ac:dyDescent="0.2">
      <c r="AF592" s="12"/>
    </row>
    <row r="593" spans="32:32" x14ac:dyDescent="0.2">
      <c r="AF593" s="12"/>
    </row>
    <row r="594" spans="32:32" x14ac:dyDescent="0.2">
      <c r="AF594" s="12"/>
    </row>
    <row r="595" spans="32:32" x14ac:dyDescent="0.2">
      <c r="AF595" s="12"/>
    </row>
    <row r="596" spans="32:32" x14ac:dyDescent="0.2">
      <c r="AF596" s="12"/>
    </row>
    <row r="597" spans="32:32" x14ac:dyDescent="0.2">
      <c r="AF597" s="12"/>
    </row>
    <row r="598" spans="32:32" x14ac:dyDescent="0.2">
      <c r="AF598" s="12"/>
    </row>
    <row r="599" spans="32:32" x14ac:dyDescent="0.2">
      <c r="AF599" s="12"/>
    </row>
    <row r="600" spans="32:32" x14ac:dyDescent="0.2">
      <c r="AF600" s="12"/>
    </row>
    <row r="601" spans="32:32" x14ac:dyDescent="0.2">
      <c r="AF601" s="12"/>
    </row>
    <row r="602" spans="32:32" x14ac:dyDescent="0.2">
      <c r="AF602" s="12"/>
    </row>
    <row r="603" spans="32:32" x14ac:dyDescent="0.2">
      <c r="AF603" s="12"/>
    </row>
    <row r="604" spans="32:32" x14ac:dyDescent="0.2">
      <c r="AF604" s="12"/>
    </row>
    <row r="605" spans="32:32" x14ac:dyDescent="0.2">
      <c r="AF605" s="12"/>
    </row>
    <row r="606" spans="32:32" x14ac:dyDescent="0.2">
      <c r="AF606" s="12"/>
    </row>
    <row r="607" spans="32:32" x14ac:dyDescent="0.2">
      <c r="AF607" s="12"/>
    </row>
    <row r="608" spans="32:32" x14ac:dyDescent="0.2">
      <c r="AF608" s="12"/>
    </row>
    <row r="609" spans="32:32" x14ac:dyDescent="0.2">
      <c r="AF609" s="12"/>
    </row>
    <row r="610" spans="32:32" x14ac:dyDescent="0.2">
      <c r="AF610" s="12"/>
    </row>
    <row r="611" spans="32:32" x14ac:dyDescent="0.2">
      <c r="AF611" s="12"/>
    </row>
    <row r="612" spans="32:32" x14ac:dyDescent="0.2">
      <c r="AF612" s="12"/>
    </row>
    <row r="613" spans="32:32" x14ac:dyDescent="0.2">
      <c r="AF613" s="12"/>
    </row>
    <row r="614" spans="32:32" x14ac:dyDescent="0.2">
      <c r="AF614" s="12"/>
    </row>
    <row r="615" spans="32:32" x14ac:dyDescent="0.2">
      <c r="AF615" s="12"/>
    </row>
    <row r="616" spans="32:32" x14ac:dyDescent="0.2">
      <c r="AF616" s="12"/>
    </row>
    <row r="617" spans="32:32" x14ac:dyDescent="0.2">
      <c r="AF617" s="12"/>
    </row>
    <row r="618" spans="32:32" x14ac:dyDescent="0.2">
      <c r="AF618" s="12"/>
    </row>
    <row r="619" spans="32:32" x14ac:dyDescent="0.2">
      <c r="AF619" s="12"/>
    </row>
    <row r="620" spans="32:32" x14ac:dyDescent="0.2">
      <c r="AF620" s="12"/>
    </row>
    <row r="621" spans="32:32" x14ac:dyDescent="0.2">
      <c r="AF621" s="12"/>
    </row>
    <row r="622" spans="32:32" x14ac:dyDescent="0.2">
      <c r="AF622" s="12"/>
    </row>
    <row r="623" spans="32:32" x14ac:dyDescent="0.2">
      <c r="AF623" s="12"/>
    </row>
    <row r="624" spans="32:32" x14ac:dyDescent="0.2">
      <c r="AF624" s="12"/>
    </row>
    <row r="625" spans="32:32" x14ac:dyDescent="0.2">
      <c r="AF625" s="12"/>
    </row>
    <row r="626" spans="32:32" x14ac:dyDescent="0.2">
      <c r="AF626" s="12"/>
    </row>
    <row r="627" spans="32:32" x14ac:dyDescent="0.2">
      <c r="AF627" s="12"/>
    </row>
    <row r="628" spans="32:32" x14ac:dyDescent="0.2">
      <c r="AF628" s="12"/>
    </row>
    <row r="629" spans="32:32" x14ac:dyDescent="0.2">
      <c r="AF629" s="12"/>
    </row>
    <row r="630" spans="32:32" x14ac:dyDescent="0.2">
      <c r="AF630" s="12"/>
    </row>
    <row r="631" spans="32:32" x14ac:dyDescent="0.2">
      <c r="AF631" s="12"/>
    </row>
    <row r="632" spans="32:32" x14ac:dyDescent="0.2">
      <c r="AF632" s="12"/>
    </row>
    <row r="633" spans="32:32" x14ac:dyDescent="0.2">
      <c r="AF633" s="12"/>
    </row>
    <row r="634" spans="32:32" x14ac:dyDescent="0.2">
      <c r="AF634" s="12"/>
    </row>
    <row r="635" spans="32:32" x14ac:dyDescent="0.2">
      <c r="AF635" s="12"/>
    </row>
    <row r="636" spans="32:32" x14ac:dyDescent="0.2">
      <c r="AF636" s="12"/>
    </row>
    <row r="637" spans="32:32" x14ac:dyDescent="0.2">
      <c r="AF637" s="12"/>
    </row>
    <row r="638" spans="32:32" x14ac:dyDescent="0.2">
      <c r="AF638" s="12"/>
    </row>
    <row r="639" spans="32:32" x14ac:dyDescent="0.2">
      <c r="AF639" s="12"/>
    </row>
    <row r="640" spans="32:32" x14ac:dyDescent="0.2">
      <c r="AF640" s="12"/>
    </row>
    <row r="641" spans="32:32" x14ac:dyDescent="0.2">
      <c r="AF641" s="12"/>
    </row>
    <row r="642" spans="32:32" x14ac:dyDescent="0.2">
      <c r="AF642" s="12"/>
    </row>
    <row r="643" spans="32:32" x14ac:dyDescent="0.2">
      <c r="AF643" s="12"/>
    </row>
    <row r="644" spans="32:32" x14ac:dyDescent="0.2">
      <c r="AF644" s="12"/>
    </row>
    <row r="645" spans="32:32" x14ac:dyDescent="0.2">
      <c r="AF645" s="12"/>
    </row>
    <row r="646" spans="32:32" x14ac:dyDescent="0.2">
      <c r="AF646" s="12"/>
    </row>
    <row r="647" spans="32:32" x14ac:dyDescent="0.2">
      <c r="AF647" s="12"/>
    </row>
    <row r="648" spans="32:32" x14ac:dyDescent="0.2">
      <c r="AF648" s="12"/>
    </row>
    <row r="649" spans="32:32" x14ac:dyDescent="0.2">
      <c r="AF649" s="12"/>
    </row>
    <row r="650" spans="32:32" x14ac:dyDescent="0.2">
      <c r="AF650" s="12"/>
    </row>
    <row r="651" spans="32:32" x14ac:dyDescent="0.2">
      <c r="AF651" s="12"/>
    </row>
    <row r="652" spans="32:32" x14ac:dyDescent="0.2">
      <c r="AF652" s="12"/>
    </row>
    <row r="653" spans="32:32" x14ac:dyDescent="0.2">
      <c r="AF653" s="12"/>
    </row>
    <row r="654" spans="32:32" x14ac:dyDescent="0.2">
      <c r="AF654" s="12"/>
    </row>
    <row r="655" spans="32:32" x14ac:dyDescent="0.2">
      <c r="AF655" s="12"/>
    </row>
    <row r="656" spans="32:32" x14ac:dyDescent="0.2">
      <c r="AF656" s="12"/>
    </row>
    <row r="657" spans="32:32" x14ac:dyDescent="0.2">
      <c r="AF657" s="12"/>
    </row>
    <row r="658" spans="32:32" x14ac:dyDescent="0.2">
      <c r="AF658" s="12"/>
    </row>
    <row r="659" spans="32:32" x14ac:dyDescent="0.2">
      <c r="AF659" s="12"/>
    </row>
    <row r="660" spans="32:32" x14ac:dyDescent="0.2">
      <c r="AF660" s="12"/>
    </row>
    <row r="661" spans="32:32" x14ac:dyDescent="0.2">
      <c r="AF661" s="12"/>
    </row>
    <row r="662" spans="32:32" x14ac:dyDescent="0.2">
      <c r="AF662" s="12"/>
    </row>
    <row r="663" spans="32:32" x14ac:dyDescent="0.2">
      <c r="AF663" s="12"/>
    </row>
    <row r="664" spans="32:32" x14ac:dyDescent="0.2">
      <c r="AF664" s="12"/>
    </row>
    <row r="665" spans="32:32" x14ac:dyDescent="0.2">
      <c r="AF665" s="12"/>
    </row>
    <row r="666" spans="32:32" x14ac:dyDescent="0.2">
      <c r="AF666" s="12"/>
    </row>
    <row r="667" spans="32:32" x14ac:dyDescent="0.2">
      <c r="AF667" s="12"/>
    </row>
    <row r="668" spans="32:32" x14ac:dyDescent="0.2">
      <c r="AF668" s="12"/>
    </row>
    <row r="669" spans="32:32" x14ac:dyDescent="0.2">
      <c r="AF669" s="12"/>
    </row>
    <row r="670" spans="32:32" x14ac:dyDescent="0.2">
      <c r="AF670" s="12"/>
    </row>
    <row r="671" spans="32:32" x14ac:dyDescent="0.2">
      <c r="AF671" s="12"/>
    </row>
    <row r="672" spans="32:32" x14ac:dyDescent="0.2">
      <c r="AF672" s="12"/>
    </row>
    <row r="673" spans="32:32" x14ac:dyDescent="0.2">
      <c r="AF673" s="12"/>
    </row>
    <row r="674" spans="32:32" x14ac:dyDescent="0.2">
      <c r="AF674" s="12"/>
    </row>
    <row r="675" spans="32:32" x14ac:dyDescent="0.2">
      <c r="AF675" s="12"/>
    </row>
    <row r="676" spans="32:32" x14ac:dyDescent="0.2">
      <c r="AF676" s="12"/>
    </row>
    <row r="677" spans="32:32" x14ac:dyDescent="0.2">
      <c r="AF677" s="12"/>
    </row>
    <row r="678" spans="32:32" x14ac:dyDescent="0.2">
      <c r="AF678" s="12"/>
    </row>
    <row r="679" spans="32:32" x14ac:dyDescent="0.2">
      <c r="AF679" s="12"/>
    </row>
    <row r="680" spans="32:32" x14ac:dyDescent="0.2">
      <c r="AF680" s="12"/>
    </row>
    <row r="681" spans="32:32" x14ac:dyDescent="0.2">
      <c r="AF681" s="12"/>
    </row>
    <row r="682" spans="32:32" x14ac:dyDescent="0.2">
      <c r="AF682" s="12"/>
    </row>
    <row r="683" spans="32:32" x14ac:dyDescent="0.2">
      <c r="AF683" s="12"/>
    </row>
    <row r="684" spans="32:32" x14ac:dyDescent="0.2">
      <c r="AF684" s="12"/>
    </row>
    <row r="685" spans="32:32" x14ac:dyDescent="0.2">
      <c r="AF685" s="12"/>
    </row>
    <row r="686" spans="32:32" x14ac:dyDescent="0.2">
      <c r="AF686" s="12"/>
    </row>
    <row r="687" spans="32:32" x14ac:dyDescent="0.2">
      <c r="AF687" s="12"/>
    </row>
    <row r="688" spans="32:32" x14ac:dyDescent="0.2">
      <c r="AF688" s="12"/>
    </row>
    <row r="689" spans="32:32" x14ac:dyDescent="0.2">
      <c r="AF689" s="12"/>
    </row>
    <row r="690" spans="32:32" x14ac:dyDescent="0.2">
      <c r="AF690" s="12"/>
    </row>
    <row r="691" spans="32:32" x14ac:dyDescent="0.2">
      <c r="AF691" s="12"/>
    </row>
    <row r="692" spans="32:32" x14ac:dyDescent="0.2">
      <c r="AF692" s="12"/>
    </row>
    <row r="693" spans="32:32" x14ac:dyDescent="0.2">
      <c r="AF693" s="12"/>
    </row>
    <row r="694" spans="32:32" x14ac:dyDescent="0.2">
      <c r="AF694" s="12"/>
    </row>
    <row r="695" spans="32:32" x14ac:dyDescent="0.2">
      <c r="AF695" s="12"/>
    </row>
    <row r="696" spans="32:32" x14ac:dyDescent="0.2">
      <c r="AF696" s="12"/>
    </row>
    <row r="697" spans="32:32" x14ac:dyDescent="0.2">
      <c r="AF697" s="12"/>
    </row>
    <row r="698" spans="32:32" x14ac:dyDescent="0.2">
      <c r="AF698" s="12"/>
    </row>
    <row r="699" spans="32:32" x14ac:dyDescent="0.2">
      <c r="AF699" s="12"/>
    </row>
    <row r="700" spans="32:32" x14ac:dyDescent="0.2">
      <c r="AF700" s="12"/>
    </row>
    <row r="701" spans="32:32" x14ac:dyDescent="0.2">
      <c r="AF701" s="12"/>
    </row>
    <row r="702" spans="32:32" x14ac:dyDescent="0.2">
      <c r="AF702" s="12"/>
    </row>
    <row r="703" spans="32:32" x14ac:dyDescent="0.2">
      <c r="AF703" s="12"/>
    </row>
    <row r="704" spans="32:32" x14ac:dyDescent="0.2">
      <c r="AF704" s="12"/>
    </row>
    <row r="705" spans="32:32" x14ac:dyDescent="0.2">
      <c r="AF705" s="12"/>
    </row>
    <row r="706" spans="32:32" x14ac:dyDescent="0.2">
      <c r="AF706" s="12"/>
    </row>
    <row r="707" spans="32:32" x14ac:dyDescent="0.2">
      <c r="AF707" s="12"/>
    </row>
    <row r="708" spans="32:32" x14ac:dyDescent="0.2">
      <c r="AF708" s="12"/>
    </row>
    <row r="709" spans="32:32" x14ac:dyDescent="0.2">
      <c r="AF709" s="12"/>
    </row>
    <row r="710" spans="32:32" x14ac:dyDescent="0.2">
      <c r="AF710" s="12"/>
    </row>
    <row r="711" spans="32:32" x14ac:dyDescent="0.2">
      <c r="AF711" s="12"/>
    </row>
    <row r="712" spans="32:32" x14ac:dyDescent="0.2">
      <c r="AF712" s="12"/>
    </row>
    <row r="713" spans="32:32" x14ac:dyDescent="0.2">
      <c r="AF713" s="12"/>
    </row>
    <row r="714" spans="32:32" x14ac:dyDescent="0.2">
      <c r="AF714" s="12"/>
    </row>
    <row r="715" spans="32:32" x14ac:dyDescent="0.2">
      <c r="AF715" s="12"/>
    </row>
    <row r="716" spans="32:32" x14ac:dyDescent="0.2">
      <c r="AF716" s="12"/>
    </row>
    <row r="717" spans="32:32" x14ac:dyDescent="0.2">
      <c r="AF717" s="12"/>
    </row>
    <row r="718" spans="32:32" x14ac:dyDescent="0.2">
      <c r="AF718" s="12"/>
    </row>
    <row r="719" spans="32:32" x14ac:dyDescent="0.2">
      <c r="AF719" s="12"/>
    </row>
    <row r="720" spans="32:32" x14ac:dyDescent="0.2">
      <c r="AF720" s="12"/>
    </row>
    <row r="721" spans="32:32" x14ac:dyDescent="0.2">
      <c r="AF721" s="12"/>
    </row>
    <row r="722" spans="32:32" x14ac:dyDescent="0.2">
      <c r="AF722" s="12"/>
    </row>
    <row r="723" spans="32:32" x14ac:dyDescent="0.2">
      <c r="AF723" s="12"/>
    </row>
    <row r="724" spans="32:32" x14ac:dyDescent="0.2">
      <c r="AF724" s="12"/>
    </row>
    <row r="725" spans="32:32" x14ac:dyDescent="0.2">
      <c r="AF725" s="12"/>
    </row>
    <row r="726" spans="32:32" x14ac:dyDescent="0.2">
      <c r="AF726" s="12"/>
    </row>
    <row r="727" spans="32:32" x14ac:dyDescent="0.2">
      <c r="AF727" s="12"/>
    </row>
    <row r="728" spans="32:32" x14ac:dyDescent="0.2">
      <c r="AF728" s="12"/>
    </row>
    <row r="729" spans="32:32" x14ac:dyDescent="0.2">
      <c r="AF729" s="12"/>
    </row>
    <row r="730" spans="32:32" x14ac:dyDescent="0.2">
      <c r="AF730" s="12"/>
    </row>
    <row r="731" spans="32:32" x14ac:dyDescent="0.2">
      <c r="AF731" s="12"/>
    </row>
    <row r="732" spans="32:32" x14ac:dyDescent="0.2">
      <c r="AF732" s="12"/>
    </row>
    <row r="733" spans="32:32" x14ac:dyDescent="0.2">
      <c r="AF733" s="12"/>
    </row>
    <row r="734" spans="32:32" x14ac:dyDescent="0.2">
      <c r="AF734" s="12"/>
    </row>
    <row r="735" spans="32:32" x14ac:dyDescent="0.2">
      <c r="AF735" s="12"/>
    </row>
    <row r="736" spans="32:32" x14ac:dyDescent="0.2">
      <c r="AF736" s="12"/>
    </row>
    <row r="737" spans="32:32" x14ac:dyDescent="0.2">
      <c r="AF737" s="12"/>
    </row>
    <row r="738" spans="32:32" x14ac:dyDescent="0.2">
      <c r="AF738" s="12"/>
    </row>
    <row r="739" spans="32:32" x14ac:dyDescent="0.2">
      <c r="AF739" s="12"/>
    </row>
    <row r="740" spans="32:32" x14ac:dyDescent="0.2">
      <c r="AF740" s="12"/>
    </row>
    <row r="741" spans="32:32" x14ac:dyDescent="0.2">
      <c r="AF741" s="12"/>
    </row>
    <row r="742" spans="32:32" x14ac:dyDescent="0.2">
      <c r="AF742" s="12"/>
    </row>
    <row r="743" spans="32:32" x14ac:dyDescent="0.2">
      <c r="AF743" s="12"/>
    </row>
    <row r="744" spans="32:32" x14ac:dyDescent="0.2">
      <c r="AF744" s="12"/>
    </row>
    <row r="745" spans="32:32" x14ac:dyDescent="0.2">
      <c r="AF745" s="12"/>
    </row>
    <row r="746" spans="32:32" x14ac:dyDescent="0.2">
      <c r="AF746" s="12"/>
    </row>
    <row r="747" spans="32:32" x14ac:dyDescent="0.2">
      <c r="AF747" s="12"/>
    </row>
    <row r="748" spans="32:32" x14ac:dyDescent="0.2">
      <c r="AF748" s="12"/>
    </row>
    <row r="749" spans="32:32" x14ac:dyDescent="0.2">
      <c r="AF749" s="12"/>
    </row>
    <row r="750" spans="32:32" x14ac:dyDescent="0.2">
      <c r="AF750" s="12"/>
    </row>
    <row r="751" spans="32:32" x14ac:dyDescent="0.2">
      <c r="AF751" s="12"/>
    </row>
    <row r="752" spans="32:32" x14ac:dyDescent="0.2">
      <c r="AF752" s="12"/>
    </row>
    <row r="753" spans="32:32" x14ac:dyDescent="0.2">
      <c r="AF753" s="12"/>
    </row>
    <row r="754" spans="32:32" x14ac:dyDescent="0.2">
      <c r="AF754" s="12"/>
    </row>
    <row r="755" spans="32:32" x14ac:dyDescent="0.2">
      <c r="AF755" s="12"/>
    </row>
    <row r="756" spans="32:32" x14ac:dyDescent="0.2">
      <c r="AF756" s="12"/>
    </row>
    <row r="757" spans="32:32" x14ac:dyDescent="0.2">
      <c r="AF757" s="12"/>
    </row>
    <row r="758" spans="32:32" x14ac:dyDescent="0.2">
      <c r="AF758" s="12"/>
    </row>
    <row r="759" spans="32:32" x14ac:dyDescent="0.2">
      <c r="AF759" s="12"/>
    </row>
    <row r="760" spans="32:32" x14ac:dyDescent="0.2">
      <c r="AF760" s="12"/>
    </row>
    <row r="761" spans="32:32" x14ac:dyDescent="0.2">
      <c r="AF761" s="12"/>
    </row>
    <row r="762" spans="32:32" x14ac:dyDescent="0.2">
      <c r="AF762" s="12"/>
    </row>
    <row r="763" spans="32:32" x14ac:dyDescent="0.2">
      <c r="AF763" s="12"/>
    </row>
    <row r="764" spans="32:32" x14ac:dyDescent="0.2">
      <c r="AF764" s="12"/>
    </row>
    <row r="765" spans="32:32" x14ac:dyDescent="0.2">
      <c r="AF765" s="12"/>
    </row>
    <row r="766" spans="32:32" x14ac:dyDescent="0.2">
      <c r="AF766" s="12"/>
    </row>
    <row r="767" spans="32:32" x14ac:dyDescent="0.2">
      <c r="AF767" s="12"/>
    </row>
    <row r="768" spans="32:32" x14ac:dyDescent="0.2">
      <c r="AF768" s="12"/>
    </row>
    <row r="769" spans="32:32" x14ac:dyDescent="0.2">
      <c r="AF769" s="12"/>
    </row>
    <row r="770" spans="32:32" x14ac:dyDescent="0.2">
      <c r="AF770" s="12"/>
    </row>
    <row r="771" spans="32:32" x14ac:dyDescent="0.2">
      <c r="AF771" s="12"/>
    </row>
    <row r="772" spans="32:32" x14ac:dyDescent="0.2">
      <c r="AF772" s="12"/>
    </row>
    <row r="773" spans="32:32" x14ac:dyDescent="0.2">
      <c r="AF773" s="12"/>
    </row>
    <row r="774" spans="32:32" x14ac:dyDescent="0.2">
      <c r="AF774" s="12"/>
    </row>
    <row r="775" spans="32:32" x14ac:dyDescent="0.2">
      <c r="AF775" s="12"/>
    </row>
    <row r="776" spans="32:32" x14ac:dyDescent="0.2">
      <c r="AF776" s="12"/>
    </row>
    <row r="777" spans="32:32" x14ac:dyDescent="0.2">
      <c r="AF777" s="12"/>
    </row>
    <row r="778" spans="32:32" x14ac:dyDescent="0.2">
      <c r="AF778" s="12"/>
    </row>
    <row r="779" spans="32:32" x14ac:dyDescent="0.2">
      <c r="AF779" s="12"/>
    </row>
    <row r="780" spans="32:32" x14ac:dyDescent="0.2">
      <c r="AF780" s="12"/>
    </row>
    <row r="781" spans="32:32" x14ac:dyDescent="0.2">
      <c r="AF781" s="12"/>
    </row>
    <row r="782" spans="32:32" x14ac:dyDescent="0.2">
      <c r="AF782" s="12"/>
    </row>
    <row r="783" spans="32:32" x14ac:dyDescent="0.2">
      <c r="AF783" s="12"/>
    </row>
    <row r="784" spans="32:32" x14ac:dyDescent="0.2">
      <c r="AF784" s="12"/>
    </row>
    <row r="785" spans="32:32" x14ac:dyDescent="0.2">
      <c r="AF785" s="12"/>
    </row>
    <row r="786" spans="32:32" x14ac:dyDescent="0.2">
      <c r="AF786" s="12"/>
    </row>
    <row r="787" spans="32:32" x14ac:dyDescent="0.2">
      <c r="AF787" s="12"/>
    </row>
    <row r="788" spans="32:32" x14ac:dyDescent="0.2">
      <c r="AF788" s="12"/>
    </row>
    <row r="789" spans="32:32" x14ac:dyDescent="0.2">
      <c r="AF789" s="12"/>
    </row>
    <row r="790" spans="32:32" x14ac:dyDescent="0.2">
      <c r="AF790" s="12"/>
    </row>
    <row r="791" spans="32:32" x14ac:dyDescent="0.2">
      <c r="AF791" s="12"/>
    </row>
    <row r="792" spans="32:32" x14ac:dyDescent="0.2">
      <c r="AF792" s="12"/>
    </row>
    <row r="793" spans="32:32" x14ac:dyDescent="0.2">
      <c r="AF793" s="12"/>
    </row>
    <row r="794" spans="32:32" x14ac:dyDescent="0.2">
      <c r="AF794" s="12"/>
    </row>
    <row r="795" spans="32:32" x14ac:dyDescent="0.2">
      <c r="AF795" s="12"/>
    </row>
    <row r="796" spans="32:32" x14ac:dyDescent="0.2">
      <c r="AF796" s="12"/>
    </row>
    <row r="797" spans="32:32" x14ac:dyDescent="0.2">
      <c r="AF797" s="12"/>
    </row>
    <row r="798" spans="32:32" x14ac:dyDescent="0.2">
      <c r="AF798" s="12"/>
    </row>
    <row r="799" spans="32:32" x14ac:dyDescent="0.2">
      <c r="AF799" s="12"/>
    </row>
    <row r="800" spans="32:32" x14ac:dyDescent="0.2">
      <c r="AF800" s="12"/>
    </row>
    <row r="801" spans="32:32" x14ac:dyDescent="0.2">
      <c r="AF801" s="12"/>
    </row>
    <row r="802" spans="32:32" x14ac:dyDescent="0.2">
      <c r="AF802" s="12"/>
    </row>
    <row r="803" spans="32:32" x14ac:dyDescent="0.2">
      <c r="AF803" s="12"/>
    </row>
    <row r="804" spans="32:32" x14ac:dyDescent="0.2">
      <c r="AF804" s="12"/>
    </row>
    <row r="805" spans="32:32" x14ac:dyDescent="0.2">
      <c r="AF805" s="12"/>
    </row>
    <row r="806" spans="32:32" x14ac:dyDescent="0.2">
      <c r="AF806" s="12"/>
    </row>
    <row r="807" spans="32:32" x14ac:dyDescent="0.2">
      <c r="AF807" s="12"/>
    </row>
    <row r="808" spans="32:32" x14ac:dyDescent="0.2">
      <c r="AF808" s="12"/>
    </row>
    <row r="809" spans="32:32" x14ac:dyDescent="0.2">
      <c r="AF809" s="12"/>
    </row>
    <row r="810" spans="32:32" x14ac:dyDescent="0.2">
      <c r="AF810" s="12"/>
    </row>
    <row r="811" spans="32:32" x14ac:dyDescent="0.2">
      <c r="AF811" s="12"/>
    </row>
    <row r="812" spans="32:32" x14ac:dyDescent="0.2">
      <c r="AF812" s="12"/>
    </row>
    <row r="813" spans="32:32" x14ac:dyDescent="0.2">
      <c r="AF813" s="12"/>
    </row>
    <row r="814" spans="32:32" x14ac:dyDescent="0.2">
      <c r="AF814" s="12"/>
    </row>
    <row r="815" spans="32:32" x14ac:dyDescent="0.2">
      <c r="AF815" s="12"/>
    </row>
    <row r="816" spans="32:32" x14ac:dyDescent="0.2">
      <c r="AF816" s="12"/>
    </row>
    <row r="817" spans="32:32" x14ac:dyDescent="0.2">
      <c r="AF817" s="12"/>
    </row>
    <row r="818" spans="32:32" x14ac:dyDescent="0.2">
      <c r="AF818" s="12"/>
    </row>
    <row r="819" spans="32:32" x14ac:dyDescent="0.2">
      <c r="AF819" s="12"/>
    </row>
    <row r="820" spans="32:32" x14ac:dyDescent="0.2">
      <c r="AF820" s="12"/>
    </row>
    <row r="821" spans="32:32" x14ac:dyDescent="0.2">
      <c r="AF821" s="12"/>
    </row>
    <row r="822" spans="32:32" x14ac:dyDescent="0.2">
      <c r="AF822" s="12"/>
    </row>
    <row r="823" spans="32:32" x14ac:dyDescent="0.2">
      <c r="AF823" s="12"/>
    </row>
    <row r="824" spans="32:32" x14ac:dyDescent="0.2">
      <c r="AF824" s="12"/>
    </row>
    <row r="825" spans="32:32" x14ac:dyDescent="0.2">
      <c r="AF825" s="12"/>
    </row>
    <row r="826" spans="32:32" x14ac:dyDescent="0.2">
      <c r="AF826" s="12"/>
    </row>
    <row r="827" spans="32:32" x14ac:dyDescent="0.2">
      <c r="AF827" s="12"/>
    </row>
    <row r="828" spans="32:32" x14ac:dyDescent="0.2">
      <c r="AF828" s="12"/>
    </row>
    <row r="829" spans="32:32" x14ac:dyDescent="0.2">
      <c r="AF829" s="12"/>
    </row>
    <row r="830" spans="32:32" x14ac:dyDescent="0.2">
      <c r="AF830" s="12"/>
    </row>
    <row r="831" spans="32:32" x14ac:dyDescent="0.2">
      <c r="AF831" s="12"/>
    </row>
    <row r="832" spans="32:32" x14ac:dyDescent="0.2">
      <c r="AF832" s="12"/>
    </row>
    <row r="833" spans="32:32" x14ac:dyDescent="0.2">
      <c r="AF833" s="12"/>
    </row>
    <row r="834" spans="32:32" x14ac:dyDescent="0.2">
      <c r="AF834" s="12"/>
    </row>
    <row r="835" spans="32:32" x14ac:dyDescent="0.2">
      <c r="AF835" s="12"/>
    </row>
    <row r="836" spans="32:32" x14ac:dyDescent="0.2">
      <c r="AF836" s="12"/>
    </row>
    <row r="837" spans="32:32" x14ac:dyDescent="0.2">
      <c r="AF837" s="12"/>
    </row>
    <row r="838" spans="32:32" x14ac:dyDescent="0.2">
      <c r="AF838" s="12"/>
    </row>
    <row r="839" spans="32:32" x14ac:dyDescent="0.2">
      <c r="AF839" s="12"/>
    </row>
    <row r="840" spans="32:32" x14ac:dyDescent="0.2">
      <c r="AF840" s="12"/>
    </row>
    <row r="841" spans="32:32" x14ac:dyDescent="0.2">
      <c r="AF841" s="12"/>
    </row>
    <row r="842" spans="32:32" x14ac:dyDescent="0.2">
      <c r="AF842" s="12"/>
    </row>
    <row r="843" spans="32:32" x14ac:dyDescent="0.2">
      <c r="AF843" s="12"/>
    </row>
    <row r="844" spans="32:32" x14ac:dyDescent="0.2">
      <c r="AF844" s="12"/>
    </row>
    <row r="845" spans="32:32" x14ac:dyDescent="0.2">
      <c r="AF845" s="12"/>
    </row>
    <row r="846" spans="32:32" x14ac:dyDescent="0.2">
      <c r="AF846" s="12"/>
    </row>
    <row r="847" spans="32:32" x14ac:dyDescent="0.2">
      <c r="AF847" s="12"/>
    </row>
    <row r="848" spans="32:32" x14ac:dyDescent="0.2">
      <c r="AF848" s="12"/>
    </row>
    <row r="849" spans="32:32" x14ac:dyDescent="0.2">
      <c r="AF849" s="12"/>
    </row>
    <row r="850" spans="32:32" x14ac:dyDescent="0.2">
      <c r="AF850" s="12"/>
    </row>
    <row r="851" spans="32:32" x14ac:dyDescent="0.2">
      <c r="AF851" s="12"/>
    </row>
    <row r="852" spans="32:32" x14ac:dyDescent="0.2">
      <c r="AF852" s="12"/>
    </row>
    <row r="853" spans="32:32" x14ac:dyDescent="0.2">
      <c r="AF853" s="12"/>
    </row>
    <row r="854" spans="32:32" x14ac:dyDescent="0.2">
      <c r="AF854" s="12"/>
    </row>
    <row r="855" spans="32:32" x14ac:dyDescent="0.2">
      <c r="AF855" s="12"/>
    </row>
    <row r="856" spans="32:32" x14ac:dyDescent="0.2">
      <c r="AF856" s="12"/>
    </row>
    <row r="857" spans="32:32" x14ac:dyDescent="0.2">
      <c r="AF857" s="12"/>
    </row>
    <row r="858" spans="32:32" x14ac:dyDescent="0.2">
      <c r="AF858" s="12"/>
    </row>
    <row r="859" spans="32:32" x14ac:dyDescent="0.2">
      <c r="AF859" s="12"/>
    </row>
    <row r="860" spans="32:32" x14ac:dyDescent="0.2">
      <c r="AF860" s="12"/>
    </row>
    <row r="861" spans="32:32" x14ac:dyDescent="0.2">
      <c r="AF861" s="12"/>
    </row>
    <row r="862" spans="32:32" x14ac:dyDescent="0.2">
      <c r="AF862" s="12"/>
    </row>
    <row r="863" spans="32:32" x14ac:dyDescent="0.2">
      <c r="AF863" s="12"/>
    </row>
    <row r="864" spans="32:32" x14ac:dyDescent="0.2">
      <c r="AF864" s="12"/>
    </row>
    <row r="865" spans="32:32" x14ac:dyDescent="0.2">
      <c r="AF865" s="12"/>
    </row>
    <row r="866" spans="32:32" x14ac:dyDescent="0.2">
      <c r="AF866" s="12"/>
    </row>
    <row r="867" spans="32:32" x14ac:dyDescent="0.2">
      <c r="AF867" s="12"/>
    </row>
    <row r="868" spans="32:32" x14ac:dyDescent="0.2">
      <c r="AF868" s="12"/>
    </row>
    <row r="869" spans="32:32" x14ac:dyDescent="0.2">
      <c r="AF869" s="12"/>
    </row>
    <row r="870" spans="32:32" x14ac:dyDescent="0.2">
      <c r="AF870" s="12"/>
    </row>
    <row r="871" spans="32:32" x14ac:dyDescent="0.2">
      <c r="AF871" s="12"/>
    </row>
    <row r="872" spans="32:32" x14ac:dyDescent="0.2">
      <c r="AF872" s="12"/>
    </row>
    <row r="873" spans="32:32" x14ac:dyDescent="0.2">
      <c r="AF873" s="12"/>
    </row>
    <row r="874" spans="32:32" x14ac:dyDescent="0.2">
      <c r="AF874" s="12"/>
    </row>
    <row r="875" spans="32:32" x14ac:dyDescent="0.2">
      <c r="AF875" s="12"/>
    </row>
    <row r="876" spans="32:32" x14ac:dyDescent="0.2">
      <c r="AF876" s="12"/>
    </row>
    <row r="877" spans="32:32" x14ac:dyDescent="0.2">
      <c r="AF877" s="12"/>
    </row>
    <row r="878" spans="32:32" x14ac:dyDescent="0.2">
      <c r="AF878" s="12"/>
    </row>
    <row r="879" spans="32:32" x14ac:dyDescent="0.2">
      <c r="AF879" s="12"/>
    </row>
    <row r="880" spans="32:32" x14ac:dyDescent="0.2">
      <c r="AF880" s="12"/>
    </row>
    <row r="881" spans="32:32" x14ac:dyDescent="0.2">
      <c r="AF881" s="12"/>
    </row>
    <row r="882" spans="32:32" x14ac:dyDescent="0.2">
      <c r="AF882" s="12"/>
    </row>
    <row r="883" spans="32:32" x14ac:dyDescent="0.2">
      <c r="AF883" s="12"/>
    </row>
    <row r="884" spans="32:32" x14ac:dyDescent="0.2">
      <c r="AF884" s="12"/>
    </row>
    <row r="885" spans="32:32" x14ac:dyDescent="0.2">
      <c r="AF885" s="12"/>
    </row>
    <row r="886" spans="32:32" x14ac:dyDescent="0.2">
      <c r="AF886" s="12"/>
    </row>
    <row r="887" spans="32:32" x14ac:dyDescent="0.2">
      <c r="AF887" s="12"/>
    </row>
    <row r="888" spans="32:32" x14ac:dyDescent="0.2">
      <c r="AF888" s="12"/>
    </row>
    <row r="889" spans="32:32" x14ac:dyDescent="0.2">
      <c r="AF889" s="12"/>
    </row>
    <row r="890" spans="32:32" x14ac:dyDescent="0.2">
      <c r="AF890" s="12"/>
    </row>
    <row r="891" spans="32:32" x14ac:dyDescent="0.2">
      <c r="AF891" s="12"/>
    </row>
    <row r="892" spans="32:32" x14ac:dyDescent="0.2">
      <c r="AF892" s="12"/>
    </row>
    <row r="893" spans="32:32" x14ac:dyDescent="0.2">
      <c r="AF893" s="12"/>
    </row>
    <row r="894" spans="32:32" x14ac:dyDescent="0.2">
      <c r="AF894" s="12"/>
    </row>
    <row r="895" spans="32:32" x14ac:dyDescent="0.2">
      <c r="AF895" s="12"/>
    </row>
    <row r="896" spans="32:32" x14ac:dyDescent="0.2">
      <c r="AF896" s="12"/>
    </row>
    <row r="897" spans="32:32" x14ac:dyDescent="0.2">
      <c r="AF897" s="12"/>
    </row>
    <row r="898" spans="32:32" x14ac:dyDescent="0.2">
      <c r="AF898" s="12"/>
    </row>
    <row r="899" spans="32:32" x14ac:dyDescent="0.2">
      <c r="AF899" s="12"/>
    </row>
    <row r="900" spans="32:32" x14ac:dyDescent="0.2">
      <c r="AF900" s="12"/>
    </row>
    <row r="901" spans="32:32" x14ac:dyDescent="0.2">
      <c r="AF901" s="12"/>
    </row>
    <row r="902" spans="32:32" x14ac:dyDescent="0.2">
      <c r="AF902" s="12"/>
    </row>
    <row r="903" spans="32:32" x14ac:dyDescent="0.2">
      <c r="AF903" s="12"/>
    </row>
    <row r="904" spans="32:32" x14ac:dyDescent="0.2">
      <c r="AF904" s="12"/>
    </row>
    <row r="905" spans="32:32" x14ac:dyDescent="0.2">
      <c r="AF905" s="12"/>
    </row>
    <row r="906" spans="32:32" x14ac:dyDescent="0.2">
      <c r="AF906" s="12"/>
    </row>
    <row r="907" spans="32:32" x14ac:dyDescent="0.2">
      <c r="AF907" s="12"/>
    </row>
    <row r="908" spans="32:32" x14ac:dyDescent="0.2">
      <c r="AF908" s="12"/>
    </row>
    <row r="909" spans="32:32" x14ac:dyDescent="0.2">
      <c r="AF909" s="12"/>
    </row>
    <row r="910" spans="32:32" x14ac:dyDescent="0.2">
      <c r="AF910" s="12"/>
    </row>
    <row r="911" spans="32:32" x14ac:dyDescent="0.2">
      <c r="AF911" s="12"/>
    </row>
    <row r="912" spans="32:32" x14ac:dyDescent="0.2">
      <c r="AF912" s="12"/>
    </row>
    <row r="913" spans="32:32" x14ac:dyDescent="0.2">
      <c r="AF913" s="12"/>
    </row>
    <row r="914" spans="32:32" x14ac:dyDescent="0.2">
      <c r="AF914" s="12"/>
    </row>
    <row r="915" spans="32:32" x14ac:dyDescent="0.2">
      <c r="AF915" s="12"/>
    </row>
    <row r="916" spans="32:32" x14ac:dyDescent="0.2">
      <c r="AF916" s="12"/>
    </row>
    <row r="917" spans="32:32" x14ac:dyDescent="0.2">
      <c r="AF917" s="12"/>
    </row>
    <row r="918" spans="32:32" x14ac:dyDescent="0.2">
      <c r="AF918" s="12"/>
    </row>
    <row r="919" spans="32:32" x14ac:dyDescent="0.2">
      <c r="AF919" s="12"/>
    </row>
    <row r="920" spans="32:32" x14ac:dyDescent="0.2">
      <c r="AF920" s="12"/>
    </row>
    <row r="921" spans="32:32" x14ac:dyDescent="0.2">
      <c r="AF921" s="12"/>
    </row>
    <row r="922" spans="32:32" x14ac:dyDescent="0.2">
      <c r="AF922" s="12"/>
    </row>
    <row r="923" spans="32:32" x14ac:dyDescent="0.2">
      <c r="AF923" s="12"/>
    </row>
    <row r="924" spans="32:32" x14ac:dyDescent="0.2">
      <c r="AF924" s="12"/>
    </row>
    <row r="925" spans="32:32" x14ac:dyDescent="0.2">
      <c r="AF925" s="12"/>
    </row>
    <row r="926" spans="32:32" x14ac:dyDescent="0.2">
      <c r="AF926" s="12"/>
    </row>
    <row r="927" spans="32:32" x14ac:dyDescent="0.2">
      <c r="AF927" s="12"/>
    </row>
    <row r="928" spans="32:32" x14ac:dyDescent="0.2">
      <c r="AF928" s="12"/>
    </row>
    <row r="929" spans="32:32" x14ac:dyDescent="0.2">
      <c r="AF929" s="12"/>
    </row>
    <row r="930" spans="32:32" x14ac:dyDescent="0.2">
      <c r="AF930" s="12"/>
    </row>
    <row r="931" spans="32:32" x14ac:dyDescent="0.2">
      <c r="AF931" s="12"/>
    </row>
    <row r="932" spans="32:32" x14ac:dyDescent="0.2">
      <c r="AF932" s="12"/>
    </row>
    <row r="933" spans="32:32" x14ac:dyDescent="0.2">
      <c r="AF933" s="12"/>
    </row>
    <row r="934" spans="32:32" x14ac:dyDescent="0.2">
      <c r="AF934" s="12"/>
    </row>
    <row r="935" spans="32:32" x14ac:dyDescent="0.2">
      <c r="AF935" s="12"/>
    </row>
    <row r="936" spans="32:32" x14ac:dyDescent="0.2">
      <c r="AF936" s="12"/>
    </row>
    <row r="937" spans="32:32" x14ac:dyDescent="0.2">
      <c r="AF937" s="12"/>
    </row>
    <row r="938" spans="32:32" x14ac:dyDescent="0.2">
      <c r="AF938" s="12"/>
    </row>
    <row r="939" spans="32:32" x14ac:dyDescent="0.2">
      <c r="AF939" s="12"/>
    </row>
    <row r="940" spans="32:32" x14ac:dyDescent="0.2">
      <c r="AF940" s="12"/>
    </row>
    <row r="941" spans="32:32" x14ac:dyDescent="0.2">
      <c r="AF941" s="12"/>
    </row>
    <row r="942" spans="32:32" x14ac:dyDescent="0.2">
      <c r="AF942" s="12"/>
    </row>
    <row r="943" spans="32:32" x14ac:dyDescent="0.2">
      <c r="AF943" s="12"/>
    </row>
    <row r="944" spans="32:32" x14ac:dyDescent="0.2">
      <c r="AF944" s="12"/>
    </row>
    <row r="945" spans="32:32" x14ac:dyDescent="0.2">
      <c r="AF945" s="12"/>
    </row>
    <row r="946" spans="32:32" x14ac:dyDescent="0.2">
      <c r="AF946" s="12"/>
    </row>
    <row r="947" spans="32:32" x14ac:dyDescent="0.2">
      <c r="AF947" s="12"/>
    </row>
    <row r="948" spans="32:32" x14ac:dyDescent="0.2">
      <c r="AF948" s="12"/>
    </row>
    <row r="949" spans="32:32" x14ac:dyDescent="0.2">
      <c r="AF949" s="12"/>
    </row>
    <row r="950" spans="32:32" x14ac:dyDescent="0.2">
      <c r="AF950" s="12"/>
    </row>
    <row r="951" spans="32:32" x14ac:dyDescent="0.2">
      <c r="AF951" s="12"/>
    </row>
    <row r="952" spans="32:32" x14ac:dyDescent="0.2">
      <c r="AF952" s="12"/>
    </row>
    <row r="953" spans="32:32" x14ac:dyDescent="0.2">
      <c r="AF953" s="12"/>
    </row>
    <row r="954" spans="32:32" x14ac:dyDescent="0.2">
      <c r="AF954" s="12"/>
    </row>
    <row r="955" spans="32:32" x14ac:dyDescent="0.2">
      <c r="AF955" s="12"/>
    </row>
    <row r="956" spans="32:32" x14ac:dyDescent="0.2">
      <c r="AF956" s="12"/>
    </row>
    <row r="957" spans="32:32" x14ac:dyDescent="0.2">
      <c r="AF957" s="12"/>
    </row>
    <row r="958" spans="32:32" x14ac:dyDescent="0.2">
      <c r="AF958" s="12"/>
    </row>
    <row r="959" spans="32:32" x14ac:dyDescent="0.2">
      <c r="AF959" s="12"/>
    </row>
    <row r="960" spans="32:32" x14ac:dyDescent="0.2">
      <c r="AF960" s="12"/>
    </row>
    <row r="961" spans="32:32" x14ac:dyDescent="0.2">
      <c r="AF961" s="12"/>
    </row>
    <row r="962" spans="32:32" x14ac:dyDescent="0.2">
      <c r="AF962" s="12"/>
    </row>
    <row r="963" spans="32:32" x14ac:dyDescent="0.2">
      <c r="AF963" s="12"/>
    </row>
    <row r="964" spans="32:32" x14ac:dyDescent="0.2">
      <c r="AF964" s="12"/>
    </row>
    <row r="965" spans="32:32" x14ac:dyDescent="0.2">
      <c r="AF965" s="12"/>
    </row>
    <row r="966" spans="32:32" x14ac:dyDescent="0.2">
      <c r="AF966" s="12"/>
    </row>
    <row r="967" spans="32:32" x14ac:dyDescent="0.2">
      <c r="AF967" s="12"/>
    </row>
    <row r="968" spans="32:32" x14ac:dyDescent="0.2">
      <c r="AF968" s="12"/>
    </row>
    <row r="969" spans="32:32" x14ac:dyDescent="0.2">
      <c r="AF969" s="12"/>
    </row>
    <row r="970" spans="32:32" x14ac:dyDescent="0.2">
      <c r="AF970" s="12"/>
    </row>
    <row r="971" spans="32:32" x14ac:dyDescent="0.2">
      <c r="AF971" s="12"/>
    </row>
    <row r="972" spans="32:32" x14ac:dyDescent="0.2">
      <c r="AF972" s="12"/>
    </row>
    <row r="973" spans="32:32" x14ac:dyDescent="0.2">
      <c r="AF973" s="12"/>
    </row>
    <row r="974" spans="32:32" x14ac:dyDescent="0.2">
      <c r="AF974" s="12"/>
    </row>
    <row r="975" spans="32:32" x14ac:dyDescent="0.2">
      <c r="AF975" s="12"/>
    </row>
    <row r="976" spans="32:32" x14ac:dyDescent="0.2">
      <c r="AF976" s="12"/>
    </row>
    <row r="977" spans="32:32" x14ac:dyDescent="0.2">
      <c r="AF977" s="12"/>
    </row>
    <row r="978" spans="32:32" x14ac:dyDescent="0.2">
      <c r="AF978" s="12"/>
    </row>
    <row r="979" spans="32:32" x14ac:dyDescent="0.2">
      <c r="AF979" s="12"/>
    </row>
    <row r="980" spans="32:32" x14ac:dyDescent="0.2">
      <c r="AF980" s="12"/>
    </row>
    <row r="981" spans="32:32" x14ac:dyDescent="0.2">
      <c r="AF981" s="12"/>
    </row>
    <row r="982" spans="32:32" x14ac:dyDescent="0.2">
      <c r="AF982" s="12"/>
    </row>
    <row r="983" spans="32:32" x14ac:dyDescent="0.2">
      <c r="AF983" s="12"/>
    </row>
    <row r="984" spans="32:32" x14ac:dyDescent="0.2">
      <c r="AF984" s="12"/>
    </row>
    <row r="985" spans="32:32" x14ac:dyDescent="0.2">
      <c r="AF985" s="12"/>
    </row>
    <row r="986" spans="32:32" x14ac:dyDescent="0.2">
      <c r="AF986" s="12"/>
    </row>
    <row r="987" spans="32:32" x14ac:dyDescent="0.2">
      <c r="AF987" s="12"/>
    </row>
    <row r="988" spans="32:32" x14ac:dyDescent="0.2">
      <c r="AF988" s="12"/>
    </row>
    <row r="989" spans="32:32" x14ac:dyDescent="0.2">
      <c r="AF989" s="12"/>
    </row>
    <row r="990" spans="32:32" x14ac:dyDescent="0.2">
      <c r="AF990" s="12"/>
    </row>
    <row r="991" spans="32:32" x14ac:dyDescent="0.2">
      <c r="AF991" s="12"/>
    </row>
    <row r="992" spans="32:32" x14ac:dyDescent="0.2">
      <c r="AF992" s="12"/>
    </row>
    <row r="993" spans="32:32" x14ac:dyDescent="0.2">
      <c r="AF993" s="12"/>
    </row>
    <row r="994" spans="32:32" x14ac:dyDescent="0.2">
      <c r="AF994" s="12"/>
    </row>
    <row r="995" spans="32:32" x14ac:dyDescent="0.2">
      <c r="AF995" s="12"/>
    </row>
    <row r="996" spans="32:32" x14ac:dyDescent="0.2">
      <c r="AF996" s="12"/>
    </row>
    <row r="997" spans="32:32" x14ac:dyDescent="0.2">
      <c r="AF997" s="12"/>
    </row>
    <row r="998" spans="32:32" x14ac:dyDescent="0.2">
      <c r="AF998" s="12"/>
    </row>
    <row r="999" spans="32:32" x14ac:dyDescent="0.2">
      <c r="AF999" s="12"/>
    </row>
    <row r="1000" spans="32:32" x14ac:dyDescent="0.2">
      <c r="AF1000" s="12"/>
    </row>
    <row r="1001" spans="32:32" x14ac:dyDescent="0.2">
      <c r="AF1001" s="12"/>
    </row>
    <row r="1002" spans="32:32" x14ac:dyDescent="0.2">
      <c r="AF1002" s="12"/>
    </row>
    <row r="1003" spans="32:32" x14ac:dyDescent="0.2">
      <c r="AF1003" s="12"/>
    </row>
    <row r="1004" spans="32:32" x14ac:dyDescent="0.2">
      <c r="AF1004" s="12"/>
    </row>
    <row r="1005" spans="32:32" x14ac:dyDescent="0.2">
      <c r="AF1005" s="12"/>
    </row>
    <row r="1006" spans="32:32" x14ac:dyDescent="0.2">
      <c r="AF1006" s="12"/>
    </row>
    <row r="1007" spans="32:32" x14ac:dyDescent="0.2">
      <c r="AF1007" s="12"/>
    </row>
    <row r="1008" spans="32:32" x14ac:dyDescent="0.2">
      <c r="AF1008" s="12"/>
    </row>
    <row r="1009" spans="32:32" x14ac:dyDescent="0.2">
      <c r="AF1009" s="12"/>
    </row>
    <row r="1010" spans="32:32" x14ac:dyDescent="0.2">
      <c r="AF1010" s="12"/>
    </row>
    <row r="1011" spans="32:32" x14ac:dyDescent="0.2">
      <c r="AF1011" s="12"/>
    </row>
    <row r="1012" spans="32:32" x14ac:dyDescent="0.2">
      <c r="AF1012" s="12"/>
    </row>
    <row r="1013" spans="32:32" x14ac:dyDescent="0.2">
      <c r="AF1013" s="12"/>
    </row>
    <row r="1014" spans="32:32" x14ac:dyDescent="0.2">
      <c r="AF1014" s="12"/>
    </row>
    <row r="1015" spans="32:32" x14ac:dyDescent="0.2">
      <c r="AF1015" s="12"/>
    </row>
    <row r="1016" spans="32:32" x14ac:dyDescent="0.2">
      <c r="AF1016" s="12"/>
    </row>
    <row r="1017" spans="32:32" x14ac:dyDescent="0.2">
      <c r="AF1017" s="12"/>
    </row>
    <row r="1018" spans="32:32" x14ac:dyDescent="0.2">
      <c r="AF1018" s="12"/>
    </row>
    <row r="1019" spans="32:32" x14ac:dyDescent="0.2">
      <c r="AF1019" s="12"/>
    </row>
    <row r="1020" spans="32:32" x14ac:dyDescent="0.2">
      <c r="AF1020" s="12"/>
    </row>
    <row r="1021" spans="32:32" x14ac:dyDescent="0.2">
      <c r="AF1021" s="12"/>
    </row>
    <row r="1022" spans="32:32" x14ac:dyDescent="0.2">
      <c r="AF1022" s="12"/>
    </row>
    <row r="1023" spans="32:32" x14ac:dyDescent="0.2">
      <c r="AF1023" s="12"/>
    </row>
    <row r="1024" spans="32:32" x14ac:dyDescent="0.2">
      <c r="AF1024" s="12"/>
    </row>
    <row r="1025" spans="32:32" x14ac:dyDescent="0.2">
      <c r="AF1025" s="12"/>
    </row>
    <row r="1026" spans="32:32" x14ac:dyDescent="0.2">
      <c r="AF1026" s="12"/>
    </row>
    <row r="1027" spans="32:32" x14ac:dyDescent="0.2">
      <c r="AF1027" s="12"/>
    </row>
    <row r="1028" spans="32:32" x14ac:dyDescent="0.2">
      <c r="AF1028" s="12"/>
    </row>
    <row r="1029" spans="32:32" x14ac:dyDescent="0.2">
      <c r="AF1029" s="12"/>
    </row>
    <row r="1030" spans="32:32" x14ac:dyDescent="0.2">
      <c r="AF1030" s="12"/>
    </row>
    <row r="1031" spans="32:32" x14ac:dyDescent="0.2">
      <c r="AF1031" s="12"/>
    </row>
    <row r="1032" spans="32:32" x14ac:dyDescent="0.2">
      <c r="AF1032" s="12"/>
    </row>
    <row r="1033" spans="32:32" x14ac:dyDescent="0.2">
      <c r="AF1033" s="12"/>
    </row>
    <row r="1034" spans="32:32" x14ac:dyDescent="0.2">
      <c r="AF1034" s="12"/>
    </row>
    <row r="1035" spans="32:32" x14ac:dyDescent="0.2">
      <c r="AF1035" s="12"/>
    </row>
    <row r="1036" spans="32:32" x14ac:dyDescent="0.2">
      <c r="AF1036" s="12"/>
    </row>
    <row r="1037" spans="32:32" x14ac:dyDescent="0.2">
      <c r="AF1037" s="12"/>
    </row>
    <row r="1038" spans="32:32" x14ac:dyDescent="0.2">
      <c r="AF1038" s="12"/>
    </row>
    <row r="1039" spans="32:32" x14ac:dyDescent="0.2">
      <c r="AF1039" s="12"/>
    </row>
    <row r="1040" spans="32:32" x14ac:dyDescent="0.2">
      <c r="AF1040" s="12"/>
    </row>
    <row r="1041" spans="32:32" x14ac:dyDescent="0.2">
      <c r="AF1041" s="12"/>
    </row>
    <row r="1042" spans="32:32" x14ac:dyDescent="0.2">
      <c r="AF1042" s="12"/>
    </row>
    <row r="1043" spans="32:32" x14ac:dyDescent="0.2">
      <c r="AF1043" s="12"/>
    </row>
    <row r="1044" spans="32:32" x14ac:dyDescent="0.2">
      <c r="AF1044" s="12"/>
    </row>
    <row r="1045" spans="32:32" x14ac:dyDescent="0.2">
      <c r="AF1045" s="12"/>
    </row>
    <row r="1046" spans="32:32" x14ac:dyDescent="0.2">
      <c r="AF1046" s="12"/>
    </row>
    <row r="1047" spans="32:32" x14ac:dyDescent="0.2">
      <c r="AF1047" s="12"/>
    </row>
    <row r="1048" spans="32:32" x14ac:dyDescent="0.2">
      <c r="AF1048" s="12"/>
    </row>
    <row r="1049" spans="32:32" x14ac:dyDescent="0.2">
      <c r="AF1049" s="12"/>
    </row>
    <row r="1050" spans="32:32" x14ac:dyDescent="0.2">
      <c r="AF1050" s="12"/>
    </row>
    <row r="1051" spans="32:32" x14ac:dyDescent="0.2">
      <c r="AF1051" s="12"/>
    </row>
    <row r="1052" spans="32:32" x14ac:dyDescent="0.2">
      <c r="AF1052" s="12"/>
    </row>
    <row r="1053" spans="32:32" x14ac:dyDescent="0.2">
      <c r="AF1053" s="12"/>
    </row>
    <row r="1054" spans="32:32" x14ac:dyDescent="0.2">
      <c r="AF1054" s="12"/>
    </row>
    <row r="1055" spans="32:32" x14ac:dyDescent="0.2">
      <c r="AF1055" s="12"/>
    </row>
    <row r="1056" spans="32:32" x14ac:dyDescent="0.2">
      <c r="AF1056" s="12"/>
    </row>
    <row r="1057" spans="32:32" x14ac:dyDescent="0.2">
      <c r="AF1057" s="12"/>
    </row>
    <row r="1058" spans="32:32" x14ac:dyDescent="0.2">
      <c r="AF1058" s="12"/>
    </row>
    <row r="1059" spans="32:32" x14ac:dyDescent="0.2">
      <c r="AF1059" s="12"/>
    </row>
    <row r="1060" spans="32:32" x14ac:dyDescent="0.2">
      <c r="AF1060" s="12"/>
    </row>
    <row r="1061" spans="32:32" x14ac:dyDescent="0.2">
      <c r="AF1061" s="12"/>
    </row>
    <row r="1062" spans="32:32" x14ac:dyDescent="0.2">
      <c r="AF1062" s="12"/>
    </row>
    <row r="1063" spans="32:32" x14ac:dyDescent="0.2">
      <c r="AF1063" s="12"/>
    </row>
    <row r="1064" spans="32:32" x14ac:dyDescent="0.2">
      <c r="AF1064" s="12"/>
    </row>
    <row r="1065" spans="32:32" x14ac:dyDescent="0.2">
      <c r="AF1065" s="12"/>
    </row>
    <row r="1066" spans="32:32" x14ac:dyDescent="0.2">
      <c r="AF1066" s="12"/>
    </row>
    <row r="1067" spans="32:32" x14ac:dyDescent="0.2">
      <c r="AF1067" s="12"/>
    </row>
    <row r="1068" spans="32:32" x14ac:dyDescent="0.2">
      <c r="AF1068" s="12"/>
    </row>
    <row r="1069" spans="32:32" x14ac:dyDescent="0.2">
      <c r="AF1069" s="12"/>
    </row>
    <row r="1070" spans="32:32" x14ac:dyDescent="0.2">
      <c r="AF1070" s="12"/>
    </row>
    <row r="1071" spans="32:32" x14ac:dyDescent="0.2">
      <c r="AF1071" s="12"/>
    </row>
    <row r="1072" spans="32:32" x14ac:dyDescent="0.2">
      <c r="AF1072" s="12"/>
    </row>
    <row r="1073" spans="32:32" x14ac:dyDescent="0.2">
      <c r="AF1073" s="12"/>
    </row>
    <row r="1074" spans="32:32" x14ac:dyDescent="0.2">
      <c r="AF1074" s="12"/>
    </row>
    <row r="1075" spans="32:32" x14ac:dyDescent="0.2">
      <c r="AF1075" s="12"/>
    </row>
    <row r="1076" spans="32:32" x14ac:dyDescent="0.2">
      <c r="AF1076" s="12"/>
    </row>
    <row r="1077" spans="32:32" x14ac:dyDescent="0.2">
      <c r="AF1077" s="12"/>
    </row>
    <row r="1078" spans="32:32" x14ac:dyDescent="0.2">
      <c r="AF1078" s="12"/>
    </row>
    <row r="1079" spans="32:32" x14ac:dyDescent="0.2">
      <c r="AF1079" s="12"/>
    </row>
    <row r="1080" spans="32:32" x14ac:dyDescent="0.2">
      <c r="AF1080" s="12"/>
    </row>
    <row r="1081" spans="32:32" x14ac:dyDescent="0.2">
      <c r="AF1081" s="12"/>
    </row>
    <row r="1082" spans="32:32" x14ac:dyDescent="0.2">
      <c r="AF1082" s="12"/>
    </row>
    <row r="1083" spans="32:32" x14ac:dyDescent="0.2">
      <c r="AF1083" s="12"/>
    </row>
    <row r="1084" spans="32:32" x14ac:dyDescent="0.2">
      <c r="AF1084" s="12"/>
    </row>
    <row r="1085" spans="32:32" x14ac:dyDescent="0.2">
      <c r="AF1085" s="12"/>
    </row>
    <row r="1086" spans="32:32" x14ac:dyDescent="0.2">
      <c r="AF1086" s="12"/>
    </row>
    <row r="1087" spans="32:32" x14ac:dyDescent="0.2">
      <c r="AF1087" s="12"/>
    </row>
    <row r="1088" spans="32:32" x14ac:dyDescent="0.2">
      <c r="AF1088" s="12"/>
    </row>
    <row r="1089" spans="32:32" x14ac:dyDescent="0.2">
      <c r="AF1089" s="12"/>
    </row>
    <row r="1090" spans="32:32" x14ac:dyDescent="0.2">
      <c r="AF1090" s="12"/>
    </row>
    <row r="1091" spans="32:32" x14ac:dyDescent="0.2">
      <c r="AF1091" s="12"/>
    </row>
    <row r="1092" spans="32:32" x14ac:dyDescent="0.2">
      <c r="AF1092" s="12"/>
    </row>
    <row r="1093" spans="32:32" x14ac:dyDescent="0.2">
      <c r="AF1093" s="12"/>
    </row>
    <row r="1094" spans="32:32" x14ac:dyDescent="0.2">
      <c r="AF1094" s="12"/>
    </row>
    <row r="1095" spans="32:32" x14ac:dyDescent="0.2">
      <c r="AF1095" s="12"/>
    </row>
    <row r="1096" spans="32:32" x14ac:dyDescent="0.2">
      <c r="AF1096" s="12"/>
    </row>
    <row r="1097" spans="32:32" x14ac:dyDescent="0.2">
      <c r="AF1097" s="12"/>
    </row>
    <row r="1098" spans="32:32" x14ac:dyDescent="0.2">
      <c r="AF1098" s="12"/>
    </row>
    <row r="1099" spans="32:32" x14ac:dyDescent="0.2">
      <c r="AF1099" s="12"/>
    </row>
    <row r="1100" spans="32:32" x14ac:dyDescent="0.2">
      <c r="AF1100" s="12"/>
    </row>
    <row r="1101" spans="32:32" x14ac:dyDescent="0.2">
      <c r="AF1101" s="12"/>
    </row>
    <row r="1102" spans="32:32" x14ac:dyDescent="0.2">
      <c r="AF1102" s="12"/>
    </row>
    <row r="1103" spans="32:32" x14ac:dyDescent="0.2">
      <c r="AF1103" s="12"/>
    </row>
    <row r="1104" spans="32:32" x14ac:dyDescent="0.2">
      <c r="AF1104" s="12"/>
    </row>
    <row r="1105" spans="32:32" x14ac:dyDescent="0.2">
      <c r="AF1105" s="12"/>
    </row>
    <row r="1106" spans="32:32" x14ac:dyDescent="0.2">
      <c r="AF1106" s="12"/>
    </row>
    <row r="1107" spans="32:32" x14ac:dyDescent="0.2">
      <c r="AF1107" s="12"/>
    </row>
    <row r="1108" spans="32:32" x14ac:dyDescent="0.2">
      <c r="AF1108" s="12"/>
    </row>
    <row r="1109" spans="32:32" x14ac:dyDescent="0.2">
      <c r="AF1109" s="12"/>
    </row>
    <row r="1110" spans="32:32" x14ac:dyDescent="0.2">
      <c r="AF1110" s="12"/>
    </row>
    <row r="1111" spans="32:32" x14ac:dyDescent="0.2">
      <c r="AF1111" s="12"/>
    </row>
    <row r="1112" spans="32:32" x14ac:dyDescent="0.2">
      <c r="AF1112" s="12"/>
    </row>
    <row r="1113" spans="32:32" x14ac:dyDescent="0.2">
      <c r="AF1113" s="12"/>
    </row>
    <row r="1114" spans="32:32" x14ac:dyDescent="0.2">
      <c r="AF1114" s="12"/>
    </row>
    <row r="1115" spans="32:32" x14ac:dyDescent="0.2">
      <c r="AF1115" s="12"/>
    </row>
    <row r="1116" spans="32:32" x14ac:dyDescent="0.2">
      <c r="AF1116" s="12"/>
    </row>
    <row r="1117" spans="32:32" x14ac:dyDescent="0.2">
      <c r="AF1117" s="12"/>
    </row>
    <row r="1118" spans="32:32" x14ac:dyDescent="0.2">
      <c r="AF1118" s="12"/>
    </row>
    <row r="1119" spans="32:32" x14ac:dyDescent="0.2">
      <c r="AF1119" s="12"/>
    </row>
    <row r="1120" spans="32:32" x14ac:dyDescent="0.2">
      <c r="AF1120" s="12"/>
    </row>
    <row r="1121" spans="32:32" x14ac:dyDescent="0.2">
      <c r="AF1121" s="12"/>
    </row>
    <row r="1122" spans="32:32" x14ac:dyDescent="0.2">
      <c r="AF1122" s="12"/>
    </row>
    <row r="1123" spans="32:32" x14ac:dyDescent="0.2">
      <c r="AF1123" s="12"/>
    </row>
    <row r="1124" spans="32:32" x14ac:dyDescent="0.2">
      <c r="AF1124" s="12"/>
    </row>
    <row r="1125" spans="32:32" x14ac:dyDescent="0.2">
      <c r="AF1125" s="12"/>
    </row>
    <row r="1126" spans="32:32" x14ac:dyDescent="0.2">
      <c r="AF1126" s="12"/>
    </row>
    <row r="1127" spans="32:32" x14ac:dyDescent="0.2">
      <c r="AF1127" s="12"/>
    </row>
    <row r="1128" spans="32:32" x14ac:dyDescent="0.2">
      <c r="AF1128" s="12"/>
    </row>
    <row r="1129" spans="32:32" x14ac:dyDescent="0.2">
      <c r="AF1129" s="12"/>
    </row>
    <row r="1130" spans="32:32" x14ac:dyDescent="0.2">
      <c r="AF1130" s="12"/>
    </row>
    <row r="1131" spans="32:32" x14ac:dyDescent="0.2">
      <c r="AF1131" s="12"/>
    </row>
    <row r="1132" spans="32:32" x14ac:dyDescent="0.2">
      <c r="AF1132" s="12"/>
    </row>
    <row r="1133" spans="32:32" x14ac:dyDescent="0.2">
      <c r="AF1133" s="12"/>
    </row>
    <row r="1134" spans="32:32" x14ac:dyDescent="0.2">
      <c r="AF1134" s="12"/>
    </row>
    <row r="1135" spans="32:32" x14ac:dyDescent="0.2">
      <c r="AF1135" s="12"/>
    </row>
    <row r="1136" spans="32:32" x14ac:dyDescent="0.2">
      <c r="AF1136" s="12"/>
    </row>
    <row r="1137" spans="32:32" x14ac:dyDescent="0.2">
      <c r="AF1137" s="12"/>
    </row>
    <row r="1138" spans="32:32" x14ac:dyDescent="0.2">
      <c r="AF1138" s="12"/>
    </row>
    <row r="1139" spans="32:32" x14ac:dyDescent="0.2">
      <c r="AF1139" s="12"/>
    </row>
    <row r="1140" spans="32:32" x14ac:dyDescent="0.2">
      <c r="AF1140" s="12"/>
    </row>
    <row r="1141" spans="32:32" x14ac:dyDescent="0.2">
      <c r="AF1141" s="12"/>
    </row>
    <row r="1142" spans="32:32" x14ac:dyDescent="0.2">
      <c r="AF1142" s="12"/>
    </row>
    <row r="1143" spans="32:32" x14ac:dyDescent="0.2">
      <c r="AF1143" s="12"/>
    </row>
    <row r="1144" spans="32:32" x14ac:dyDescent="0.2">
      <c r="AF1144" s="12"/>
    </row>
    <row r="1145" spans="32:32" x14ac:dyDescent="0.2">
      <c r="AF1145" s="12"/>
    </row>
    <row r="1146" spans="32:32" x14ac:dyDescent="0.2">
      <c r="AF1146" s="12"/>
    </row>
    <row r="1147" spans="32:32" x14ac:dyDescent="0.2">
      <c r="AF1147" s="12"/>
    </row>
    <row r="1148" spans="32:32" x14ac:dyDescent="0.2">
      <c r="AF1148" s="12"/>
    </row>
    <row r="1149" spans="32:32" x14ac:dyDescent="0.2">
      <c r="AF1149" s="12"/>
    </row>
    <row r="1150" spans="32:32" x14ac:dyDescent="0.2">
      <c r="AF1150" s="12"/>
    </row>
    <row r="1151" spans="32:32" x14ac:dyDescent="0.2">
      <c r="AF1151" s="12"/>
    </row>
    <row r="1152" spans="32:32" x14ac:dyDescent="0.2">
      <c r="AF1152" s="12"/>
    </row>
    <row r="1153" spans="32:32" x14ac:dyDescent="0.2">
      <c r="AF1153" s="12"/>
    </row>
    <row r="1154" spans="32:32" x14ac:dyDescent="0.2">
      <c r="AF1154" s="12"/>
    </row>
    <row r="1155" spans="32:32" x14ac:dyDescent="0.2">
      <c r="AF1155" s="12"/>
    </row>
    <row r="1156" spans="32:32" x14ac:dyDescent="0.2">
      <c r="AF1156" s="12"/>
    </row>
    <row r="1157" spans="32:32" x14ac:dyDescent="0.2">
      <c r="AF1157" s="12"/>
    </row>
    <row r="1158" spans="32:32" x14ac:dyDescent="0.2">
      <c r="AF1158" s="12"/>
    </row>
    <row r="1159" spans="32:32" x14ac:dyDescent="0.2">
      <c r="AF1159" s="12"/>
    </row>
    <row r="1160" spans="32:32" x14ac:dyDescent="0.2">
      <c r="AF1160" s="12"/>
    </row>
    <row r="1161" spans="32:32" x14ac:dyDescent="0.2">
      <c r="AF1161" s="12"/>
    </row>
    <row r="1162" spans="32:32" x14ac:dyDescent="0.2">
      <c r="AF1162" s="12"/>
    </row>
    <row r="1163" spans="32:32" x14ac:dyDescent="0.2">
      <c r="AF1163" s="12"/>
    </row>
    <row r="1164" spans="32:32" x14ac:dyDescent="0.2">
      <c r="AF1164" s="12"/>
    </row>
    <row r="1165" spans="32:32" x14ac:dyDescent="0.2">
      <c r="AF1165" s="12"/>
    </row>
    <row r="1166" spans="32:32" x14ac:dyDescent="0.2">
      <c r="AF1166" s="12"/>
    </row>
    <row r="1167" spans="32:32" x14ac:dyDescent="0.2">
      <c r="AF1167" s="12"/>
    </row>
    <row r="1168" spans="32:32" x14ac:dyDescent="0.2">
      <c r="AF1168" s="12"/>
    </row>
    <row r="1169" spans="32:32" x14ac:dyDescent="0.2">
      <c r="AF1169" s="12"/>
    </row>
    <row r="1170" spans="32:32" x14ac:dyDescent="0.2">
      <c r="AF1170" s="12"/>
    </row>
    <row r="1171" spans="32:32" x14ac:dyDescent="0.2">
      <c r="AF1171" s="12"/>
    </row>
    <row r="1172" spans="32:32" x14ac:dyDescent="0.2">
      <c r="AF1172" s="12"/>
    </row>
    <row r="1173" spans="32:32" x14ac:dyDescent="0.2">
      <c r="AF1173" s="12"/>
    </row>
    <row r="1174" spans="32:32" x14ac:dyDescent="0.2">
      <c r="AF1174" s="12"/>
    </row>
    <row r="1175" spans="32:32" x14ac:dyDescent="0.2">
      <c r="AF1175" s="12"/>
    </row>
    <row r="1176" spans="32:32" x14ac:dyDescent="0.2">
      <c r="AF1176" s="12"/>
    </row>
    <row r="1177" spans="32:32" x14ac:dyDescent="0.2">
      <c r="AF1177" s="12"/>
    </row>
    <row r="1178" spans="32:32" x14ac:dyDescent="0.2">
      <c r="AF1178" s="12"/>
    </row>
    <row r="1179" spans="32:32" x14ac:dyDescent="0.2">
      <c r="AF1179" s="12"/>
    </row>
    <row r="1180" spans="32:32" x14ac:dyDescent="0.2">
      <c r="AF1180" s="12"/>
    </row>
    <row r="1181" spans="32:32" x14ac:dyDescent="0.2">
      <c r="AF1181" s="12"/>
    </row>
    <row r="1182" spans="32:32" x14ac:dyDescent="0.2">
      <c r="AF1182" s="12"/>
    </row>
    <row r="1183" spans="32:32" x14ac:dyDescent="0.2">
      <c r="AF1183" s="12"/>
    </row>
    <row r="1184" spans="32:32" x14ac:dyDescent="0.2">
      <c r="AF1184" s="12"/>
    </row>
    <row r="1185" spans="32:32" x14ac:dyDescent="0.2">
      <c r="AF1185" s="12"/>
    </row>
    <row r="1186" spans="32:32" x14ac:dyDescent="0.2">
      <c r="AF1186" s="12"/>
    </row>
    <row r="1187" spans="32:32" x14ac:dyDescent="0.2">
      <c r="AF1187" s="12"/>
    </row>
    <row r="1188" spans="32:32" x14ac:dyDescent="0.2">
      <c r="AF1188" s="12"/>
    </row>
    <row r="1189" spans="32:32" x14ac:dyDescent="0.2">
      <c r="AF1189" s="12"/>
    </row>
    <row r="1190" spans="32:32" x14ac:dyDescent="0.2">
      <c r="AF1190" s="12"/>
    </row>
    <row r="1191" spans="32:32" x14ac:dyDescent="0.2">
      <c r="AF1191" s="12"/>
    </row>
    <row r="1192" spans="32:32" x14ac:dyDescent="0.2">
      <c r="AF1192" s="12"/>
    </row>
    <row r="1193" spans="32:32" x14ac:dyDescent="0.2">
      <c r="AF1193" s="12"/>
    </row>
    <row r="1194" spans="32:32" x14ac:dyDescent="0.2">
      <c r="AF1194" s="12"/>
    </row>
    <row r="1195" spans="32:32" x14ac:dyDescent="0.2">
      <c r="AF1195" s="12"/>
    </row>
    <row r="1196" spans="32:32" x14ac:dyDescent="0.2">
      <c r="AF1196" s="12"/>
    </row>
    <row r="1197" spans="32:32" x14ac:dyDescent="0.2">
      <c r="AF1197" s="12"/>
    </row>
    <row r="1198" spans="32:32" x14ac:dyDescent="0.2">
      <c r="AF1198" s="12"/>
    </row>
    <row r="1199" spans="32:32" x14ac:dyDescent="0.2">
      <c r="AF1199" s="12"/>
    </row>
    <row r="1200" spans="32:32" x14ac:dyDescent="0.2">
      <c r="AF1200" s="12"/>
    </row>
    <row r="1201" spans="32:32" x14ac:dyDescent="0.2">
      <c r="AF1201" s="12"/>
    </row>
    <row r="1202" spans="32:32" x14ac:dyDescent="0.2">
      <c r="AF1202" s="12"/>
    </row>
    <row r="1203" spans="32:32" x14ac:dyDescent="0.2">
      <c r="AF1203" s="12"/>
    </row>
    <row r="1204" spans="32:32" x14ac:dyDescent="0.2">
      <c r="AF1204" s="12"/>
    </row>
    <row r="1205" spans="32:32" x14ac:dyDescent="0.2">
      <c r="AF1205" s="12"/>
    </row>
    <row r="1206" spans="32:32" x14ac:dyDescent="0.2">
      <c r="AF1206" s="12"/>
    </row>
    <row r="1207" spans="32:32" x14ac:dyDescent="0.2">
      <c r="AF1207" s="12"/>
    </row>
    <row r="1208" spans="32:32" x14ac:dyDescent="0.2">
      <c r="AF1208" s="12"/>
    </row>
    <row r="1209" spans="32:32" x14ac:dyDescent="0.2">
      <c r="AF1209" s="12"/>
    </row>
    <row r="1210" spans="32:32" x14ac:dyDescent="0.2">
      <c r="AF1210" s="12"/>
    </row>
    <row r="1211" spans="32:32" x14ac:dyDescent="0.2">
      <c r="AF1211" s="12"/>
    </row>
    <row r="1212" spans="32:32" x14ac:dyDescent="0.2">
      <c r="AF1212" s="12"/>
    </row>
    <row r="1213" spans="32:32" x14ac:dyDescent="0.2">
      <c r="AF1213" s="12"/>
    </row>
    <row r="1214" spans="32:32" x14ac:dyDescent="0.2">
      <c r="AF1214" s="12"/>
    </row>
    <row r="1215" spans="32:32" x14ac:dyDescent="0.2">
      <c r="AF1215" s="12"/>
    </row>
    <row r="1216" spans="32:32" x14ac:dyDescent="0.2">
      <c r="AF1216" s="12"/>
    </row>
    <row r="1217" spans="32:32" x14ac:dyDescent="0.2">
      <c r="AF1217" s="12"/>
    </row>
    <row r="1218" spans="32:32" x14ac:dyDescent="0.2">
      <c r="AF1218" s="12"/>
    </row>
    <row r="1219" spans="32:32" x14ac:dyDescent="0.2">
      <c r="AF1219" s="12"/>
    </row>
    <row r="1220" spans="32:32" x14ac:dyDescent="0.2">
      <c r="AF1220" s="12"/>
    </row>
    <row r="1221" spans="32:32" x14ac:dyDescent="0.2">
      <c r="AF1221" s="12"/>
    </row>
    <row r="1222" spans="32:32" x14ac:dyDescent="0.2">
      <c r="AF1222" s="12"/>
    </row>
    <row r="1223" spans="32:32" x14ac:dyDescent="0.2">
      <c r="AF1223" s="12"/>
    </row>
    <row r="1224" spans="32:32" x14ac:dyDescent="0.2">
      <c r="AF1224" s="12"/>
    </row>
    <row r="1225" spans="32:32" x14ac:dyDescent="0.2">
      <c r="AF1225" s="12"/>
    </row>
    <row r="1226" spans="32:32" x14ac:dyDescent="0.2">
      <c r="AF1226" s="12"/>
    </row>
    <row r="1227" spans="32:32" x14ac:dyDescent="0.2">
      <c r="AF1227" s="12"/>
    </row>
    <row r="1228" spans="32:32" x14ac:dyDescent="0.2">
      <c r="AF1228" s="12"/>
    </row>
    <row r="1229" spans="32:32" x14ac:dyDescent="0.2">
      <c r="AF1229" s="12"/>
    </row>
    <row r="1230" spans="32:32" x14ac:dyDescent="0.2">
      <c r="AF1230" s="12"/>
    </row>
    <row r="1231" spans="32:32" x14ac:dyDescent="0.2">
      <c r="AF1231" s="12"/>
    </row>
    <row r="1232" spans="32:32" x14ac:dyDescent="0.2">
      <c r="AF1232" s="12"/>
    </row>
    <row r="1233" spans="32:32" x14ac:dyDescent="0.2">
      <c r="AF1233" s="12"/>
    </row>
    <row r="1234" spans="32:32" x14ac:dyDescent="0.2">
      <c r="AF1234" s="12"/>
    </row>
    <row r="1235" spans="32:32" x14ac:dyDescent="0.2">
      <c r="AF1235" s="12"/>
    </row>
    <row r="1236" spans="32:32" x14ac:dyDescent="0.2">
      <c r="AF1236" s="12"/>
    </row>
    <row r="1237" spans="32:32" x14ac:dyDescent="0.2">
      <c r="AF1237" s="12"/>
    </row>
    <row r="1238" spans="32:32" x14ac:dyDescent="0.2">
      <c r="AF1238" s="12"/>
    </row>
    <row r="1239" spans="32:32" x14ac:dyDescent="0.2">
      <c r="AF1239" s="12"/>
    </row>
    <row r="1240" spans="32:32" x14ac:dyDescent="0.2">
      <c r="AF1240" s="12"/>
    </row>
    <row r="1241" spans="32:32" x14ac:dyDescent="0.2">
      <c r="AF1241" s="12"/>
    </row>
    <row r="1242" spans="32:32" x14ac:dyDescent="0.2">
      <c r="AF1242" s="12"/>
    </row>
    <row r="1243" spans="32:32" x14ac:dyDescent="0.2">
      <c r="AF1243" s="12"/>
    </row>
    <row r="1244" spans="32:32" x14ac:dyDescent="0.2">
      <c r="AF1244" s="12"/>
    </row>
    <row r="1245" spans="32:32" x14ac:dyDescent="0.2">
      <c r="AF1245" s="12"/>
    </row>
    <row r="1246" spans="32:32" x14ac:dyDescent="0.2">
      <c r="AF1246" s="12"/>
    </row>
    <row r="1247" spans="32:32" x14ac:dyDescent="0.2">
      <c r="AF1247" s="12"/>
    </row>
    <row r="1248" spans="32:32" x14ac:dyDescent="0.2">
      <c r="AF1248" s="12"/>
    </row>
    <row r="1249" spans="32:32" x14ac:dyDescent="0.2">
      <c r="AF1249" s="12"/>
    </row>
    <row r="1250" spans="32:32" x14ac:dyDescent="0.2">
      <c r="AF1250" s="12"/>
    </row>
    <row r="1251" spans="32:32" x14ac:dyDescent="0.2">
      <c r="AF1251" s="12"/>
    </row>
    <row r="1252" spans="32:32" x14ac:dyDescent="0.2">
      <c r="AF1252" s="12"/>
    </row>
    <row r="1253" spans="32:32" x14ac:dyDescent="0.2">
      <c r="AF1253" s="12"/>
    </row>
    <row r="1254" spans="32:32" x14ac:dyDescent="0.2">
      <c r="AF1254" s="12"/>
    </row>
    <row r="1255" spans="32:32" x14ac:dyDescent="0.2">
      <c r="AF1255" s="12"/>
    </row>
    <row r="1256" spans="32:32" x14ac:dyDescent="0.2">
      <c r="AF1256" s="12"/>
    </row>
    <row r="1257" spans="32:32" x14ac:dyDescent="0.2">
      <c r="AF1257" s="12"/>
    </row>
    <row r="1258" spans="32:32" x14ac:dyDescent="0.2">
      <c r="AF1258" s="12"/>
    </row>
    <row r="1259" spans="32:32" x14ac:dyDescent="0.2">
      <c r="AF1259" s="12"/>
    </row>
    <row r="1260" spans="32:32" x14ac:dyDescent="0.2">
      <c r="AF1260" s="12"/>
    </row>
    <row r="1261" spans="32:32" x14ac:dyDescent="0.2">
      <c r="AF1261" s="12"/>
    </row>
    <row r="1262" spans="32:32" x14ac:dyDescent="0.2">
      <c r="AF1262" s="12"/>
    </row>
    <row r="1263" spans="32:32" x14ac:dyDescent="0.2">
      <c r="AF1263" s="12"/>
    </row>
    <row r="1264" spans="32:32" x14ac:dyDescent="0.2">
      <c r="AF1264" s="12"/>
    </row>
    <row r="1265" spans="32:32" x14ac:dyDescent="0.2">
      <c r="AF1265" s="12"/>
    </row>
    <row r="1266" spans="32:32" x14ac:dyDescent="0.2">
      <c r="AF1266" s="12"/>
    </row>
    <row r="1267" spans="32:32" x14ac:dyDescent="0.2">
      <c r="AF1267" s="12"/>
    </row>
    <row r="1268" spans="32:32" x14ac:dyDescent="0.2">
      <c r="AF1268" s="12"/>
    </row>
    <row r="1269" spans="32:32" x14ac:dyDescent="0.2">
      <c r="AF1269" s="12"/>
    </row>
    <row r="1270" spans="32:32" x14ac:dyDescent="0.2">
      <c r="AF1270" s="12"/>
    </row>
    <row r="1271" spans="32:32" x14ac:dyDescent="0.2">
      <c r="AF1271" s="12"/>
    </row>
    <row r="1272" spans="32:32" x14ac:dyDescent="0.2">
      <c r="AF1272" s="12"/>
    </row>
    <row r="1273" spans="32:32" x14ac:dyDescent="0.2">
      <c r="AF1273" s="12"/>
    </row>
    <row r="1274" spans="32:32" x14ac:dyDescent="0.2">
      <c r="AF1274" s="12"/>
    </row>
    <row r="1275" spans="32:32" x14ac:dyDescent="0.2">
      <c r="AF1275" s="12"/>
    </row>
    <row r="1276" spans="32:32" x14ac:dyDescent="0.2">
      <c r="AF1276" s="12"/>
    </row>
    <row r="1277" spans="32:32" x14ac:dyDescent="0.2">
      <c r="AF1277" s="12"/>
    </row>
    <row r="1278" spans="32:32" x14ac:dyDescent="0.2">
      <c r="AF1278" s="12"/>
    </row>
    <row r="1279" spans="32:32" x14ac:dyDescent="0.2">
      <c r="AF1279" s="12"/>
    </row>
    <row r="1280" spans="32:32" x14ac:dyDescent="0.2">
      <c r="AF1280" s="12"/>
    </row>
    <row r="1281" spans="32:32" x14ac:dyDescent="0.2">
      <c r="AF1281" s="12"/>
    </row>
    <row r="1282" spans="32:32" x14ac:dyDescent="0.2">
      <c r="AF1282" s="12"/>
    </row>
    <row r="1283" spans="32:32" x14ac:dyDescent="0.2">
      <c r="AF1283" s="12"/>
    </row>
    <row r="1284" spans="32:32" x14ac:dyDescent="0.2">
      <c r="AF1284" s="12"/>
    </row>
    <row r="1285" spans="32:32" x14ac:dyDescent="0.2">
      <c r="AF1285" s="12"/>
    </row>
    <row r="1286" spans="32:32" x14ac:dyDescent="0.2">
      <c r="AF1286" s="12"/>
    </row>
    <row r="1287" spans="32:32" x14ac:dyDescent="0.2">
      <c r="AF1287" s="12"/>
    </row>
    <row r="1288" spans="32:32" x14ac:dyDescent="0.2">
      <c r="AF1288" s="12"/>
    </row>
    <row r="1289" spans="32:32" x14ac:dyDescent="0.2">
      <c r="AF1289" s="12"/>
    </row>
    <row r="1290" spans="32:32" x14ac:dyDescent="0.2">
      <c r="AF1290" s="12"/>
    </row>
    <row r="1291" spans="32:32" x14ac:dyDescent="0.2">
      <c r="AF1291" s="12"/>
    </row>
    <row r="1292" spans="32:32" x14ac:dyDescent="0.2">
      <c r="AF1292" s="12"/>
    </row>
    <row r="1293" spans="32:32" x14ac:dyDescent="0.2">
      <c r="AF1293" s="12"/>
    </row>
    <row r="1294" spans="32:32" x14ac:dyDescent="0.2">
      <c r="AF1294" s="12"/>
    </row>
    <row r="1295" spans="32:32" x14ac:dyDescent="0.2">
      <c r="AF1295" s="12"/>
    </row>
    <row r="1296" spans="32:32" x14ac:dyDescent="0.2">
      <c r="AF1296" s="12"/>
    </row>
    <row r="1297" spans="32:32" x14ac:dyDescent="0.2">
      <c r="AF1297" s="12"/>
    </row>
    <row r="1298" spans="32:32" x14ac:dyDescent="0.2">
      <c r="AF1298" s="12"/>
    </row>
    <row r="1299" spans="32:32" x14ac:dyDescent="0.2">
      <c r="AF1299" s="12"/>
    </row>
    <row r="1300" spans="32:32" x14ac:dyDescent="0.2">
      <c r="AF1300" s="12"/>
    </row>
    <row r="1301" spans="32:32" x14ac:dyDescent="0.2">
      <c r="AF1301" s="12"/>
    </row>
    <row r="1302" spans="32:32" x14ac:dyDescent="0.2">
      <c r="AF1302" s="12"/>
    </row>
    <row r="1303" spans="32:32" x14ac:dyDescent="0.2">
      <c r="AF1303" s="12"/>
    </row>
    <row r="1304" spans="32:32" x14ac:dyDescent="0.2">
      <c r="AF1304" s="12"/>
    </row>
    <row r="1305" spans="32:32" x14ac:dyDescent="0.2">
      <c r="AF1305" s="12"/>
    </row>
    <row r="1306" spans="32:32" x14ac:dyDescent="0.2">
      <c r="AF1306" s="12"/>
    </row>
    <row r="1307" spans="32:32" x14ac:dyDescent="0.2">
      <c r="AF1307" s="12"/>
    </row>
    <row r="1308" spans="32:32" x14ac:dyDescent="0.2">
      <c r="AF1308" s="12"/>
    </row>
    <row r="1309" spans="32:32" x14ac:dyDescent="0.2">
      <c r="AF1309" s="12"/>
    </row>
    <row r="1310" spans="32:32" x14ac:dyDescent="0.2">
      <c r="AF1310" s="12"/>
    </row>
    <row r="1311" spans="32:32" x14ac:dyDescent="0.2">
      <c r="AF1311" s="12"/>
    </row>
    <row r="1312" spans="32:32" x14ac:dyDescent="0.2">
      <c r="AF1312" s="12"/>
    </row>
    <row r="1313" spans="32:32" x14ac:dyDescent="0.2">
      <c r="AF1313" s="12"/>
    </row>
    <row r="1314" spans="32:32" x14ac:dyDescent="0.2">
      <c r="AF1314" s="12"/>
    </row>
    <row r="1315" spans="32:32" x14ac:dyDescent="0.2">
      <c r="AF1315" s="12"/>
    </row>
    <row r="1316" spans="32:32" x14ac:dyDescent="0.2">
      <c r="AF1316" s="12"/>
    </row>
    <row r="1317" spans="32:32" x14ac:dyDescent="0.2">
      <c r="AF1317" s="12"/>
    </row>
    <row r="1318" spans="32:32" x14ac:dyDescent="0.2">
      <c r="AF1318" s="12"/>
    </row>
    <row r="1319" spans="32:32" x14ac:dyDescent="0.2">
      <c r="AF1319" s="12"/>
    </row>
    <row r="1320" spans="32:32" x14ac:dyDescent="0.2">
      <c r="AF1320" s="12"/>
    </row>
    <row r="1321" spans="32:32" x14ac:dyDescent="0.2">
      <c r="AF1321" s="12"/>
    </row>
    <row r="1322" spans="32:32" x14ac:dyDescent="0.2">
      <c r="AF1322" s="12"/>
    </row>
    <row r="1323" spans="32:32" x14ac:dyDescent="0.2">
      <c r="AF1323" s="12"/>
    </row>
    <row r="1324" spans="32:32" x14ac:dyDescent="0.2">
      <c r="AF1324" s="12"/>
    </row>
    <row r="1325" spans="32:32" x14ac:dyDescent="0.2">
      <c r="AF1325" s="12"/>
    </row>
    <row r="1326" spans="32:32" x14ac:dyDescent="0.2">
      <c r="AF1326" s="12"/>
    </row>
    <row r="1327" spans="32:32" x14ac:dyDescent="0.2">
      <c r="AF1327" s="12"/>
    </row>
    <row r="1328" spans="32:32" x14ac:dyDescent="0.2">
      <c r="AF1328" s="12"/>
    </row>
    <row r="1329" spans="32:32" x14ac:dyDescent="0.2">
      <c r="AF1329" s="12"/>
    </row>
    <row r="1330" spans="32:32" x14ac:dyDescent="0.2">
      <c r="AF1330" s="12"/>
    </row>
    <row r="1331" spans="32:32" x14ac:dyDescent="0.2">
      <c r="AF1331" s="12"/>
    </row>
    <row r="1332" spans="32:32" x14ac:dyDescent="0.2">
      <c r="AF1332" s="12"/>
    </row>
    <row r="1333" spans="32:32" x14ac:dyDescent="0.2">
      <c r="AF1333" s="12"/>
    </row>
    <row r="1334" spans="32:32" x14ac:dyDescent="0.2">
      <c r="AF1334" s="12"/>
    </row>
    <row r="1335" spans="32:32" x14ac:dyDescent="0.2">
      <c r="AF1335" s="12"/>
    </row>
    <row r="1336" spans="32:32" x14ac:dyDescent="0.2">
      <c r="AF1336" s="12"/>
    </row>
    <row r="1337" spans="32:32" x14ac:dyDescent="0.2">
      <c r="AF1337" s="12"/>
    </row>
    <row r="1338" spans="32:32" x14ac:dyDescent="0.2">
      <c r="AF1338" s="12"/>
    </row>
    <row r="1339" spans="32:32" x14ac:dyDescent="0.2">
      <c r="AF1339" s="12"/>
    </row>
    <row r="1340" spans="32:32" x14ac:dyDescent="0.2">
      <c r="AF1340" s="12"/>
    </row>
    <row r="1341" spans="32:32" x14ac:dyDescent="0.2">
      <c r="AF1341" s="12"/>
    </row>
    <row r="1342" spans="32:32" x14ac:dyDescent="0.2">
      <c r="AF1342" s="12"/>
    </row>
    <row r="1343" spans="32:32" x14ac:dyDescent="0.2">
      <c r="AF1343" s="12"/>
    </row>
    <row r="1344" spans="32:32" x14ac:dyDescent="0.2">
      <c r="AF1344" s="12"/>
    </row>
    <row r="1345" spans="32:32" x14ac:dyDescent="0.2">
      <c r="AF1345" s="12"/>
    </row>
    <row r="1346" spans="32:32" x14ac:dyDescent="0.2">
      <c r="AF1346" s="12"/>
    </row>
    <row r="1347" spans="32:32" x14ac:dyDescent="0.2">
      <c r="AF1347" s="12"/>
    </row>
    <row r="1348" spans="32:32" x14ac:dyDescent="0.2">
      <c r="AF1348" s="12"/>
    </row>
    <row r="1349" spans="32:32" x14ac:dyDescent="0.2">
      <c r="AF1349" s="12"/>
    </row>
    <row r="1350" spans="32:32" x14ac:dyDescent="0.2">
      <c r="AF1350" s="12"/>
    </row>
    <row r="1351" spans="32:32" x14ac:dyDescent="0.2">
      <c r="AF1351" s="12"/>
    </row>
    <row r="1352" spans="32:32" x14ac:dyDescent="0.2">
      <c r="AF1352" s="12"/>
    </row>
    <row r="1353" spans="32:32" x14ac:dyDescent="0.2">
      <c r="AF1353" s="12"/>
    </row>
    <row r="1354" spans="32:32" x14ac:dyDescent="0.2">
      <c r="AF1354" s="12"/>
    </row>
    <row r="1355" spans="32:32" x14ac:dyDescent="0.2">
      <c r="AF1355" s="12"/>
    </row>
    <row r="1356" spans="32:32" x14ac:dyDescent="0.2">
      <c r="AF1356" s="12"/>
    </row>
    <row r="1357" spans="32:32" x14ac:dyDescent="0.2">
      <c r="AF1357" s="12"/>
    </row>
    <row r="1358" spans="32:32" x14ac:dyDescent="0.2">
      <c r="AF1358" s="12"/>
    </row>
    <row r="1359" spans="32:32" x14ac:dyDescent="0.2">
      <c r="AF1359" s="12"/>
    </row>
    <row r="1360" spans="32:32" x14ac:dyDescent="0.2">
      <c r="AF1360" s="12"/>
    </row>
    <row r="1361" spans="32:32" x14ac:dyDescent="0.2">
      <c r="AF1361" s="12"/>
    </row>
    <row r="1362" spans="32:32" x14ac:dyDescent="0.2">
      <c r="AF1362" s="12"/>
    </row>
    <row r="1363" spans="32:32" x14ac:dyDescent="0.2">
      <c r="AF1363" s="12"/>
    </row>
    <row r="1364" spans="32:32" x14ac:dyDescent="0.2">
      <c r="AF1364" s="12"/>
    </row>
    <row r="1365" spans="32:32" x14ac:dyDescent="0.2">
      <c r="AF1365" s="12"/>
    </row>
    <row r="1366" spans="32:32" x14ac:dyDescent="0.2">
      <c r="AF1366" s="12"/>
    </row>
    <row r="1367" spans="32:32" x14ac:dyDescent="0.2">
      <c r="AF1367" s="12"/>
    </row>
    <row r="1368" spans="32:32" x14ac:dyDescent="0.2">
      <c r="AF1368" s="12"/>
    </row>
    <row r="1369" spans="32:32" x14ac:dyDescent="0.2">
      <c r="AF1369" s="12"/>
    </row>
    <row r="1370" spans="32:32" x14ac:dyDescent="0.2">
      <c r="AF1370" s="12"/>
    </row>
    <row r="1371" spans="32:32" x14ac:dyDescent="0.2">
      <c r="AF1371" s="12"/>
    </row>
    <row r="1372" spans="32:32" x14ac:dyDescent="0.2">
      <c r="AF1372" s="12"/>
    </row>
    <row r="1373" spans="32:32" x14ac:dyDescent="0.2">
      <c r="AF1373" s="12"/>
    </row>
    <row r="1374" spans="32:32" x14ac:dyDescent="0.2">
      <c r="AF1374" s="12"/>
    </row>
    <row r="1375" spans="32:32" x14ac:dyDescent="0.2">
      <c r="AF1375" s="12"/>
    </row>
    <row r="1376" spans="32:32" x14ac:dyDescent="0.2">
      <c r="AF1376" s="12"/>
    </row>
    <row r="1377" spans="32:32" x14ac:dyDescent="0.2">
      <c r="AF1377" s="12"/>
    </row>
    <row r="1378" spans="32:32" x14ac:dyDescent="0.2">
      <c r="AF1378" s="12"/>
    </row>
    <row r="1379" spans="32:32" x14ac:dyDescent="0.2">
      <c r="AF1379" s="12"/>
    </row>
    <row r="1380" spans="32:32" x14ac:dyDescent="0.2">
      <c r="AF1380" s="12"/>
    </row>
    <row r="1381" spans="32:32" x14ac:dyDescent="0.2">
      <c r="AF1381" s="12"/>
    </row>
    <row r="1382" spans="32:32" x14ac:dyDescent="0.2">
      <c r="AF1382" s="12"/>
    </row>
    <row r="1383" spans="32:32" x14ac:dyDescent="0.2">
      <c r="AF1383" s="12"/>
    </row>
    <row r="1384" spans="32:32" x14ac:dyDescent="0.2">
      <c r="AF1384" s="12"/>
    </row>
    <row r="1385" spans="32:32" x14ac:dyDescent="0.2">
      <c r="AF1385" s="12"/>
    </row>
    <row r="1386" spans="32:32" x14ac:dyDescent="0.2">
      <c r="AF1386" s="12"/>
    </row>
    <row r="1387" spans="32:32" x14ac:dyDescent="0.2">
      <c r="AF1387" s="12"/>
    </row>
    <row r="1388" spans="32:32" x14ac:dyDescent="0.2">
      <c r="AF1388" s="12"/>
    </row>
    <row r="1389" spans="32:32" x14ac:dyDescent="0.2">
      <c r="AF1389" s="12"/>
    </row>
    <row r="1390" spans="32:32" x14ac:dyDescent="0.2">
      <c r="AF1390" s="12"/>
    </row>
    <row r="1391" spans="32:32" x14ac:dyDescent="0.2">
      <c r="AF1391" s="12"/>
    </row>
    <row r="1392" spans="32:32" x14ac:dyDescent="0.2">
      <c r="AF1392" s="12"/>
    </row>
    <row r="1393" spans="32:32" x14ac:dyDescent="0.2">
      <c r="AF1393" s="12"/>
    </row>
    <row r="1394" spans="32:32" x14ac:dyDescent="0.2">
      <c r="AF1394" s="12"/>
    </row>
    <row r="1395" spans="32:32" x14ac:dyDescent="0.2">
      <c r="AF1395" s="12"/>
    </row>
    <row r="1396" spans="32:32" x14ac:dyDescent="0.2">
      <c r="AF1396" s="12"/>
    </row>
    <row r="1397" spans="32:32" x14ac:dyDescent="0.2">
      <c r="AF1397" s="12"/>
    </row>
    <row r="1398" spans="32:32" x14ac:dyDescent="0.2">
      <c r="AF1398" s="12"/>
    </row>
    <row r="1399" spans="32:32" x14ac:dyDescent="0.2">
      <c r="AF1399" s="12"/>
    </row>
    <row r="1400" spans="32:32" x14ac:dyDescent="0.2">
      <c r="AF1400" s="12"/>
    </row>
    <row r="1401" spans="32:32" x14ac:dyDescent="0.2">
      <c r="AF1401" s="12"/>
    </row>
    <row r="1402" spans="32:32" x14ac:dyDescent="0.2">
      <c r="AF1402" s="12"/>
    </row>
    <row r="1403" spans="32:32" x14ac:dyDescent="0.2">
      <c r="AF1403" s="12"/>
    </row>
    <row r="1404" spans="32:32" x14ac:dyDescent="0.2">
      <c r="AF1404" s="12"/>
    </row>
    <row r="1405" spans="32:32" x14ac:dyDescent="0.2">
      <c r="AF1405" s="12"/>
    </row>
    <row r="1406" spans="32:32" x14ac:dyDescent="0.2">
      <c r="AF1406" s="12"/>
    </row>
    <row r="1407" spans="32:32" x14ac:dyDescent="0.2">
      <c r="AF1407" s="12"/>
    </row>
    <row r="1408" spans="32:32" x14ac:dyDescent="0.2">
      <c r="AF1408" s="12"/>
    </row>
    <row r="1409" spans="32:32" x14ac:dyDescent="0.2">
      <c r="AF1409" s="12"/>
    </row>
    <row r="1410" spans="32:32" x14ac:dyDescent="0.2">
      <c r="AF1410" s="12"/>
    </row>
    <row r="1411" spans="32:32" x14ac:dyDescent="0.2">
      <c r="AF1411" s="12"/>
    </row>
    <row r="1412" spans="32:32" x14ac:dyDescent="0.2">
      <c r="AF1412" s="12"/>
    </row>
    <row r="1413" spans="32:32" x14ac:dyDescent="0.2">
      <c r="AF1413" s="12"/>
    </row>
    <row r="1414" spans="32:32" x14ac:dyDescent="0.2">
      <c r="AF1414" s="12"/>
    </row>
    <row r="1415" spans="32:32" x14ac:dyDescent="0.2">
      <c r="AF1415" s="12"/>
    </row>
    <row r="1416" spans="32:32" x14ac:dyDescent="0.2">
      <c r="AF1416" s="12"/>
    </row>
    <row r="1417" spans="32:32" x14ac:dyDescent="0.2">
      <c r="AF1417" s="12"/>
    </row>
    <row r="1418" spans="32:32" x14ac:dyDescent="0.2">
      <c r="AF1418" s="12"/>
    </row>
    <row r="1419" spans="32:32" x14ac:dyDescent="0.2">
      <c r="AF1419" s="12"/>
    </row>
    <row r="1420" spans="32:32" x14ac:dyDescent="0.2">
      <c r="AF1420" s="12"/>
    </row>
    <row r="1421" spans="32:32" x14ac:dyDescent="0.2">
      <c r="AF1421" s="12"/>
    </row>
    <row r="1422" spans="32:32" x14ac:dyDescent="0.2">
      <c r="AF1422" s="12"/>
    </row>
    <row r="1423" spans="32:32" x14ac:dyDescent="0.2">
      <c r="AF1423" s="12"/>
    </row>
    <row r="1424" spans="32:32" x14ac:dyDescent="0.2">
      <c r="AF1424" s="12"/>
    </row>
    <row r="1425" spans="32:32" x14ac:dyDescent="0.2">
      <c r="AF1425" s="12"/>
    </row>
    <row r="1426" spans="32:32" x14ac:dyDescent="0.2">
      <c r="AF1426" s="12"/>
    </row>
    <row r="1427" spans="32:32" x14ac:dyDescent="0.2">
      <c r="AF1427" s="12"/>
    </row>
    <row r="1428" spans="32:32" x14ac:dyDescent="0.2">
      <c r="AF1428" s="12"/>
    </row>
    <row r="1429" spans="32:32" x14ac:dyDescent="0.2">
      <c r="AF1429" s="12"/>
    </row>
    <row r="1430" spans="32:32" x14ac:dyDescent="0.2">
      <c r="AF1430" s="12"/>
    </row>
    <row r="1431" spans="32:32" x14ac:dyDescent="0.2">
      <c r="AF1431" s="12"/>
    </row>
    <row r="1432" spans="32:32" x14ac:dyDescent="0.2">
      <c r="AF1432" s="12"/>
    </row>
    <row r="1433" spans="32:32" x14ac:dyDescent="0.2">
      <c r="AF1433" s="12"/>
    </row>
    <row r="1434" spans="32:32" x14ac:dyDescent="0.2">
      <c r="AF1434" s="12"/>
    </row>
    <row r="1435" spans="32:32" x14ac:dyDescent="0.2">
      <c r="AF1435" s="12"/>
    </row>
    <row r="1436" spans="32:32" x14ac:dyDescent="0.2">
      <c r="AF1436" s="12"/>
    </row>
    <row r="1437" spans="32:32" x14ac:dyDescent="0.2">
      <c r="AF1437" s="12"/>
    </row>
    <row r="1438" spans="32:32" x14ac:dyDescent="0.2">
      <c r="AF1438" s="12"/>
    </row>
    <row r="1439" spans="32:32" x14ac:dyDescent="0.2">
      <c r="AF1439" s="12"/>
    </row>
    <row r="1440" spans="32:32" x14ac:dyDescent="0.2">
      <c r="AF1440" s="12"/>
    </row>
    <row r="1441" spans="32:32" x14ac:dyDescent="0.2">
      <c r="AF1441" s="12"/>
    </row>
    <row r="1442" spans="32:32" x14ac:dyDescent="0.2">
      <c r="AF1442" s="12"/>
    </row>
    <row r="1443" spans="32:32" x14ac:dyDescent="0.2">
      <c r="AF1443" s="12"/>
    </row>
    <row r="1444" spans="32:32" x14ac:dyDescent="0.2">
      <c r="AF1444" s="12"/>
    </row>
    <row r="1445" spans="32:32" x14ac:dyDescent="0.2">
      <c r="AF1445" s="12"/>
    </row>
    <row r="1446" spans="32:32" x14ac:dyDescent="0.2">
      <c r="AF1446" s="12"/>
    </row>
    <row r="1447" spans="32:32" x14ac:dyDescent="0.2">
      <c r="AF1447" s="12"/>
    </row>
    <row r="1448" spans="32:32" x14ac:dyDescent="0.2">
      <c r="AF1448" s="12"/>
    </row>
    <row r="1449" spans="32:32" x14ac:dyDescent="0.2">
      <c r="AF1449" s="12"/>
    </row>
    <row r="1450" spans="32:32" x14ac:dyDescent="0.2">
      <c r="AF1450" s="12"/>
    </row>
    <row r="1451" spans="32:32" x14ac:dyDescent="0.2">
      <c r="AF1451" s="12"/>
    </row>
    <row r="1452" spans="32:32" x14ac:dyDescent="0.2">
      <c r="AF1452" s="12"/>
    </row>
    <row r="1453" spans="32:32" x14ac:dyDescent="0.2">
      <c r="AF1453" s="12"/>
    </row>
    <row r="1454" spans="32:32" x14ac:dyDescent="0.2">
      <c r="AF1454" s="12"/>
    </row>
    <row r="1455" spans="32:32" x14ac:dyDescent="0.2">
      <c r="AF1455" s="12"/>
    </row>
    <row r="1456" spans="32:32" x14ac:dyDescent="0.2">
      <c r="AF1456" s="12"/>
    </row>
    <row r="1457" spans="32:32" x14ac:dyDescent="0.2">
      <c r="AF1457" s="12"/>
    </row>
    <row r="1458" spans="32:32" x14ac:dyDescent="0.2">
      <c r="AF1458" s="12"/>
    </row>
    <row r="1459" spans="32:32" x14ac:dyDescent="0.2">
      <c r="AF1459" s="12"/>
    </row>
    <row r="1460" spans="32:32" x14ac:dyDescent="0.2">
      <c r="AF1460" s="12"/>
    </row>
    <row r="1461" spans="32:32" x14ac:dyDescent="0.2">
      <c r="AF1461" s="12"/>
    </row>
    <row r="1462" spans="32:32" x14ac:dyDescent="0.2">
      <c r="AF1462" s="12"/>
    </row>
    <row r="1463" spans="32:32" x14ac:dyDescent="0.2">
      <c r="AF1463" s="12"/>
    </row>
    <row r="1464" spans="32:32" x14ac:dyDescent="0.2">
      <c r="AF1464" s="12"/>
    </row>
    <row r="1465" spans="32:32" x14ac:dyDescent="0.2">
      <c r="AF1465" s="12"/>
    </row>
    <row r="1466" spans="32:32" x14ac:dyDescent="0.2">
      <c r="AF1466" s="12"/>
    </row>
    <row r="1467" spans="32:32" x14ac:dyDescent="0.2">
      <c r="AF1467" s="12"/>
    </row>
    <row r="1468" spans="32:32" x14ac:dyDescent="0.2">
      <c r="AF1468" s="12"/>
    </row>
    <row r="1469" spans="32:32" x14ac:dyDescent="0.2">
      <c r="AF1469" s="12"/>
    </row>
    <row r="1470" spans="32:32" x14ac:dyDescent="0.2">
      <c r="AF1470" s="12"/>
    </row>
    <row r="1471" spans="32:32" x14ac:dyDescent="0.2">
      <c r="AF1471" s="12"/>
    </row>
    <row r="1472" spans="32:32" x14ac:dyDescent="0.2">
      <c r="AF1472" s="12"/>
    </row>
    <row r="1473" spans="32:32" x14ac:dyDescent="0.2">
      <c r="AF1473" s="12"/>
    </row>
    <row r="1474" spans="32:32" x14ac:dyDescent="0.2">
      <c r="AF1474" s="12"/>
    </row>
    <row r="1475" spans="32:32" x14ac:dyDescent="0.2">
      <c r="AF1475" s="12"/>
    </row>
    <row r="1476" spans="32:32" x14ac:dyDescent="0.2">
      <c r="AF1476" s="12"/>
    </row>
    <row r="1477" spans="32:32" x14ac:dyDescent="0.2">
      <c r="AF1477" s="12"/>
    </row>
    <row r="1478" spans="32:32" x14ac:dyDescent="0.2">
      <c r="AF1478" s="12"/>
    </row>
    <row r="1479" spans="32:32" x14ac:dyDescent="0.2">
      <c r="AF1479" s="12"/>
    </row>
    <row r="1480" spans="32:32" x14ac:dyDescent="0.2">
      <c r="AF1480" s="12"/>
    </row>
    <row r="1481" spans="32:32" x14ac:dyDescent="0.2">
      <c r="AF1481" s="12"/>
    </row>
    <row r="1482" spans="32:32" x14ac:dyDescent="0.2">
      <c r="AF1482" s="12"/>
    </row>
    <row r="1483" spans="32:32" x14ac:dyDescent="0.2">
      <c r="AF1483" s="12"/>
    </row>
    <row r="1484" spans="32:32" x14ac:dyDescent="0.2">
      <c r="AF1484" s="12"/>
    </row>
    <row r="1485" spans="32:32" x14ac:dyDescent="0.2">
      <c r="AF1485" s="12"/>
    </row>
    <row r="1486" spans="32:32" x14ac:dyDescent="0.2">
      <c r="AF1486" s="12"/>
    </row>
    <row r="1487" spans="32:32" x14ac:dyDescent="0.2">
      <c r="AF1487" s="12"/>
    </row>
    <row r="1488" spans="32:32" x14ac:dyDescent="0.2">
      <c r="AF1488" s="12"/>
    </row>
    <row r="1489" spans="32:32" x14ac:dyDescent="0.2">
      <c r="AF1489" s="12"/>
    </row>
    <row r="1490" spans="32:32" x14ac:dyDescent="0.2">
      <c r="AF1490" s="12"/>
    </row>
    <row r="1491" spans="32:32" x14ac:dyDescent="0.2">
      <c r="AF1491" s="12"/>
    </row>
    <row r="1492" spans="32:32" x14ac:dyDescent="0.2">
      <c r="AF1492" s="12"/>
    </row>
    <row r="1493" spans="32:32" x14ac:dyDescent="0.2">
      <c r="AF1493" s="12"/>
    </row>
    <row r="1494" spans="32:32" x14ac:dyDescent="0.2">
      <c r="AF1494" s="12"/>
    </row>
    <row r="1495" spans="32:32" x14ac:dyDescent="0.2">
      <c r="AF1495" s="12"/>
    </row>
    <row r="1496" spans="32:32" x14ac:dyDescent="0.2">
      <c r="AF1496" s="12"/>
    </row>
    <row r="1497" spans="32:32" x14ac:dyDescent="0.2">
      <c r="AF1497" s="12"/>
    </row>
    <row r="1498" spans="32:32" x14ac:dyDescent="0.2">
      <c r="AF1498" s="12"/>
    </row>
    <row r="1499" spans="32:32" x14ac:dyDescent="0.2">
      <c r="AF1499" s="12"/>
    </row>
    <row r="1500" spans="32:32" x14ac:dyDescent="0.2">
      <c r="AF1500" s="12"/>
    </row>
    <row r="1501" spans="32:32" x14ac:dyDescent="0.2">
      <c r="AF1501" s="12"/>
    </row>
    <row r="1502" spans="32:32" x14ac:dyDescent="0.2">
      <c r="AF1502" s="12"/>
    </row>
    <row r="1503" spans="32:32" x14ac:dyDescent="0.2">
      <c r="AF1503" s="12"/>
    </row>
    <row r="1504" spans="32:32" x14ac:dyDescent="0.2">
      <c r="AF1504" s="12"/>
    </row>
    <row r="1505" spans="32:32" x14ac:dyDescent="0.2">
      <c r="AF1505" s="12"/>
    </row>
    <row r="1506" spans="32:32" x14ac:dyDescent="0.2">
      <c r="AF1506" s="12"/>
    </row>
    <row r="1507" spans="32:32" x14ac:dyDescent="0.2">
      <c r="AF1507" s="12"/>
    </row>
    <row r="1508" spans="32:32" x14ac:dyDescent="0.2">
      <c r="AF1508" s="12"/>
    </row>
    <row r="1509" spans="32:32" x14ac:dyDescent="0.2">
      <c r="AF1509" s="12"/>
    </row>
    <row r="1510" spans="32:32" x14ac:dyDescent="0.2">
      <c r="AF1510" s="12"/>
    </row>
    <row r="1511" spans="32:32" x14ac:dyDescent="0.2">
      <c r="AF1511" s="12"/>
    </row>
    <row r="1512" spans="32:32" x14ac:dyDescent="0.2">
      <c r="AF1512" s="12"/>
    </row>
    <row r="1513" spans="32:32" x14ac:dyDescent="0.2">
      <c r="AF1513" s="12"/>
    </row>
    <row r="1514" spans="32:32" x14ac:dyDescent="0.2">
      <c r="AF1514" s="12"/>
    </row>
    <row r="1515" spans="32:32" x14ac:dyDescent="0.2">
      <c r="AF1515" s="12"/>
    </row>
    <row r="1516" spans="32:32" x14ac:dyDescent="0.2">
      <c r="AF1516" s="12"/>
    </row>
    <row r="1517" spans="32:32" x14ac:dyDescent="0.2">
      <c r="AF1517" s="12"/>
    </row>
    <row r="1518" spans="32:32" x14ac:dyDescent="0.2">
      <c r="AF1518" s="12"/>
    </row>
    <row r="1519" spans="32:32" x14ac:dyDescent="0.2">
      <c r="AF1519" s="12"/>
    </row>
    <row r="1520" spans="32:32" x14ac:dyDescent="0.2">
      <c r="AF1520" s="12"/>
    </row>
    <row r="1521" spans="32:32" x14ac:dyDescent="0.2">
      <c r="AF1521" s="12"/>
    </row>
    <row r="1522" spans="32:32" x14ac:dyDescent="0.2">
      <c r="AF1522" s="12"/>
    </row>
    <row r="1523" spans="32:32" x14ac:dyDescent="0.2">
      <c r="AF1523" s="12"/>
    </row>
    <row r="1524" spans="32:32" x14ac:dyDescent="0.2">
      <c r="AF1524" s="12"/>
    </row>
    <row r="1525" spans="32:32" x14ac:dyDescent="0.2">
      <c r="AF1525" s="12"/>
    </row>
    <row r="1526" spans="32:32" x14ac:dyDescent="0.2">
      <c r="AF1526" s="12"/>
    </row>
    <row r="1527" spans="32:32" x14ac:dyDescent="0.2">
      <c r="AF1527" s="12"/>
    </row>
    <row r="1528" spans="32:32" x14ac:dyDescent="0.2">
      <c r="AF1528" s="12"/>
    </row>
    <row r="1529" spans="32:32" x14ac:dyDescent="0.2">
      <c r="AF1529" s="12"/>
    </row>
    <row r="1530" spans="32:32" x14ac:dyDescent="0.2">
      <c r="AF1530" s="12"/>
    </row>
    <row r="1531" spans="32:32" x14ac:dyDescent="0.2">
      <c r="AF1531" s="12"/>
    </row>
    <row r="1532" spans="32:32" x14ac:dyDescent="0.2">
      <c r="AF1532" s="12"/>
    </row>
    <row r="1533" spans="32:32" x14ac:dyDescent="0.2">
      <c r="AF1533" s="12"/>
    </row>
    <row r="1534" spans="32:32" x14ac:dyDescent="0.2">
      <c r="AF1534" s="12"/>
    </row>
    <row r="1535" spans="32:32" x14ac:dyDescent="0.2">
      <c r="AF1535" s="12"/>
    </row>
    <row r="1536" spans="32:32" x14ac:dyDescent="0.2">
      <c r="AF1536" s="12"/>
    </row>
    <row r="1537" spans="32:32" x14ac:dyDescent="0.2">
      <c r="AF1537" s="12"/>
    </row>
    <row r="1538" spans="32:32" x14ac:dyDescent="0.2">
      <c r="AF1538" s="12"/>
    </row>
    <row r="1539" spans="32:32" x14ac:dyDescent="0.2">
      <c r="AF1539" s="12"/>
    </row>
    <row r="1540" spans="32:32" x14ac:dyDescent="0.2">
      <c r="AF1540" s="12"/>
    </row>
    <row r="1541" spans="32:32" x14ac:dyDescent="0.2">
      <c r="AF1541" s="12"/>
    </row>
    <row r="1542" spans="32:32" x14ac:dyDescent="0.2">
      <c r="AF1542" s="12"/>
    </row>
    <row r="1543" spans="32:32" x14ac:dyDescent="0.2">
      <c r="AF1543" s="12"/>
    </row>
    <row r="1544" spans="32:32" x14ac:dyDescent="0.2">
      <c r="AF1544" s="12"/>
    </row>
    <row r="1545" spans="32:32" x14ac:dyDescent="0.2">
      <c r="AF1545" s="12"/>
    </row>
    <row r="1546" spans="32:32" x14ac:dyDescent="0.2">
      <c r="AF1546" s="12"/>
    </row>
    <row r="1547" spans="32:32" x14ac:dyDescent="0.2">
      <c r="AF1547" s="12"/>
    </row>
    <row r="1548" spans="32:32" x14ac:dyDescent="0.2">
      <c r="AF1548" s="12"/>
    </row>
    <row r="1549" spans="32:32" x14ac:dyDescent="0.2">
      <c r="AF1549" s="12"/>
    </row>
    <row r="1550" spans="32:32" x14ac:dyDescent="0.2">
      <c r="AF1550" s="12"/>
    </row>
    <row r="1551" spans="32:32" x14ac:dyDescent="0.2">
      <c r="AF1551" s="12"/>
    </row>
    <row r="1552" spans="32:32" x14ac:dyDescent="0.2">
      <c r="AF1552" s="12"/>
    </row>
    <row r="1553" spans="32:32" x14ac:dyDescent="0.2">
      <c r="AF1553" s="12"/>
    </row>
    <row r="1554" spans="32:32" x14ac:dyDescent="0.2">
      <c r="AF1554" s="12"/>
    </row>
    <row r="1555" spans="32:32" x14ac:dyDescent="0.2">
      <c r="AF1555" s="12"/>
    </row>
    <row r="1556" spans="32:32" x14ac:dyDescent="0.2">
      <c r="AF1556" s="12"/>
    </row>
    <row r="1557" spans="32:32" x14ac:dyDescent="0.2">
      <c r="AF1557" s="12"/>
    </row>
    <row r="1558" spans="32:32" x14ac:dyDescent="0.2">
      <c r="AF1558" s="12"/>
    </row>
    <row r="1559" spans="32:32" x14ac:dyDescent="0.2">
      <c r="AF1559" s="12"/>
    </row>
    <row r="1560" spans="32:32" x14ac:dyDescent="0.2">
      <c r="AF1560" s="12"/>
    </row>
    <row r="1561" spans="32:32" x14ac:dyDescent="0.2">
      <c r="AF1561" s="12"/>
    </row>
    <row r="1562" spans="32:32" x14ac:dyDescent="0.2">
      <c r="AF1562" s="12"/>
    </row>
    <row r="1563" spans="32:32" x14ac:dyDescent="0.2">
      <c r="AF1563" s="12"/>
    </row>
    <row r="1564" spans="32:32" x14ac:dyDescent="0.2">
      <c r="AF1564" s="12"/>
    </row>
    <row r="1565" spans="32:32" x14ac:dyDescent="0.2">
      <c r="AF1565" s="12"/>
    </row>
    <row r="1566" spans="32:32" x14ac:dyDescent="0.2">
      <c r="AF1566" s="12"/>
    </row>
    <row r="1567" spans="32:32" x14ac:dyDescent="0.2">
      <c r="AF1567" s="12"/>
    </row>
    <row r="1568" spans="32:32" x14ac:dyDescent="0.2">
      <c r="AF1568" s="12"/>
    </row>
    <row r="1569" spans="32:32" x14ac:dyDescent="0.2">
      <c r="AF1569" s="12"/>
    </row>
    <row r="1570" spans="32:32" x14ac:dyDescent="0.2">
      <c r="AF1570" s="12"/>
    </row>
    <row r="1571" spans="32:32" x14ac:dyDescent="0.2">
      <c r="AF1571" s="12"/>
    </row>
    <row r="1572" spans="32:32" x14ac:dyDescent="0.2">
      <c r="AF1572" s="12"/>
    </row>
    <row r="1573" spans="32:32" x14ac:dyDescent="0.2">
      <c r="AF1573" s="12"/>
    </row>
    <row r="1574" spans="32:32" x14ac:dyDescent="0.2">
      <c r="AF1574" s="12"/>
    </row>
    <row r="1575" spans="32:32" x14ac:dyDescent="0.2">
      <c r="AF1575" s="12"/>
    </row>
    <row r="1576" spans="32:32" x14ac:dyDescent="0.2">
      <c r="AF1576" s="12"/>
    </row>
    <row r="1577" spans="32:32" x14ac:dyDescent="0.2">
      <c r="AF1577" s="12"/>
    </row>
    <row r="1578" spans="32:32" x14ac:dyDescent="0.2">
      <c r="AF1578" s="12"/>
    </row>
    <row r="1579" spans="32:32" x14ac:dyDescent="0.2">
      <c r="AF1579" s="12"/>
    </row>
    <row r="1580" spans="32:32" x14ac:dyDescent="0.2">
      <c r="AF1580" s="12"/>
    </row>
    <row r="1581" spans="32:32" x14ac:dyDescent="0.2">
      <c r="AF1581" s="12"/>
    </row>
    <row r="1582" spans="32:32" x14ac:dyDescent="0.2">
      <c r="AF1582" s="12"/>
    </row>
    <row r="1583" spans="32:32" x14ac:dyDescent="0.2">
      <c r="AF1583" s="12"/>
    </row>
    <row r="1584" spans="32:32" x14ac:dyDescent="0.2">
      <c r="AF1584" s="12"/>
    </row>
    <row r="1585" spans="32:32" x14ac:dyDescent="0.2">
      <c r="AF1585" s="12"/>
    </row>
    <row r="1586" spans="32:32" x14ac:dyDescent="0.2">
      <c r="AF1586" s="12"/>
    </row>
    <row r="1587" spans="32:32" x14ac:dyDescent="0.2">
      <c r="AF1587" s="12"/>
    </row>
    <row r="1588" spans="32:32" x14ac:dyDescent="0.2">
      <c r="AF1588" s="12"/>
    </row>
    <row r="1589" spans="32:32" x14ac:dyDescent="0.2">
      <c r="AF1589" s="12"/>
    </row>
    <row r="1590" spans="32:32" x14ac:dyDescent="0.2">
      <c r="AF1590" s="12"/>
    </row>
    <row r="1591" spans="32:32" x14ac:dyDescent="0.2">
      <c r="AF1591" s="12"/>
    </row>
    <row r="1592" spans="32:32" x14ac:dyDescent="0.2">
      <c r="AF1592" s="12"/>
    </row>
    <row r="1593" spans="32:32" x14ac:dyDescent="0.2">
      <c r="AF1593" s="12"/>
    </row>
    <row r="1594" spans="32:32" x14ac:dyDescent="0.2">
      <c r="AF1594" s="12"/>
    </row>
    <row r="1595" spans="32:32" x14ac:dyDescent="0.2">
      <c r="AF1595" s="12"/>
    </row>
    <row r="1596" spans="32:32" x14ac:dyDescent="0.2">
      <c r="AF1596" s="12"/>
    </row>
    <row r="1597" spans="32:32" x14ac:dyDescent="0.2">
      <c r="AF1597" s="12"/>
    </row>
    <row r="1598" spans="32:32" x14ac:dyDescent="0.2">
      <c r="AF1598" s="12"/>
    </row>
    <row r="1599" spans="32:32" x14ac:dyDescent="0.2">
      <c r="AF1599" s="12"/>
    </row>
    <row r="1600" spans="32:32" x14ac:dyDescent="0.2">
      <c r="AF1600" s="12"/>
    </row>
    <row r="1601" spans="32:32" x14ac:dyDescent="0.2">
      <c r="AF1601" s="12"/>
    </row>
    <row r="1602" spans="32:32" x14ac:dyDescent="0.2">
      <c r="AF1602" s="12"/>
    </row>
    <row r="1603" spans="32:32" x14ac:dyDescent="0.2">
      <c r="AF1603" s="12"/>
    </row>
    <row r="1604" spans="32:32" x14ac:dyDescent="0.2">
      <c r="AF1604" s="12"/>
    </row>
    <row r="1605" spans="32:32" x14ac:dyDescent="0.2">
      <c r="AF1605" s="12"/>
    </row>
    <row r="1606" spans="32:32" x14ac:dyDescent="0.2">
      <c r="AF1606" s="12"/>
    </row>
    <row r="1607" spans="32:32" x14ac:dyDescent="0.2">
      <c r="AF1607" s="12"/>
    </row>
    <row r="1608" spans="32:32" x14ac:dyDescent="0.2">
      <c r="AF1608" s="12"/>
    </row>
    <row r="1609" spans="32:32" x14ac:dyDescent="0.2">
      <c r="AF1609" s="12"/>
    </row>
    <row r="1610" spans="32:32" x14ac:dyDescent="0.2">
      <c r="AF1610" s="12"/>
    </row>
    <row r="1611" spans="32:32" x14ac:dyDescent="0.2">
      <c r="AF1611" s="12"/>
    </row>
    <row r="1612" spans="32:32" x14ac:dyDescent="0.2">
      <c r="AF1612" s="12"/>
    </row>
    <row r="1613" spans="32:32" x14ac:dyDescent="0.2">
      <c r="AF1613" s="12"/>
    </row>
    <row r="1614" spans="32:32" x14ac:dyDescent="0.2">
      <c r="AF1614" s="12"/>
    </row>
    <row r="1615" spans="32:32" x14ac:dyDescent="0.2">
      <c r="AF1615" s="12"/>
    </row>
    <row r="1616" spans="32:32" x14ac:dyDescent="0.2">
      <c r="AF1616" s="12"/>
    </row>
    <row r="1617" spans="32:32" x14ac:dyDescent="0.2">
      <c r="AF1617" s="12"/>
    </row>
    <row r="1618" spans="32:32" x14ac:dyDescent="0.2">
      <c r="AF1618" s="12"/>
    </row>
    <row r="1619" spans="32:32" x14ac:dyDescent="0.2">
      <c r="AF1619" s="12"/>
    </row>
    <row r="1620" spans="32:32" x14ac:dyDescent="0.2">
      <c r="AF1620" s="12"/>
    </row>
    <row r="1621" spans="32:32" x14ac:dyDescent="0.2">
      <c r="AF1621" s="12"/>
    </row>
    <row r="1622" spans="32:32" x14ac:dyDescent="0.2">
      <c r="AF1622" s="12"/>
    </row>
    <row r="1623" spans="32:32" x14ac:dyDescent="0.2">
      <c r="AF1623" s="12"/>
    </row>
    <row r="1624" spans="32:32" x14ac:dyDescent="0.2">
      <c r="AF1624" s="12"/>
    </row>
    <row r="1625" spans="32:32" x14ac:dyDescent="0.2">
      <c r="AF1625" s="12"/>
    </row>
    <row r="1626" spans="32:32" x14ac:dyDescent="0.2">
      <c r="AF1626" s="12"/>
    </row>
    <row r="1627" spans="32:32" x14ac:dyDescent="0.2">
      <c r="AF1627" s="12"/>
    </row>
    <row r="1628" spans="32:32" x14ac:dyDescent="0.2">
      <c r="AF1628" s="12"/>
    </row>
    <row r="1629" spans="32:32" x14ac:dyDescent="0.2">
      <c r="AF1629" s="12"/>
    </row>
    <row r="1630" spans="32:32" x14ac:dyDescent="0.2">
      <c r="AF1630" s="12"/>
    </row>
    <row r="1631" spans="32:32" x14ac:dyDescent="0.2">
      <c r="AF1631" s="12"/>
    </row>
    <row r="1632" spans="32:32" x14ac:dyDescent="0.2">
      <c r="AF1632" s="12"/>
    </row>
    <row r="1633" spans="32:32" x14ac:dyDescent="0.2">
      <c r="AF1633" s="12"/>
    </row>
    <row r="1634" spans="32:32" x14ac:dyDescent="0.2">
      <c r="AF1634" s="12"/>
    </row>
    <row r="1635" spans="32:32" x14ac:dyDescent="0.2">
      <c r="AF1635" s="12"/>
    </row>
    <row r="1636" spans="32:32" x14ac:dyDescent="0.2">
      <c r="AF1636" s="12"/>
    </row>
    <row r="1637" spans="32:32" x14ac:dyDescent="0.2">
      <c r="AF1637" s="12"/>
    </row>
    <row r="1638" spans="32:32" x14ac:dyDescent="0.2">
      <c r="AF1638" s="12"/>
    </row>
    <row r="1639" spans="32:32" x14ac:dyDescent="0.2">
      <c r="AF1639" s="12"/>
    </row>
    <row r="1640" spans="32:32" x14ac:dyDescent="0.2">
      <c r="AF1640" s="12"/>
    </row>
    <row r="1641" spans="32:32" x14ac:dyDescent="0.2">
      <c r="AF1641" s="12"/>
    </row>
    <row r="1642" spans="32:32" x14ac:dyDescent="0.2">
      <c r="AF1642" s="12"/>
    </row>
    <row r="1643" spans="32:32" x14ac:dyDescent="0.2">
      <c r="AF1643" s="12"/>
    </row>
    <row r="1644" spans="32:32" x14ac:dyDescent="0.2">
      <c r="AF1644" s="12"/>
    </row>
    <row r="1645" spans="32:32" x14ac:dyDescent="0.2">
      <c r="AF1645" s="12"/>
    </row>
    <row r="1646" spans="32:32" x14ac:dyDescent="0.2">
      <c r="AF1646" s="12"/>
    </row>
    <row r="1647" spans="32:32" x14ac:dyDescent="0.2">
      <c r="AF1647" s="12"/>
    </row>
    <row r="1648" spans="32:32" x14ac:dyDescent="0.2">
      <c r="AF1648" s="12"/>
    </row>
    <row r="1649" spans="32:32" x14ac:dyDescent="0.2">
      <c r="AF1649" s="12"/>
    </row>
    <row r="1650" spans="32:32" x14ac:dyDescent="0.2">
      <c r="AF1650" s="12"/>
    </row>
    <row r="1651" spans="32:32" x14ac:dyDescent="0.2">
      <c r="AF1651" s="12"/>
    </row>
    <row r="1652" spans="32:32" x14ac:dyDescent="0.2">
      <c r="AF1652" s="12"/>
    </row>
    <row r="1653" spans="32:32" x14ac:dyDescent="0.2">
      <c r="AF1653" s="12"/>
    </row>
    <row r="1654" spans="32:32" x14ac:dyDescent="0.2">
      <c r="AF1654" s="12"/>
    </row>
    <row r="1655" spans="32:32" x14ac:dyDescent="0.2">
      <c r="AF1655" s="12"/>
    </row>
    <row r="1656" spans="32:32" x14ac:dyDescent="0.2">
      <c r="AF1656" s="12"/>
    </row>
    <row r="1657" spans="32:32" x14ac:dyDescent="0.2">
      <c r="AF1657" s="12"/>
    </row>
    <row r="1658" spans="32:32" x14ac:dyDescent="0.2">
      <c r="AF1658" s="12"/>
    </row>
    <row r="1659" spans="32:32" x14ac:dyDescent="0.2">
      <c r="AF1659" s="12"/>
    </row>
    <row r="1660" spans="32:32" x14ac:dyDescent="0.2">
      <c r="AF1660" s="12"/>
    </row>
    <row r="1661" spans="32:32" x14ac:dyDescent="0.2">
      <c r="AF1661" s="12"/>
    </row>
    <row r="1662" spans="32:32" x14ac:dyDescent="0.2">
      <c r="AF1662" s="12"/>
    </row>
    <row r="1663" spans="32:32" x14ac:dyDescent="0.2">
      <c r="AF1663" s="12"/>
    </row>
    <row r="1664" spans="32:32" x14ac:dyDescent="0.2">
      <c r="AF1664" s="12"/>
    </row>
    <row r="1665" spans="32:32" x14ac:dyDescent="0.2">
      <c r="AF1665" s="12"/>
    </row>
    <row r="1666" spans="32:32" x14ac:dyDescent="0.2">
      <c r="AF1666" s="12"/>
    </row>
    <row r="1667" spans="32:32" x14ac:dyDescent="0.2">
      <c r="AF1667" s="12"/>
    </row>
    <row r="1668" spans="32:32" x14ac:dyDescent="0.2">
      <c r="AF1668" s="12"/>
    </row>
    <row r="1669" spans="32:32" x14ac:dyDescent="0.2">
      <c r="AF1669" s="12"/>
    </row>
    <row r="1670" spans="32:32" x14ac:dyDescent="0.2">
      <c r="AF1670" s="12"/>
    </row>
    <row r="1671" spans="32:32" x14ac:dyDescent="0.2">
      <c r="AF1671" s="12"/>
    </row>
    <row r="1672" spans="32:32" x14ac:dyDescent="0.2">
      <c r="AF1672" s="12"/>
    </row>
    <row r="1673" spans="32:32" x14ac:dyDescent="0.2">
      <c r="AF1673" s="12"/>
    </row>
    <row r="1674" spans="32:32" x14ac:dyDescent="0.2">
      <c r="AF1674" s="12"/>
    </row>
    <row r="1675" spans="32:32" x14ac:dyDescent="0.2">
      <c r="AF1675" s="12"/>
    </row>
    <row r="1676" spans="32:32" x14ac:dyDescent="0.2">
      <c r="AF1676" s="12"/>
    </row>
    <row r="1677" spans="32:32" x14ac:dyDescent="0.2">
      <c r="AF1677" s="12"/>
    </row>
    <row r="1678" spans="32:32" x14ac:dyDescent="0.2">
      <c r="AF1678" s="12"/>
    </row>
    <row r="1679" spans="32:32" x14ac:dyDescent="0.2">
      <c r="AF1679" s="12"/>
    </row>
    <row r="1680" spans="32:32" x14ac:dyDescent="0.2">
      <c r="AF1680" s="12"/>
    </row>
    <row r="1681" spans="32:32" x14ac:dyDescent="0.2">
      <c r="AF1681" s="12"/>
    </row>
    <row r="1682" spans="32:32" x14ac:dyDescent="0.2">
      <c r="AF1682" s="12"/>
    </row>
    <row r="1683" spans="32:32" x14ac:dyDescent="0.2">
      <c r="AF1683" s="12"/>
    </row>
    <row r="1684" spans="32:32" x14ac:dyDescent="0.2">
      <c r="AF1684" s="12"/>
    </row>
    <row r="1685" spans="32:32" x14ac:dyDescent="0.2">
      <c r="AF1685" s="12"/>
    </row>
    <row r="1686" spans="32:32" x14ac:dyDescent="0.2">
      <c r="AF1686" s="12"/>
    </row>
    <row r="1687" spans="32:32" x14ac:dyDescent="0.2">
      <c r="AF1687" s="12"/>
    </row>
    <row r="1688" spans="32:32" x14ac:dyDescent="0.2">
      <c r="AF1688" s="12"/>
    </row>
    <row r="1689" spans="32:32" x14ac:dyDescent="0.2">
      <c r="AF1689" s="12"/>
    </row>
    <row r="1690" spans="32:32" x14ac:dyDescent="0.2">
      <c r="AF1690" s="12"/>
    </row>
    <row r="1691" spans="32:32" x14ac:dyDescent="0.2">
      <c r="AF1691" s="12"/>
    </row>
    <row r="1692" spans="32:32" x14ac:dyDescent="0.2">
      <c r="AF1692" s="12"/>
    </row>
    <row r="1693" spans="32:32" x14ac:dyDescent="0.2">
      <c r="AF1693" s="12"/>
    </row>
    <row r="1694" spans="32:32" x14ac:dyDescent="0.2">
      <c r="AF1694" s="12"/>
    </row>
    <row r="1695" spans="32:32" x14ac:dyDescent="0.2">
      <c r="AF1695" s="12"/>
    </row>
    <row r="1696" spans="32:32" x14ac:dyDescent="0.2">
      <c r="AF1696" s="12"/>
    </row>
    <row r="1697" spans="32:32" x14ac:dyDescent="0.2">
      <c r="AF1697" s="12"/>
    </row>
    <row r="1698" spans="32:32" x14ac:dyDescent="0.2">
      <c r="AF1698" s="12"/>
    </row>
    <row r="1699" spans="32:32" x14ac:dyDescent="0.2">
      <c r="AF1699" s="12"/>
    </row>
    <row r="1700" spans="32:32" x14ac:dyDescent="0.2">
      <c r="AF1700" s="12"/>
    </row>
    <row r="1701" spans="32:32" x14ac:dyDescent="0.2">
      <c r="AF1701" s="12"/>
    </row>
    <row r="1702" spans="32:32" x14ac:dyDescent="0.2">
      <c r="AF1702" s="12"/>
    </row>
    <row r="1703" spans="32:32" x14ac:dyDescent="0.2">
      <c r="AF1703" s="12"/>
    </row>
    <row r="1704" spans="32:32" x14ac:dyDescent="0.2">
      <c r="AF1704" s="12"/>
    </row>
    <row r="1705" spans="32:32" x14ac:dyDescent="0.2">
      <c r="AF1705" s="12"/>
    </row>
    <row r="1706" spans="32:32" x14ac:dyDescent="0.2">
      <c r="AF1706" s="12"/>
    </row>
    <row r="1707" spans="32:32" x14ac:dyDescent="0.2">
      <c r="AF1707" s="12"/>
    </row>
    <row r="1708" spans="32:32" x14ac:dyDescent="0.2">
      <c r="AF1708" s="12"/>
    </row>
    <row r="1709" spans="32:32" x14ac:dyDescent="0.2">
      <c r="AF1709" s="12"/>
    </row>
    <row r="1710" spans="32:32" x14ac:dyDescent="0.2">
      <c r="AF1710" s="12"/>
    </row>
    <row r="1711" spans="32:32" x14ac:dyDescent="0.2">
      <c r="AF1711" s="12"/>
    </row>
    <row r="1712" spans="32:32" x14ac:dyDescent="0.2">
      <c r="AF1712" s="12"/>
    </row>
    <row r="1713" spans="32:32" x14ac:dyDescent="0.2">
      <c r="AF1713" s="12"/>
    </row>
    <row r="1714" spans="32:32" x14ac:dyDescent="0.2">
      <c r="AF1714" s="12"/>
    </row>
    <row r="1715" spans="32:32" x14ac:dyDescent="0.2">
      <c r="AF1715" s="12"/>
    </row>
    <row r="1716" spans="32:32" x14ac:dyDescent="0.2">
      <c r="AF1716" s="12"/>
    </row>
    <row r="1717" spans="32:32" x14ac:dyDescent="0.2">
      <c r="AF1717" s="12"/>
    </row>
    <row r="1718" spans="32:32" x14ac:dyDescent="0.2">
      <c r="AF1718" s="12"/>
    </row>
    <row r="1719" spans="32:32" x14ac:dyDescent="0.2">
      <c r="AF1719" s="12"/>
    </row>
    <row r="1720" spans="32:32" x14ac:dyDescent="0.2">
      <c r="AF1720" s="12"/>
    </row>
    <row r="1721" spans="32:32" x14ac:dyDescent="0.2">
      <c r="AF1721" s="12"/>
    </row>
    <row r="1722" spans="32:32" x14ac:dyDescent="0.2">
      <c r="AF1722" s="12"/>
    </row>
    <row r="1723" spans="32:32" x14ac:dyDescent="0.2">
      <c r="AF1723" s="12"/>
    </row>
    <row r="1724" spans="32:32" x14ac:dyDescent="0.2">
      <c r="AF1724" s="12"/>
    </row>
    <row r="1725" spans="32:32" x14ac:dyDescent="0.2">
      <c r="AF1725" s="12"/>
    </row>
    <row r="1726" spans="32:32" x14ac:dyDescent="0.2">
      <c r="AF1726" s="12"/>
    </row>
    <row r="1727" spans="32:32" x14ac:dyDescent="0.2">
      <c r="AF1727" s="12"/>
    </row>
    <row r="1728" spans="32:32" x14ac:dyDescent="0.2">
      <c r="AF1728" s="12"/>
    </row>
    <row r="1729" spans="32:32" x14ac:dyDescent="0.2">
      <c r="AF1729" s="12"/>
    </row>
    <row r="1730" spans="32:32" x14ac:dyDescent="0.2">
      <c r="AF1730" s="12"/>
    </row>
    <row r="1731" spans="32:32" x14ac:dyDescent="0.2">
      <c r="AF1731" s="12"/>
    </row>
    <row r="1732" spans="32:32" x14ac:dyDescent="0.2">
      <c r="AF1732" s="12"/>
    </row>
    <row r="1733" spans="32:32" x14ac:dyDescent="0.2">
      <c r="AF1733" s="12"/>
    </row>
    <row r="1734" spans="32:32" x14ac:dyDescent="0.2">
      <c r="AF1734" s="12"/>
    </row>
    <row r="1735" spans="32:32" x14ac:dyDescent="0.2">
      <c r="AF1735" s="12"/>
    </row>
    <row r="1736" spans="32:32" x14ac:dyDescent="0.2">
      <c r="AF1736" s="12"/>
    </row>
    <row r="1737" spans="32:32" x14ac:dyDescent="0.2">
      <c r="AF1737" s="12"/>
    </row>
    <row r="1738" spans="32:32" x14ac:dyDescent="0.2">
      <c r="AF1738" s="12"/>
    </row>
    <row r="1739" spans="32:32" x14ac:dyDescent="0.2">
      <c r="AF1739" s="12"/>
    </row>
    <row r="1740" spans="32:32" x14ac:dyDescent="0.2">
      <c r="AF1740" s="12"/>
    </row>
    <row r="1741" spans="32:32" x14ac:dyDescent="0.2">
      <c r="AF1741" s="12"/>
    </row>
    <row r="1742" spans="32:32" x14ac:dyDescent="0.2">
      <c r="AF1742" s="12"/>
    </row>
    <row r="1743" spans="32:32" x14ac:dyDescent="0.2">
      <c r="AF1743" s="12"/>
    </row>
    <row r="1744" spans="32:32" x14ac:dyDescent="0.2">
      <c r="AF1744" s="12"/>
    </row>
    <row r="1745" spans="32:32" x14ac:dyDescent="0.2">
      <c r="AF1745" s="12"/>
    </row>
    <row r="1746" spans="32:32" x14ac:dyDescent="0.2">
      <c r="AF1746" s="12"/>
    </row>
    <row r="1747" spans="32:32" x14ac:dyDescent="0.2">
      <c r="AF1747" s="12"/>
    </row>
    <row r="1748" spans="32:32" x14ac:dyDescent="0.2">
      <c r="AF1748" s="12"/>
    </row>
    <row r="1749" spans="32:32" x14ac:dyDescent="0.2">
      <c r="AF1749" s="12"/>
    </row>
    <row r="1750" spans="32:32" x14ac:dyDescent="0.2">
      <c r="AF1750" s="12"/>
    </row>
    <row r="1751" spans="32:32" x14ac:dyDescent="0.2">
      <c r="AF1751" s="12"/>
    </row>
    <row r="1752" spans="32:32" x14ac:dyDescent="0.2">
      <c r="AF1752" s="12"/>
    </row>
    <row r="1753" spans="32:32" x14ac:dyDescent="0.2">
      <c r="AF1753" s="12"/>
    </row>
    <row r="1754" spans="32:32" x14ac:dyDescent="0.2">
      <c r="AF1754" s="12"/>
    </row>
    <row r="1755" spans="32:32" x14ac:dyDescent="0.2">
      <c r="AF1755" s="12"/>
    </row>
    <row r="1756" spans="32:32" x14ac:dyDescent="0.2">
      <c r="AF1756" s="12"/>
    </row>
    <row r="1757" spans="32:32" x14ac:dyDescent="0.2">
      <c r="AF1757" s="12"/>
    </row>
    <row r="1758" spans="32:32" x14ac:dyDescent="0.2">
      <c r="AF1758" s="12"/>
    </row>
    <row r="1759" spans="32:32" x14ac:dyDescent="0.2">
      <c r="AF1759" s="12"/>
    </row>
    <row r="1760" spans="32:32" x14ac:dyDescent="0.2">
      <c r="AF1760" s="12"/>
    </row>
    <row r="1761" spans="32:32" x14ac:dyDescent="0.2">
      <c r="AF1761" s="12"/>
    </row>
    <row r="1762" spans="32:32" x14ac:dyDescent="0.2">
      <c r="AF1762" s="12"/>
    </row>
    <row r="1763" spans="32:32" x14ac:dyDescent="0.2">
      <c r="AF1763" s="12"/>
    </row>
    <row r="1764" spans="32:32" x14ac:dyDescent="0.2">
      <c r="AF1764" s="12"/>
    </row>
    <row r="1765" spans="32:32" x14ac:dyDescent="0.2">
      <c r="AF1765" s="12"/>
    </row>
    <row r="1766" spans="32:32" x14ac:dyDescent="0.2">
      <c r="AF1766" s="12"/>
    </row>
    <row r="1767" spans="32:32" x14ac:dyDescent="0.2">
      <c r="AF1767" s="12"/>
    </row>
    <row r="1768" spans="32:32" x14ac:dyDescent="0.2">
      <c r="AF1768" s="12"/>
    </row>
    <row r="1769" spans="32:32" x14ac:dyDescent="0.2">
      <c r="AF1769" s="12"/>
    </row>
    <row r="1770" spans="32:32" x14ac:dyDescent="0.2">
      <c r="AF1770" s="12"/>
    </row>
    <row r="1771" spans="32:32" x14ac:dyDescent="0.2">
      <c r="AF1771" s="12"/>
    </row>
    <row r="1772" spans="32:32" x14ac:dyDescent="0.2">
      <c r="AF1772" s="12"/>
    </row>
    <row r="1773" spans="32:32" x14ac:dyDescent="0.2">
      <c r="AF1773" s="12"/>
    </row>
    <row r="1774" spans="32:32" x14ac:dyDescent="0.2">
      <c r="AF1774" s="12"/>
    </row>
    <row r="1775" spans="32:32" x14ac:dyDescent="0.2">
      <c r="AF1775" s="12"/>
    </row>
    <row r="1776" spans="32:32" x14ac:dyDescent="0.2">
      <c r="AF1776" s="12"/>
    </row>
    <row r="1777" spans="32:32" x14ac:dyDescent="0.2">
      <c r="AF1777" s="12"/>
    </row>
    <row r="1778" spans="32:32" x14ac:dyDescent="0.2">
      <c r="AF1778" s="12"/>
    </row>
    <row r="1779" spans="32:32" x14ac:dyDescent="0.2">
      <c r="AF1779" s="12"/>
    </row>
    <row r="1780" spans="32:32" x14ac:dyDescent="0.2">
      <c r="AF1780" s="12"/>
    </row>
    <row r="1781" spans="32:32" x14ac:dyDescent="0.2">
      <c r="AF1781" s="12"/>
    </row>
    <row r="1782" spans="32:32" x14ac:dyDescent="0.2">
      <c r="AF1782" s="12"/>
    </row>
    <row r="1783" spans="32:32" x14ac:dyDescent="0.2">
      <c r="AF1783" s="12"/>
    </row>
    <row r="1784" spans="32:32" x14ac:dyDescent="0.2">
      <c r="AF1784" s="12"/>
    </row>
    <row r="1785" spans="32:32" x14ac:dyDescent="0.2">
      <c r="AF1785" s="12"/>
    </row>
    <row r="1786" spans="32:32" x14ac:dyDescent="0.2">
      <c r="AF1786" s="12"/>
    </row>
    <row r="1787" spans="32:32" x14ac:dyDescent="0.2">
      <c r="AF1787" s="12"/>
    </row>
    <row r="1788" spans="32:32" x14ac:dyDescent="0.2">
      <c r="AF1788" s="12"/>
    </row>
    <row r="1789" spans="32:32" x14ac:dyDescent="0.2">
      <c r="AF1789" s="12"/>
    </row>
    <row r="1790" spans="32:32" x14ac:dyDescent="0.2">
      <c r="AF1790" s="12"/>
    </row>
    <row r="1791" spans="32:32" x14ac:dyDescent="0.2">
      <c r="AF1791" s="12"/>
    </row>
    <row r="1792" spans="32:32" x14ac:dyDescent="0.2">
      <c r="AF1792" s="12"/>
    </row>
    <row r="1793" spans="32:32" x14ac:dyDescent="0.2">
      <c r="AF1793" s="12"/>
    </row>
    <row r="1794" spans="32:32" x14ac:dyDescent="0.2">
      <c r="AF1794" s="12"/>
    </row>
    <row r="1795" spans="32:32" x14ac:dyDescent="0.2">
      <c r="AF1795" s="12"/>
    </row>
    <row r="1796" spans="32:32" x14ac:dyDescent="0.2">
      <c r="AF1796" s="12"/>
    </row>
    <row r="1797" spans="32:32" x14ac:dyDescent="0.2">
      <c r="AF1797" s="12"/>
    </row>
    <row r="1798" spans="32:32" x14ac:dyDescent="0.2">
      <c r="AF1798" s="12"/>
    </row>
    <row r="1799" spans="32:32" x14ac:dyDescent="0.2">
      <c r="AF1799" s="12"/>
    </row>
    <row r="1800" spans="32:32" x14ac:dyDescent="0.2">
      <c r="AF1800" s="12"/>
    </row>
    <row r="1801" spans="32:32" x14ac:dyDescent="0.2">
      <c r="AF1801" s="12"/>
    </row>
    <row r="1802" spans="32:32" x14ac:dyDescent="0.2">
      <c r="AF1802" s="12"/>
    </row>
    <row r="1803" spans="32:32" x14ac:dyDescent="0.2">
      <c r="AF1803" s="12"/>
    </row>
    <row r="1804" spans="32:32" x14ac:dyDescent="0.2">
      <c r="AF1804" s="12"/>
    </row>
    <row r="1805" spans="32:32" x14ac:dyDescent="0.2">
      <c r="AF1805" s="12"/>
    </row>
    <row r="1806" spans="32:32" x14ac:dyDescent="0.2">
      <c r="AF1806" s="12"/>
    </row>
    <row r="1807" spans="32:32" x14ac:dyDescent="0.2">
      <c r="AF1807" s="12"/>
    </row>
    <row r="1808" spans="32:32" x14ac:dyDescent="0.2">
      <c r="AF1808" s="12"/>
    </row>
    <row r="1809" spans="32:32" x14ac:dyDescent="0.2">
      <c r="AF1809" s="12"/>
    </row>
    <row r="1810" spans="32:32" x14ac:dyDescent="0.2">
      <c r="AF1810" s="12"/>
    </row>
    <row r="1811" spans="32:32" x14ac:dyDescent="0.2">
      <c r="AF1811" s="12"/>
    </row>
    <row r="1812" spans="32:32" x14ac:dyDescent="0.2">
      <c r="AF1812" s="12"/>
    </row>
    <row r="1813" spans="32:32" x14ac:dyDescent="0.2">
      <c r="AF1813" s="12"/>
    </row>
    <row r="1814" spans="32:32" x14ac:dyDescent="0.2">
      <c r="AF1814" s="12"/>
    </row>
    <row r="1815" spans="32:32" x14ac:dyDescent="0.2">
      <c r="AF1815" s="12"/>
    </row>
    <row r="1816" spans="32:32" x14ac:dyDescent="0.2">
      <c r="AF1816" s="12"/>
    </row>
    <row r="1817" spans="32:32" x14ac:dyDescent="0.2">
      <c r="AF1817" s="12"/>
    </row>
    <row r="1818" spans="32:32" x14ac:dyDescent="0.2">
      <c r="AF1818" s="12"/>
    </row>
    <row r="1819" spans="32:32" x14ac:dyDescent="0.2">
      <c r="AF1819" s="12"/>
    </row>
    <row r="1820" spans="32:32" x14ac:dyDescent="0.2">
      <c r="AF1820" s="12"/>
    </row>
    <row r="1821" spans="32:32" x14ac:dyDescent="0.2">
      <c r="AF1821" s="12"/>
    </row>
    <row r="1822" spans="32:32" x14ac:dyDescent="0.2">
      <c r="AF1822" s="12"/>
    </row>
    <row r="1823" spans="32:32" x14ac:dyDescent="0.2">
      <c r="AF1823" s="12"/>
    </row>
    <row r="1824" spans="32:32" x14ac:dyDescent="0.2">
      <c r="AF1824" s="12"/>
    </row>
    <row r="1825" spans="32:32" x14ac:dyDescent="0.2">
      <c r="AF1825" s="12"/>
    </row>
    <row r="1826" spans="32:32" x14ac:dyDescent="0.2">
      <c r="AF1826" s="12"/>
    </row>
    <row r="1827" spans="32:32" x14ac:dyDescent="0.2">
      <c r="AF1827" s="12"/>
    </row>
    <row r="1828" spans="32:32" x14ac:dyDescent="0.2">
      <c r="AF1828" s="12"/>
    </row>
    <row r="1829" spans="32:32" x14ac:dyDescent="0.2">
      <c r="AF1829" s="12"/>
    </row>
    <row r="1830" spans="32:32" x14ac:dyDescent="0.2">
      <c r="AF1830" s="12"/>
    </row>
    <row r="1831" spans="32:32" x14ac:dyDescent="0.2">
      <c r="AF1831" s="12"/>
    </row>
    <row r="1832" spans="32:32" x14ac:dyDescent="0.2">
      <c r="AF1832" s="12"/>
    </row>
    <row r="1833" spans="32:32" x14ac:dyDescent="0.2">
      <c r="AF1833" s="12"/>
    </row>
    <row r="1834" spans="32:32" x14ac:dyDescent="0.2">
      <c r="AF1834" s="12"/>
    </row>
    <row r="1835" spans="32:32" x14ac:dyDescent="0.2">
      <c r="AF1835" s="12"/>
    </row>
    <row r="1836" spans="32:32" x14ac:dyDescent="0.2">
      <c r="AF1836" s="12"/>
    </row>
    <row r="1837" spans="32:32" x14ac:dyDescent="0.2">
      <c r="AF1837" s="12"/>
    </row>
    <row r="1838" spans="32:32" x14ac:dyDescent="0.2">
      <c r="AF1838" s="12"/>
    </row>
    <row r="1839" spans="32:32" x14ac:dyDescent="0.2">
      <c r="AF1839" s="12"/>
    </row>
    <row r="1840" spans="32:32" x14ac:dyDescent="0.2">
      <c r="AF1840" s="12"/>
    </row>
    <row r="1841" spans="32:32" x14ac:dyDescent="0.2">
      <c r="AF1841" s="12"/>
    </row>
    <row r="1842" spans="32:32" x14ac:dyDescent="0.2">
      <c r="AF1842" s="12"/>
    </row>
    <row r="1843" spans="32:32" x14ac:dyDescent="0.2">
      <c r="AF1843" s="12"/>
    </row>
    <row r="1844" spans="32:32" x14ac:dyDescent="0.2">
      <c r="AF1844" s="12"/>
    </row>
    <row r="1845" spans="32:32" x14ac:dyDescent="0.2">
      <c r="AF1845" s="12"/>
    </row>
    <row r="1846" spans="32:32" x14ac:dyDescent="0.2">
      <c r="AF1846" s="12"/>
    </row>
    <row r="1847" spans="32:32" x14ac:dyDescent="0.2">
      <c r="AF1847" s="12"/>
    </row>
    <row r="1848" spans="32:32" x14ac:dyDescent="0.2">
      <c r="AF1848" s="12"/>
    </row>
    <row r="1849" spans="32:32" x14ac:dyDescent="0.2">
      <c r="AF1849" s="12"/>
    </row>
    <row r="1850" spans="32:32" x14ac:dyDescent="0.2">
      <c r="AF1850" s="12"/>
    </row>
    <row r="1851" spans="32:32" x14ac:dyDescent="0.2">
      <c r="AF1851" s="12"/>
    </row>
    <row r="1852" spans="32:32" x14ac:dyDescent="0.2">
      <c r="AF1852" s="12"/>
    </row>
    <row r="1853" spans="32:32" x14ac:dyDescent="0.2">
      <c r="AF1853" s="12"/>
    </row>
    <row r="1854" spans="32:32" x14ac:dyDescent="0.2">
      <c r="AF1854" s="12"/>
    </row>
    <row r="1855" spans="32:32" x14ac:dyDescent="0.2">
      <c r="AF1855" s="12"/>
    </row>
    <row r="1856" spans="32:32" x14ac:dyDescent="0.2">
      <c r="AF1856" s="12"/>
    </row>
    <row r="1857" spans="32:32" x14ac:dyDescent="0.2">
      <c r="AF1857" s="12"/>
    </row>
    <row r="1858" spans="32:32" x14ac:dyDescent="0.2">
      <c r="AF1858" s="12"/>
    </row>
    <row r="1859" spans="32:32" x14ac:dyDescent="0.2">
      <c r="AF1859" s="12"/>
    </row>
    <row r="1860" spans="32:32" x14ac:dyDescent="0.2">
      <c r="AF1860" s="12"/>
    </row>
    <row r="1861" spans="32:32" x14ac:dyDescent="0.2">
      <c r="AF1861" s="12"/>
    </row>
    <row r="1862" spans="32:32" x14ac:dyDescent="0.2">
      <c r="AF1862" s="12"/>
    </row>
    <row r="1863" spans="32:32" x14ac:dyDescent="0.2">
      <c r="AF1863" s="12"/>
    </row>
    <row r="1864" spans="32:32" x14ac:dyDescent="0.2">
      <c r="AF1864" s="12"/>
    </row>
    <row r="1865" spans="32:32" x14ac:dyDescent="0.2">
      <c r="AF1865" s="12"/>
    </row>
    <row r="1866" spans="32:32" x14ac:dyDescent="0.2">
      <c r="AF1866" s="12"/>
    </row>
    <row r="1867" spans="32:32" x14ac:dyDescent="0.2">
      <c r="AF1867" s="12"/>
    </row>
    <row r="1868" spans="32:32" x14ac:dyDescent="0.2">
      <c r="AF1868" s="12"/>
    </row>
    <row r="1869" spans="32:32" x14ac:dyDescent="0.2">
      <c r="AF1869" s="12"/>
    </row>
    <row r="1870" spans="32:32" x14ac:dyDescent="0.2">
      <c r="AF1870" s="12"/>
    </row>
    <row r="1871" spans="32:32" x14ac:dyDescent="0.2">
      <c r="AF1871" s="12"/>
    </row>
    <row r="1872" spans="32:32" x14ac:dyDescent="0.2">
      <c r="AF1872" s="12"/>
    </row>
    <row r="1873" spans="32:32" x14ac:dyDescent="0.2">
      <c r="AF1873" s="12"/>
    </row>
    <row r="1874" spans="32:32" x14ac:dyDescent="0.2">
      <c r="AF1874" s="12"/>
    </row>
    <row r="1875" spans="32:32" x14ac:dyDescent="0.2">
      <c r="AF1875" s="12"/>
    </row>
    <row r="1876" spans="32:32" x14ac:dyDescent="0.2">
      <c r="AF1876" s="12"/>
    </row>
    <row r="1877" spans="32:32" x14ac:dyDescent="0.2">
      <c r="AF1877" s="12"/>
    </row>
    <row r="1878" spans="32:32" x14ac:dyDescent="0.2">
      <c r="AF1878" s="12"/>
    </row>
    <row r="1879" spans="32:32" x14ac:dyDescent="0.2">
      <c r="AF1879" s="12"/>
    </row>
    <row r="1880" spans="32:32" x14ac:dyDescent="0.2">
      <c r="AF1880" s="12"/>
    </row>
    <row r="1881" spans="32:32" x14ac:dyDescent="0.2">
      <c r="AF1881" s="12"/>
    </row>
    <row r="1882" spans="32:32" x14ac:dyDescent="0.2">
      <c r="AF1882" s="12"/>
    </row>
    <row r="1883" spans="32:32" x14ac:dyDescent="0.2">
      <c r="AF1883" s="12"/>
    </row>
    <row r="1884" spans="32:32" x14ac:dyDescent="0.2">
      <c r="AF1884" s="12"/>
    </row>
    <row r="1885" spans="32:32" x14ac:dyDescent="0.2">
      <c r="AF1885" s="12"/>
    </row>
    <row r="1886" spans="32:32" x14ac:dyDescent="0.2">
      <c r="AF1886" s="12"/>
    </row>
    <row r="1887" spans="32:32" x14ac:dyDescent="0.2">
      <c r="AF1887" s="12"/>
    </row>
    <row r="1888" spans="32:32" x14ac:dyDescent="0.2">
      <c r="AF1888" s="12"/>
    </row>
    <row r="1889" spans="32:32" x14ac:dyDescent="0.2">
      <c r="AF1889" s="12"/>
    </row>
    <row r="1890" spans="32:32" x14ac:dyDescent="0.2">
      <c r="AF1890" s="12"/>
    </row>
    <row r="1891" spans="32:32" x14ac:dyDescent="0.2">
      <c r="AF1891" s="12"/>
    </row>
    <row r="1892" spans="32:32" x14ac:dyDescent="0.2">
      <c r="AF1892" s="12"/>
    </row>
    <row r="1893" spans="32:32" x14ac:dyDescent="0.2">
      <c r="AF1893" s="12"/>
    </row>
    <row r="1894" spans="32:32" x14ac:dyDescent="0.2">
      <c r="AF1894" s="12"/>
    </row>
    <row r="1895" spans="32:32" x14ac:dyDescent="0.2">
      <c r="AF1895" s="12"/>
    </row>
    <row r="1896" spans="32:32" x14ac:dyDescent="0.2">
      <c r="AF1896" s="12"/>
    </row>
    <row r="1897" spans="32:32" x14ac:dyDescent="0.2">
      <c r="AF1897" s="12"/>
    </row>
    <row r="1898" spans="32:32" x14ac:dyDescent="0.2">
      <c r="AF1898" s="12"/>
    </row>
    <row r="1899" spans="32:32" x14ac:dyDescent="0.2">
      <c r="AF1899" s="12"/>
    </row>
    <row r="1900" spans="32:32" x14ac:dyDescent="0.2">
      <c r="AF1900" s="12"/>
    </row>
    <row r="1901" spans="32:32" x14ac:dyDescent="0.2">
      <c r="AF1901" s="12"/>
    </row>
    <row r="1902" spans="32:32" x14ac:dyDescent="0.2">
      <c r="AF1902" s="12"/>
    </row>
    <row r="1903" spans="32:32" x14ac:dyDescent="0.2">
      <c r="AF1903" s="12"/>
    </row>
    <row r="1904" spans="32:32" x14ac:dyDescent="0.2">
      <c r="AF1904" s="12"/>
    </row>
    <row r="1905" spans="32:32" x14ac:dyDescent="0.2">
      <c r="AF1905" s="12"/>
    </row>
    <row r="1906" spans="32:32" x14ac:dyDescent="0.2">
      <c r="AF1906" s="12"/>
    </row>
    <row r="1907" spans="32:32" x14ac:dyDescent="0.2">
      <c r="AF1907" s="12"/>
    </row>
    <row r="1908" spans="32:32" x14ac:dyDescent="0.2">
      <c r="AF1908" s="12"/>
    </row>
    <row r="1909" spans="32:32" x14ac:dyDescent="0.2">
      <c r="AF1909" s="12"/>
    </row>
    <row r="1910" spans="32:32" x14ac:dyDescent="0.2">
      <c r="AF1910" s="12"/>
    </row>
    <row r="1911" spans="32:32" x14ac:dyDescent="0.2">
      <c r="AF1911" s="12"/>
    </row>
    <row r="1912" spans="32:32" x14ac:dyDescent="0.2">
      <c r="AF1912" s="12"/>
    </row>
    <row r="1913" spans="32:32" x14ac:dyDescent="0.2">
      <c r="AF1913" s="12"/>
    </row>
    <row r="1914" spans="32:32" x14ac:dyDescent="0.2">
      <c r="AF1914" s="12"/>
    </row>
    <row r="1915" spans="32:32" x14ac:dyDescent="0.2">
      <c r="AF1915" s="12"/>
    </row>
    <row r="1916" spans="32:32" x14ac:dyDescent="0.2">
      <c r="AF1916" s="12"/>
    </row>
    <row r="1917" spans="32:32" x14ac:dyDescent="0.2">
      <c r="AF1917" s="12"/>
    </row>
    <row r="1918" spans="32:32" x14ac:dyDescent="0.2">
      <c r="AF1918" s="12"/>
    </row>
    <row r="1919" spans="32:32" x14ac:dyDescent="0.2">
      <c r="AF1919" s="12"/>
    </row>
    <row r="1920" spans="32:32" x14ac:dyDescent="0.2">
      <c r="AF1920" s="12"/>
    </row>
    <row r="1921" spans="32:32" x14ac:dyDescent="0.2">
      <c r="AF1921" s="12"/>
    </row>
    <row r="1922" spans="32:32" x14ac:dyDescent="0.2">
      <c r="AF1922" s="12"/>
    </row>
    <row r="1923" spans="32:32" x14ac:dyDescent="0.2">
      <c r="AF1923" s="12"/>
    </row>
    <row r="1924" spans="32:32" x14ac:dyDescent="0.2">
      <c r="AF1924" s="12"/>
    </row>
    <row r="1925" spans="32:32" x14ac:dyDescent="0.2">
      <c r="AF1925" s="12"/>
    </row>
    <row r="1926" spans="32:32" x14ac:dyDescent="0.2">
      <c r="AF1926" s="12"/>
    </row>
    <row r="1927" spans="32:32" x14ac:dyDescent="0.2">
      <c r="AF1927" s="12"/>
    </row>
    <row r="1928" spans="32:32" x14ac:dyDescent="0.2">
      <c r="AF1928" s="12"/>
    </row>
    <row r="1929" spans="32:32" x14ac:dyDescent="0.2">
      <c r="AF1929" s="12"/>
    </row>
    <row r="1930" spans="32:32" x14ac:dyDescent="0.2">
      <c r="AF1930" s="12"/>
    </row>
    <row r="1931" spans="32:32" x14ac:dyDescent="0.2">
      <c r="AF1931" s="12"/>
    </row>
    <row r="1932" spans="32:32" x14ac:dyDescent="0.2">
      <c r="AF1932" s="12"/>
    </row>
    <row r="1933" spans="32:32" x14ac:dyDescent="0.2">
      <c r="AF1933" s="12"/>
    </row>
    <row r="1934" spans="32:32" x14ac:dyDescent="0.2">
      <c r="AF1934" s="12"/>
    </row>
    <row r="1935" spans="32:32" x14ac:dyDescent="0.2">
      <c r="AF1935" s="12"/>
    </row>
    <row r="1936" spans="32:32" x14ac:dyDescent="0.2">
      <c r="AF1936" s="12"/>
    </row>
    <row r="1937" spans="32:32" x14ac:dyDescent="0.2">
      <c r="AF1937" s="12"/>
    </row>
    <row r="1938" spans="32:32" x14ac:dyDescent="0.2">
      <c r="AF1938" s="12"/>
    </row>
    <row r="1939" spans="32:32" x14ac:dyDescent="0.2">
      <c r="AF1939" s="12"/>
    </row>
    <row r="1940" spans="32:32" x14ac:dyDescent="0.2">
      <c r="AF1940" s="12"/>
    </row>
    <row r="1941" spans="32:32" x14ac:dyDescent="0.2">
      <c r="AF1941" s="12"/>
    </row>
    <row r="1942" spans="32:32" x14ac:dyDescent="0.2">
      <c r="AF1942" s="12"/>
    </row>
    <row r="1943" spans="32:32" x14ac:dyDescent="0.2">
      <c r="AF1943" s="12"/>
    </row>
    <row r="1944" spans="32:32" x14ac:dyDescent="0.2">
      <c r="AF1944" s="12"/>
    </row>
    <row r="1945" spans="32:32" x14ac:dyDescent="0.2">
      <c r="AF1945" s="12"/>
    </row>
    <row r="1946" spans="32:32" x14ac:dyDescent="0.2">
      <c r="AF1946" s="12"/>
    </row>
    <row r="1947" spans="32:32" x14ac:dyDescent="0.2">
      <c r="AF1947" s="12"/>
    </row>
    <row r="1948" spans="32:32" x14ac:dyDescent="0.2">
      <c r="AF1948" s="12"/>
    </row>
    <row r="1949" spans="32:32" x14ac:dyDescent="0.2">
      <c r="AF1949" s="12"/>
    </row>
    <row r="1950" spans="32:32" x14ac:dyDescent="0.2">
      <c r="AF1950" s="12"/>
    </row>
    <row r="1951" spans="32:32" x14ac:dyDescent="0.2">
      <c r="AF1951" s="12"/>
    </row>
    <row r="1952" spans="32:32" x14ac:dyDescent="0.2">
      <c r="AF1952" s="12"/>
    </row>
    <row r="1953" spans="32:32" x14ac:dyDescent="0.2">
      <c r="AF1953" s="12"/>
    </row>
    <row r="1954" spans="32:32" x14ac:dyDescent="0.2">
      <c r="AF1954" s="12"/>
    </row>
    <row r="1955" spans="32:32" x14ac:dyDescent="0.2">
      <c r="AF1955" s="12"/>
    </row>
    <row r="1956" spans="32:32" x14ac:dyDescent="0.2">
      <c r="AF1956" s="12"/>
    </row>
    <row r="1957" spans="32:32" x14ac:dyDescent="0.2">
      <c r="AF1957" s="12"/>
    </row>
    <row r="1958" spans="32:32" x14ac:dyDescent="0.2">
      <c r="AF1958" s="12"/>
    </row>
    <row r="1959" spans="32:32" x14ac:dyDescent="0.2">
      <c r="AF1959" s="12"/>
    </row>
    <row r="1960" spans="32:32" x14ac:dyDescent="0.2">
      <c r="AF1960" s="12"/>
    </row>
    <row r="1961" spans="32:32" x14ac:dyDescent="0.2">
      <c r="AF1961" s="12"/>
    </row>
    <row r="1962" spans="32:32" x14ac:dyDescent="0.2">
      <c r="AF1962" s="12"/>
    </row>
    <row r="1963" spans="32:32" x14ac:dyDescent="0.2">
      <c r="AF1963" s="12"/>
    </row>
    <row r="1964" spans="32:32" x14ac:dyDescent="0.2">
      <c r="AF1964" s="12"/>
    </row>
    <row r="1965" spans="32:32" x14ac:dyDescent="0.2">
      <c r="AF1965" s="12"/>
    </row>
    <row r="1966" spans="32:32" x14ac:dyDescent="0.2">
      <c r="AF1966" s="12"/>
    </row>
    <row r="1967" spans="32:32" x14ac:dyDescent="0.2">
      <c r="AF1967" s="12"/>
    </row>
    <row r="1968" spans="32:32" x14ac:dyDescent="0.2">
      <c r="AF1968" s="12"/>
    </row>
    <row r="1969" spans="32:32" x14ac:dyDescent="0.2">
      <c r="AF1969" s="12"/>
    </row>
    <row r="1970" spans="32:32" x14ac:dyDescent="0.2">
      <c r="AF1970" s="12"/>
    </row>
    <row r="1971" spans="32:32" x14ac:dyDescent="0.2">
      <c r="AF1971" s="12"/>
    </row>
    <row r="1972" spans="32:32" x14ac:dyDescent="0.2">
      <c r="AF1972" s="12"/>
    </row>
    <row r="1973" spans="32:32" x14ac:dyDescent="0.2">
      <c r="AF1973" s="12"/>
    </row>
    <row r="1974" spans="32:32" x14ac:dyDescent="0.2">
      <c r="AF1974" s="12"/>
    </row>
    <row r="1975" spans="32:32" x14ac:dyDescent="0.2">
      <c r="AF1975" s="12"/>
    </row>
    <row r="1976" spans="32:32" x14ac:dyDescent="0.2">
      <c r="AF1976" s="12"/>
    </row>
    <row r="1977" spans="32:32" x14ac:dyDescent="0.2">
      <c r="AF1977" s="12"/>
    </row>
    <row r="1978" spans="32:32" x14ac:dyDescent="0.2">
      <c r="AF1978" s="12"/>
    </row>
    <row r="1979" spans="32:32" x14ac:dyDescent="0.2">
      <c r="AF1979" s="12"/>
    </row>
    <row r="1980" spans="32:32" x14ac:dyDescent="0.2">
      <c r="AF1980" s="12"/>
    </row>
    <row r="1981" spans="32:32" x14ac:dyDescent="0.2">
      <c r="AF1981" s="12"/>
    </row>
    <row r="1982" spans="32:32" x14ac:dyDescent="0.2">
      <c r="AF1982" s="12"/>
    </row>
    <row r="1983" spans="32:32" x14ac:dyDescent="0.2">
      <c r="AF1983" s="12"/>
    </row>
    <row r="1984" spans="32:32" x14ac:dyDescent="0.2">
      <c r="AF1984" s="12"/>
    </row>
    <row r="1985" spans="32:32" x14ac:dyDescent="0.2">
      <c r="AF1985" s="12"/>
    </row>
    <row r="1986" spans="32:32" x14ac:dyDescent="0.2">
      <c r="AF1986" s="12"/>
    </row>
    <row r="1987" spans="32:32" x14ac:dyDescent="0.2">
      <c r="AF1987" s="12"/>
    </row>
    <row r="1988" spans="32:32" x14ac:dyDescent="0.2">
      <c r="AF1988" s="12"/>
    </row>
    <row r="1989" spans="32:32" x14ac:dyDescent="0.2">
      <c r="AF1989" s="12"/>
    </row>
    <row r="1990" spans="32:32" x14ac:dyDescent="0.2">
      <c r="AF1990" s="12"/>
    </row>
    <row r="1991" spans="32:32" x14ac:dyDescent="0.2">
      <c r="AF1991" s="12"/>
    </row>
    <row r="1992" spans="32:32" x14ac:dyDescent="0.2">
      <c r="AF1992" s="12"/>
    </row>
    <row r="1993" spans="32:32" x14ac:dyDescent="0.2">
      <c r="AF1993" s="12"/>
    </row>
    <row r="1994" spans="32:32" x14ac:dyDescent="0.2">
      <c r="AF1994" s="12"/>
    </row>
    <row r="1995" spans="32:32" x14ac:dyDescent="0.2">
      <c r="AF1995" s="12"/>
    </row>
    <row r="1996" spans="32:32" x14ac:dyDescent="0.2">
      <c r="AF1996" s="12"/>
    </row>
    <row r="1997" spans="32:32" x14ac:dyDescent="0.2">
      <c r="AF1997" s="12"/>
    </row>
    <row r="1998" spans="32:32" x14ac:dyDescent="0.2">
      <c r="AF1998" s="12"/>
    </row>
    <row r="1999" spans="32:32" x14ac:dyDescent="0.2">
      <c r="AF1999" s="12"/>
    </row>
    <row r="2000" spans="32:32" x14ac:dyDescent="0.2">
      <c r="AF2000" s="12"/>
    </row>
    <row r="2001" spans="32:32" x14ac:dyDescent="0.2">
      <c r="AF2001" s="12"/>
    </row>
    <row r="2002" spans="32:32" x14ac:dyDescent="0.2">
      <c r="AF2002" s="12"/>
    </row>
    <row r="2003" spans="32:32" x14ac:dyDescent="0.2">
      <c r="AF2003" s="12"/>
    </row>
    <row r="2004" spans="32:32" x14ac:dyDescent="0.2">
      <c r="AF2004" s="12"/>
    </row>
    <row r="2005" spans="32:32" x14ac:dyDescent="0.2">
      <c r="AF2005" s="12"/>
    </row>
    <row r="2006" spans="32:32" x14ac:dyDescent="0.2">
      <c r="AF2006" s="12"/>
    </row>
    <row r="2007" spans="32:32" x14ac:dyDescent="0.2">
      <c r="AF2007" s="12"/>
    </row>
    <row r="2008" spans="32:32" x14ac:dyDescent="0.2">
      <c r="AF2008" s="12"/>
    </row>
    <row r="2009" spans="32:32" x14ac:dyDescent="0.2">
      <c r="AF2009" s="12"/>
    </row>
    <row r="2010" spans="32:32" x14ac:dyDescent="0.2">
      <c r="AF2010" s="12"/>
    </row>
    <row r="2011" spans="32:32" x14ac:dyDescent="0.2">
      <c r="AF2011" s="12"/>
    </row>
    <row r="2012" spans="32:32" x14ac:dyDescent="0.2">
      <c r="AF2012" s="12"/>
    </row>
    <row r="2013" spans="32:32" x14ac:dyDescent="0.2">
      <c r="AF2013" s="12"/>
    </row>
    <row r="2014" spans="32:32" x14ac:dyDescent="0.2">
      <c r="AF2014" s="12"/>
    </row>
    <row r="2015" spans="32:32" x14ac:dyDescent="0.2">
      <c r="AF2015" s="12"/>
    </row>
    <row r="2016" spans="32:32" x14ac:dyDescent="0.2">
      <c r="AF2016" s="12"/>
    </row>
    <row r="2017" spans="32:32" x14ac:dyDescent="0.2">
      <c r="AF2017" s="12"/>
    </row>
    <row r="2018" spans="32:32" x14ac:dyDescent="0.2">
      <c r="AF2018" s="12"/>
    </row>
    <row r="2019" spans="32:32" x14ac:dyDescent="0.2">
      <c r="AF2019" s="12"/>
    </row>
    <row r="2020" spans="32:32" x14ac:dyDescent="0.2">
      <c r="AF2020" s="12"/>
    </row>
    <row r="2021" spans="32:32" x14ac:dyDescent="0.2">
      <c r="AF2021" s="12"/>
    </row>
    <row r="2022" spans="32:32" x14ac:dyDescent="0.2">
      <c r="AF2022" s="12"/>
    </row>
    <row r="2023" spans="32:32" x14ac:dyDescent="0.2">
      <c r="AF2023" s="12"/>
    </row>
    <row r="2024" spans="32:32" x14ac:dyDescent="0.2">
      <c r="AF2024" s="12"/>
    </row>
    <row r="2025" spans="32:32" x14ac:dyDescent="0.2">
      <c r="AF2025" s="12"/>
    </row>
    <row r="2026" spans="32:32" x14ac:dyDescent="0.2">
      <c r="AF2026" s="12"/>
    </row>
    <row r="2027" spans="32:32" x14ac:dyDescent="0.2">
      <c r="AF2027" s="12"/>
    </row>
    <row r="2028" spans="32:32" x14ac:dyDescent="0.2">
      <c r="AF2028" s="12"/>
    </row>
    <row r="2029" spans="32:32" x14ac:dyDescent="0.2">
      <c r="AF2029" s="12"/>
    </row>
    <row r="2030" spans="32:32" x14ac:dyDescent="0.2">
      <c r="AF2030" s="12"/>
    </row>
    <row r="2031" spans="32:32" x14ac:dyDescent="0.2">
      <c r="AF2031" s="12"/>
    </row>
    <row r="2032" spans="32:32" x14ac:dyDescent="0.2">
      <c r="AF2032" s="12"/>
    </row>
    <row r="2033" spans="32:32" x14ac:dyDescent="0.2">
      <c r="AF2033" s="12"/>
    </row>
    <row r="2034" spans="32:32" x14ac:dyDescent="0.2">
      <c r="AF2034" s="12"/>
    </row>
    <row r="2035" spans="32:32" x14ac:dyDescent="0.2">
      <c r="AF2035" s="12"/>
    </row>
    <row r="2036" spans="32:32" x14ac:dyDescent="0.2">
      <c r="AF2036" s="12"/>
    </row>
    <row r="2037" spans="32:32" x14ac:dyDescent="0.2">
      <c r="AF2037" s="12"/>
    </row>
    <row r="2038" spans="32:32" x14ac:dyDescent="0.2">
      <c r="AF2038" s="12"/>
    </row>
    <row r="2039" spans="32:32" x14ac:dyDescent="0.2">
      <c r="AF2039" s="12"/>
    </row>
    <row r="2040" spans="32:32" x14ac:dyDescent="0.2">
      <c r="AF2040" s="12"/>
    </row>
    <row r="2041" spans="32:32" x14ac:dyDescent="0.2">
      <c r="AF2041" s="12"/>
    </row>
    <row r="2042" spans="32:32" x14ac:dyDescent="0.2">
      <c r="AF2042" s="12"/>
    </row>
    <row r="2043" spans="32:32" x14ac:dyDescent="0.2">
      <c r="AF2043" s="12"/>
    </row>
    <row r="2044" spans="32:32" x14ac:dyDescent="0.2">
      <c r="AF2044" s="12"/>
    </row>
    <row r="2045" spans="32:32" x14ac:dyDescent="0.2">
      <c r="AF2045" s="12"/>
    </row>
    <row r="2046" spans="32:32" x14ac:dyDescent="0.2">
      <c r="AF2046" s="12"/>
    </row>
    <row r="2047" spans="32:32" x14ac:dyDescent="0.2">
      <c r="AF2047" s="12"/>
    </row>
    <row r="2048" spans="32:32" x14ac:dyDescent="0.2">
      <c r="AF2048" s="12"/>
    </row>
    <row r="2049" spans="32:32" x14ac:dyDescent="0.2">
      <c r="AF2049" s="12"/>
    </row>
    <row r="2050" spans="32:32" x14ac:dyDescent="0.2">
      <c r="AF2050" s="12"/>
    </row>
    <row r="2051" spans="32:32" x14ac:dyDescent="0.2">
      <c r="AF2051" s="12"/>
    </row>
    <row r="2052" spans="32:32" x14ac:dyDescent="0.2">
      <c r="AF2052" s="12"/>
    </row>
    <row r="2053" spans="32:32" x14ac:dyDescent="0.2">
      <c r="AF2053" s="12"/>
    </row>
    <row r="2054" spans="32:32" x14ac:dyDescent="0.2">
      <c r="AF2054" s="12"/>
    </row>
    <row r="2055" spans="32:32" x14ac:dyDescent="0.2">
      <c r="AF2055" s="12"/>
    </row>
    <row r="2056" spans="32:32" x14ac:dyDescent="0.2">
      <c r="AF2056" s="12"/>
    </row>
    <row r="2057" spans="32:32" x14ac:dyDescent="0.2">
      <c r="AF2057" s="12"/>
    </row>
    <row r="2058" spans="32:32" x14ac:dyDescent="0.2">
      <c r="AF2058" s="12"/>
    </row>
    <row r="2059" spans="32:32" x14ac:dyDescent="0.2">
      <c r="AF2059" s="12"/>
    </row>
    <row r="2060" spans="32:32" x14ac:dyDescent="0.2">
      <c r="AF2060" s="12"/>
    </row>
    <row r="2061" spans="32:32" x14ac:dyDescent="0.2">
      <c r="AF2061" s="12"/>
    </row>
    <row r="2062" spans="32:32" x14ac:dyDescent="0.2">
      <c r="AF2062" s="12"/>
    </row>
    <row r="2063" spans="32:32" x14ac:dyDescent="0.2">
      <c r="AF2063" s="12"/>
    </row>
    <row r="2064" spans="32:32" x14ac:dyDescent="0.2">
      <c r="AF2064" s="12"/>
    </row>
    <row r="2065" spans="32:32" x14ac:dyDescent="0.2">
      <c r="AF2065" s="12"/>
    </row>
    <row r="2066" spans="32:32" x14ac:dyDescent="0.2">
      <c r="AF2066" s="12"/>
    </row>
    <row r="2067" spans="32:32" x14ac:dyDescent="0.2">
      <c r="AF2067" s="12"/>
    </row>
    <row r="2068" spans="32:32" x14ac:dyDescent="0.2">
      <c r="AF2068" s="12"/>
    </row>
    <row r="2069" spans="32:32" x14ac:dyDescent="0.2">
      <c r="AF2069" s="12"/>
    </row>
    <row r="2070" spans="32:32" x14ac:dyDescent="0.2">
      <c r="AF2070" s="12"/>
    </row>
    <row r="2071" spans="32:32" x14ac:dyDescent="0.2">
      <c r="AF2071" s="12"/>
    </row>
    <row r="2072" spans="32:32" x14ac:dyDescent="0.2">
      <c r="AF2072" s="12"/>
    </row>
    <row r="2073" spans="32:32" x14ac:dyDescent="0.2">
      <c r="AF2073" s="12"/>
    </row>
    <row r="2074" spans="32:32" x14ac:dyDescent="0.2">
      <c r="AF2074" s="12"/>
    </row>
    <row r="2075" spans="32:32" x14ac:dyDescent="0.2">
      <c r="AF2075" s="12"/>
    </row>
    <row r="2076" spans="32:32" x14ac:dyDescent="0.2">
      <c r="AF2076" s="12"/>
    </row>
    <row r="2077" spans="32:32" x14ac:dyDescent="0.2">
      <c r="AF2077" s="12"/>
    </row>
    <row r="2078" spans="32:32" x14ac:dyDescent="0.2">
      <c r="AF2078" s="12"/>
    </row>
    <row r="2079" spans="32:32" x14ac:dyDescent="0.2">
      <c r="AF2079" s="12"/>
    </row>
    <row r="2080" spans="32:32" x14ac:dyDescent="0.2">
      <c r="AF2080" s="12"/>
    </row>
    <row r="2081" spans="32:32" x14ac:dyDescent="0.2">
      <c r="AF2081" s="12"/>
    </row>
    <row r="2082" spans="32:32" x14ac:dyDescent="0.2">
      <c r="AF2082" s="12"/>
    </row>
    <row r="2083" spans="32:32" x14ac:dyDescent="0.2">
      <c r="AF2083" s="12"/>
    </row>
    <row r="2084" spans="32:32" x14ac:dyDescent="0.2">
      <c r="AF2084" s="12"/>
    </row>
    <row r="2085" spans="32:32" x14ac:dyDescent="0.2">
      <c r="AF2085" s="12"/>
    </row>
    <row r="2086" spans="32:32" x14ac:dyDescent="0.2">
      <c r="AF2086" s="12"/>
    </row>
    <row r="2087" spans="32:32" x14ac:dyDescent="0.2">
      <c r="AF2087" s="12"/>
    </row>
    <row r="2088" spans="32:32" x14ac:dyDescent="0.2">
      <c r="AF2088" s="12"/>
    </row>
    <row r="2089" spans="32:32" x14ac:dyDescent="0.2">
      <c r="AF2089" s="12"/>
    </row>
    <row r="2090" spans="32:32" x14ac:dyDescent="0.2">
      <c r="AF2090" s="12"/>
    </row>
    <row r="2091" spans="32:32" x14ac:dyDescent="0.2">
      <c r="AF2091" s="12"/>
    </row>
    <row r="2092" spans="32:32" x14ac:dyDescent="0.2">
      <c r="AF2092" s="12"/>
    </row>
    <row r="2093" spans="32:32" x14ac:dyDescent="0.2">
      <c r="AF2093" s="12"/>
    </row>
    <row r="2094" spans="32:32" x14ac:dyDescent="0.2">
      <c r="AF2094" s="12"/>
    </row>
    <row r="2095" spans="32:32" x14ac:dyDescent="0.2">
      <c r="AF2095" s="12"/>
    </row>
    <row r="2096" spans="32:32" x14ac:dyDescent="0.2">
      <c r="AF2096" s="12"/>
    </row>
    <row r="2097" spans="32:32" x14ac:dyDescent="0.2">
      <c r="AF2097" s="12"/>
    </row>
    <row r="2098" spans="32:32" x14ac:dyDescent="0.2">
      <c r="AF2098" s="12"/>
    </row>
    <row r="2099" spans="32:32" x14ac:dyDescent="0.2">
      <c r="AF2099" s="12"/>
    </row>
    <row r="2100" spans="32:32" x14ac:dyDescent="0.2">
      <c r="AF2100" s="12"/>
    </row>
    <row r="2101" spans="32:32" x14ac:dyDescent="0.2">
      <c r="AF2101" s="12"/>
    </row>
    <row r="2102" spans="32:32" x14ac:dyDescent="0.2">
      <c r="AF2102" s="12"/>
    </row>
    <row r="2103" spans="32:32" x14ac:dyDescent="0.2">
      <c r="AF2103" s="12"/>
    </row>
    <row r="2104" spans="32:32" x14ac:dyDescent="0.2">
      <c r="AF2104" s="12"/>
    </row>
    <row r="2105" spans="32:32" x14ac:dyDescent="0.2">
      <c r="AF2105" s="12"/>
    </row>
    <row r="2106" spans="32:32" x14ac:dyDescent="0.2">
      <c r="AF2106" s="12"/>
    </row>
    <row r="2107" spans="32:32" x14ac:dyDescent="0.2">
      <c r="AF2107" s="12"/>
    </row>
    <row r="2108" spans="32:32" x14ac:dyDescent="0.2">
      <c r="AF2108" s="12"/>
    </row>
    <row r="2109" spans="32:32" x14ac:dyDescent="0.2">
      <c r="AF2109" s="12"/>
    </row>
    <row r="2110" spans="32:32" x14ac:dyDescent="0.2">
      <c r="AF2110" s="12"/>
    </row>
    <row r="2111" spans="32:32" x14ac:dyDescent="0.2">
      <c r="AF2111" s="12"/>
    </row>
    <row r="2112" spans="32:32" x14ac:dyDescent="0.2">
      <c r="AF2112" s="12"/>
    </row>
    <row r="2113" spans="32:32" x14ac:dyDescent="0.2">
      <c r="AF2113" s="12"/>
    </row>
    <row r="2114" spans="32:32" x14ac:dyDescent="0.2">
      <c r="AF2114" s="12"/>
    </row>
    <row r="2115" spans="32:32" x14ac:dyDescent="0.2">
      <c r="AF2115" s="12"/>
    </row>
    <row r="2116" spans="32:32" x14ac:dyDescent="0.2">
      <c r="AF2116" s="12"/>
    </row>
    <row r="2117" spans="32:32" x14ac:dyDescent="0.2">
      <c r="AF2117" s="12"/>
    </row>
    <row r="2118" spans="32:32" x14ac:dyDescent="0.2">
      <c r="AF2118" s="12"/>
    </row>
    <row r="2119" spans="32:32" x14ac:dyDescent="0.2">
      <c r="AF2119" s="12"/>
    </row>
    <row r="2120" spans="32:32" x14ac:dyDescent="0.2">
      <c r="AF2120" s="12"/>
    </row>
    <row r="2121" spans="32:32" x14ac:dyDescent="0.2">
      <c r="AF2121" s="12"/>
    </row>
    <row r="2122" spans="32:32" x14ac:dyDescent="0.2">
      <c r="AF2122" s="12"/>
    </row>
    <row r="2123" spans="32:32" x14ac:dyDescent="0.2">
      <c r="AF2123" s="12"/>
    </row>
    <row r="2124" spans="32:32" x14ac:dyDescent="0.2">
      <c r="AF2124" s="12"/>
    </row>
    <row r="2125" spans="32:32" x14ac:dyDescent="0.2">
      <c r="AF2125" s="12"/>
    </row>
    <row r="2126" spans="32:32" x14ac:dyDescent="0.2">
      <c r="AF2126" s="12"/>
    </row>
    <row r="2127" spans="32:32" x14ac:dyDescent="0.2">
      <c r="AF2127" s="12"/>
    </row>
    <row r="2128" spans="32:32" x14ac:dyDescent="0.2">
      <c r="AF2128" s="12"/>
    </row>
    <row r="2129" spans="32:32" x14ac:dyDescent="0.2">
      <c r="AF2129" s="12"/>
    </row>
    <row r="2130" spans="32:32" x14ac:dyDescent="0.2">
      <c r="AF2130" s="12"/>
    </row>
    <row r="2131" spans="32:32" x14ac:dyDescent="0.2">
      <c r="AF2131" s="12"/>
    </row>
    <row r="2132" spans="32:32" x14ac:dyDescent="0.2">
      <c r="AF2132" s="12"/>
    </row>
    <row r="2133" spans="32:32" x14ac:dyDescent="0.2">
      <c r="AF2133" s="12"/>
    </row>
    <row r="2134" spans="32:32" x14ac:dyDescent="0.2">
      <c r="AF2134" s="12"/>
    </row>
    <row r="2135" spans="32:32" x14ac:dyDescent="0.2">
      <c r="AF2135" s="12"/>
    </row>
    <row r="2136" spans="32:32" x14ac:dyDescent="0.2">
      <c r="AF2136" s="12"/>
    </row>
    <row r="2137" spans="32:32" x14ac:dyDescent="0.2">
      <c r="AF2137" s="12"/>
    </row>
    <row r="2138" spans="32:32" x14ac:dyDescent="0.2">
      <c r="AF2138" s="12"/>
    </row>
    <row r="2139" spans="32:32" x14ac:dyDescent="0.2">
      <c r="AF2139" s="12"/>
    </row>
    <row r="2140" spans="32:32" x14ac:dyDescent="0.2">
      <c r="AF2140" s="12"/>
    </row>
    <row r="2141" spans="32:32" x14ac:dyDescent="0.2">
      <c r="AF2141" s="12"/>
    </row>
    <row r="2142" spans="32:32" x14ac:dyDescent="0.2">
      <c r="AF2142" s="12"/>
    </row>
    <row r="2143" spans="32:32" x14ac:dyDescent="0.2">
      <c r="AF2143" s="12"/>
    </row>
    <row r="2144" spans="32:32" x14ac:dyDescent="0.2">
      <c r="AF2144" s="12"/>
    </row>
    <row r="2145" spans="32:32" x14ac:dyDescent="0.2">
      <c r="AF2145" s="12"/>
    </row>
    <row r="2146" spans="32:32" x14ac:dyDescent="0.2">
      <c r="AF2146" s="12"/>
    </row>
    <row r="2147" spans="32:32" x14ac:dyDescent="0.2">
      <c r="AF2147" s="12"/>
    </row>
    <row r="2148" spans="32:32" x14ac:dyDescent="0.2">
      <c r="AF2148" s="12"/>
    </row>
    <row r="2149" spans="32:32" x14ac:dyDescent="0.2">
      <c r="AF2149" s="12"/>
    </row>
    <row r="2150" spans="32:32" x14ac:dyDescent="0.2">
      <c r="AF2150" s="12"/>
    </row>
    <row r="2151" spans="32:32" x14ac:dyDescent="0.2">
      <c r="AF2151" s="12"/>
    </row>
    <row r="2152" spans="32:32" x14ac:dyDescent="0.2">
      <c r="AF2152" s="12"/>
    </row>
    <row r="2153" spans="32:32" x14ac:dyDescent="0.2">
      <c r="AF2153" s="12"/>
    </row>
    <row r="2154" spans="32:32" x14ac:dyDescent="0.2">
      <c r="AF2154" s="12"/>
    </row>
    <row r="2155" spans="32:32" x14ac:dyDescent="0.2">
      <c r="AF2155" s="12"/>
    </row>
    <row r="2156" spans="32:32" x14ac:dyDescent="0.2">
      <c r="AF2156" s="12"/>
    </row>
    <row r="2157" spans="32:32" x14ac:dyDescent="0.2">
      <c r="AF2157" s="12"/>
    </row>
    <row r="2158" spans="32:32" x14ac:dyDescent="0.2">
      <c r="AF2158" s="12"/>
    </row>
    <row r="2159" spans="32:32" x14ac:dyDescent="0.2">
      <c r="AF2159" s="12"/>
    </row>
    <row r="2160" spans="32:32" x14ac:dyDescent="0.2">
      <c r="AF2160" s="12"/>
    </row>
    <row r="2161" spans="32:32" x14ac:dyDescent="0.2">
      <c r="AF2161" s="12"/>
    </row>
    <row r="2162" spans="32:32" x14ac:dyDescent="0.2">
      <c r="AF2162" s="12"/>
    </row>
    <row r="2163" spans="32:32" x14ac:dyDescent="0.2">
      <c r="AF2163" s="12"/>
    </row>
    <row r="2164" spans="32:32" x14ac:dyDescent="0.2">
      <c r="AF2164" s="12"/>
    </row>
    <row r="2165" spans="32:32" x14ac:dyDescent="0.2">
      <c r="AF2165" s="12"/>
    </row>
    <row r="2166" spans="32:32" x14ac:dyDescent="0.2">
      <c r="AF2166" s="12"/>
    </row>
    <row r="2167" spans="32:32" x14ac:dyDescent="0.2">
      <c r="AF2167" s="12"/>
    </row>
    <row r="2168" spans="32:32" x14ac:dyDescent="0.2">
      <c r="AF2168" s="12"/>
    </row>
    <row r="2169" spans="32:32" x14ac:dyDescent="0.2">
      <c r="AF2169" s="12"/>
    </row>
    <row r="2170" spans="32:32" x14ac:dyDescent="0.2">
      <c r="AF2170" s="12"/>
    </row>
    <row r="2171" spans="32:32" x14ac:dyDescent="0.2">
      <c r="AF2171" s="12"/>
    </row>
    <row r="2172" spans="32:32" x14ac:dyDescent="0.2">
      <c r="AF2172" s="12"/>
    </row>
    <row r="2173" spans="32:32" x14ac:dyDescent="0.2">
      <c r="AF2173" s="12"/>
    </row>
    <row r="2174" spans="32:32" x14ac:dyDescent="0.2">
      <c r="AF2174" s="12"/>
    </row>
    <row r="2175" spans="32:32" x14ac:dyDescent="0.2">
      <c r="AF2175" s="12"/>
    </row>
    <row r="2176" spans="32:32" x14ac:dyDescent="0.2">
      <c r="AF2176" s="12"/>
    </row>
    <row r="2177" spans="32:32" x14ac:dyDescent="0.2">
      <c r="AF2177" s="12"/>
    </row>
    <row r="2178" spans="32:32" x14ac:dyDescent="0.2">
      <c r="AF2178" s="12"/>
    </row>
    <row r="2179" spans="32:32" x14ac:dyDescent="0.2">
      <c r="AF2179" s="12"/>
    </row>
    <row r="2180" spans="32:32" x14ac:dyDescent="0.2">
      <c r="AF2180" s="12"/>
    </row>
    <row r="2181" spans="32:32" x14ac:dyDescent="0.2">
      <c r="AF2181" s="12"/>
    </row>
    <row r="2182" spans="32:32" x14ac:dyDescent="0.2">
      <c r="AF2182" s="12"/>
    </row>
    <row r="2183" spans="32:32" x14ac:dyDescent="0.2">
      <c r="AF2183" s="12"/>
    </row>
    <row r="2184" spans="32:32" x14ac:dyDescent="0.2">
      <c r="AF2184" s="12"/>
    </row>
    <row r="2185" spans="32:32" x14ac:dyDescent="0.2">
      <c r="AF2185" s="12"/>
    </row>
    <row r="2186" spans="32:32" x14ac:dyDescent="0.2">
      <c r="AF2186" s="12"/>
    </row>
    <row r="2187" spans="32:32" x14ac:dyDescent="0.2">
      <c r="AF2187" s="12"/>
    </row>
    <row r="2188" spans="32:32" x14ac:dyDescent="0.2">
      <c r="AF2188" s="12"/>
    </row>
    <row r="2189" spans="32:32" x14ac:dyDescent="0.2">
      <c r="AF2189" s="12"/>
    </row>
    <row r="2190" spans="32:32" x14ac:dyDescent="0.2">
      <c r="AF2190" s="12"/>
    </row>
    <row r="2191" spans="32:32" x14ac:dyDescent="0.2">
      <c r="AF2191" s="12"/>
    </row>
    <row r="2192" spans="32:32" x14ac:dyDescent="0.2">
      <c r="AF2192" s="12"/>
    </row>
    <row r="2193" spans="32:32" x14ac:dyDescent="0.2">
      <c r="AF2193" s="12"/>
    </row>
    <row r="2194" spans="32:32" x14ac:dyDescent="0.2">
      <c r="AF2194" s="12"/>
    </row>
    <row r="2195" spans="32:32" x14ac:dyDescent="0.2">
      <c r="AF2195" s="12"/>
    </row>
    <row r="2196" spans="32:32" x14ac:dyDescent="0.2">
      <c r="AF2196" s="12"/>
    </row>
    <row r="2197" spans="32:32" x14ac:dyDescent="0.2">
      <c r="AF2197" s="12"/>
    </row>
    <row r="2198" spans="32:32" x14ac:dyDescent="0.2">
      <c r="AF2198" s="12"/>
    </row>
    <row r="2199" spans="32:32" x14ac:dyDescent="0.2">
      <c r="AF2199" s="12"/>
    </row>
    <row r="2200" spans="32:32" x14ac:dyDescent="0.2">
      <c r="AF2200" s="12"/>
    </row>
    <row r="2201" spans="32:32" x14ac:dyDescent="0.2">
      <c r="AF2201" s="12"/>
    </row>
    <row r="2202" spans="32:32" x14ac:dyDescent="0.2">
      <c r="AF2202" s="12"/>
    </row>
    <row r="2203" spans="32:32" x14ac:dyDescent="0.2">
      <c r="AF2203" s="12"/>
    </row>
    <row r="2204" spans="32:32" x14ac:dyDescent="0.2">
      <c r="AF2204" s="12"/>
    </row>
    <row r="2205" spans="32:32" x14ac:dyDescent="0.2">
      <c r="AF2205" s="12"/>
    </row>
    <row r="2206" spans="32:32" x14ac:dyDescent="0.2">
      <c r="AF2206" s="12"/>
    </row>
    <row r="2207" spans="32:32" x14ac:dyDescent="0.2">
      <c r="AF2207" s="12"/>
    </row>
    <row r="2208" spans="32:32" x14ac:dyDescent="0.2">
      <c r="AF2208" s="12"/>
    </row>
    <row r="2209" spans="32:32" x14ac:dyDescent="0.2">
      <c r="AF2209" s="12"/>
    </row>
    <row r="2210" spans="32:32" x14ac:dyDescent="0.2">
      <c r="AF2210" s="12"/>
    </row>
    <row r="2211" spans="32:32" x14ac:dyDescent="0.2">
      <c r="AF2211" s="12"/>
    </row>
    <row r="2212" spans="32:32" x14ac:dyDescent="0.2">
      <c r="AF2212" s="12"/>
    </row>
    <row r="2213" spans="32:32" x14ac:dyDescent="0.2">
      <c r="AF2213" s="12"/>
    </row>
    <row r="2214" spans="32:32" x14ac:dyDescent="0.2">
      <c r="AF2214" s="12"/>
    </row>
    <row r="2215" spans="32:32" x14ac:dyDescent="0.2">
      <c r="AF2215" s="12"/>
    </row>
    <row r="2216" spans="32:32" x14ac:dyDescent="0.2">
      <c r="AF2216" s="12"/>
    </row>
    <row r="2217" spans="32:32" x14ac:dyDescent="0.2">
      <c r="AF2217" s="12"/>
    </row>
    <row r="2218" spans="32:32" x14ac:dyDescent="0.2">
      <c r="AF2218" s="12"/>
    </row>
    <row r="2219" spans="32:32" x14ac:dyDescent="0.2">
      <c r="AF2219" s="12"/>
    </row>
    <row r="2220" spans="32:32" x14ac:dyDescent="0.2">
      <c r="AF2220" s="12"/>
    </row>
    <row r="2221" spans="32:32" x14ac:dyDescent="0.2">
      <c r="AF2221" s="12"/>
    </row>
    <row r="2222" spans="32:32" x14ac:dyDescent="0.2">
      <c r="AF2222" s="12"/>
    </row>
    <row r="2223" spans="32:32" x14ac:dyDescent="0.2">
      <c r="AF2223" s="12"/>
    </row>
    <row r="2224" spans="32:32" x14ac:dyDescent="0.2">
      <c r="AF2224" s="12"/>
    </row>
    <row r="2225" spans="32:32" x14ac:dyDescent="0.2">
      <c r="AF2225" s="12"/>
    </row>
    <row r="2226" spans="32:32" x14ac:dyDescent="0.2">
      <c r="AF2226" s="12"/>
    </row>
    <row r="2227" spans="32:32" x14ac:dyDescent="0.2">
      <c r="AF2227" s="12"/>
    </row>
    <row r="2228" spans="32:32" x14ac:dyDescent="0.2">
      <c r="AF2228" s="12"/>
    </row>
    <row r="2229" spans="32:32" x14ac:dyDescent="0.2">
      <c r="AF2229" s="12"/>
    </row>
    <row r="2230" spans="32:32" x14ac:dyDescent="0.2">
      <c r="AF2230" s="12"/>
    </row>
    <row r="2231" spans="32:32" x14ac:dyDescent="0.2">
      <c r="AF2231" s="12"/>
    </row>
    <row r="2232" spans="32:32" x14ac:dyDescent="0.2">
      <c r="AF2232" s="12"/>
    </row>
    <row r="2233" spans="32:32" x14ac:dyDescent="0.2">
      <c r="AF2233" s="12"/>
    </row>
    <row r="2234" spans="32:32" x14ac:dyDescent="0.2">
      <c r="AF2234" s="12"/>
    </row>
    <row r="2235" spans="32:32" x14ac:dyDescent="0.2">
      <c r="AF2235" s="12"/>
    </row>
    <row r="2236" spans="32:32" x14ac:dyDescent="0.2">
      <c r="AF2236" s="12"/>
    </row>
    <row r="2237" spans="32:32" x14ac:dyDescent="0.2">
      <c r="AF2237" s="12"/>
    </row>
    <row r="2238" spans="32:32" x14ac:dyDescent="0.2">
      <c r="AF2238" s="12"/>
    </row>
    <row r="2239" spans="32:32" x14ac:dyDescent="0.2">
      <c r="AF2239" s="12"/>
    </row>
    <row r="2240" spans="32:32" x14ac:dyDescent="0.2">
      <c r="AF2240" s="12"/>
    </row>
    <row r="2241" spans="32:32" x14ac:dyDescent="0.2">
      <c r="AF2241" s="12"/>
    </row>
    <row r="2242" spans="32:32" x14ac:dyDescent="0.2">
      <c r="AF2242" s="12"/>
    </row>
    <row r="2243" spans="32:32" x14ac:dyDescent="0.2">
      <c r="AF2243" s="12"/>
    </row>
    <row r="2244" spans="32:32" x14ac:dyDescent="0.2">
      <c r="AF2244" s="12"/>
    </row>
    <row r="2245" spans="32:32" x14ac:dyDescent="0.2">
      <c r="AF2245" s="12"/>
    </row>
    <row r="2246" spans="32:32" x14ac:dyDescent="0.2">
      <c r="AF2246" s="12"/>
    </row>
    <row r="2247" spans="32:32" x14ac:dyDescent="0.2">
      <c r="AF2247" s="12"/>
    </row>
    <row r="2248" spans="32:32" x14ac:dyDescent="0.2">
      <c r="AF2248" s="12"/>
    </row>
    <row r="2249" spans="32:32" x14ac:dyDescent="0.2">
      <c r="AF2249" s="12"/>
    </row>
    <row r="2250" spans="32:32" x14ac:dyDescent="0.2">
      <c r="AF2250" s="12"/>
    </row>
    <row r="2251" spans="32:32" x14ac:dyDescent="0.2">
      <c r="AF2251" s="12"/>
    </row>
    <row r="2252" spans="32:32" x14ac:dyDescent="0.2">
      <c r="AF2252" s="12"/>
    </row>
    <row r="2253" spans="32:32" x14ac:dyDescent="0.2">
      <c r="AF2253" s="12"/>
    </row>
    <row r="2254" spans="32:32" x14ac:dyDescent="0.2">
      <c r="AF2254" s="12"/>
    </row>
    <row r="2255" spans="32:32" x14ac:dyDescent="0.2">
      <c r="AF2255" s="12"/>
    </row>
    <row r="2256" spans="32:32" x14ac:dyDescent="0.2">
      <c r="AF2256" s="12"/>
    </row>
    <row r="2257" spans="32:32" x14ac:dyDescent="0.2">
      <c r="AF2257" s="12"/>
    </row>
    <row r="2258" spans="32:32" x14ac:dyDescent="0.2">
      <c r="AF2258" s="12"/>
    </row>
    <row r="2259" spans="32:32" x14ac:dyDescent="0.2">
      <c r="AF2259" s="12"/>
    </row>
    <row r="2260" spans="32:32" x14ac:dyDescent="0.2">
      <c r="AF2260" s="12"/>
    </row>
    <row r="2261" spans="32:32" x14ac:dyDescent="0.2">
      <c r="AF2261" s="12"/>
    </row>
    <row r="2262" spans="32:32" x14ac:dyDescent="0.2">
      <c r="AF2262" s="12"/>
    </row>
    <row r="2263" spans="32:32" x14ac:dyDescent="0.2">
      <c r="AF2263" s="12"/>
    </row>
    <row r="2264" spans="32:32" x14ac:dyDescent="0.2">
      <c r="AF2264" s="12"/>
    </row>
    <row r="2265" spans="32:32" x14ac:dyDescent="0.2">
      <c r="AF2265" s="12"/>
    </row>
    <row r="2266" spans="32:32" x14ac:dyDescent="0.2">
      <c r="AF2266" s="12"/>
    </row>
    <row r="2267" spans="32:32" x14ac:dyDescent="0.2">
      <c r="AF2267" s="12"/>
    </row>
    <row r="2268" spans="32:32" x14ac:dyDescent="0.2">
      <c r="AF2268" s="12"/>
    </row>
    <row r="2269" spans="32:32" x14ac:dyDescent="0.2">
      <c r="AF2269" s="12"/>
    </row>
    <row r="2270" spans="32:32" x14ac:dyDescent="0.2">
      <c r="AF2270" s="12"/>
    </row>
    <row r="2271" spans="32:32" x14ac:dyDescent="0.2">
      <c r="AF2271" s="12"/>
    </row>
    <row r="2272" spans="32:32" x14ac:dyDescent="0.2">
      <c r="AF2272" s="12"/>
    </row>
    <row r="2273" spans="32:32" x14ac:dyDescent="0.2">
      <c r="AF2273" s="12"/>
    </row>
    <row r="2274" spans="32:32" x14ac:dyDescent="0.2">
      <c r="AF2274" s="12"/>
    </row>
    <row r="2275" spans="32:32" x14ac:dyDescent="0.2">
      <c r="AF2275" s="12"/>
    </row>
    <row r="2276" spans="32:32" x14ac:dyDescent="0.2">
      <c r="AF2276" s="12"/>
    </row>
    <row r="2277" spans="32:32" x14ac:dyDescent="0.2">
      <c r="AF2277" s="12"/>
    </row>
    <row r="2278" spans="32:32" x14ac:dyDescent="0.2">
      <c r="AF2278" s="12"/>
    </row>
    <row r="2279" spans="32:32" x14ac:dyDescent="0.2">
      <c r="AF2279" s="12"/>
    </row>
    <row r="2280" spans="32:32" x14ac:dyDescent="0.2">
      <c r="AF2280" s="12"/>
    </row>
    <row r="2281" spans="32:32" x14ac:dyDescent="0.2">
      <c r="AF2281" s="12"/>
    </row>
    <row r="2282" spans="32:32" x14ac:dyDescent="0.2">
      <c r="AF2282" s="12"/>
    </row>
    <row r="2283" spans="32:32" x14ac:dyDescent="0.2">
      <c r="AF2283" s="12"/>
    </row>
    <row r="2284" spans="32:32" x14ac:dyDescent="0.2">
      <c r="AF2284" s="12"/>
    </row>
    <row r="2285" spans="32:32" x14ac:dyDescent="0.2">
      <c r="AF2285" s="12"/>
    </row>
    <row r="2286" spans="32:32" x14ac:dyDescent="0.2">
      <c r="AF2286" s="12"/>
    </row>
    <row r="2287" spans="32:32" x14ac:dyDescent="0.2">
      <c r="AF2287" s="12"/>
    </row>
    <row r="2288" spans="32:32" x14ac:dyDescent="0.2">
      <c r="AF2288" s="12"/>
    </row>
    <row r="2289" spans="32:32" x14ac:dyDescent="0.2">
      <c r="AF2289" s="12"/>
    </row>
    <row r="2290" spans="32:32" x14ac:dyDescent="0.2">
      <c r="AF2290" s="12"/>
    </row>
    <row r="2291" spans="32:32" x14ac:dyDescent="0.2">
      <c r="AF2291" s="12"/>
    </row>
    <row r="2292" spans="32:32" x14ac:dyDescent="0.2">
      <c r="AF2292" s="12"/>
    </row>
    <row r="2293" spans="32:32" x14ac:dyDescent="0.2">
      <c r="AF2293" s="12"/>
    </row>
    <row r="2294" spans="32:32" x14ac:dyDescent="0.2">
      <c r="AF2294" s="12"/>
    </row>
    <row r="2295" spans="32:32" x14ac:dyDescent="0.2">
      <c r="AF2295" s="12"/>
    </row>
    <row r="2296" spans="32:32" x14ac:dyDescent="0.2">
      <c r="AF2296" s="12"/>
    </row>
    <row r="2297" spans="32:32" x14ac:dyDescent="0.2">
      <c r="AF2297" s="12"/>
    </row>
    <row r="2298" spans="32:32" x14ac:dyDescent="0.2">
      <c r="AF2298" s="12"/>
    </row>
    <row r="2299" spans="32:32" x14ac:dyDescent="0.2">
      <c r="AF2299" s="12"/>
    </row>
    <row r="2300" spans="32:32" x14ac:dyDescent="0.2">
      <c r="AF2300" s="12"/>
    </row>
    <row r="2301" spans="32:32" x14ac:dyDescent="0.2">
      <c r="AF2301" s="12"/>
    </row>
    <row r="2302" spans="32:32" x14ac:dyDescent="0.2">
      <c r="AF2302" s="12"/>
    </row>
    <row r="2303" spans="32:32" x14ac:dyDescent="0.2">
      <c r="AF2303" s="12"/>
    </row>
    <row r="2304" spans="32:32" x14ac:dyDescent="0.2">
      <c r="AF2304" s="12"/>
    </row>
    <row r="2305" spans="32:32" x14ac:dyDescent="0.2">
      <c r="AF2305" s="12"/>
    </row>
    <row r="2306" spans="32:32" x14ac:dyDescent="0.2">
      <c r="AF2306" s="12"/>
    </row>
    <row r="2307" spans="32:32" x14ac:dyDescent="0.2">
      <c r="AF2307" s="12"/>
    </row>
    <row r="2308" spans="32:32" x14ac:dyDescent="0.2">
      <c r="AF2308" s="12"/>
    </row>
    <row r="2309" spans="32:32" x14ac:dyDescent="0.2">
      <c r="AF2309" s="12"/>
    </row>
    <row r="2310" spans="32:32" x14ac:dyDescent="0.2">
      <c r="AF2310" s="12"/>
    </row>
    <row r="2311" spans="32:32" x14ac:dyDescent="0.2">
      <c r="AF2311" s="12"/>
    </row>
    <row r="2312" spans="32:32" x14ac:dyDescent="0.2">
      <c r="AF2312" s="12"/>
    </row>
    <row r="2313" spans="32:32" x14ac:dyDescent="0.2">
      <c r="AF2313" s="12"/>
    </row>
    <row r="2314" spans="32:32" x14ac:dyDescent="0.2">
      <c r="AF2314" s="12"/>
    </row>
    <row r="2315" spans="32:32" x14ac:dyDescent="0.2">
      <c r="AF2315" s="12"/>
    </row>
    <row r="2316" spans="32:32" x14ac:dyDescent="0.2">
      <c r="AF2316" s="12"/>
    </row>
    <row r="2317" spans="32:32" x14ac:dyDescent="0.2">
      <c r="AF2317" s="12"/>
    </row>
    <row r="2318" spans="32:32" x14ac:dyDescent="0.2">
      <c r="AF2318" s="12"/>
    </row>
    <row r="2319" spans="32:32" x14ac:dyDescent="0.2">
      <c r="AF2319" s="12"/>
    </row>
    <row r="2320" spans="32:32" x14ac:dyDescent="0.2">
      <c r="AF2320" s="12"/>
    </row>
    <row r="2321" spans="32:32" x14ac:dyDescent="0.2">
      <c r="AF2321" s="12"/>
    </row>
    <row r="2322" spans="32:32" x14ac:dyDescent="0.2">
      <c r="AF2322" s="12"/>
    </row>
    <row r="2323" spans="32:32" x14ac:dyDescent="0.2">
      <c r="AF2323" s="12"/>
    </row>
    <row r="2324" spans="32:32" x14ac:dyDescent="0.2">
      <c r="AF2324" s="12"/>
    </row>
    <row r="2325" spans="32:32" x14ac:dyDescent="0.2">
      <c r="AF2325" s="12"/>
    </row>
    <row r="2326" spans="32:32" x14ac:dyDescent="0.2">
      <c r="AF2326" s="12"/>
    </row>
    <row r="2327" spans="32:32" x14ac:dyDescent="0.2">
      <c r="AF2327" s="12"/>
    </row>
    <row r="2328" spans="32:32" x14ac:dyDescent="0.2">
      <c r="AF2328" s="12"/>
    </row>
    <row r="2329" spans="32:32" x14ac:dyDescent="0.2">
      <c r="AF2329" s="12"/>
    </row>
    <row r="2330" spans="32:32" x14ac:dyDescent="0.2">
      <c r="AF2330" s="12"/>
    </row>
    <row r="2331" spans="32:32" x14ac:dyDescent="0.2">
      <c r="AF2331" s="12"/>
    </row>
    <row r="2332" spans="32:32" x14ac:dyDescent="0.2">
      <c r="AF2332" s="12"/>
    </row>
    <row r="2333" spans="32:32" x14ac:dyDescent="0.2">
      <c r="AF2333" s="12"/>
    </row>
    <row r="2334" spans="32:32" x14ac:dyDescent="0.2">
      <c r="AF2334" s="12"/>
    </row>
    <row r="2335" spans="32:32" x14ac:dyDescent="0.2">
      <c r="AF2335" s="12"/>
    </row>
    <row r="2336" spans="32:32" x14ac:dyDescent="0.2">
      <c r="AF2336" s="12"/>
    </row>
    <row r="2337" spans="32:32" x14ac:dyDescent="0.2">
      <c r="AF2337" s="12"/>
    </row>
    <row r="2338" spans="32:32" x14ac:dyDescent="0.2">
      <c r="AF2338" s="12"/>
    </row>
    <row r="2339" spans="32:32" x14ac:dyDescent="0.2">
      <c r="AF2339" s="12"/>
    </row>
    <row r="2340" spans="32:32" x14ac:dyDescent="0.2">
      <c r="AF2340" s="12"/>
    </row>
    <row r="2341" spans="32:32" x14ac:dyDescent="0.2">
      <c r="AF2341" s="12"/>
    </row>
    <row r="2342" spans="32:32" x14ac:dyDescent="0.2">
      <c r="AF2342" s="12"/>
    </row>
    <row r="2343" spans="32:32" x14ac:dyDescent="0.2">
      <c r="AF2343" s="12"/>
    </row>
    <row r="2344" spans="32:32" x14ac:dyDescent="0.2">
      <c r="AF2344" s="12"/>
    </row>
    <row r="2345" spans="32:32" x14ac:dyDescent="0.2">
      <c r="AF2345" s="12"/>
    </row>
    <row r="2346" spans="32:32" x14ac:dyDescent="0.2">
      <c r="AF2346" s="12"/>
    </row>
    <row r="2347" spans="32:32" x14ac:dyDescent="0.2">
      <c r="AF2347" s="12"/>
    </row>
    <row r="2348" spans="32:32" x14ac:dyDescent="0.2">
      <c r="AF2348" s="12"/>
    </row>
    <row r="2349" spans="32:32" x14ac:dyDescent="0.2">
      <c r="AF2349" s="12"/>
    </row>
    <row r="2350" spans="32:32" x14ac:dyDescent="0.2">
      <c r="AF2350" s="12"/>
    </row>
    <row r="2351" spans="32:32" x14ac:dyDescent="0.2">
      <c r="AF2351" s="12"/>
    </row>
    <row r="2352" spans="32:32" x14ac:dyDescent="0.2">
      <c r="AF2352" s="12"/>
    </row>
    <row r="2353" spans="32:32" x14ac:dyDescent="0.2">
      <c r="AF2353" s="12"/>
    </row>
    <row r="2354" spans="32:32" x14ac:dyDescent="0.2">
      <c r="AF2354" s="12"/>
    </row>
    <row r="2355" spans="32:32" x14ac:dyDescent="0.2">
      <c r="AF2355" s="12"/>
    </row>
    <row r="2356" spans="32:32" x14ac:dyDescent="0.2">
      <c r="AF2356" s="12"/>
    </row>
    <row r="2357" spans="32:32" x14ac:dyDescent="0.2">
      <c r="AF2357" s="12"/>
    </row>
    <row r="2358" spans="32:32" x14ac:dyDescent="0.2">
      <c r="AF2358" s="12"/>
    </row>
    <row r="2359" spans="32:32" x14ac:dyDescent="0.2">
      <c r="AF2359" s="12"/>
    </row>
    <row r="2360" spans="32:32" x14ac:dyDescent="0.2">
      <c r="AF2360" s="12"/>
    </row>
    <row r="2361" spans="32:32" x14ac:dyDescent="0.2">
      <c r="AF2361" s="12"/>
    </row>
    <row r="2362" spans="32:32" x14ac:dyDescent="0.2">
      <c r="AF2362" s="12"/>
    </row>
    <row r="2363" spans="32:32" x14ac:dyDescent="0.2">
      <c r="AF2363" s="12"/>
    </row>
    <row r="2364" spans="32:32" x14ac:dyDescent="0.2">
      <c r="AF2364" s="12"/>
    </row>
    <row r="2365" spans="32:32" x14ac:dyDescent="0.2">
      <c r="AF2365" s="12"/>
    </row>
    <row r="2366" spans="32:32" x14ac:dyDescent="0.2">
      <c r="AF2366" s="12"/>
    </row>
    <row r="2367" spans="32:32" x14ac:dyDescent="0.2">
      <c r="AF2367" s="12"/>
    </row>
    <row r="2368" spans="32:32" x14ac:dyDescent="0.2">
      <c r="AF2368" s="12"/>
    </row>
    <row r="2369" spans="32:32" x14ac:dyDescent="0.2">
      <c r="AF2369" s="12"/>
    </row>
    <row r="2370" spans="32:32" x14ac:dyDescent="0.2">
      <c r="AF2370" s="12"/>
    </row>
    <row r="2371" spans="32:32" x14ac:dyDescent="0.2">
      <c r="AF2371" s="12"/>
    </row>
    <row r="2372" spans="32:32" x14ac:dyDescent="0.2">
      <c r="AF2372" s="12"/>
    </row>
    <row r="2373" spans="32:32" x14ac:dyDescent="0.2">
      <c r="AF2373" s="12"/>
    </row>
    <row r="2374" spans="32:32" x14ac:dyDescent="0.2">
      <c r="AF2374" s="12"/>
    </row>
    <row r="2375" spans="32:32" x14ac:dyDescent="0.2">
      <c r="AF2375" s="12"/>
    </row>
    <row r="2376" spans="32:32" x14ac:dyDescent="0.2">
      <c r="AF2376" s="12"/>
    </row>
    <row r="2377" spans="32:32" x14ac:dyDescent="0.2">
      <c r="AF2377" s="12"/>
    </row>
    <row r="2378" spans="32:32" x14ac:dyDescent="0.2">
      <c r="AF2378" s="12"/>
    </row>
    <row r="2379" spans="32:32" x14ac:dyDescent="0.2">
      <c r="AF2379" s="12"/>
    </row>
    <row r="2380" spans="32:32" x14ac:dyDescent="0.2">
      <c r="AF2380" s="12"/>
    </row>
    <row r="2381" spans="32:32" x14ac:dyDescent="0.2">
      <c r="AF2381" s="12"/>
    </row>
    <row r="2382" spans="32:32" x14ac:dyDescent="0.2">
      <c r="AF2382" s="12"/>
    </row>
    <row r="2383" spans="32:32" x14ac:dyDescent="0.2">
      <c r="AF2383" s="12"/>
    </row>
    <row r="2384" spans="32:32" x14ac:dyDescent="0.2">
      <c r="AF2384" s="12"/>
    </row>
    <row r="2385" spans="32:32" x14ac:dyDescent="0.2">
      <c r="AF2385" s="12"/>
    </row>
    <row r="2386" spans="32:32" x14ac:dyDescent="0.2">
      <c r="AF2386" s="12"/>
    </row>
    <row r="2387" spans="32:32" x14ac:dyDescent="0.2">
      <c r="AF2387" s="12"/>
    </row>
    <row r="2388" spans="32:32" x14ac:dyDescent="0.2">
      <c r="AF2388" s="12"/>
    </row>
    <row r="2389" spans="32:32" x14ac:dyDescent="0.2">
      <c r="AF2389" s="12"/>
    </row>
    <row r="2390" spans="32:32" x14ac:dyDescent="0.2">
      <c r="AF2390" s="12"/>
    </row>
    <row r="2391" spans="32:32" x14ac:dyDescent="0.2">
      <c r="AF2391" s="12"/>
    </row>
    <row r="2392" spans="32:32" x14ac:dyDescent="0.2">
      <c r="AF2392" s="12"/>
    </row>
    <row r="2393" spans="32:32" x14ac:dyDescent="0.2">
      <c r="AF2393" s="12"/>
    </row>
    <row r="2394" spans="32:32" x14ac:dyDescent="0.2">
      <c r="AF2394" s="12"/>
    </row>
    <row r="2395" spans="32:32" x14ac:dyDescent="0.2">
      <c r="AF2395" s="12"/>
    </row>
    <row r="2396" spans="32:32" x14ac:dyDescent="0.2">
      <c r="AF2396" s="12"/>
    </row>
    <row r="2397" spans="32:32" x14ac:dyDescent="0.2">
      <c r="AF2397" s="12"/>
    </row>
    <row r="2398" spans="32:32" x14ac:dyDescent="0.2">
      <c r="AF2398" s="12"/>
    </row>
    <row r="2399" spans="32:32" x14ac:dyDescent="0.2">
      <c r="AF2399" s="12"/>
    </row>
    <row r="2400" spans="32:32" x14ac:dyDescent="0.2">
      <c r="AF2400" s="12"/>
    </row>
    <row r="2401" spans="32:32" x14ac:dyDescent="0.2">
      <c r="AF2401" s="12"/>
    </row>
    <row r="2402" spans="32:32" x14ac:dyDescent="0.2">
      <c r="AF2402" s="12"/>
    </row>
    <row r="2403" spans="32:32" x14ac:dyDescent="0.2">
      <c r="AF2403" s="12"/>
    </row>
    <row r="2404" spans="32:32" x14ac:dyDescent="0.2">
      <c r="AF2404" s="12"/>
    </row>
    <row r="2405" spans="32:32" x14ac:dyDescent="0.2">
      <c r="AF2405" s="12"/>
    </row>
    <row r="2406" spans="32:32" x14ac:dyDescent="0.2">
      <c r="AF2406" s="12"/>
    </row>
    <row r="2407" spans="32:32" x14ac:dyDescent="0.2">
      <c r="AF2407" s="12"/>
    </row>
    <row r="2408" spans="32:32" x14ac:dyDescent="0.2">
      <c r="AF2408" s="12"/>
    </row>
    <row r="2409" spans="32:32" x14ac:dyDescent="0.2">
      <c r="AF2409" s="12"/>
    </row>
    <row r="2410" spans="32:32" x14ac:dyDescent="0.2">
      <c r="AF2410" s="12"/>
    </row>
    <row r="2411" spans="32:32" x14ac:dyDescent="0.2">
      <c r="AF2411" s="12"/>
    </row>
    <row r="2412" spans="32:32" x14ac:dyDescent="0.2">
      <c r="AF2412" s="12"/>
    </row>
    <row r="2413" spans="32:32" x14ac:dyDescent="0.2">
      <c r="AF2413" s="12"/>
    </row>
    <row r="2414" spans="32:32" x14ac:dyDescent="0.2">
      <c r="AF2414" s="12"/>
    </row>
    <row r="2415" spans="32:32" x14ac:dyDescent="0.2">
      <c r="AF2415" s="12"/>
    </row>
    <row r="2416" spans="32:32" x14ac:dyDescent="0.2">
      <c r="AF2416" s="12"/>
    </row>
    <row r="2417" spans="32:32" x14ac:dyDescent="0.2">
      <c r="AF2417" s="12"/>
    </row>
    <row r="2418" spans="32:32" x14ac:dyDescent="0.2">
      <c r="AF2418" s="12"/>
    </row>
    <row r="2419" spans="32:32" x14ac:dyDescent="0.2">
      <c r="AF2419" s="12"/>
    </row>
    <row r="2420" spans="32:32" x14ac:dyDescent="0.2">
      <c r="AF2420" s="12"/>
    </row>
    <row r="2421" spans="32:32" x14ac:dyDescent="0.2">
      <c r="AF2421" s="12"/>
    </row>
    <row r="2422" spans="32:32" x14ac:dyDescent="0.2">
      <c r="AF2422" s="12"/>
    </row>
    <row r="2423" spans="32:32" x14ac:dyDescent="0.2">
      <c r="AF2423" s="12"/>
    </row>
    <row r="2424" spans="32:32" x14ac:dyDescent="0.2">
      <c r="AF2424" s="12"/>
    </row>
    <row r="2425" spans="32:32" x14ac:dyDescent="0.2">
      <c r="AF2425" s="12"/>
    </row>
    <row r="2426" spans="32:32" x14ac:dyDescent="0.2">
      <c r="AF2426" s="12"/>
    </row>
    <row r="2427" spans="32:32" x14ac:dyDescent="0.2">
      <c r="AF2427" s="12"/>
    </row>
    <row r="2428" spans="32:32" x14ac:dyDescent="0.2">
      <c r="AF2428" s="12"/>
    </row>
    <row r="2429" spans="32:32" x14ac:dyDescent="0.2">
      <c r="AF2429" s="12"/>
    </row>
    <row r="2430" spans="32:32" x14ac:dyDescent="0.2">
      <c r="AF2430" s="12"/>
    </row>
    <row r="2431" spans="32:32" x14ac:dyDescent="0.2">
      <c r="AF2431" s="12"/>
    </row>
    <row r="2432" spans="32:32" x14ac:dyDescent="0.2">
      <c r="AF2432" s="12"/>
    </row>
    <row r="2433" spans="32:32" x14ac:dyDescent="0.2">
      <c r="AF2433" s="12"/>
    </row>
    <row r="2434" spans="32:32" x14ac:dyDescent="0.2">
      <c r="AF2434" s="12"/>
    </row>
    <row r="2435" spans="32:32" x14ac:dyDescent="0.2">
      <c r="AF2435" s="12"/>
    </row>
    <row r="2436" spans="32:32" x14ac:dyDescent="0.2">
      <c r="AF2436" s="12"/>
    </row>
    <row r="2437" spans="32:32" x14ac:dyDescent="0.2">
      <c r="AF2437" s="12"/>
    </row>
    <row r="2438" spans="32:32" x14ac:dyDescent="0.2">
      <c r="AF2438" s="12"/>
    </row>
    <row r="2439" spans="32:32" x14ac:dyDescent="0.2">
      <c r="AF2439" s="12"/>
    </row>
    <row r="2440" spans="32:32" x14ac:dyDescent="0.2">
      <c r="AF2440" s="12"/>
    </row>
    <row r="2441" spans="32:32" x14ac:dyDescent="0.2">
      <c r="AF2441" s="12"/>
    </row>
    <row r="2442" spans="32:32" x14ac:dyDescent="0.2">
      <c r="AF2442" s="12"/>
    </row>
    <row r="2443" spans="32:32" x14ac:dyDescent="0.2">
      <c r="AF2443" s="12"/>
    </row>
    <row r="2444" spans="32:32" x14ac:dyDescent="0.2">
      <c r="AF2444" s="12"/>
    </row>
    <row r="2445" spans="32:32" x14ac:dyDescent="0.2">
      <c r="AF2445" s="12"/>
    </row>
    <row r="2446" spans="32:32" x14ac:dyDescent="0.2">
      <c r="AF2446" s="12"/>
    </row>
    <row r="2447" spans="32:32" x14ac:dyDescent="0.2">
      <c r="AF2447" s="12"/>
    </row>
    <row r="2448" spans="32:32" x14ac:dyDescent="0.2">
      <c r="AF2448" s="12"/>
    </row>
    <row r="2449" spans="32:32" x14ac:dyDescent="0.2">
      <c r="AF2449" s="12"/>
    </row>
    <row r="2450" spans="32:32" x14ac:dyDescent="0.2">
      <c r="AF2450" s="12"/>
    </row>
    <row r="2451" spans="32:32" x14ac:dyDescent="0.2">
      <c r="AF2451" s="12"/>
    </row>
    <row r="2452" spans="32:32" x14ac:dyDescent="0.2">
      <c r="AF2452" s="12"/>
    </row>
    <row r="2453" spans="32:32" x14ac:dyDescent="0.2">
      <c r="AF2453" s="12"/>
    </row>
    <row r="2454" spans="32:32" x14ac:dyDescent="0.2">
      <c r="AF2454" s="12"/>
    </row>
    <row r="2455" spans="32:32" x14ac:dyDescent="0.2">
      <c r="AF2455" s="12"/>
    </row>
    <row r="2456" spans="32:32" x14ac:dyDescent="0.2">
      <c r="AF2456" s="12"/>
    </row>
    <row r="2457" spans="32:32" x14ac:dyDescent="0.2">
      <c r="AF2457" s="12"/>
    </row>
    <row r="2458" spans="32:32" x14ac:dyDescent="0.2">
      <c r="AF2458" s="12"/>
    </row>
    <row r="2459" spans="32:32" x14ac:dyDescent="0.2">
      <c r="AF2459" s="12"/>
    </row>
    <row r="2460" spans="32:32" x14ac:dyDescent="0.2">
      <c r="AF2460" s="12"/>
    </row>
    <row r="2461" spans="32:32" x14ac:dyDescent="0.2">
      <c r="AF2461" s="12"/>
    </row>
    <row r="2462" spans="32:32" x14ac:dyDescent="0.2">
      <c r="AF2462" s="12"/>
    </row>
    <row r="2463" spans="32:32" x14ac:dyDescent="0.2">
      <c r="AF2463" s="12"/>
    </row>
    <row r="2464" spans="32:32" x14ac:dyDescent="0.2">
      <c r="AF2464" s="12"/>
    </row>
    <row r="2465" spans="32:32" x14ac:dyDescent="0.2">
      <c r="AF2465" s="12"/>
    </row>
    <row r="2466" spans="32:32" x14ac:dyDescent="0.2">
      <c r="AF2466" s="12"/>
    </row>
    <row r="2467" spans="32:32" x14ac:dyDescent="0.2">
      <c r="AF2467" s="12"/>
    </row>
    <row r="2468" spans="32:32" x14ac:dyDescent="0.2">
      <c r="AF2468" s="12"/>
    </row>
    <row r="2469" spans="32:32" x14ac:dyDescent="0.2">
      <c r="AF2469" s="12"/>
    </row>
    <row r="2470" spans="32:32" x14ac:dyDescent="0.2">
      <c r="AF2470" s="12"/>
    </row>
    <row r="2471" spans="32:32" x14ac:dyDescent="0.2">
      <c r="AF2471" s="12"/>
    </row>
    <row r="2472" spans="32:32" x14ac:dyDescent="0.2">
      <c r="AF2472" s="12"/>
    </row>
    <row r="2473" spans="32:32" x14ac:dyDescent="0.2">
      <c r="AF2473" s="12"/>
    </row>
    <row r="2474" spans="32:32" x14ac:dyDescent="0.2">
      <c r="AF2474" s="12"/>
    </row>
    <row r="2475" spans="32:32" x14ac:dyDescent="0.2">
      <c r="AF2475" s="12"/>
    </row>
    <row r="2476" spans="32:32" x14ac:dyDescent="0.2">
      <c r="AF2476" s="12"/>
    </row>
    <row r="2477" spans="32:32" x14ac:dyDescent="0.2">
      <c r="AF2477" s="12"/>
    </row>
    <row r="2478" spans="32:32" x14ac:dyDescent="0.2">
      <c r="AF2478" s="12"/>
    </row>
    <row r="2479" spans="32:32" x14ac:dyDescent="0.2">
      <c r="AF2479" s="12"/>
    </row>
    <row r="2480" spans="32:32" x14ac:dyDescent="0.2">
      <c r="AF2480" s="12"/>
    </row>
    <row r="2481" spans="32:32" x14ac:dyDescent="0.2">
      <c r="AF2481" s="12"/>
    </row>
    <row r="2482" spans="32:32" x14ac:dyDescent="0.2">
      <c r="AF2482" s="12"/>
    </row>
    <row r="2483" spans="32:32" x14ac:dyDescent="0.2">
      <c r="AF2483" s="12"/>
    </row>
    <row r="2484" spans="32:32" x14ac:dyDescent="0.2">
      <c r="AF2484" s="12"/>
    </row>
    <row r="2485" spans="32:32" x14ac:dyDescent="0.2">
      <c r="AF2485" s="12"/>
    </row>
    <row r="2486" spans="32:32" x14ac:dyDescent="0.2">
      <c r="AF2486" s="12"/>
    </row>
    <row r="2487" spans="32:32" x14ac:dyDescent="0.2">
      <c r="AF2487" s="12"/>
    </row>
    <row r="2488" spans="32:32" x14ac:dyDescent="0.2">
      <c r="AF2488" s="12"/>
    </row>
    <row r="2489" spans="32:32" x14ac:dyDescent="0.2">
      <c r="AF2489" s="12"/>
    </row>
    <row r="2490" spans="32:32" x14ac:dyDescent="0.2">
      <c r="AF2490" s="12"/>
    </row>
    <row r="2491" spans="32:32" x14ac:dyDescent="0.2">
      <c r="AF2491" s="12"/>
    </row>
    <row r="2492" spans="32:32" x14ac:dyDescent="0.2">
      <c r="AF2492" s="12"/>
    </row>
    <row r="2493" spans="32:32" x14ac:dyDescent="0.2">
      <c r="AF2493" s="12"/>
    </row>
    <row r="2494" spans="32:32" x14ac:dyDescent="0.2">
      <c r="AF2494" s="12"/>
    </row>
    <row r="2495" spans="32:32" x14ac:dyDescent="0.2">
      <c r="AF2495" s="12"/>
    </row>
    <row r="2496" spans="32:32" x14ac:dyDescent="0.2">
      <c r="AF2496" s="12"/>
    </row>
    <row r="2497" spans="32:32" x14ac:dyDescent="0.2">
      <c r="AF2497" s="12"/>
    </row>
    <row r="2498" spans="32:32" x14ac:dyDescent="0.2">
      <c r="AF2498" s="12"/>
    </row>
    <row r="2499" spans="32:32" x14ac:dyDescent="0.2">
      <c r="AF2499" s="12"/>
    </row>
    <row r="2500" spans="32:32" x14ac:dyDescent="0.2">
      <c r="AF2500" s="12"/>
    </row>
    <row r="2501" spans="32:32" x14ac:dyDescent="0.2">
      <c r="AF2501" s="12"/>
    </row>
    <row r="2502" spans="32:32" x14ac:dyDescent="0.2">
      <c r="AF2502" s="12"/>
    </row>
    <row r="2503" spans="32:32" x14ac:dyDescent="0.2">
      <c r="AF2503" s="12"/>
    </row>
    <row r="2504" spans="32:32" x14ac:dyDescent="0.2">
      <c r="AF2504" s="12"/>
    </row>
    <row r="2505" spans="32:32" x14ac:dyDescent="0.2">
      <c r="AF2505" s="12"/>
    </row>
    <row r="2506" spans="32:32" x14ac:dyDescent="0.2">
      <c r="AF2506" s="12"/>
    </row>
    <row r="2507" spans="32:32" x14ac:dyDescent="0.2">
      <c r="AF2507" s="12"/>
    </row>
    <row r="2508" spans="32:32" x14ac:dyDescent="0.2">
      <c r="AF2508" s="12"/>
    </row>
    <row r="2509" spans="32:32" x14ac:dyDescent="0.2">
      <c r="AF2509" s="12"/>
    </row>
    <row r="2510" spans="32:32" x14ac:dyDescent="0.2">
      <c r="AF2510" s="12"/>
    </row>
    <row r="2511" spans="32:32" x14ac:dyDescent="0.2">
      <c r="AF2511" s="12"/>
    </row>
    <row r="2512" spans="32:32" x14ac:dyDescent="0.2">
      <c r="AF2512" s="12"/>
    </row>
    <row r="2513" spans="32:32" x14ac:dyDescent="0.2">
      <c r="AF2513" s="12"/>
    </row>
    <row r="2514" spans="32:32" x14ac:dyDescent="0.2">
      <c r="AF2514" s="12"/>
    </row>
    <row r="2515" spans="32:32" x14ac:dyDescent="0.2">
      <c r="AF2515" s="12"/>
    </row>
    <row r="2516" spans="32:32" x14ac:dyDescent="0.2">
      <c r="AF2516" s="12"/>
    </row>
    <row r="2517" spans="32:32" x14ac:dyDescent="0.2">
      <c r="AF2517" s="12"/>
    </row>
    <row r="2518" spans="32:32" x14ac:dyDescent="0.2">
      <c r="AF2518" s="12"/>
    </row>
    <row r="2519" spans="32:32" x14ac:dyDescent="0.2">
      <c r="AF2519" s="12"/>
    </row>
    <row r="2520" spans="32:32" x14ac:dyDescent="0.2">
      <c r="AF2520" s="12"/>
    </row>
    <row r="2521" spans="32:32" x14ac:dyDescent="0.2">
      <c r="AF2521" s="12"/>
    </row>
    <row r="2522" spans="32:32" x14ac:dyDescent="0.2">
      <c r="AF2522" s="12"/>
    </row>
    <row r="2523" spans="32:32" x14ac:dyDescent="0.2">
      <c r="AF2523" s="12"/>
    </row>
    <row r="2524" spans="32:32" x14ac:dyDescent="0.2">
      <c r="AF2524" s="12"/>
    </row>
    <row r="2525" spans="32:32" x14ac:dyDescent="0.2">
      <c r="AF2525" s="12"/>
    </row>
    <row r="2526" spans="32:32" x14ac:dyDescent="0.2">
      <c r="AF2526" s="12"/>
    </row>
    <row r="2527" spans="32:32" x14ac:dyDescent="0.2">
      <c r="AF2527" s="12"/>
    </row>
    <row r="2528" spans="32:32" x14ac:dyDescent="0.2">
      <c r="AF2528" s="12"/>
    </row>
    <row r="2529" spans="32:32" x14ac:dyDescent="0.2">
      <c r="AF2529" s="12"/>
    </row>
    <row r="2530" spans="32:32" x14ac:dyDescent="0.2">
      <c r="AF2530" s="12"/>
    </row>
    <row r="2531" spans="32:32" x14ac:dyDescent="0.2">
      <c r="AF2531" s="12"/>
    </row>
    <row r="2532" spans="32:32" x14ac:dyDescent="0.2">
      <c r="AF2532" s="12"/>
    </row>
    <row r="2533" spans="32:32" x14ac:dyDescent="0.2">
      <c r="AF2533" s="12"/>
    </row>
    <row r="2534" spans="32:32" x14ac:dyDescent="0.2">
      <c r="AF2534" s="12"/>
    </row>
    <row r="2535" spans="32:32" x14ac:dyDescent="0.2">
      <c r="AF2535" s="12"/>
    </row>
    <row r="2536" spans="32:32" x14ac:dyDescent="0.2">
      <c r="AF2536" s="12"/>
    </row>
    <row r="2537" spans="32:32" x14ac:dyDescent="0.2">
      <c r="AF2537" s="12"/>
    </row>
    <row r="2538" spans="32:32" x14ac:dyDescent="0.2">
      <c r="AF2538" s="12"/>
    </row>
    <row r="2539" spans="32:32" x14ac:dyDescent="0.2">
      <c r="AF2539" s="12"/>
    </row>
    <row r="2540" spans="32:32" x14ac:dyDescent="0.2">
      <c r="AF2540" s="12"/>
    </row>
    <row r="2541" spans="32:32" x14ac:dyDescent="0.2">
      <c r="AF2541" s="12"/>
    </row>
    <row r="2542" spans="32:32" x14ac:dyDescent="0.2">
      <c r="AF2542" s="12"/>
    </row>
    <row r="2543" spans="32:32" x14ac:dyDescent="0.2">
      <c r="AF2543" s="12"/>
    </row>
    <row r="2544" spans="32:32" x14ac:dyDescent="0.2">
      <c r="AF2544" s="12"/>
    </row>
    <row r="2545" spans="32:32" x14ac:dyDescent="0.2">
      <c r="AF2545" s="12"/>
    </row>
    <row r="2546" spans="32:32" x14ac:dyDescent="0.2">
      <c r="AF2546" s="12"/>
    </row>
    <row r="2547" spans="32:32" x14ac:dyDescent="0.2">
      <c r="AF2547" s="12"/>
    </row>
    <row r="2548" spans="32:32" x14ac:dyDescent="0.2">
      <c r="AF2548" s="12"/>
    </row>
    <row r="2549" spans="32:32" x14ac:dyDescent="0.2">
      <c r="AF2549" s="12"/>
    </row>
    <row r="2550" spans="32:32" x14ac:dyDescent="0.2">
      <c r="AF2550" s="12"/>
    </row>
    <row r="2551" spans="32:32" x14ac:dyDescent="0.2">
      <c r="AF2551" s="12"/>
    </row>
    <row r="2552" spans="32:32" x14ac:dyDescent="0.2">
      <c r="AF2552" s="12"/>
    </row>
    <row r="2553" spans="32:32" x14ac:dyDescent="0.2">
      <c r="AF2553" s="12"/>
    </row>
    <row r="2554" spans="32:32" x14ac:dyDescent="0.2">
      <c r="AF2554" s="12"/>
    </row>
    <row r="2555" spans="32:32" x14ac:dyDescent="0.2">
      <c r="AF2555" s="12"/>
    </row>
    <row r="2556" spans="32:32" x14ac:dyDescent="0.2">
      <c r="AF2556" s="12"/>
    </row>
    <row r="2557" spans="32:32" x14ac:dyDescent="0.2">
      <c r="AF2557" s="12"/>
    </row>
    <row r="2558" spans="32:32" x14ac:dyDescent="0.2">
      <c r="AF2558" s="12"/>
    </row>
    <row r="2559" spans="32:32" x14ac:dyDescent="0.2">
      <c r="AF2559" s="12"/>
    </row>
    <row r="2560" spans="32:32" x14ac:dyDescent="0.2">
      <c r="AF2560" s="12"/>
    </row>
    <row r="2561" spans="32:32" x14ac:dyDescent="0.2">
      <c r="AF2561" s="12"/>
    </row>
    <row r="2562" spans="32:32" x14ac:dyDescent="0.2">
      <c r="AF2562" s="12"/>
    </row>
    <row r="2563" spans="32:32" x14ac:dyDescent="0.2">
      <c r="AF2563" s="12"/>
    </row>
    <row r="2564" spans="32:32" x14ac:dyDescent="0.2">
      <c r="AF2564" s="12"/>
    </row>
    <row r="2565" spans="32:32" x14ac:dyDescent="0.2">
      <c r="AF2565" s="12"/>
    </row>
    <row r="2566" spans="32:32" x14ac:dyDescent="0.2">
      <c r="AF2566" s="12"/>
    </row>
    <row r="2567" spans="32:32" x14ac:dyDescent="0.2">
      <c r="AF2567" s="12"/>
    </row>
    <row r="2568" spans="32:32" x14ac:dyDescent="0.2">
      <c r="AF2568" s="12"/>
    </row>
    <row r="2569" spans="32:32" x14ac:dyDescent="0.2">
      <c r="AF2569" s="12"/>
    </row>
    <row r="2570" spans="32:32" x14ac:dyDescent="0.2">
      <c r="AF2570" s="12"/>
    </row>
    <row r="2571" spans="32:32" x14ac:dyDescent="0.2">
      <c r="AF2571" s="12"/>
    </row>
    <row r="2572" spans="32:32" x14ac:dyDescent="0.2">
      <c r="AF2572" s="12"/>
    </row>
    <row r="2573" spans="32:32" x14ac:dyDescent="0.2">
      <c r="AF2573" s="12"/>
    </row>
    <row r="2574" spans="32:32" x14ac:dyDescent="0.2">
      <c r="AF2574" s="12"/>
    </row>
    <row r="2575" spans="32:32" x14ac:dyDescent="0.2">
      <c r="AF2575" s="12"/>
    </row>
    <row r="2576" spans="32:32" x14ac:dyDescent="0.2">
      <c r="AF2576" s="12"/>
    </row>
    <row r="2577" spans="32:32" x14ac:dyDescent="0.2">
      <c r="AF2577" s="12"/>
    </row>
    <row r="2578" spans="32:32" x14ac:dyDescent="0.2">
      <c r="AF2578" s="12"/>
    </row>
    <row r="2579" spans="32:32" x14ac:dyDescent="0.2">
      <c r="AF2579" s="12"/>
    </row>
    <row r="2580" spans="32:32" x14ac:dyDescent="0.2">
      <c r="AF2580" s="12"/>
    </row>
    <row r="2581" spans="32:32" x14ac:dyDescent="0.2">
      <c r="AF2581" s="12"/>
    </row>
    <row r="2582" spans="32:32" x14ac:dyDescent="0.2">
      <c r="AF2582" s="12"/>
    </row>
    <row r="2583" spans="32:32" x14ac:dyDescent="0.2">
      <c r="AF2583" s="12"/>
    </row>
    <row r="2584" spans="32:32" x14ac:dyDescent="0.2">
      <c r="AF2584" s="12"/>
    </row>
    <row r="2585" spans="32:32" x14ac:dyDescent="0.2">
      <c r="AF2585" s="12"/>
    </row>
    <row r="2586" spans="32:32" x14ac:dyDescent="0.2">
      <c r="AF2586" s="12"/>
    </row>
    <row r="2587" spans="32:32" x14ac:dyDescent="0.2">
      <c r="AF2587" s="12"/>
    </row>
    <row r="2588" spans="32:32" x14ac:dyDescent="0.2">
      <c r="AF2588" s="12"/>
    </row>
    <row r="2589" spans="32:32" x14ac:dyDescent="0.2">
      <c r="AF2589" s="12"/>
    </row>
    <row r="2590" spans="32:32" x14ac:dyDescent="0.2">
      <c r="AF2590" s="12"/>
    </row>
    <row r="2591" spans="32:32" x14ac:dyDescent="0.2">
      <c r="AF2591" s="12"/>
    </row>
    <row r="2592" spans="32:32" x14ac:dyDescent="0.2">
      <c r="AF2592" s="12"/>
    </row>
    <row r="2593" spans="32:32" x14ac:dyDescent="0.2">
      <c r="AF2593" s="12"/>
    </row>
    <row r="2594" spans="32:32" x14ac:dyDescent="0.2">
      <c r="AF2594" s="12"/>
    </row>
    <row r="2595" spans="32:32" x14ac:dyDescent="0.2">
      <c r="AF2595" s="12"/>
    </row>
    <row r="2596" spans="32:32" x14ac:dyDescent="0.2">
      <c r="AF2596" s="12"/>
    </row>
    <row r="2597" spans="32:32" x14ac:dyDescent="0.2">
      <c r="AF2597" s="12"/>
    </row>
    <row r="2598" spans="32:32" x14ac:dyDescent="0.2">
      <c r="AF2598" s="12"/>
    </row>
    <row r="2599" spans="32:32" x14ac:dyDescent="0.2">
      <c r="AF2599" s="12"/>
    </row>
    <row r="2600" spans="32:32" x14ac:dyDescent="0.2">
      <c r="AF2600" s="12"/>
    </row>
    <row r="2601" spans="32:32" x14ac:dyDescent="0.2">
      <c r="AF2601" s="12"/>
    </row>
    <row r="2602" spans="32:32" x14ac:dyDescent="0.2">
      <c r="AF2602" s="12"/>
    </row>
    <row r="2603" spans="32:32" x14ac:dyDescent="0.2">
      <c r="AF2603" s="12"/>
    </row>
    <row r="2604" spans="32:32" x14ac:dyDescent="0.2">
      <c r="AF2604" s="12"/>
    </row>
    <row r="2605" spans="32:32" x14ac:dyDescent="0.2">
      <c r="AF2605" s="12"/>
    </row>
    <row r="2606" spans="32:32" x14ac:dyDescent="0.2">
      <c r="AF2606" s="12"/>
    </row>
    <row r="2607" spans="32:32" x14ac:dyDescent="0.2">
      <c r="AF2607" s="12"/>
    </row>
    <row r="2608" spans="32:32" x14ac:dyDescent="0.2">
      <c r="AF2608" s="12"/>
    </row>
    <row r="2609" spans="32:32" x14ac:dyDescent="0.2">
      <c r="AF2609" s="12"/>
    </row>
    <row r="2610" spans="32:32" x14ac:dyDescent="0.2">
      <c r="AF2610" s="12"/>
    </row>
    <row r="2611" spans="32:32" x14ac:dyDescent="0.2">
      <c r="AF2611" s="12"/>
    </row>
    <row r="2612" spans="32:32" x14ac:dyDescent="0.2">
      <c r="AF2612" s="12"/>
    </row>
    <row r="2613" spans="32:32" x14ac:dyDescent="0.2">
      <c r="AF2613" s="12"/>
    </row>
    <row r="2614" spans="32:32" x14ac:dyDescent="0.2">
      <c r="AF2614" s="12"/>
    </row>
    <row r="2615" spans="32:32" x14ac:dyDescent="0.2">
      <c r="AF2615" s="12"/>
    </row>
    <row r="2616" spans="32:32" x14ac:dyDescent="0.2">
      <c r="AF2616" s="12"/>
    </row>
    <row r="2617" spans="32:32" x14ac:dyDescent="0.2">
      <c r="AF2617" s="12"/>
    </row>
    <row r="2618" spans="32:32" x14ac:dyDescent="0.2">
      <c r="AF2618" s="12"/>
    </row>
    <row r="2619" spans="32:32" x14ac:dyDescent="0.2">
      <c r="AF2619" s="12"/>
    </row>
    <row r="2620" spans="32:32" x14ac:dyDescent="0.2">
      <c r="AF2620" s="12"/>
    </row>
    <row r="2621" spans="32:32" x14ac:dyDescent="0.2">
      <c r="AF2621" s="12"/>
    </row>
    <row r="2622" spans="32:32" x14ac:dyDescent="0.2">
      <c r="AF2622" s="12"/>
    </row>
    <row r="2623" spans="32:32" x14ac:dyDescent="0.2">
      <c r="AF2623" s="12"/>
    </row>
    <row r="2624" spans="32:32" x14ac:dyDescent="0.2">
      <c r="AF2624" s="12"/>
    </row>
    <row r="2625" spans="32:32" x14ac:dyDescent="0.2">
      <c r="AF2625" s="12"/>
    </row>
    <row r="2626" spans="32:32" x14ac:dyDescent="0.2">
      <c r="AF2626" s="12"/>
    </row>
    <row r="2627" spans="32:32" x14ac:dyDescent="0.2">
      <c r="AF2627" s="12"/>
    </row>
    <row r="2628" spans="32:32" x14ac:dyDescent="0.2">
      <c r="AF2628" s="12"/>
    </row>
    <row r="2629" spans="32:32" x14ac:dyDescent="0.2">
      <c r="AF2629" s="12"/>
    </row>
    <row r="2630" spans="32:32" x14ac:dyDescent="0.2">
      <c r="AF2630" s="12"/>
    </row>
    <row r="2631" spans="32:32" x14ac:dyDescent="0.2">
      <c r="AF2631" s="12"/>
    </row>
    <row r="2632" spans="32:32" x14ac:dyDescent="0.2">
      <c r="AF2632" s="12"/>
    </row>
    <row r="2633" spans="32:32" x14ac:dyDescent="0.2">
      <c r="AF2633" s="12"/>
    </row>
    <row r="2634" spans="32:32" x14ac:dyDescent="0.2">
      <c r="AF2634" s="12"/>
    </row>
    <row r="2635" spans="32:32" x14ac:dyDescent="0.2">
      <c r="AF2635" s="12"/>
    </row>
    <row r="2636" spans="32:32" x14ac:dyDescent="0.2">
      <c r="AF2636" s="12"/>
    </row>
    <row r="2637" spans="32:32" x14ac:dyDescent="0.2">
      <c r="AF2637" s="12"/>
    </row>
    <row r="2638" spans="32:32" x14ac:dyDescent="0.2">
      <c r="AF2638" s="12"/>
    </row>
    <row r="2639" spans="32:32" x14ac:dyDescent="0.2">
      <c r="AF2639" s="12"/>
    </row>
    <row r="2640" spans="32:32" x14ac:dyDescent="0.2">
      <c r="AF2640" s="12"/>
    </row>
    <row r="2641" spans="32:32" x14ac:dyDescent="0.2">
      <c r="AF2641" s="12"/>
    </row>
    <row r="2642" spans="32:32" x14ac:dyDescent="0.2">
      <c r="AF2642" s="12"/>
    </row>
    <row r="2643" spans="32:32" x14ac:dyDescent="0.2">
      <c r="AF2643" s="12"/>
    </row>
    <row r="2644" spans="32:32" x14ac:dyDescent="0.2">
      <c r="AF2644" s="12"/>
    </row>
    <row r="2645" spans="32:32" x14ac:dyDescent="0.2">
      <c r="AF2645" s="12"/>
    </row>
    <row r="2646" spans="32:32" x14ac:dyDescent="0.2">
      <c r="AF2646" s="12"/>
    </row>
    <row r="2647" spans="32:32" x14ac:dyDescent="0.2">
      <c r="AF2647" s="12"/>
    </row>
    <row r="2648" spans="32:32" x14ac:dyDescent="0.2">
      <c r="AF2648" s="12"/>
    </row>
    <row r="2649" spans="32:32" x14ac:dyDescent="0.2">
      <c r="AF2649" s="12"/>
    </row>
    <row r="2650" spans="32:32" x14ac:dyDescent="0.2">
      <c r="AF2650" s="12"/>
    </row>
    <row r="2651" spans="32:32" x14ac:dyDescent="0.2">
      <c r="AF2651" s="12"/>
    </row>
    <row r="2652" spans="32:32" x14ac:dyDescent="0.2">
      <c r="AF2652" s="12"/>
    </row>
    <row r="2653" spans="32:32" x14ac:dyDescent="0.2">
      <c r="AF2653" s="12"/>
    </row>
    <row r="2654" spans="32:32" x14ac:dyDescent="0.2">
      <c r="AF2654" s="12"/>
    </row>
    <row r="2655" spans="32:32" x14ac:dyDescent="0.2">
      <c r="AF2655" s="12"/>
    </row>
    <row r="2656" spans="32:32" x14ac:dyDescent="0.2">
      <c r="AF2656" s="12"/>
    </row>
    <row r="2657" spans="32:32" x14ac:dyDescent="0.2">
      <c r="AF2657" s="12"/>
    </row>
    <row r="2658" spans="32:32" x14ac:dyDescent="0.2">
      <c r="AF2658" s="12"/>
    </row>
    <row r="2659" spans="32:32" x14ac:dyDescent="0.2">
      <c r="AF2659" s="12"/>
    </row>
    <row r="2660" spans="32:32" x14ac:dyDescent="0.2">
      <c r="AF2660" s="12"/>
    </row>
    <row r="2661" spans="32:32" x14ac:dyDescent="0.2">
      <c r="AF2661" s="12"/>
    </row>
    <row r="2662" spans="32:32" x14ac:dyDescent="0.2">
      <c r="AF2662" s="12"/>
    </row>
    <row r="2663" spans="32:32" x14ac:dyDescent="0.2">
      <c r="AF2663" s="12"/>
    </row>
    <row r="2664" spans="32:32" x14ac:dyDescent="0.2">
      <c r="AF2664" s="12"/>
    </row>
    <row r="2665" spans="32:32" x14ac:dyDescent="0.2">
      <c r="AF2665" s="12"/>
    </row>
    <row r="2666" spans="32:32" x14ac:dyDescent="0.2">
      <c r="AF2666" s="12"/>
    </row>
    <row r="2667" spans="32:32" x14ac:dyDescent="0.2">
      <c r="AF2667" s="12"/>
    </row>
    <row r="2668" spans="32:32" x14ac:dyDescent="0.2">
      <c r="AF2668" s="12"/>
    </row>
    <row r="2669" spans="32:32" x14ac:dyDescent="0.2">
      <c r="AF2669" s="12"/>
    </row>
    <row r="2670" spans="32:32" x14ac:dyDescent="0.2">
      <c r="AF2670" s="12"/>
    </row>
    <row r="2671" spans="32:32" x14ac:dyDescent="0.2">
      <c r="AF2671" s="12"/>
    </row>
    <row r="2672" spans="32:32" x14ac:dyDescent="0.2">
      <c r="AF2672" s="12"/>
    </row>
    <row r="2673" spans="32:32" x14ac:dyDescent="0.2">
      <c r="AF2673" s="12"/>
    </row>
    <row r="2674" spans="32:32" x14ac:dyDescent="0.2">
      <c r="AF2674" s="12"/>
    </row>
    <row r="2675" spans="32:32" x14ac:dyDescent="0.2">
      <c r="AF2675" s="12"/>
    </row>
    <row r="2676" spans="32:32" x14ac:dyDescent="0.2">
      <c r="AF2676" s="12"/>
    </row>
    <row r="2677" spans="32:32" x14ac:dyDescent="0.2">
      <c r="AF2677" s="12"/>
    </row>
    <row r="2678" spans="32:32" x14ac:dyDescent="0.2">
      <c r="AF2678" s="12"/>
    </row>
    <row r="2679" spans="32:32" x14ac:dyDescent="0.2">
      <c r="AF2679" s="12"/>
    </row>
    <row r="2680" spans="32:32" x14ac:dyDescent="0.2">
      <c r="AF2680" s="12"/>
    </row>
    <row r="2681" spans="32:32" x14ac:dyDescent="0.2">
      <c r="AF2681" s="12"/>
    </row>
    <row r="2682" spans="32:32" x14ac:dyDescent="0.2">
      <c r="AF2682" s="12"/>
    </row>
    <row r="2683" spans="32:32" x14ac:dyDescent="0.2">
      <c r="AF2683" s="12"/>
    </row>
    <row r="2684" spans="32:32" x14ac:dyDescent="0.2">
      <c r="AF2684" s="12"/>
    </row>
    <row r="2685" spans="32:32" x14ac:dyDescent="0.2">
      <c r="AF2685" s="12"/>
    </row>
    <row r="2686" spans="32:32" x14ac:dyDescent="0.2">
      <c r="AF2686" s="12"/>
    </row>
    <row r="2687" spans="32:32" x14ac:dyDescent="0.2">
      <c r="AF2687" s="12"/>
    </row>
    <row r="2688" spans="32:32" x14ac:dyDescent="0.2">
      <c r="AF2688" s="12"/>
    </row>
    <row r="2689" spans="32:32" x14ac:dyDescent="0.2">
      <c r="AF2689" s="12"/>
    </row>
    <row r="2690" spans="32:32" x14ac:dyDescent="0.2">
      <c r="AF2690" s="12"/>
    </row>
    <row r="2691" spans="32:32" x14ac:dyDescent="0.2">
      <c r="AF2691" s="12"/>
    </row>
    <row r="2692" spans="32:32" x14ac:dyDescent="0.2">
      <c r="AF2692" s="12"/>
    </row>
    <row r="2693" spans="32:32" x14ac:dyDescent="0.2">
      <c r="AF2693" s="12"/>
    </row>
    <row r="2694" spans="32:32" x14ac:dyDescent="0.2">
      <c r="AF2694" s="12"/>
    </row>
    <row r="2695" spans="32:32" x14ac:dyDescent="0.2">
      <c r="AF2695" s="12"/>
    </row>
    <row r="2696" spans="32:32" x14ac:dyDescent="0.2">
      <c r="AF2696" s="12"/>
    </row>
    <row r="2697" spans="32:32" x14ac:dyDescent="0.2">
      <c r="AF2697" s="12"/>
    </row>
    <row r="2698" spans="32:32" x14ac:dyDescent="0.2">
      <c r="AF2698" s="12"/>
    </row>
    <row r="2699" spans="32:32" x14ac:dyDescent="0.2">
      <c r="AF2699" s="12"/>
    </row>
    <row r="2700" spans="32:32" x14ac:dyDescent="0.2">
      <c r="AF2700" s="12"/>
    </row>
    <row r="2701" spans="32:32" x14ac:dyDescent="0.2">
      <c r="AF2701" s="12"/>
    </row>
    <row r="2702" spans="32:32" x14ac:dyDescent="0.2">
      <c r="AF2702" s="12"/>
    </row>
    <row r="2703" spans="32:32" x14ac:dyDescent="0.2">
      <c r="AF2703" s="12"/>
    </row>
    <row r="2704" spans="32:32" x14ac:dyDescent="0.2">
      <c r="AF2704" s="12"/>
    </row>
    <row r="2705" spans="32:32" x14ac:dyDescent="0.2">
      <c r="AF2705" s="12"/>
    </row>
    <row r="2706" spans="32:32" x14ac:dyDescent="0.2">
      <c r="AF2706" s="12"/>
    </row>
    <row r="2707" spans="32:32" x14ac:dyDescent="0.2">
      <c r="AF2707" s="12"/>
    </row>
    <row r="2708" spans="32:32" x14ac:dyDescent="0.2">
      <c r="AF2708" s="12"/>
    </row>
    <row r="2709" spans="32:32" x14ac:dyDescent="0.2">
      <c r="AF2709" s="12"/>
    </row>
    <row r="2710" spans="32:32" x14ac:dyDescent="0.2">
      <c r="AF2710" s="12"/>
    </row>
    <row r="2711" spans="32:32" x14ac:dyDescent="0.2">
      <c r="AF2711" s="12"/>
    </row>
    <row r="2712" spans="32:32" x14ac:dyDescent="0.2">
      <c r="AF2712" s="12"/>
    </row>
    <row r="2713" spans="32:32" x14ac:dyDescent="0.2">
      <c r="AF2713" s="12"/>
    </row>
    <row r="2714" spans="32:32" x14ac:dyDescent="0.2">
      <c r="AF2714" s="12"/>
    </row>
    <row r="2715" spans="32:32" x14ac:dyDescent="0.2">
      <c r="AF2715" s="12"/>
    </row>
    <row r="2716" spans="32:32" x14ac:dyDescent="0.2">
      <c r="AF2716" s="12"/>
    </row>
    <row r="2717" spans="32:32" x14ac:dyDescent="0.2">
      <c r="AF2717" s="12"/>
    </row>
    <row r="2718" spans="32:32" x14ac:dyDescent="0.2">
      <c r="AF2718" s="12"/>
    </row>
    <row r="2719" spans="32:32" x14ac:dyDescent="0.2">
      <c r="AF2719" s="12"/>
    </row>
    <row r="2720" spans="32:32" x14ac:dyDescent="0.2">
      <c r="AF2720" s="12"/>
    </row>
    <row r="2721" spans="32:32" x14ac:dyDescent="0.2">
      <c r="AF2721" s="12"/>
    </row>
    <row r="2722" spans="32:32" x14ac:dyDescent="0.2">
      <c r="AF2722" s="12"/>
    </row>
    <row r="2723" spans="32:32" x14ac:dyDescent="0.2">
      <c r="AF2723" s="12"/>
    </row>
    <row r="2724" spans="32:32" x14ac:dyDescent="0.2">
      <c r="AF2724" s="12"/>
    </row>
    <row r="2725" spans="32:32" x14ac:dyDescent="0.2">
      <c r="AF2725" s="12"/>
    </row>
    <row r="2726" spans="32:32" x14ac:dyDescent="0.2">
      <c r="AF2726" s="12"/>
    </row>
    <row r="2727" spans="32:32" x14ac:dyDescent="0.2">
      <c r="AF2727" s="12"/>
    </row>
    <row r="2728" spans="32:32" x14ac:dyDescent="0.2">
      <c r="AF2728" s="12"/>
    </row>
    <row r="2729" spans="32:32" x14ac:dyDescent="0.2">
      <c r="AF2729" s="12"/>
    </row>
    <row r="2730" spans="32:32" x14ac:dyDescent="0.2">
      <c r="AF2730" s="12"/>
    </row>
    <row r="2731" spans="32:32" x14ac:dyDescent="0.2">
      <c r="AF2731" s="12"/>
    </row>
    <row r="2732" spans="32:32" x14ac:dyDescent="0.2">
      <c r="AF2732" s="12"/>
    </row>
    <row r="2733" spans="32:32" x14ac:dyDescent="0.2">
      <c r="AF2733" s="12"/>
    </row>
    <row r="2734" spans="32:32" x14ac:dyDescent="0.2">
      <c r="AF2734" s="12"/>
    </row>
    <row r="2735" spans="32:32" x14ac:dyDescent="0.2">
      <c r="AF2735" s="12"/>
    </row>
    <row r="2736" spans="32:32" x14ac:dyDescent="0.2">
      <c r="AF2736" s="12"/>
    </row>
    <row r="2737" spans="32:32" x14ac:dyDescent="0.2">
      <c r="AF2737" s="12"/>
    </row>
    <row r="2738" spans="32:32" x14ac:dyDescent="0.2">
      <c r="AF2738" s="12"/>
    </row>
    <row r="2739" spans="32:32" x14ac:dyDescent="0.2">
      <c r="AF2739" s="12"/>
    </row>
    <row r="2740" spans="32:32" x14ac:dyDescent="0.2">
      <c r="AF2740" s="12"/>
    </row>
    <row r="2741" spans="32:32" x14ac:dyDescent="0.2">
      <c r="AF2741" s="12"/>
    </row>
    <row r="2742" spans="32:32" x14ac:dyDescent="0.2">
      <c r="AF2742" s="12"/>
    </row>
    <row r="2743" spans="32:32" x14ac:dyDescent="0.2">
      <c r="AF2743" s="12"/>
    </row>
    <row r="2744" spans="32:32" x14ac:dyDescent="0.2">
      <c r="AF2744" s="12"/>
    </row>
    <row r="2745" spans="32:32" x14ac:dyDescent="0.2">
      <c r="AF2745" s="12"/>
    </row>
    <row r="2746" spans="32:32" x14ac:dyDescent="0.2">
      <c r="AF2746" s="12"/>
    </row>
    <row r="2747" spans="32:32" x14ac:dyDescent="0.2">
      <c r="AF2747" s="12"/>
    </row>
    <row r="2748" spans="32:32" x14ac:dyDescent="0.2">
      <c r="AF2748" s="12"/>
    </row>
    <row r="2749" spans="32:32" x14ac:dyDescent="0.2">
      <c r="AF2749" s="12"/>
    </row>
    <row r="2750" spans="32:32" x14ac:dyDescent="0.2">
      <c r="AF2750" s="12"/>
    </row>
    <row r="2751" spans="32:32" x14ac:dyDescent="0.2">
      <c r="AF2751" s="12"/>
    </row>
    <row r="2752" spans="32:32" x14ac:dyDescent="0.2">
      <c r="AF2752" s="12"/>
    </row>
    <row r="2753" spans="32:32" x14ac:dyDescent="0.2">
      <c r="AF2753" s="12"/>
    </row>
    <row r="2754" spans="32:32" x14ac:dyDescent="0.2">
      <c r="AF2754" s="12"/>
    </row>
    <row r="2755" spans="32:32" x14ac:dyDescent="0.2">
      <c r="AF2755" s="12"/>
    </row>
    <row r="2756" spans="32:32" x14ac:dyDescent="0.2">
      <c r="AF2756" s="12"/>
    </row>
    <row r="2757" spans="32:32" x14ac:dyDescent="0.2">
      <c r="AF2757" s="12"/>
    </row>
    <row r="2758" spans="32:32" x14ac:dyDescent="0.2">
      <c r="AF2758" s="12"/>
    </row>
    <row r="2759" spans="32:32" x14ac:dyDescent="0.2">
      <c r="AF2759" s="12"/>
    </row>
    <row r="2760" spans="32:32" x14ac:dyDescent="0.2">
      <c r="AF2760" s="12"/>
    </row>
    <row r="2761" spans="32:32" x14ac:dyDescent="0.2">
      <c r="AF2761" s="12"/>
    </row>
    <row r="2762" spans="32:32" x14ac:dyDescent="0.2">
      <c r="AF2762" s="12"/>
    </row>
    <row r="2763" spans="32:32" x14ac:dyDescent="0.2">
      <c r="AF2763" s="12"/>
    </row>
    <row r="2764" spans="32:32" x14ac:dyDescent="0.2">
      <c r="AF2764" s="12"/>
    </row>
    <row r="2765" spans="32:32" x14ac:dyDescent="0.2">
      <c r="AF2765" s="12"/>
    </row>
    <row r="2766" spans="32:32" x14ac:dyDescent="0.2">
      <c r="AF2766" s="12"/>
    </row>
    <row r="2767" spans="32:32" x14ac:dyDescent="0.2">
      <c r="AF2767" s="12"/>
    </row>
    <row r="2768" spans="32:32" x14ac:dyDescent="0.2">
      <c r="AF2768" s="12"/>
    </row>
    <row r="2769" spans="32:32" x14ac:dyDescent="0.2">
      <c r="AF2769" s="12"/>
    </row>
    <row r="2770" spans="32:32" x14ac:dyDescent="0.2">
      <c r="AF2770" s="12"/>
    </row>
    <row r="2771" spans="32:32" x14ac:dyDescent="0.2">
      <c r="AF2771" s="12"/>
    </row>
    <row r="2772" spans="32:32" x14ac:dyDescent="0.2">
      <c r="AF2772" s="12"/>
    </row>
    <row r="2773" spans="32:32" x14ac:dyDescent="0.2">
      <c r="AF2773" s="12"/>
    </row>
    <row r="2774" spans="32:32" x14ac:dyDescent="0.2">
      <c r="AF2774" s="12"/>
    </row>
    <row r="2775" spans="32:32" x14ac:dyDescent="0.2">
      <c r="AF2775" s="12"/>
    </row>
    <row r="2776" spans="32:32" x14ac:dyDescent="0.2">
      <c r="AF2776" s="12"/>
    </row>
    <row r="2777" spans="32:32" x14ac:dyDescent="0.2">
      <c r="AF2777" s="12"/>
    </row>
    <row r="2778" spans="32:32" x14ac:dyDescent="0.2">
      <c r="AF2778" s="12"/>
    </row>
    <row r="2779" spans="32:32" x14ac:dyDescent="0.2">
      <c r="AF2779" s="12"/>
    </row>
    <row r="2780" spans="32:32" x14ac:dyDescent="0.2">
      <c r="AF2780" s="12"/>
    </row>
    <row r="2781" spans="32:32" x14ac:dyDescent="0.2">
      <c r="AF2781" s="12"/>
    </row>
    <row r="2782" spans="32:32" x14ac:dyDescent="0.2">
      <c r="AF2782" s="12"/>
    </row>
    <row r="2783" spans="32:32" x14ac:dyDescent="0.2">
      <c r="AF2783" s="12"/>
    </row>
    <row r="2784" spans="32:32" x14ac:dyDescent="0.2">
      <c r="AF2784" s="12"/>
    </row>
    <row r="2785" spans="32:32" x14ac:dyDescent="0.2">
      <c r="AF2785" s="12"/>
    </row>
    <row r="2786" spans="32:32" x14ac:dyDescent="0.2">
      <c r="AF2786" s="12"/>
    </row>
    <row r="2787" spans="32:32" x14ac:dyDescent="0.2">
      <c r="AF2787" s="12"/>
    </row>
    <row r="2788" spans="32:32" x14ac:dyDescent="0.2">
      <c r="AF2788" s="12"/>
    </row>
    <row r="2789" spans="32:32" x14ac:dyDescent="0.2">
      <c r="AF2789" s="12"/>
    </row>
    <row r="2790" spans="32:32" x14ac:dyDescent="0.2">
      <c r="AF2790" s="12"/>
    </row>
    <row r="2791" spans="32:32" x14ac:dyDescent="0.2">
      <c r="AF2791" s="12"/>
    </row>
    <row r="2792" spans="32:32" x14ac:dyDescent="0.2">
      <c r="AF2792" s="12"/>
    </row>
    <row r="2793" spans="32:32" x14ac:dyDescent="0.2">
      <c r="AF2793" s="12"/>
    </row>
    <row r="2794" spans="32:32" x14ac:dyDescent="0.2">
      <c r="AF2794" s="12"/>
    </row>
    <row r="2795" spans="32:32" x14ac:dyDescent="0.2">
      <c r="AF2795" s="12"/>
    </row>
    <row r="2796" spans="32:32" x14ac:dyDescent="0.2">
      <c r="AF2796" s="12"/>
    </row>
    <row r="2797" spans="32:32" x14ac:dyDescent="0.2">
      <c r="AF2797" s="12"/>
    </row>
    <row r="2798" spans="32:32" x14ac:dyDescent="0.2">
      <c r="AF2798" s="12"/>
    </row>
    <row r="2799" spans="32:32" x14ac:dyDescent="0.2">
      <c r="AF2799" s="12"/>
    </row>
    <row r="2800" spans="32:32" x14ac:dyDescent="0.2">
      <c r="AF2800" s="12"/>
    </row>
    <row r="2801" spans="32:32" x14ac:dyDescent="0.2">
      <c r="AF2801" s="12"/>
    </row>
    <row r="2802" spans="32:32" x14ac:dyDescent="0.2">
      <c r="AF2802" s="12"/>
    </row>
    <row r="2803" spans="32:32" x14ac:dyDescent="0.2">
      <c r="AF2803" s="12"/>
    </row>
    <row r="2804" spans="32:32" x14ac:dyDescent="0.2">
      <c r="AF2804" s="12"/>
    </row>
    <row r="2805" spans="32:32" x14ac:dyDescent="0.2">
      <c r="AF2805" s="12"/>
    </row>
    <row r="2806" spans="32:32" x14ac:dyDescent="0.2">
      <c r="AF2806" s="12"/>
    </row>
    <row r="2807" spans="32:32" x14ac:dyDescent="0.2">
      <c r="AF2807" s="12"/>
    </row>
    <row r="2808" spans="32:32" x14ac:dyDescent="0.2">
      <c r="AF2808" s="12"/>
    </row>
    <row r="2809" spans="32:32" x14ac:dyDescent="0.2">
      <c r="AF2809" s="12"/>
    </row>
    <row r="2810" spans="32:32" x14ac:dyDescent="0.2">
      <c r="AF2810" s="12"/>
    </row>
    <row r="2811" spans="32:32" x14ac:dyDescent="0.2">
      <c r="AF2811" s="12"/>
    </row>
    <row r="2812" spans="32:32" x14ac:dyDescent="0.2">
      <c r="AF2812" s="12"/>
    </row>
    <row r="2813" spans="32:32" x14ac:dyDescent="0.2">
      <c r="AF2813" s="12"/>
    </row>
    <row r="2814" spans="32:32" x14ac:dyDescent="0.2">
      <c r="AF2814" s="12"/>
    </row>
    <row r="2815" spans="32:32" x14ac:dyDescent="0.2">
      <c r="AF2815" s="12"/>
    </row>
    <row r="2816" spans="32:32" x14ac:dyDescent="0.2">
      <c r="AF2816" s="12"/>
    </row>
    <row r="2817" spans="32:32" x14ac:dyDescent="0.2">
      <c r="AF2817" s="12"/>
    </row>
    <row r="2818" spans="32:32" x14ac:dyDescent="0.2">
      <c r="AF2818" s="12"/>
    </row>
    <row r="2819" spans="32:32" x14ac:dyDescent="0.2">
      <c r="AF2819" s="12"/>
    </row>
    <row r="2820" spans="32:32" x14ac:dyDescent="0.2">
      <c r="AF2820" s="12"/>
    </row>
    <row r="2821" spans="32:32" x14ac:dyDescent="0.2">
      <c r="AF2821" s="12"/>
    </row>
    <row r="2822" spans="32:32" x14ac:dyDescent="0.2">
      <c r="AF2822" s="12"/>
    </row>
    <row r="2823" spans="32:32" x14ac:dyDescent="0.2">
      <c r="AF2823" s="12"/>
    </row>
    <row r="2824" spans="32:32" x14ac:dyDescent="0.2">
      <c r="AF2824" s="12"/>
    </row>
    <row r="2825" spans="32:32" x14ac:dyDescent="0.2">
      <c r="AF2825" s="12"/>
    </row>
    <row r="2826" spans="32:32" x14ac:dyDescent="0.2">
      <c r="AF2826" s="12"/>
    </row>
    <row r="2827" spans="32:32" x14ac:dyDescent="0.2">
      <c r="AF2827" s="12"/>
    </row>
    <row r="2828" spans="32:32" x14ac:dyDescent="0.2">
      <c r="AF2828" s="12"/>
    </row>
    <row r="2829" spans="32:32" x14ac:dyDescent="0.2">
      <c r="AF2829" s="12"/>
    </row>
    <row r="2830" spans="32:32" x14ac:dyDescent="0.2">
      <c r="AF2830" s="12"/>
    </row>
    <row r="2831" spans="32:32" x14ac:dyDescent="0.2">
      <c r="AF2831" s="12"/>
    </row>
    <row r="2832" spans="32:32" x14ac:dyDescent="0.2">
      <c r="AF2832" s="12"/>
    </row>
    <row r="2833" spans="32:32" x14ac:dyDescent="0.2">
      <c r="AF2833" s="12"/>
    </row>
    <row r="2834" spans="32:32" x14ac:dyDescent="0.2">
      <c r="AF2834" s="12"/>
    </row>
    <row r="2835" spans="32:32" x14ac:dyDescent="0.2">
      <c r="AF2835" s="12"/>
    </row>
    <row r="2836" spans="32:32" x14ac:dyDescent="0.2">
      <c r="AF2836" s="12"/>
    </row>
    <row r="2837" spans="32:32" x14ac:dyDescent="0.2">
      <c r="AF2837" s="12"/>
    </row>
    <row r="2838" spans="32:32" x14ac:dyDescent="0.2">
      <c r="AF2838" s="12"/>
    </row>
    <row r="2839" spans="32:32" x14ac:dyDescent="0.2">
      <c r="AF2839" s="12"/>
    </row>
    <row r="2840" spans="32:32" x14ac:dyDescent="0.2">
      <c r="AF2840" s="12"/>
    </row>
    <row r="2841" spans="32:32" x14ac:dyDescent="0.2">
      <c r="AF2841" s="12"/>
    </row>
    <row r="2842" spans="32:32" x14ac:dyDescent="0.2">
      <c r="AF2842" s="12"/>
    </row>
    <row r="2843" spans="32:32" x14ac:dyDescent="0.2">
      <c r="AF2843" s="12"/>
    </row>
    <row r="2844" spans="32:32" x14ac:dyDescent="0.2">
      <c r="AF2844" s="12"/>
    </row>
    <row r="2845" spans="32:32" x14ac:dyDescent="0.2">
      <c r="AF2845" s="12"/>
    </row>
    <row r="2846" spans="32:32" x14ac:dyDescent="0.2">
      <c r="AF2846" s="12"/>
    </row>
    <row r="2847" spans="32:32" x14ac:dyDescent="0.2">
      <c r="AF2847" s="12"/>
    </row>
    <row r="2848" spans="32:32" x14ac:dyDescent="0.2">
      <c r="AF2848" s="12"/>
    </row>
    <row r="2849" spans="32:32" x14ac:dyDescent="0.2">
      <c r="AF2849" s="12"/>
    </row>
    <row r="2850" spans="32:32" x14ac:dyDescent="0.2">
      <c r="AF2850" s="12"/>
    </row>
    <row r="2851" spans="32:32" x14ac:dyDescent="0.2">
      <c r="AF2851" s="12"/>
    </row>
    <row r="2852" spans="32:32" x14ac:dyDescent="0.2">
      <c r="AF2852" s="12"/>
    </row>
    <row r="2853" spans="32:32" x14ac:dyDescent="0.2">
      <c r="AF2853" s="12"/>
    </row>
    <row r="2854" spans="32:32" x14ac:dyDescent="0.2">
      <c r="AF2854" s="12"/>
    </row>
    <row r="2855" spans="32:32" x14ac:dyDescent="0.2">
      <c r="AF2855" s="12"/>
    </row>
    <row r="2856" spans="32:32" x14ac:dyDescent="0.2">
      <c r="AF2856" s="12"/>
    </row>
    <row r="2857" spans="32:32" x14ac:dyDescent="0.2">
      <c r="AF2857" s="12"/>
    </row>
    <row r="2858" spans="32:32" x14ac:dyDescent="0.2">
      <c r="AF2858" s="12"/>
    </row>
    <row r="2859" spans="32:32" x14ac:dyDescent="0.2">
      <c r="AF2859" s="12"/>
    </row>
    <row r="2860" spans="32:32" x14ac:dyDescent="0.2">
      <c r="AF2860" s="12"/>
    </row>
    <row r="2861" spans="32:32" x14ac:dyDescent="0.2">
      <c r="AF2861" s="12"/>
    </row>
    <row r="2862" spans="32:32" x14ac:dyDescent="0.2">
      <c r="AF2862" s="12"/>
    </row>
    <row r="2863" spans="32:32" x14ac:dyDescent="0.2">
      <c r="AF2863" s="12"/>
    </row>
    <row r="2864" spans="32:32" x14ac:dyDescent="0.2">
      <c r="AF2864" s="12"/>
    </row>
    <row r="2865" spans="32:32" x14ac:dyDescent="0.2">
      <c r="AF2865" s="12"/>
    </row>
    <row r="2866" spans="32:32" x14ac:dyDescent="0.2">
      <c r="AF2866" s="12"/>
    </row>
    <row r="2867" spans="32:32" x14ac:dyDescent="0.2">
      <c r="AF2867" s="12"/>
    </row>
    <row r="2868" spans="32:32" x14ac:dyDescent="0.2">
      <c r="AF2868" s="12"/>
    </row>
    <row r="2869" spans="32:32" x14ac:dyDescent="0.2">
      <c r="AF2869" s="12"/>
    </row>
    <row r="2870" spans="32:32" x14ac:dyDescent="0.2">
      <c r="AF2870" s="12"/>
    </row>
    <row r="2871" spans="32:32" x14ac:dyDescent="0.2">
      <c r="AF2871" s="12"/>
    </row>
    <row r="2872" spans="32:32" x14ac:dyDescent="0.2">
      <c r="AF2872" s="12"/>
    </row>
    <row r="2873" spans="32:32" x14ac:dyDescent="0.2">
      <c r="AF2873" s="12"/>
    </row>
    <row r="2874" spans="32:32" x14ac:dyDescent="0.2">
      <c r="AF2874" s="12"/>
    </row>
    <row r="2875" spans="32:32" x14ac:dyDescent="0.2">
      <c r="AF2875" s="12"/>
    </row>
    <row r="2876" spans="32:32" x14ac:dyDescent="0.2">
      <c r="AF2876" s="12"/>
    </row>
    <row r="2877" spans="32:32" x14ac:dyDescent="0.2">
      <c r="AF2877" s="12"/>
    </row>
    <row r="2878" spans="32:32" x14ac:dyDescent="0.2">
      <c r="AF2878" s="12"/>
    </row>
    <row r="2879" spans="32:32" x14ac:dyDescent="0.2">
      <c r="AF2879" s="12"/>
    </row>
    <row r="2880" spans="32:32" x14ac:dyDescent="0.2">
      <c r="AF2880" s="12"/>
    </row>
    <row r="2881" spans="32:32" x14ac:dyDescent="0.2">
      <c r="AF2881" s="12"/>
    </row>
    <row r="2882" spans="32:32" x14ac:dyDescent="0.2">
      <c r="AF2882" s="12"/>
    </row>
    <row r="2883" spans="32:32" x14ac:dyDescent="0.2">
      <c r="AF2883" s="12"/>
    </row>
    <row r="2884" spans="32:32" x14ac:dyDescent="0.2">
      <c r="AF2884" s="12"/>
    </row>
    <row r="2885" spans="32:32" x14ac:dyDescent="0.2">
      <c r="AF2885" s="12"/>
    </row>
    <row r="2886" spans="32:32" x14ac:dyDescent="0.2">
      <c r="AF2886" s="12"/>
    </row>
    <row r="2887" spans="32:32" x14ac:dyDescent="0.2">
      <c r="AF2887" s="12"/>
    </row>
    <row r="2888" spans="32:32" x14ac:dyDescent="0.2">
      <c r="AF2888" s="12"/>
    </row>
    <row r="2889" spans="32:32" x14ac:dyDescent="0.2">
      <c r="AF2889" s="12"/>
    </row>
    <row r="2890" spans="32:32" x14ac:dyDescent="0.2">
      <c r="AF2890" s="12"/>
    </row>
    <row r="2891" spans="32:32" x14ac:dyDescent="0.2">
      <c r="AF2891" s="12"/>
    </row>
    <row r="2892" spans="32:32" x14ac:dyDescent="0.2">
      <c r="AF2892" s="12"/>
    </row>
    <row r="2893" spans="32:32" x14ac:dyDescent="0.2">
      <c r="AF2893" s="12"/>
    </row>
    <row r="2894" spans="32:32" x14ac:dyDescent="0.2">
      <c r="AF2894" s="12"/>
    </row>
    <row r="2895" spans="32:32" x14ac:dyDescent="0.2">
      <c r="AF2895" s="12"/>
    </row>
    <row r="2896" spans="32:32" x14ac:dyDescent="0.2">
      <c r="AF2896" s="12"/>
    </row>
    <row r="2897" spans="32:32" x14ac:dyDescent="0.2">
      <c r="AF2897" s="12"/>
    </row>
    <row r="2898" spans="32:32" x14ac:dyDescent="0.2">
      <c r="AF2898" s="12"/>
    </row>
    <row r="2899" spans="32:32" x14ac:dyDescent="0.2">
      <c r="AF2899" s="12"/>
    </row>
    <row r="2900" spans="32:32" x14ac:dyDescent="0.2">
      <c r="AF2900" s="12"/>
    </row>
    <row r="2901" spans="32:32" x14ac:dyDescent="0.2">
      <c r="AF2901" s="12"/>
    </row>
    <row r="2902" spans="32:32" x14ac:dyDescent="0.2">
      <c r="AF2902" s="12"/>
    </row>
    <row r="2903" spans="32:32" x14ac:dyDescent="0.2">
      <c r="AF2903" s="12"/>
    </row>
    <row r="2904" spans="32:32" x14ac:dyDescent="0.2">
      <c r="AF2904" s="12"/>
    </row>
    <row r="2905" spans="32:32" x14ac:dyDescent="0.2">
      <c r="AF2905" s="12"/>
    </row>
    <row r="2906" spans="32:32" x14ac:dyDescent="0.2">
      <c r="AF2906" s="12"/>
    </row>
    <row r="2907" spans="32:32" x14ac:dyDescent="0.2">
      <c r="AF2907" s="12"/>
    </row>
    <row r="2908" spans="32:32" x14ac:dyDescent="0.2">
      <c r="AF2908" s="12"/>
    </row>
    <row r="2909" spans="32:32" x14ac:dyDescent="0.2">
      <c r="AF2909" s="12"/>
    </row>
    <row r="2910" spans="32:32" x14ac:dyDescent="0.2">
      <c r="AF2910" s="12"/>
    </row>
    <row r="2911" spans="32:32" x14ac:dyDescent="0.2">
      <c r="AF2911" s="12"/>
    </row>
    <row r="2912" spans="32:32" x14ac:dyDescent="0.2">
      <c r="AF2912" s="12"/>
    </row>
    <row r="2913" spans="32:32" x14ac:dyDescent="0.2">
      <c r="AF2913" s="12"/>
    </row>
    <row r="2914" spans="32:32" x14ac:dyDescent="0.2">
      <c r="AF2914" s="12"/>
    </row>
    <row r="2915" spans="32:32" x14ac:dyDescent="0.2">
      <c r="AF2915" s="12"/>
    </row>
    <row r="2916" spans="32:32" x14ac:dyDescent="0.2">
      <c r="AF2916" s="12"/>
    </row>
    <row r="2917" spans="32:32" x14ac:dyDescent="0.2">
      <c r="AF2917" s="12"/>
    </row>
    <row r="2918" spans="32:32" x14ac:dyDescent="0.2">
      <c r="AF2918" s="12"/>
    </row>
    <row r="2919" spans="32:32" x14ac:dyDescent="0.2">
      <c r="AF2919" s="12"/>
    </row>
    <row r="2920" spans="32:32" x14ac:dyDescent="0.2">
      <c r="AF2920" s="12"/>
    </row>
    <row r="2921" spans="32:32" x14ac:dyDescent="0.2">
      <c r="AF2921" s="12"/>
    </row>
    <row r="2922" spans="32:32" x14ac:dyDescent="0.2">
      <c r="AF2922" s="12"/>
    </row>
    <row r="2923" spans="32:32" x14ac:dyDescent="0.2">
      <c r="AF2923" s="12"/>
    </row>
    <row r="2924" spans="32:32" x14ac:dyDescent="0.2">
      <c r="AF2924" s="12"/>
    </row>
    <row r="2925" spans="32:32" x14ac:dyDescent="0.2">
      <c r="AF2925" s="12"/>
    </row>
    <row r="2926" spans="32:32" x14ac:dyDescent="0.2">
      <c r="AF2926" s="12"/>
    </row>
    <row r="2927" spans="32:32" x14ac:dyDescent="0.2">
      <c r="AF2927" s="12"/>
    </row>
    <row r="2928" spans="32:32" x14ac:dyDescent="0.2">
      <c r="AF2928" s="12"/>
    </row>
    <row r="2929" spans="32:32" x14ac:dyDescent="0.2">
      <c r="AF2929" s="12"/>
    </row>
    <row r="2930" spans="32:32" x14ac:dyDescent="0.2">
      <c r="AF2930" s="12"/>
    </row>
    <row r="2931" spans="32:32" x14ac:dyDescent="0.2">
      <c r="AF2931" s="12"/>
    </row>
    <row r="2932" spans="32:32" x14ac:dyDescent="0.2">
      <c r="AF2932" s="12"/>
    </row>
    <row r="2933" spans="32:32" x14ac:dyDescent="0.2">
      <c r="AF2933" s="12"/>
    </row>
    <row r="2934" spans="32:32" x14ac:dyDescent="0.2">
      <c r="AF2934" s="12"/>
    </row>
    <row r="2935" spans="32:32" x14ac:dyDescent="0.2">
      <c r="AF2935" s="12"/>
    </row>
    <row r="2936" spans="32:32" x14ac:dyDescent="0.2">
      <c r="AF2936" s="12"/>
    </row>
    <row r="2937" spans="32:32" x14ac:dyDescent="0.2">
      <c r="AF2937" s="12"/>
    </row>
    <row r="2938" spans="32:32" x14ac:dyDescent="0.2">
      <c r="AF2938" s="12"/>
    </row>
    <row r="2939" spans="32:32" x14ac:dyDescent="0.2">
      <c r="AF2939" s="12"/>
    </row>
    <row r="2940" spans="32:32" x14ac:dyDescent="0.2">
      <c r="AF2940" s="12"/>
    </row>
    <row r="2941" spans="32:32" x14ac:dyDescent="0.2">
      <c r="AF2941" s="12"/>
    </row>
    <row r="2942" spans="32:32" x14ac:dyDescent="0.2">
      <c r="AF2942" s="12"/>
    </row>
    <row r="2943" spans="32:32" x14ac:dyDescent="0.2">
      <c r="AF2943" s="12"/>
    </row>
    <row r="2944" spans="32:32" x14ac:dyDescent="0.2">
      <c r="AF2944" s="12"/>
    </row>
    <row r="2945" spans="32:32" x14ac:dyDescent="0.2">
      <c r="AF2945" s="12"/>
    </row>
    <row r="2946" spans="32:32" x14ac:dyDescent="0.2">
      <c r="AF2946" s="12"/>
    </row>
    <row r="2947" spans="32:32" x14ac:dyDescent="0.2">
      <c r="AF2947" s="12"/>
    </row>
    <row r="2948" spans="32:32" x14ac:dyDescent="0.2">
      <c r="AF2948" s="12"/>
    </row>
    <row r="2949" spans="32:32" x14ac:dyDescent="0.2">
      <c r="AF2949" s="12"/>
    </row>
    <row r="2950" spans="32:32" x14ac:dyDescent="0.2">
      <c r="AF2950" s="12"/>
    </row>
    <row r="2951" spans="32:32" x14ac:dyDescent="0.2">
      <c r="AF2951" s="12"/>
    </row>
    <row r="2952" spans="32:32" x14ac:dyDescent="0.2">
      <c r="AF2952" s="12"/>
    </row>
    <row r="2953" spans="32:32" x14ac:dyDescent="0.2">
      <c r="AF2953" s="12"/>
    </row>
    <row r="2954" spans="32:32" x14ac:dyDescent="0.2">
      <c r="AF2954" s="12"/>
    </row>
    <row r="2955" spans="32:32" x14ac:dyDescent="0.2">
      <c r="AF2955" s="12"/>
    </row>
    <row r="2956" spans="32:32" x14ac:dyDescent="0.2">
      <c r="AF2956" s="12"/>
    </row>
    <row r="2957" spans="32:32" x14ac:dyDescent="0.2">
      <c r="AF2957" s="12"/>
    </row>
    <row r="2958" spans="32:32" x14ac:dyDescent="0.2">
      <c r="AF2958" s="12"/>
    </row>
    <row r="2959" spans="32:32" x14ac:dyDescent="0.2">
      <c r="AF2959" s="12"/>
    </row>
    <row r="2960" spans="32:32" x14ac:dyDescent="0.2">
      <c r="AF2960" s="12"/>
    </row>
    <row r="2961" spans="32:32" x14ac:dyDescent="0.2">
      <c r="AF2961" s="12"/>
    </row>
    <row r="2962" spans="32:32" x14ac:dyDescent="0.2">
      <c r="AF2962" s="12"/>
    </row>
    <row r="2963" spans="32:32" x14ac:dyDescent="0.2">
      <c r="AF2963" s="12"/>
    </row>
    <row r="2964" spans="32:32" x14ac:dyDescent="0.2">
      <c r="AF2964" s="12"/>
    </row>
    <row r="2965" spans="32:32" x14ac:dyDescent="0.2">
      <c r="AF2965" s="12"/>
    </row>
    <row r="2966" spans="32:32" x14ac:dyDescent="0.2">
      <c r="AF2966" s="12"/>
    </row>
    <row r="2967" spans="32:32" x14ac:dyDescent="0.2">
      <c r="AF2967" s="12"/>
    </row>
    <row r="2968" spans="32:32" x14ac:dyDescent="0.2">
      <c r="AF2968" s="12"/>
    </row>
    <row r="2969" spans="32:32" x14ac:dyDescent="0.2">
      <c r="AF2969" s="12"/>
    </row>
    <row r="2970" spans="32:32" x14ac:dyDescent="0.2">
      <c r="AF2970" s="12"/>
    </row>
    <row r="2971" spans="32:32" x14ac:dyDescent="0.2">
      <c r="AF2971" s="12"/>
    </row>
    <row r="2972" spans="32:32" x14ac:dyDescent="0.2">
      <c r="AF2972" s="12"/>
    </row>
    <row r="2973" spans="32:32" x14ac:dyDescent="0.2">
      <c r="AF2973" s="12"/>
    </row>
    <row r="2974" spans="32:32" x14ac:dyDescent="0.2">
      <c r="AF2974" s="12"/>
    </row>
    <row r="2975" spans="32:32" x14ac:dyDescent="0.2">
      <c r="AF2975" s="12"/>
    </row>
    <row r="2976" spans="32:32" x14ac:dyDescent="0.2">
      <c r="AF2976" s="12"/>
    </row>
    <row r="2977" spans="32:32" x14ac:dyDescent="0.2">
      <c r="AF2977" s="12"/>
    </row>
    <row r="2978" spans="32:32" x14ac:dyDescent="0.2">
      <c r="AF2978" s="12"/>
    </row>
    <row r="2979" spans="32:32" x14ac:dyDescent="0.2">
      <c r="AF2979" s="12"/>
    </row>
    <row r="2980" spans="32:32" x14ac:dyDescent="0.2">
      <c r="AF2980" s="12"/>
    </row>
    <row r="2981" spans="32:32" x14ac:dyDescent="0.2">
      <c r="AF2981" s="12"/>
    </row>
    <row r="2982" spans="32:32" x14ac:dyDescent="0.2">
      <c r="AF2982" s="12"/>
    </row>
    <row r="2983" spans="32:32" x14ac:dyDescent="0.2">
      <c r="AF2983" s="12"/>
    </row>
    <row r="2984" spans="32:32" x14ac:dyDescent="0.2">
      <c r="AF2984" s="12"/>
    </row>
    <row r="2985" spans="32:32" x14ac:dyDescent="0.2">
      <c r="AF2985" s="12"/>
    </row>
    <row r="2986" spans="32:32" x14ac:dyDescent="0.2">
      <c r="AF2986" s="12"/>
    </row>
    <row r="2987" spans="32:32" x14ac:dyDescent="0.2">
      <c r="AF2987" s="12"/>
    </row>
    <row r="2988" spans="32:32" x14ac:dyDescent="0.2">
      <c r="AF2988" s="12"/>
    </row>
    <row r="2989" spans="32:32" x14ac:dyDescent="0.2">
      <c r="AF2989" s="12"/>
    </row>
    <row r="2990" spans="32:32" x14ac:dyDescent="0.2">
      <c r="AF2990" s="12"/>
    </row>
    <row r="2991" spans="32:32" x14ac:dyDescent="0.2">
      <c r="AF2991" s="12"/>
    </row>
    <row r="2992" spans="32:32" x14ac:dyDescent="0.2">
      <c r="AF2992" s="12"/>
    </row>
    <row r="2993" spans="32:32" x14ac:dyDescent="0.2">
      <c r="AF2993" s="12"/>
    </row>
    <row r="2994" spans="32:32" x14ac:dyDescent="0.2">
      <c r="AF2994" s="12"/>
    </row>
    <row r="2995" spans="32:32" x14ac:dyDescent="0.2">
      <c r="AF2995" s="12"/>
    </row>
    <row r="2996" spans="32:32" x14ac:dyDescent="0.2">
      <c r="AF2996" s="12"/>
    </row>
    <row r="2997" spans="32:32" x14ac:dyDescent="0.2">
      <c r="AF2997" s="12"/>
    </row>
    <row r="2998" spans="32:32" x14ac:dyDescent="0.2">
      <c r="AF2998" s="12"/>
    </row>
    <row r="2999" spans="32:32" x14ac:dyDescent="0.2">
      <c r="AF2999" s="12"/>
    </row>
    <row r="3000" spans="32:32" x14ac:dyDescent="0.2">
      <c r="AF3000" s="12"/>
    </row>
    <row r="3001" spans="32:32" x14ac:dyDescent="0.2">
      <c r="AF3001" s="12"/>
    </row>
    <row r="3002" spans="32:32" x14ac:dyDescent="0.2">
      <c r="AF3002" s="12"/>
    </row>
    <row r="3003" spans="32:32" x14ac:dyDescent="0.2">
      <c r="AF3003" s="12"/>
    </row>
    <row r="3004" spans="32:32" x14ac:dyDescent="0.2">
      <c r="AF3004" s="12"/>
    </row>
    <row r="3005" spans="32:32" x14ac:dyDescent="0.2">
      <c r="AF3005" s="12"/>
    </row>
    <row r="3006" spans="32:32" x14ac:dyDescent="0.2">
      <c r="AF3006" s="12"/>
    </row>
    <row r="3007" spans="32:32" x14ac:dyDescent="0.2">
      <c r="AF3007" s="12"/>
    </row>
    <row r="3008" spans="32:32" x14ac:dyDescent="0.2">
      <c r="AF3008" s="12"/>
    </row>
    <row r="3009" spans="32:32" x14ac:dyDescent="0.2">
      <c r="AF3009" s="12"/>
    </row>
    <row r="3010" spans="32:32" x14ac:dyDescent="0.2">
      <c r="AF3010" s="12"/>
    </row>
    <row r="3011" spans="32:32" x14ac:dyDescent="0.2">
      <c r="AF3011" s="12"/>
    </row>
    <row r="3012" spans="32:32" x14ac:dyDescent="0.2">
      <c r="AF3012" s="12"/>
    </row>
    <row r="3013" spans="32:32" x14ac:dyDescent="0.2">
      <c r="AF3013" s="12"/>
    </row>
    <row r="3014" spans="32:32" x14ac:dyDescent="0.2">
      <c r="AF3014" s="12"/>
    </row>
    <row r="3015" spans="32:32" x14ac:dyDescent="0.2">
      <c r="AF3015" s="12"/>
    </row>
    <row r="3016" spans="32:32" x14ac:dyDescent="0.2">
      <c r="AF3016" s="12"/>
    </row>
    <row r="3017" spans="32:32" x14ac:dyDescent="0.2">
      <c r="AF3017" s="12"/>
    </row>
    <row r="3018" spans="32:32" x14ac:dyDescent="0.2">
      <c r="AF3018" s="12"/>
    </row>
    <row r="3019" spans="32:32" x14ac:dyDescent="0.2">
      <c r="AF3019" s="12"/>
    </row>
    <row r="3020" spans="32:32" x14ac:dyDescent="0.2">
      <c r="AF3020" s="12"/>
    </row>
    <row r="3021" spans="32:32" x14ac:dyDescent="0.2">
      <c r="AF3021" s="12"/>
    </row>
    <row r="3022" spans="32:32" x14ac:dyDescent="0.2">
      <c r="AF3022" s="12"/>
    </row>
    <row r="3023" spans="32:32" x14ac:dyDescent="0.2">
      <c r="AF3023" s="12"/>
    </row>
    <row r="3024" spans="32:32" x14ac:dyDescent="0.2">
      <c r="AF3024" s="12"/>
    </row>
    <row r="3025" spans="32:32" x14ac:dyDescent="0.2">
      <c r="AF3025" s="12"/>
    </row>
    <row r="3026" spans="32:32" x14ac:dyDescent="0.2">
      <c r="AF3026" s="12"/>
    </row>
    <row r="3027" spans="32:32" x14ac:dyDescent="0.2">
      <c r="AF3027" s="12"/>
    </row>
    <row r="3028" spans="32:32" x14ac:dyDescent="0.2">
      <c r="AF3028" s="12"/>
    </row>
    <row r="3029" spans="32:32" x14ac:dyDescent="0.2">
      <c r="AF3029" s="12"/>
    </row>
    <row r="3030" spans="32:32" x14ac:dyDescent="0.2">
      <c r="AF3030" s="12"/>
    </row>
    <row r="3031" spans="32:32" x14ac:dyDescent="0.2">
      <c r="AF3031" s="12"/>
    </row>
    <row r="3032" spans="32:32" x14ac:dyDescent="0.2">
      <c r="AF3032" s="12"/>
    </row>
    <row r="3033" spans="32:32" x14ac:dyDescent="0.2">
      <c r="AF3033" s="12"/>
    </row>
    <row r="3034" spans="32:32" x14ac:dyDescent="0.2">
      <c r="AF3034" s="12"/>
    </row>
    <row r="3035" spans="32:32" x14ac:dyDescent="0.2">
      <c r="AF3035" s="12"/>
    </row>
    <row r="3036" spans="32:32" x14ac:dyDescent="0.2">
      <c r="AF3036" s="12"/>
    </row>
    <row r="3037" spans="32:32" x14ac:dyDescent="0.2">
      <c r="AF3037" s="12"/>
    </row>
    <row r="3038" spans="32:32" x14ac:dyDescent="0.2">
      <c r="AF3038" s="12"/>
    </row>
    <row r="3039" spans="32:32" x14ac:dyDescent="0.2">
      <c r="AF3039" s="12"/>
    </row>
    <row r="3040" spans="32:32" x14ac:dyDescent="0.2">
      <c r="AF3040" s="12"/>
    </row>
    <row r="3041" spans="32:32" x14ac:dyDescent="0.2">
      <c r="AF3041" s="12"/>
    </row>
    <row r="3042" spans="32:32" x14ac:dyDescent="0.2">
      <c r="AF3042" s="12"/>
    </row>
    <row r="3043" spans="32:32" x14ac:dyDescent="0.2">
      <c r="AF3043" s="12"/>
    </row>
    <row r="3044" spans="32:32" x14ac:dyDescent="0.2">
      <c r="AF3044" s="12"/>
    </row>
    <row r="3045" spans="32:32" x14ac:dyDescent="0.2">
      <c r="AF3045" s="12"/>
    </row>
    <row r="3046" spans="32:32" x14ac:dyDescent="0.2">
      <c r="AF3046" s="12"/>
    </row>
    <row r="3047" spans="32:32" x14ac:dyDescent="0.2">
      <c r="AF3047" s="12"/>
    </row>
    <row r="3048" spans="32:32" x14ac:dyDescent="0.2">
      <c r="AF3048" s="12"/>
    </row>
    <row r="3049" spans="32:32" x14ac:dyDescent="0.2">
      <c r="AF3049" s="12"/>
    </row>
    <row r="3050" spans="32:32" x14ac:dyDescent="0.2">
      <c r="AF3050" s="12"/>
    </row>
    <row r="3051" spans="32:32" x14ac:dyDescent="0.2">
      <c r="AF3051" s="12"/>
    </row>
    <row r="3052" spans="32:32" x14ac:dyDescent="0.2">
      <c r="AF3052" s="12"/>
    </row>
    <row r="3053" spans="32:32" x14ac:dyDescent="0.2">
      <c r="AF3053" s="12"/>
    </row>
    <row r="3054" spans="32:32" x14ac:dyDescent="0.2">
      <c r="AF3054" s="12"/>
    </row>
    <row r="3055" spans="32:32" x14ac:dyDescent="0.2">
      <c r="AF3055" s="12"/>
    </row>
    <row r="3056" spans="32:32" x14ac:dyDescent="0.2">
      <c r="AF3056" s="12"/>
    </row>
    <row r="3057" spans="32:32" x14ac:dyDescent="0.2">
      <c r="AF3057" s="12"/>
    </row>
    <row r="3058" spans="32:32" x14ac:dyDescent="0.2">
      <c r="AF3058" s="12"/>
    </row>
    <row r="3059" spans="32:32" x14ac:dyDescent="0.2">
      <c r="AF3059" s="12"/>
    </row>
    <row r="3060" spans="32:32" x14ac:dyDescent="0.2">
      <c r="AF3060" s="12"/>
    </row>
    <row r="3061" spans="32:32" x14ac:dyDescent="0.2">
      <c r="AF3061" s="12"/>
    </row>
    <row r="3062" spans="32:32" x14ac:dyDescent="0.2">
      <c r="AF3062" s="12"/>
    </row>
    <row r="3063" spans="32:32" x14ac:dyDescent="0.2">
      <c r="AF3063" s="12"/>
    </row>
    <row r="3064" spans="32:32" x14ac:dyDescent="0.2">
      <c r="AF3064" s="12"/>
    </row>
    <row r="3065" spans="32:32" x14ac:dyDescent="0.2">
      <c r="AF3065" s="12"/>
    </row>
    <row r="3066" spans="32:32" x14ac:dyDescent="0.2">
      <c r="AF3066" s="12"/>
    </row>
    <row r="3067" spans="32:32" x14ac:dyDescent="0.2">
      <c r="AF3067" s="12"/>
    </row>
    <row r="3068" spans="32:32" x14ac:dyDescent="0.2">
      <c r="AF3068" s="12"/>
    </row>
    <row r="3069" spans="32:32" x14ac:dyDescent="0.2">
      <c r="AF3069" s="12"/>
    </row>
    <row r="3070" spans="32:32" x14ac:dyDescent="0.2">
      <c r="AF3070" s="12"/>
    </row>
    <row r="3071" spans="32:32" x14ac:dyDescent="0.2">
      <c r="AF3071" s="12"/>
    </row>
    <row r="3072" spans="32:32" x14ac:dyDescent="0.2">
      <c r="AF3072" s="12"/>
    </row>
    <row r="3073" spans="32:32" x14ac:dyDescent="0.2">
      <c r="AF3073" s="12"/>
    </row>
    <row r="3074" spans="32:32" x14ac:dyDescent="0.2">
      <c r="AF3074" s="12"/>
    </row>
    <row r="3075" spans="32:32" x14ac:dyDescent="0.2">
      <c r="AF3075" s="12"/>
    </row>
    <row r="3076" spans="32:32" x14ac:dyDescent="0.2">
      <c r="AF3076" s="12"/>
    </row>
    <row r="3077" spans="32:32" x14ac:dyDescent="0.2">
      <c r="AF3077" s="12"/>
    </row>
    <row r="3078" spans="32:32" x14ac:dyDescent="0.2">
      <c r="AF3078" s="12"/>
    </row>
    <row r="3079" spans="32:32" x14ac:dyDescent="0.2">
      <c r="AF3079" s="12"/>
    </row>
    <row r="3080" spans="32:32" x14ac:dyDescent="0.2">
      <c r="AF3080" s="12"/>
    </row>
    <row r="3081" spans="32:32" x14ac:dyDescent="0.2">
      <c r="AF3081" s="12"/>
    </row>
    <row r="3082" spans="32:32" x14ac:dyDescent="0.2">
      <c r="AF3082" s="12"/>
    </row>
    <row r="3083" spans="32:32" x14ac:dyDescent="0.2">
      <c r="AF3083" s="12"/>
    </row>
    <row r="3084" spans="32:32" x14ac:dyDescent="0.2">
      <c r="AF3084" s="12"/>
    </row>
    <row r="3085" spans="32:32" x14ac:dyDescent="0.2">
      <c r="AF3085" s="12"/>
    </row>
    <row r="3086" spans="32:32" x14ac:dyDescent="0.2">
      <c r="AF3086" s="12"/>
    </row>
    <row r="3087" spans="32:32" x14ac:dyDescent="0.2">
      <c r="AF3087" s="12"/>
    </row>
    <row r="3088" spans="32:32" x14ac:dyDescent="0.2">
      <c r="AF3088" s="12"/>
    </row>
    <row r="3089" spans="32:32" x14ac:dyDescent="0.2">
      <c r="AF3089" s="12"/>
    </row>
    <row r="3090" spans="32:32" x14ac:dyDescent="0.2">
      <c r="AF3090" s="12"/>
    </row>
    <row r="3091" spans="32:32" x14ac:dyDescent="0.2">
      <c r="AF3091" s="12"/>
    </row>
    <row r="3092" spans="32:32" x14ac:dyDescent="0.2">
      <c r="AF3092" s="12"/>
    </row>
    <row r="3093" spans="32:32" x14ac:dyDescent="0.2">
      <c r="AF3093" s="12"/>
    </row>
    <row r="3094" spans="32:32" x14ac:dyDescent="0.2">
      <c r="AF3094" s="12"/>
    </row>
    <row r="3095" spans="32:32" x14ac:dyDescent="0.2">
      <c r="AF3095" s="12"/>
    </row>
    <row r="3096" spans="32:32" x14ac:dyDescent="0.2">
      <c r="AF3096" s="12"/>
    </row>
    <row r="3097" spans="32:32" x14ac:dyDescent="0.2">
      <c r="AF3097" s="12"/>
    </row>
    <row r="3098" spans="32:32" x14ac:dyDescent="0.2">
      <c r="AF3098" s="12"/>
    </row>
    <row r="3099" spans="32:32" x14ac:dyDescent="0.2">
      <c r="AF3099" s="12"/>
    </row>
    <row r="3100" spans="32:32" x14ac:dyDescent="0.2">
      <c r="AF3100" s="12"/>
    </row>
    <row r="3101" spans="32:32" x14ac:dyDescent="0.2">
      <c r="AF3101" s="12"/>
    </row>
    <row r="3102" spans="32:32" x14ac:dyDescent="0.2">
      <c r="AF3102" s="12"/>
    </row>
    <row r="3103" spans="32:32" x14ac:dyDescent="0.2">
      <c r="AF3103" s="12"/>
    </row>
    <row r="3104" spans="32:32" x14ac:dyDescent="0.2">
      <c r="AF3104" s="12"/>
    </row>
    <row r="3105" spans="32:32" x14ac:dyDescent="0.2">
      <c r="AF3105" s="12"/>
    </row>
    <row r="3106" spans="32:32" x14ac:dyDescent="0.2">
      <c r="AF3106" s="12"/>
    </row>
    <row r="3107" spans="32:32" x14ac:dyDescent="0.2">
      <c r="AF3107" s="12"/>
    </row>
    <row r="3108" spans="32:32" x14ac:dyDescent="0.2">
      <c r="AF3108" s="12"/>
    </row>
    <row r="3109" spans="32:32" x14ac:dyDescent="0.2">
      <c r="AF3109" s="12"/>
    </row>
    <row r="3110" spans="32:32" x14ac:dyDescent="0.2">
      <c r="AF3110" s="12"/>
    </row>
    <row r="3111" spans="32:32" x14ac:dyDescent="0.2">
      <c r="AF3111" s="12"/>
    </row>
    <row r="3112" spans="32:32" x14ac:dyDescent="0.2">
      <c r="AF3112" s="12"/>
    </row>
    <row r="3113" spans="32:32" x14ac:dyDescent="0.2">
      <c r="AF3113" s="12"/>
    </row>
    <row r="3114" spans="32:32" x14ac:dyDescent="0.2">
      <c r="AF3114" s="12"/>
    </row>
    <row r="3115" spans="32:32" x14ac:dyDescent="0.2">
      <c r="AF3115" s="12"/>
    </row>
    <row r="3116" spans="32:32" x14ac:dyDescent="0.2">
      <c r="AF3116" s="12"/>
    </row>
    <row r="3117" spans="32:32" x14ac:dyDescent="0.2">
      <c r="AF3117" s="12"/>
    </row>
    <row r="3118" spans="32:32" x14ac:dyDescent="0.2">
      <c r="AF3118" s="12"/>
    </row>
    <row r="3119" spans="32:32" x14ac:dyDescent="0.2">
      <c r="AF3119" s="12"/>
    </row>
    <row r="3120" spans="32:32" x14ac:dyDescent="0.2">
      <c r="AF3120" s="12"/>
    </row>
    <row r="3121" spans="32:32" x14ac:dyDescent="0.2">
      <c r="AF3121" s="12"/>
    </row>
    <row r="3122" spans="32:32" x14ac:dyDescent="0.2">
      <c r="AF3122" s="12"/>
    </row>
    <row r="3123" spans="32:32" x14ac:dyDescent="0.2">
      <c r="AF3123" s="12"/>
    </row>
    <row r="3124" spans="32:32" x14ac:dyDescent="0.2">
      <c r="AF3124" s="12"/>
    </row>
    <row r="3125" spans="32:32" x14ac:dyDescent="0.2">
      <c r="AF3125" s="12"/>
    </row>
    <row r="3126" spans="32:32" x14ac:dyDescent="0.2">
      <c r="AF3126" s="12"/>
    </row>
    <row r="3127" spans="32:32" x14ac:dyDescent="0.2">
      <c r="AF3127" s="12"/>
    </row>
    <row r="3128" spans="32:32" x14ac:dyDescent="0.2">
      <c r="AF3128" s="12"/>
    </row>
    <row r="3129" spans="32:32" x14ac:dyDescent="0.2">
      <c r="AF3129" s="12"/>
    </row>
    <row r="3130" spans="32:32" x14ac:dyDescent="0.2">
      <c r="AF3130" s="12"/>
    </row>
    <row r="3131" spans="32:32" x14ac:dyDescent="0.2">
      <c r="AF3131" s="12"/>
    </row>
    <row r="3132" spans="32:32" x14ac:dyDescent="0.2">
      <c r="AF3132" s="12"/>
    </row>
    <row r="3133" spans="32:32" x14ac:dyDescent="0.2">
      <c r="AF3133" s="12"/>
    </row>
    <row r="3134" spans="32:32" x14ac:dyDescent="0.2">
      <c r="AF3134" s="12"/>
    </row>
    <row r="3135" spans="32:32" x14ac:dyDescent="0.2">
      <c r="AF3135" s="12"/>
    </row>
    <row r="3136" spans="32:32" x14ac:dyDescent="0.2">
      <c r="AF3136" s="12"/>
    </row>
    <row r="3137" spans="32:32" x14ac:dyDescent="0.2">
      <c r="AF3137" s="12"/>
    </row>
    <row r="3138" spans="32:32" x14ac:dyDescent="0.2">
      <c r="AF3138" s="12"/>
    </row>
    <row r="3139" spans="32:32" x14ac:dyDescent="0.2">
      <c r="AF3139" s="12"/>
    </row>
    <row r="3140" spans="32:32" x14ac:dyDescent="0.2">
      <c r="AF3140" s="12"/>
    </row>
    <row r="3141" spans="32:32" x14ac:dyDescent="0.2">
      <c r="AF3141" s="12"/>
    </row>
    <row r="3142" spans="32:32" x14ac:dyDescent="0.2">
      <c r="AF3142" s="12"/>
    </row>
    <row r="3143" spans="32:32" x14ac:dyDescent="0.2">
      <c r="AF3143" s="12"/>
    </row>
    <row r="3144" spans="32:32" x14ac:dyDescent="0.2">
      <c r="AF3144" s="12"/>
    </row>
    <row r="3145" spans="32:32" x14ac:dyDescent="0.2">
      <c r="AF3145" s="12"/>
    </row>
    <row r="3146" spans="32:32" x14ac:dyDescent="0.2">
      <c r="AF3146" s="12"/>
    </row>
    <row r="3147" spans="32:32" x14ac:dyDescent="0.2">
      <c r="AF3147" s="12"/>
    </row>
    <row r="3148" spans="32:32" x14ac:dyDescent="0.2">
      <c r="AF3148" s="12"/>
    </row>
    <row r="3149" spans="32:32" x14ac:dyDescent="0.2">
      <c r="AF3149" s="12"/>
    </row>
    <row r="3150" spans="32:32" x14ac:dyDescent="0.2">
      <c r="AF3150" s="12"/>
    </row>
    <row r="3151" spans="32:32" x14ac:dyDescent="0.2">
      <c r="AF3151" s="12"/>
    </row>
    <row r="3152" spans="32:32" x14ac:dyDescent="0.2">
      <c r="AF3152" s="12"/>
    </row>
    <row r="3153" spans="32:32" x14ac:dyDescent="0.2">
      <c r="AF3153" s="12"/>
    </row>
    <row r="3154" spans="32:32" x14ac:dyDescent="0.2">
      <c r="AF3154" s="12"/>
    </row>
    <row r="3155" spans="32:32" x14ac:dyDescent="0.2">
      <c r="AF3155" s="12"/>
    </row>
    <row r="3156" spans="32:32" x14ac:dyDescent="0.2">
      <c r="AF3156" s="12"/>
    </row>
    <row r="3157" spans="32:32" x14ac:dyDescent="0.2">
      <c r="AF3157" s="12"/>
    </row>
    <row r="3158" spans="32:32" x14ac:dyDescent="0.2">
      <c r="AF3158" s="12"/>
    </row>
    <row r="3159" spans="32:32" x14ac:dyDescent="0.2">
      <c r="AF3159" s="12"/>
    </row>
    <row r="3160" spans="32:32" x14ac:dyDescent="0.2">
      <c r="AF3160" s="12"/>
    </row>
    <row r="3161" spans="32:32" x14ac:dyDescent="0.2">
      <c r="AF3161" s="12"/>
    </row>
    <row r="3162" spans="32:32" x14ac:dyDescent="0.2">
      <c r="AF3162" s="12"/>
    </row>
    <row r="3163" spans="32:32" x14ac:dyDescent="0.2">
      <c r="AF3163" s="12"/>
    </row>
    <row r="3164" spans="32:32" x14ac:dyDescent="0.2">
      <c r="AF3164" s="12"/>
    </row>
    <row r="3165" spans="32:32" x14ac:dyDescent="0.2">
      <c r="AF3165" s="12"/>
    </row>
    <row r="3166" spans="32:32" x14ac:dyDescent="0.2">
      <c r="AF3166" s="12"/>
    </row>
    <row r="3167" spans="32:32" x14ac:dyDescent="0.2">
      <c r="AF3167" s="12"/>
    </row>
    <row r="3168" spans="32:32" x14ac:dyDescent="0.2">
      <c r="AF3168" s="12"/>
    </row>
    <row r="3169" spans="32:32" x14ac:dyDescent="0.2">
      <c r="AF3169" s="12"/>
    </row>
    <row r="3170" spans="32:32" x14ac:dyDescent="0.2">
      <c r="AF3170" s="12"/>
    </row>
    <row r="3171" spans="32:32" x14ac:dyDescent="0.2">
      <c r="AF3171" s="12"/>
    </row>
    <row r="3172" spans="32:32" x14ac:dyDescent="0.2">
      <c r="AF3172" s="12"/>
    </row>
    <row r="3173" spans="32:32" x14ac:dyDescent="0.2">
      <c r="AF3173" s="12"/>
    </row>
    <row r="3174" spans="32:32" x14ac:dyDescent="0.2">
      <c r="AF3174" s="12"/>
    </row>
    <row r="3175" spans="32:32" x14ac:dyDescent="0.2">
      <c r="AF3175" s="12"/>
    </row>
    <row r="3176" spans="32:32" x14ac:dyDescent="0.2">
      <c r="AF3176" s="12"/>
    </row>
    <row r="3177" spans="32:32" x14ac:dyDescent="0.2">
      <c r="AF3177" s="12"/>
    </row>
    <row r="3178" spans="32:32" x14ac:dyDescent="0.2">
      <c r="AF3178" s="12"/>
    </row>
    <row r="3179" spans="32:32" x14ac:dyDescent="0.2">
      <c r="AF3179" s="12"/>
    </row>
    <row r="3180" spans="32:32" x14ac:dyDescent="0.2">
      <c r="AF3180" s="12"/>
    </row>
    <row r="3181" spans="32:32" x14ac:dyDescent="0.2">
      <c r="AF3181" s="12"/>
    </row>
    <row r="3182" spans="32:32" x14ac:dyDescent="0.2">
      <c r="AF3182" s="12"/>
    </row>
    <row r="3183" spans="32:32" x14ac:dyDescent="0.2">
      <c r="AF3183" s="12"/>
    </row>
    <row r="3184" spans="32:32" x14ac:dyDescent="0.2">
      <c r="AF3184" s="12"/>
    </row>
    <row r="3185" spans="32:32" x14ac:dyDescent="0.2">
      <c r="AF3185" s="12"/>
    </row>
    <row r="3186" spans="32:32" x14ac:dyDescent="0.2">
      <c r="AF3186" s="12"/>
    </row>
    <row r="3187" spans="32:32" x14ac:dyDescent="0.2">
      <c r="AF3187" s="12"/>
    </row>
    <row r="3188" spans="32:32" x14ac:dyDescent="0.2">
      <c r="AF3188" s="12"/>
    </row>
    <row r="3189" spans="32:32" x14ac:dyDescent="0.2">
      <c r="AF3189" s="12"/>
    </row>
    <row r="3190" spans="32:32" x14ac:dyDescent="0.2">
      <c r="AF3190" s="12"/>
    </row>
    <row r="3191" spans="32:32" x14ac:dyDescent="0.2">
      <c r="AF3191" s="12"/>
    </row>
    <row r="3192" spans="32:32" x14ac:dyDescent="0.2">
      <c r="AF3192" s="12"/>
    </row>
    <row r="3193" spans="32:32" x14ac:dyDescent="0.2">
      <c r="AF3193" s="12"/>
    </row>
    <row r="3194" spans="32:32" x14ac:dyDescent="0.2">
      <c r="AF3194" s="12"/>
    </row>
    <row r="3195" spans="32:32" x14ac:dyDescent="0.2">
      <c r="AF3195" s="12"/>
    </row>
    <row r="3196" spans="32:32" x14ac:dyDescent="0.2">
      <c r="AF3196" s="12"/>
    </row>
    <row r="3197" spans="32:32" x14ac:dyDescent="0.2">
      <c r="AF3197" s="12"/>
    </row>
    <row r="3198" spans="32:32" x14ac:dyDescent="0.2">
      <c r="AF3198" s="12"/>
    </row>
    <row r="3199" spans="32:32" x14ac:dyDescent="0.2">
      <c r="AF3199" s="12"/>
    </row>
    <row r="3200" spans="32:32" x14ac:dyDescent="0.2">
      <c r="AF3200" s="12"/>
    </row>
    <row r="3201" spans="32:32" x14ac:dyDescent="0.2">
      <c r="AF3201" s="12"/>
    </row>
    <row r="3202" spans="32:32" x14ac:dyDescent="0.2">
      <c r="AF3202" s="12"/>
    </row>
    <row r="3203" spans="32:32" x14ac:dyDescent="0.2">
      <c r="AF3203" s="12"/>
    </row>
    <row r="3204" spans="32:32" x14ac:dyDescent="0.2">
      <c r="AF3204" s="12"/>
    </row>
    <row r="3205" spans="32:32" x14ac:dyDescent="0.2">
      <c r="AF3205" s="12"/>
    </row>
    <row r="3206" spans="32:32" x14ac:dyDescent="0.2">
      <c r="AF3206" s="12"/>
    </row>
    <row r="3207" spans="32:32" x14ac:dyDescent="0.2">
      <c r="AF3207" s="12"/>
    </row>
    <row r="3208" spans="32:32" x14ac:dyDescent="0.2">
      <c r="AF3208" s="12"/>
    </row>
    <row r="3209" spans="32:32" x14ac:dyDescent="0.2">
      <c r="AF3209" s="12"/>
    </row>
    <row r="3210" spans="32:32" x14ac:dyDescent="0.2">
      <c r="AF3210" s="12"/>
    </row>
    <row r="3211" spans="32:32" x14ac:dyDescent="0.2">
      <c r="AF3211" s="12"/>
    </row>
    <row r="3212" spans="32:32" x14ac:dyDescent="0.2">
      <c r="AF3212" s="12"/>
    </row>
    <row r="3213" spans="32:32" x14ac:dyDescent="0.2">
      <c r="AF3213" s="12"/>
    </row>
    <row r="3214" spans="32:32" x14ac:dyDescent="0.2">
      <c r="AF3214" s="12"/>
    </row>
    <row r="3215" spans="32:32" x14ac:dyDescent="0.2">
      <c r="AF3215" s="12"/>
    </row>
    <row r="3216" spans="32:32" x14ac:dyDescent="0.2">
      <c r="AF3216" s="12"/>
    </row>
    <row r="3217" spans="32:32" x14ac:dyDescent="0.2">
      <c r="AF3217" s="12"/>
    </row>
    <row r="3218" spans="32:32" x14ac:dyDescent="0.2">
      <c r="AF3218" s="12"/>
    </row>
    <row r="3219" spans="32:32" x14ac:dyDescent="0.2">
      <c r="AF3219" s="12"/>
    </row>
    <row r="3220" spans="32:32" x14ac:dyDescent="0.2">
      <c r="AF3220" s="12"/>
    </row>
    <row r="3221" spans="32:32" x14ac:dyDescent="0.2">
      <c r="AF3221" s="12"/>
    </row>
    <row r="3222" spans="32:32" x14ac:dyDescent="0.2">
      <c r="AF3222" s="12"/>
    </row>
    <row r="3223" spans="32:32" x14ac:dyDescent="0.2">
      <c r="AF3223" s="12"/>
    </row>
    <row r="3224" spans="32:32" x14ac:dyDescent="0.2">
      <c r="AF3224" s="12"/>
    </row>
    <row r="3225" spans="32:32" x14ac:dyDescent="0.2">
      <c r="AF3225" s="12"/>
    </row>
    <row r="3226" spans="32:32" x14ac:dyDescent="0.2">
      <c r="AF3226" s="12"/>
    </row>
    <row r="3227" spans="32:32" x14ac:dyDescent="0.2">
      <c r="AF3227" s="12"/>
    </row>
    <row r="3228" spans="32:32" x14ac:dyDescent="0.2">
      <c r="AF3228" s="12"/>
    </row>
    <row r="3229" spans="32:32" x14ac:dyDescent="0.2">
      <c r="AF3229" s="12"/>
    </row>
    <row r="3230" spans="32:32" x14ac:dyDescent="0.2">
      <c r="AF3230" s="12"/>
    </row>
    <row r="3231" spans="32:32" x14ac:dyDescent="0.2">
      <c r="AF3231" s="12"/>
    </row>
    <row r="3232" spans="32:32" x14ac:dyDescent="0.2">
      <c r="AF3232" s="12"/>
    </row>
    <row r="3233" spans="32:32" x14ac:dyDescent="0.2">
      <c r="AF3233" s="12"/>
    </row>
    <row r="3234" spans="32:32" x14ac:dyDescent="0.2">
      <c r="AF3234" s="12"/>
    </row>
    <row r="3235" spans="32:32" x14ac:dyDescent="0.2">
      <c r="AF3235" s="12"/>
    </row>
    <row r="3236" spans="32:32" x14ac:dyDescent="0.2">
      <c r="AF3236" s="12"/>
    </row>
    <row r="3237" spans="32:32" x14ac:dyDescent="0.2">
      <c r="AF3237" s="12"/>
    </row>
    <row r="3238" spans="32:32" x14ac:dyDescent="0.2">
      <c r="AF3238" s="12"/>
    </row>
    <row r="3239" spans="32:32" x14ac:dyDescent="0.2">
      <c r="AF3239" s="12"/>
    </row>
    <row r="3240" spans="32:32" x14ac:dyDescent="0.2">
      <c r="AF3240" s="12"/>
    </row>
    <row r="3241" spans="32:32" x14ac:dyDescent="0.2">
      <c r="AF3241" s="12"/>
    </row>
    <row r="3242" spans="32:32" x14ac:dyDescent="0.2">
      <c r="AF3242" s="12"/>
    </row>
    <row r="3243" spans="32:32" x14ac:dyDescent="0.2">
      <c r="AF3243" s="12"/>
    </row>
    <row r="3244" spans="32:32" x14ac:dyDescent="0.2">
      <c r="AF3244" s="12"/>
    </row>
    <row r="3245" spans="32:32" x14ac:dyDescent="0.2">
      <c r="AF3245" s="12"/>
    </row>
    <row r="3246" spans="32:32" x14ac:dyDescent="0.2">
      <c r="AF3246" s="12"/>
    </row>
    <row r="3247" spans="32:32" x14ac:dyDescent="0.2">
      <c r="AF3247" s="12"/>
    </row>
    <row r="3248" spans="32:32" x14ac:dyDescent="0.2">
      <c r="AF3248" s="12"/>
    </row>
    <row r="3249" spans="32:32" x14ac:dyDescent="0.2">
      <c r="AF3249" s="12"/>
    </row>
    <row r="3250" spans="32:32" x14ac:dyDescent="0.2">
      <c r="AF3250" s="12"/>
    </row>
    <row r="3251" spans="32:32" x14ac:dyDescent="0.2">
      <c r="AF3251" s="12"/>
    </row>
    <row r="3252" spans="32:32" x14ac:dyDescent="0.2">
      <c r="AF3252" s="12"/>
    </row>
    <row r="3253" spans="32:32" x14ac:dyDescent="0.2">
      <c r="AF3253" s="12"/>
    </row>
    <row r="3254" spans="32:32" x14ac:dyDescent="0.2">
      <c r="AF3254" s="12"/>
    </row>
    <row r="3255" spans="32:32" x14ac:dyDescent="0.2">
      <c r="AF3255" s="12"/>
    </row>
    <row r="3256" spans="32:32" x14ac:dyDescent="0.2">
      <c r="AF3256" s="12"/>
    </row>
    <row r="3257" spans="32:32" x14ac:dyDescent="0.2">
      <c r="AF3257" s="12"/>
    </row>
    <row r="3258" spans="32:32" x14ac:dyDescent="0.2">
      <c r="AF3258" s="12"/>
    </row>
    <row r="3259" spans="32:32" x14ac:dyDescent="0.2">
      <c r="AF3259" s="12"/>
    </row>
    <row r="3260" spans="32:32" x14ac:dyDescent="0.2">
      <c r="AF3260" s="12"/>
    </row>
    <row r="3261" spans="32:32" x14ac:dyDescent="0.2">
      <c r="AF3261" s="12"/>
    </row>
    <row r="3262" spans="32:32" x14ac:dyDescent="0.2">
      <c r="AF3262" s="12"/>
    </row>
    <row r="3263" spans="32:32" x14ac:dyDescent="0.2">
      <c r="AF3263" s="12"/>
    </row>
    <row r="3264" spans="32:32" x14ac:dyDescent="0.2">
      <c r="AF3264" s="12"/>
    </row>
    <row r="3265" spans="32:32" x14ac:dyDescent="0.2">
      <c r="AF3265" s="12"/>
    </row>
    <row r="3266" spans="32:32" x14ac:dyDescent="0.2">
      <c r="AF3266" s="12"/>
    </row>
    <row r="3267" spans="32:32" x14ac:dyDescent="0.2">
      <c r="AF3267" s="12"/>
    </row>
    <row r="3268" spans="32:32" x14ac:dyDescent="0.2">
      <c r="AF3268" s="12"/>
    </row>
    <row r="3269" spans="32:32" x14ac:dyDescent="0.2">
      <c r="AF3269" s="12"/>
    </row>
    <row r="3270" spans="32:32" x14ac:dyDescent="0.2">
      <c r="AF3270" s="12"/>
    </row>
    <row r="3271" spans="32:32" x14ac:dyDescent="0.2">
      <c r="AF3271" s="12"/>
    </row>
    <row r="3272" spans="32:32" x14ac:dyDescent="0.2">
      <c r="AF3272" s="12"/>
    </row>
    <row r="3273" spans="32:32" x14ac:dyDescent="0.2">
      <c r="AF3273" s="12"/>
    </row>
    <row r="3274" spans="32:32" x14ac:dyDescent="0.2">
      <c r="AF3274" s="12"/>
    </row>
    <row r="3275" spans="32:32" x14ac:dyDescent="0.2">
      <c r="AF3275" s="12"/>
    </row>
    <row r="3276" spans="32:32" x14ac:dyDescent="0.2">
      <c r="AF3276" s="12"/>
    </row>
    <row r="3277" spans="32:32" x14ac:dyDescent="0.2">
      <c r="AF3277" s="12"/>
    </row>
    <row r="3278" spans="32:32" x14ac:dyDescent="0.2">
      <c r="AF3278" s="12"/>
    </row>
    <row r="3279" spans="32:32" x14ac:dyDescent="0.2">
      <c r="AF3279" s="12"/>
    </row>
    <row r="3280" spans="32:32" x14ac:dyDescent="0.2">
      <c r="AF3280" s="12"/>
    </row>
    <row r="3281" spans="32:32" x14ac:dyDescent="0.2">
      <c r="AF3281" s="12"/>
    </row>
    <row r="3282" spans="32:32" x14ac:dyDescent="0.2">
      <c r="AF3282" s="12"/>
    </row>
    <row r="3283" spans="32:32" x14ac:dyDescent="0.2">
      <c r="AF3283" s="12"/>
    </row>
    <row r="3284" spans="32:32" x14ac:dyDescent="0.2">
      <c r="AF3284" s="12"/>
    </row>
    <row r="3285" spans="32:32" x14ac:dyDescent="0.2">
      <c r="AF3285" s="12"/>
    </row>
    <row r="3286" spans="32:32" x14ac:dyDescent="0.2">
      <c r="AF3286" s="12"/>
    </row>
    <row r="3287" spans="32:32" x14ac:dyDescent="0.2">
      <c r="AF3287" s="12"/>
    </row>
    <row r="3288" spans="32:32" x14ac:dyDescent="0.2">
      <c r="AF3288" s="12"/>
    </row>
    <row r="3289" spans="32:32" x14ac:dyDescent="0.2">
      <c r="AF3289" s="12"/>
    </row>
    <row r="3290" spans="32:32" x14ac:dyDescent="0.2">
      <c r="AF3290" s="12"/>
    </row>
    <row r="3291" spans="32:32" x14ac:dyDescent="0.2">
      <c r="AF3291" s="12"/>
    </row>
    <row r="3292" spans="32:32" x14ac:dyDescent="0.2">
      <c r="AF3292" s="12"/>
    </row>
    <row r="3293" spans="32:32" x14ac:dyDescent="0.2">
      <c r="AF3293" s="12"/>
    </row>
    <row r="3294" spans="32:32" x14ac:dyDescent="0.2">
      <c r="AF3294" s="12"/>
    </row>
    <row r="3295" spans="32:32" x14ac:dyDescent="0.2">
      <c r="AF3295" s="12"/>
    </row>
    <row r="3296" spans="32:32" x14ac:dyDescent="0.2">
      <c r="AF3296" s="12"/>
    </row>
    <row r="3297" spans="32:32" x14ac:dyDescent="0.2">
      <c r="AF3297" s="12"/>
    </row>
    <row r="3298" spans="32:32" x14ac:dyDescent="0.2">
      <c r="AF3298" s="12"/>
    </row>
    <row r="3299" spans="32:32" x14ac:dyDescent="0.2">
      <c r="AF3299" s="12"/>
    </row>
    <row r="3300" spans="32:32" x14ac:dyDescent="0.2">
      <c r="AF3300" s="12"/>
    </row>
    <row r="3301" spans="32:32" x14ac:dyDescent="0.2">
      <c r="AF3301" s="12"/>
    </row>
    <row r="3302" spans="32:32" x14ac:dyDescent="0.2">
      <c r="AF3302" s="12"/>
    </row>
    <row r="3303" spans="32:32" x14ac:dyDescent="0.2">
      <c r="AF3303" s="12"/>
    </row>
    <row r="3304" spans="32:32" x14ac:dyDescent="0.2">
      <c r="AF3304" s="12"/>
    </row>
    <row r="3305" spans="32:32" x14ac:dyDescent="0.2">
      <c r="AF3305" s="12"/>
    </row>
    <row r="3306" spans="32:32" x14ac:dyDescent="0.2">
      <c r="AF3306" s="12"/>
    </row>
    <row r="3307" spans="32:32" x14ac:dyDescent="0.2">
      <c r="AF3307" s="12"/>
    </row>
    <row r="3308" spans="32:32" x14ac:dyDescent="0.2">
      <c r="AF3308" s="12"/>
    </row>
    <row r="3309" spans="32:32" x14ac:dyDescent="0.2">
      <c r="AF3309" s="12"/>
    </row>
    <row r="3310" spans="32:32" x14ac:dyDescent="0.2">
      <c r="AF3310" s="12"/>
    </row>
    <row r="3311" spans="32:32" x14ac:dyDescent="0.2">
      <c r="AF3311" s="12"/>
    </row>
    <row r="3312" spans="32:32" x14ac:dyDescent="0.2">
      <c r="AF3312" s="12"/>
    </row>
    <row r="3313" spans="32:32" x14ac:dyDescent="0.2">
      <c r="AF3313" s="12"/>
    </row>
    <row r="3314" spans="32:32" x14ac:dyDescent="0.2">
      <c r="AF3314" s="12"/>
    </row>
    <row r="3315" spans="32:32" x14ac:dyDescent="0.2">
      <c r="AF3315" s="12"/>
    </row>
    <row r="3316" spans="32:32" x14ac:dyDescent="0.2">
      <c r="AF3316" s="12"/>
    </row>
    <row r="3317" spans="32:32" x14ac:dyDescent="0.2">
      <c r="AF3317" s="12"/>
    </row>
    <row r="3318" spans="32:32" x14ac:dyDescent="0.2">
      <c r="AF3318" s="12"/>
    </row>
    <row r="3319" spans="32:32" x14ac:dyDescent="0.2">
      <c r="AF3319" s="12"/>
    </row>
    <row r="3320" spans="32:32" x14ac:dyDescent="0.2">
      <c r="AF3320" s="12"/>
    </row>
    <row r="3321" spans="32:32" x14ac:dyDescent="0.2">
      <c r="AF3321" s="12"/>
    </row>
    <row r="3322" spans="32:32" x14ac:dyDescent="0.2">
      <c r="AF3322" s="12"/>
    </row>
    <row r="3323" spans="32:32" x14ac:dyDescent="0.2">
      <c r="AF3323" s="12"/>
    </row>
    <row r="3324" spans="32:32" x14ac:dyDescent="0.2">
      <c r="AF3324" s="12"/>
    </row>
    <row r="3325" spans="32:32" x14ac:dyDescent="0.2">
      <c r="AF3325" s="12"/>
    </row>
    <row r="3326" spans="32:32" x14ac:dyDescent="0.2">
      <c r="AF3326" s="12"/>
    </row>
    <row r="3327" spans="32:32" x14ac:dyDescent="0.2">
      <c r="AF3327" s="12"/>
    </row>
    <row r="3328" spans="32:32" x14ac:dyDescent="0.2">
      <c r="AF3328" s="12"/>
    </row>
    <row r="3329" spans="32:32" x14ac:dyDescent="0.2">
      <c r="AF3329" s="12"/>
    </row>
    <row r="3330" spans="32:32" x14ac:dyDescent="0.2">
      <c r="AF3330" s="12"/>
    </row>
    <row r="3331" spans="32:32" x14ac:dyDescent="0.2">
      <c r="AF3331" s="12"/>
    </row>
    <row r="3332" spans="32:32" x14ac:dyDescent="0.2">
      <c r="AF3332" s="12"/>
    </row>
    <row r="3333" spans="32:32" x14ac:dyDescent="0.2">
      <c r="AF3333" s="12"/>
    </row>
    <row r="3334" spans="32:32" x14ac:dyDescent="0.2">
      <c r="AF3334" s="12"/>
    </row>
    <row r="3335" spans="32:32" x14ac:dyDescent="0.2">
      <c r="AF3335" s="12"/>
    </row>
    <row r="3336" spans="32:32" x14ac:dyDescent="0.2">
      <c r="AF3336" s="12"/>
    </row>
    <row r="3337" spans="32:32" x14ac:dyDescent="0.2">
      <c r="AF3337" s="12"/>
    </row>
    <row r="3338" spans="32:32" x14ac:dyDescent="0.2">
      <c r="AF3338" s="12"/>
    </row>
    <row r="3339" spans="32:32" x14ac:dyDescent="0.2">
      <c r="AF3339" s="12"/>
    </row>
    <row r="3340" spans="32:32" x14ac:dyDescent="0.2">
      <c r="AF3340" s="12"/>
    </row>
    <row r="3341" spans="32:32" x14ac:dyDescent="0.2">
      <c r="AF3341" s="12"/>
    </row>
    <row r="3342" spans="32:32" x14ac:dyDescent="0.2">
      <c r="AF3342" s="12"/>
    </row>
    <row r="3343" spans="32:32" x14ac:dyDescent="0.2">
      <c r="AF3343" s="12"/>
    </row>
    <row r="3344" spans="32:32" x14ac:dyDescent="0.2">
      <c r="AF3344" s="12"/>
    </row>
    <row r="3345" spans="32:32" x14ac:dyDescent="0.2">
      <c r="AF3345" s="12"/>
    </row>
    <row r="3346" spans="32:32" x14ac:dyDescent="0.2">
      <c r="AF3346" s="12"/>
    </row>
    <row r="3347" spans="32:32" x14ac:dyDescent="0.2">
      <c r="AF3347" s="12"/>
    </row>
    <row r="3348" spans="32:32" x14ac:dyDescent="0.2">
      <c r="AF3348" s="12"/>
    </row>
    <row r="3349" spans="32:32" x14ac:dyDescent="0.2">
      <c r="AF3349" s="12"/>
    </row>
    <row r="3350" spans="32:32" x14ac:dyDescent="0.2">
      <c r="AF3350" s="12"/>
    </row>
    <row r="3351" spans="32:32" x14ac:dyDescent="0.2">
      <c r="AF3351" s="12"/>
    </row>
    <row r="3352" spans="32:32" x14ac:dyDescent="0.2">
      <c r="AF3352" s="12"/>
    </row>
    <row r="3353" spans="32:32" x14ac:dyDescent="0.2">
      <c r="AF3353" s="12"/>
    </row>
    <row r="3354" spans="32:32" x14ac:dyDescent="0.2">
      <c r="AF3354" s="12"/>
    </row>
    <row r="3355" spans="32:32" x14ac:dyDescent="0.2">
      <c r="AF3355" s="12"/>
    </row>
    <row r="3356" spans="32:32" x14ac:dyDescent="0.2">
      <c r="AF3356" s="12"/>
    </row>
    <row r="3357" spans="32:32" x14ac:dyDescent="0.2">
      <c r="AF3357" s="12"/>
    </row>
    <row r="3358" spans="32:32" x14ac:dyDescent="0.2">
      <c r="AF3358" s="12"/>
    </row>
    <row r="3359" spans="32:32" x14ac:dyDescent="0.2">
      <c r="AF3359" s="12"/>
    </row>
    <row r="3360" spans="32:32" x14ac:dyDescent="0.2">
      <c r="AF3360" s="12"/>
    </row>
    <row r="3361" spans="32:32" x14ac:dyDescent="0.2">
      <c r="AF3361" s="12"/>
    </row>
    <row r="3362" spans="32:32" x14ac:dyDescent="0.2">
      <c r="AF3362" s="12"/>
    </row>
    <row r="3363" spans="32:32" x14ac:dyDescent="0.2">
      <c r="AF3363" s="12"/>
    </row>
    <row r="3364" spans="32:32" x14ac:dyDescent="0.2">
      <c r="AF3364" s="12"/>
    </row>
    <row r="3365" spans="32:32" x14ac:dyDescent="0.2">
      <c r="AF3365" s="12"/>
    </row>
    <row r="3366" spans="32:32" x14ac:dyDescent="0.2">
      <c r="AF3366" s="12"/>
    </row>
    <row r="3367" spans="32:32" x14ac:dyDescent="0.2">
      <c r="AF3367" s="12"/>
    </row>
    <row r="3368" spans="32:32" x14ac:dyDescent="0.2">
      <c r="AF3368" s="12"/>
    </row>
    <row r="3369" spans="32:32" x14ac:dyDescent="0.2">
      <c r="AF3369" s="12"/>
    </row>
    <row r="3370" spans="32:32" x14ac:dyDescent="0.2">
      <c r="AF3370" s="12"/>
    </row>
    <row r="3371" spans="32:32" x14ac:dyDescent="0.2">
      <c r="AF3371" s="12"/>
    </row>
    <row r="3372" spans="32:32" x14ac:dyDescent="0.2">
      <c r="AF3372" s="12"/>
    </row>
    <row r="3373" spans="32:32" x14ac:dyDescent="0.2">
      <c r="AF3373" s="12"/>
    </row>
    <row r="3374" spans="32:32" x14ac:dyDescent="0.2">
      <c r="AF3374" s="12"/>
    </row>
    <row r="3375" spans="32:32" x14ac:dyDescent="0.2">
      <c r="AF3375" s="12"/>
    </row>
    <row r="3376" spans="32:32" x14ac:dyDescent="0.2">
      <c r="AF3376" s="12"/>
    </row>
    <row r="3377" spans="32:32" x14ac:dyDescent="0.2">
      <c r="AF3377" s="12"/>
    </row>
    <row r="3378" spans="32:32" x14ac:dyDescent="0.2">
      <c r="AF3378" s="12"/>
    </row>
    <row r="3379" spans="32:32" x14ac:dyDescent="0.2">
      <c r="AF3379" s="12"/>
    </row>
    <row r="3380" spans="32:32" x14ac:dyDescent="0.2">
      <c r="AF3380" s="12"/>
    </row>
    <row r="3381" spans="32:32" x14ac:dyDescent="0.2">
      <c r="AF3381" s="12"/>
    </row>
    <row r="3382" spans="32:32" x14ac:dyDescent="0.2">
      <c r="AF3382" s="12"/>
    </row>
    <row r="3383" spans="32:32" x14ac:dyDescent="0.2">
      <c r="AF3383" s="12"/>
    </row>
    <row r="3384" spans="32:32" x14ac:dyDescent="0.2">
      <c r="AF3384" s="12"/>
    </row>
    <row r="3385" spans="32:32" x14ac:dyDescent="0.2">
      <c r="AF3385" s="12"/>
    </row>
    <row r="3386" spans="32:32" x14ac:dyDescent="0.2">
      <c r="AF3386" s="12"/>
    </row>
    <row r="3387" spans="32:32" x14ac:dyDescent="0.2">
      <c r="AF3387" s="12"/>
    </row>
    <row r="3388" spans="32:32" x14ac:dyDescent="0.2">
      <c r="AF3388" s="12"/>
    </row>
    <row r="3389" spans="32:32" x14ac:dyDescent="0.2">
      <c r="AF3389" s="12"/>
    </row>
    <row r="3390" spans="32:32" x14ac:dyDescent="0.2">
      <c r="AF3390" s="12"/>
    </row>
    <row r="3391" spans="32:32" x14ac:dyDescent="0.2">
      <c r="AF3391" s="12"/>
    </row>
    <row r="3392" spans="32:32" x14ac:dyDescent="0.2">
      <c r="AF3392" s="12"/>
    </row>
    <row r="3393" spans="32:32" x14ac:dyDescent="0.2">
      <c r="AF3393" s="12"/>
    </row>
    <row r="3394" spans="32:32" x14ac:dyDescent="0.2">
      <c r="AF3394" s="12"/>
    </row>
    <row r="3395" spans="32:32" x14ac:dyDescent="0.2">
      <c r="AF3395" s="12"/>
    </row>
    <row r="3396" spans="32:32" x14ac:dyDescent="0.2">
      <c r="AF3396" s="12"/>
    </row>
    <row r="3397" spans="32:32" x14ac:dyDescent="0.2">
      <c r="AF3397" s="12"/>
    </row>
    <row r="3398" spans="32:32" x14ac:dyDescent="0.2">
      <c r="AF3398" s="12"/>
    </row>
    <row r="3399" spans="32:32" x14ac:dyDescent="0.2">
      <c r="AF3399" s="12"/>
    </row>
    <row r="3400" spans="32:32" x14ac:dyDescent="0.2">
      <c r="AF3400" s="12"/>
    </row>
    <row r="3401" spans="32:32" x14ac:dyDescent="0.2">
      <c r="AF3401" s="12"/>
    </row>
    <row r="3402" spans="32:32" x14ac:dyDescent="0.2">
      <c r="AF3402" s="12"/>
    </row>
    <row r="3403" spans="32:32" x14ac:dyDescent="0.2">
      <c r="AF3403" s="12"/>
    </row>
    <row r="3404" spans="32:32" x14ac:dyDescent="0.2">
      <c r="AF3404" s="12"/>
    </row>
    <row r="3405" spans="32:32" x14ac:dyDescent="0.2">
      <c r="AF3405" s="12"/>
    </row>
    <row r="3406" spans="32:32" x14ac:dyDescent="0.2">
      <c r="AF3406" s="12"/>
    </row>
    <row r="3407" spans="32:32" x14ac:dyDescent="0.2">
      <c r="AF3407" s="12"/>
    </row>
    <row r="3408" spans="32:32" x14ac:dyDescent="0.2">
      <c r="AF3408" s="12"/>
    </row>
    <row r="3409" spans="32:32" x14ac:dyDescent="0.2">
      <c r="AF3409" s="12"/>
    </row>
    <row r="3410" spans="32:32" x14ac:dyDescent="0.2">
      <c r="AF3410" s="12"/>
    </row>
    <row r="3411" spans="32:32" x14ac:dyDescent="0.2">
      <c r="AF3411" s="12"/>
    </row>
    <row r="3412" spans="32:32" x14ac:dyDescent="0.2">
      <c r="AF3412" s="12"/>
    </row>
    <row r="3413" spans="32:32" x14ac:dyDescent="0.2">
      <c r="AF3413" s="12"/>
    </row>
    <row r="3414" spans="32:32" x14ac:dyDescent="0.2">
      <c r="AF3414" s="12"/>
    </row>
    <row r="3415" spans="32:32" x14ac:dyDescent="0.2">
      <c r="AF3415" s="12"/>
    </row>
    <row r="3416" spans="32:32" x14ac:dyDescent="0.2">
      <c r="AF3416" s="12"/>
    </row>
    <row r="3417" spans="32:32" x14ac:dyDescent="0.2">
      <c r="AF3417" s="12"/>
    </row>
    <row r="3418" spans="32:32" x14ac:dyDescent="0.2">
      <c r="AF3418" s="12"/>
    </row>
    <row r="3419" spans="32:32" x14ac:dyDescent="0.2">
      <c r="AF3419" s="12"/>
    </row>
    <row r="3420" spans="32:32" x14ac:dyDescent="0.2">
      <c r="AF3420" s="12"/>
    </row>
    <row r="3421" spans="32:32" x14ac:dyDescent="0.2">
      <c r="AF3421" s="12"/>
    </row>
    <row r="3422" spans="32:32" x14ac:dyDescent="0.2">
      <c r="AF3422" s="12"/>
    </row>
    <row r="3423" spans="32:32" x14ac:dyDescent="0.2">
      <c r="AF3423" s="12"/>
    </row>
    <row r="3424" spans="32:32" x14ac:dyDescent="0.2">
      <c r="AF3424" s="12"/>
    </row>
    <row r="3425" spans="32:32" x14ac:dyDescent="0.2">
      <c r="AF3425" s="12"/>
    </row>
    <row r="3426" spans="32:32" x14ac:dyDescent="0.2">
      <c r="AF3426" s="12"/>
    </row>
    <row r="3427" spans="32:32" x14ac:dyDescent="0.2">
      <c r="AF3427" s="12"/>
    </row>
    <row r="3428" spans="32:32" x14ac:dyDescent="0.2">
      <c r="AF3428" s="12"/>
    </row>
    <row r="3429" spans="32:32" x14ac:dyDescent="0.2">
      <c r="AF3429" s="12"/>
    </row>
    <row r="3430" spans="32:32" x14ac:dyDescent="0.2">
      <c r="AF3430" s="12"/>
    </row>
    <row r="3431" spans="32:32" x14ac:dyDescent="0.2">
      <c r="AF3431" s="12"/>
    </row>
    <row r="3432" spans="32:32" x14ac:dyDescent="0.2">
      <c r="AF3432" s="12"/>
    </row>
    <row r="3433" spans="32:32" x14ac:dyDescent="0.2">
      <c r="AF3433" s="12"/>
    </row>
    <row r="3434" spans="32:32" x14ac:dyDescent="0.2">
      <c r="AF3434" s="12"/>
    </row>
    <row r="3435" spans="32:32" x14ac:dyDescent="0.2">
      <c r="AF3435" s="12"/>
    </row>
    <row r="3436" spans="32:32" x14ac:dyDescent="0.2">
      <c r="AF3436" s="12"/>
    </row>
    <row r="3437" spans="32:32" x14ac:dyDescent="0.2">
      <c r="AF3437" s="12"/>
    </row>
    <row r="3438" spans="32:32" x14ac:dyDescent="0.2">
      <c r="AF3438" s="12"/>
    </row>
    <row r="3439" spans="32:32" x14ac:dyDescent="0.2">
      <c r="AF3439" s="12"/>
    </row>
    <row r="3440" spans="32:32" x14ac:dyDescent="0.2">
      <c r="AF3440" s="12"/>
    </row>
    <row r="3441" spans="32:32" x14ac:dyDescent="0.2">
      <c r="AF3441" s="12"/>
    </row>
    <row r="3442" spans="32:32" x14ac:dyDescent="0.2">
      <c r="AF3442" s="12"/>
    </row>
    <row r="3443" spans="32:32" x14ac:dyDescent="0.2">
      <c r="AF3443" s="12"/>
    </row>
    <row r="3444" spans="32:32" x14ac:dyDescent="0.2">
      <c r="AF3444" s="12"/>
    </row>
    <row r="3445" spans="32:32" x14ac:dyDescent="0.2">
      <c r="AF3445" s="12"/>
    </row>
    <row r="3446" spans="32:32" x14ac:dyDescent="0.2">
      <c r="AF3446" s="12"/>
    </row>
    <row r="3447" spans="32:32" x14ac:dyDescent="0.2">
      <c r="AF3447" s="12"/>
    </row>
    <row r="3448" spans="32:32" x14ac:dyDescent="0.2">
      <c r="AF3448" s="12"/>
    </row>
    <row r="3449" spans="32:32" x14ac:dyDescent="0.2">
      <c r="AF3449" s="12"/>
    </row>
    <row r="3450" spans="32:32" x14ac:dyDescent="0.2">
      <c r="AF3450" s="12"/>
    </row>
    <row r="3451" spans="32:32" x14ac:dyDescent="0.2">
      <c r="AF3451" s="12"/>
    </row>
    <row r="3452" spans="32:32" x14ac:dyDescent="0.2">
      <c r="AF3452" s="12"/>
    </row>
    <row r="3453" spans="32:32" x14ac:dyDescent="0.2">
      <c r="AF3453" s="12"/>
    </row>
    <row r="3454" spans="32:32" x14ac:dyDescent="0.2">
      <c r="AF3454" s="12"/>
    </row>
    <row r="3455" spans="32:32" x14ac:dyDescent="0.2">
      <c r="AF3455" s="12"/>
    </row>
    <row r="3456" spans="32:32" x14ac:dyDescent="0.2">
      <c r="AF3456" s="12"/>
    </row>
    <row r="3457" spans="32:32" x14ac:dyDescent="0.2">
      <c r="AF3457" s="12"/>
    </row>
    <row r="3458" spans="32:32" x14ac:dyDescent="0.2">
      <c r="AF3458" s="12"/>
    </row>
    <row r="3459" spans="32:32" x14ac:dyDescent="0.2">
      <c r="AF3459" s="12"/>
    </row>
    <row r="3460" spans="32:32" x14ac:dyDescent="0.2">
      <c r="AF3460" s="12"/>
    </row>
    <row r="3461" spans="32:32" x14ac:dyDescent="0.2">
      <c r="AF3461" s="12"/>
    </row>
    <row r="3462" spans="32:32" x14ac:dyDescent="0.2">
      <c r="AF3462" s="12"/>
    </row>
    <row r="3463" spans="32:32" x14ac:dyDescent="0.2">
      <c r="AF3463" s="12"/>
    </row>
    <row r="3464" spans="32:32" x14ac:dyDescent="0.2">
      <c r="AF3464" s="12"/>
    </row>
    <row r="3465" spans="32:32" x14ac:dyDescent="0.2">
      <c r="AF3465" s="12"/>
    </row>
    <row r="3466" spans="32:32" x14ac:dyDescent="0.2">
      <c r="AF3466" s="12"/>
    </row>
    <row r="3467" spans="32:32" x14ac:dyDescent="0.2">
      <c r="AF3467" s="12"/>
    </row>
    <row r="3468" spans="32:32" x14ac:dyDescent="0.2">
      <c r="AF3468" s="12"/>
    </row>
    <row r="3469" spans="32:32" x14ac:dyDescent="0.2">
      <c r="AF3469" s="12"/>
    </row>
    <row r="3470" spans="32:32" x14ac:dyDescent="0.2">
      <c r="AF3470" s="12"/>
    </row>
    <row r="3471" spans="32:32" x14ac:dyDescent="0.2">
      <c r="AF3471" s="12"/>
    </row>
    <row r="3472" spans="32:32" x14ac:dyDescent="0.2">
      <c r="AF3472" s="12"/>
    </row>
    <row r="3473" spans="32:32" x14ac:dyDescent="0.2">
      <c r="AF3473" s="12"/>
    </row>
    <row r="3474" spans="32:32" x14ac:dyDescent="0.2">
      <c r="AF3474" s="12"/>
    </row>
    <row r="3475" spans="32:32" x14ac:dyDescent="0.2">
      <c r="AF3475" s="12"/>
    </row>
    <row r="3476" spans="32:32" x14ac:dyDescent="0.2">
      <c r="AF3476" s="12"/>
    </row>
    <row r="3477" spans="32:32" x14ac:dyDescent="0.2">
      <c r="AF3477" s="12"/>
    </row>
    <row r="3478" spans="32:32" x14ac:dyDescent="0.2">
      <c r="AF3478" s="12"/>
    </row>
    <row r="3479" spans="32:32" x14ac:dyDescent="0.2">
      <c r="AF3479" s="12"/>
    </row>
    <row r="3480" spans="32:32" x14ac:dyDescent="0.2">
      <c r="AF3480" s="12"/>
    </row>
    <row r="3481" spans="32:32" x14ac:dyDescent="0.2">
      <c r="AF3481" s="12"/>
    </row>
    <row r="3482" spans="32:32" x14ac:dyDescent="0.2">
      <c r="AF3482" s="12"/>
    </row>
    <row r="3483" spans="32:32" x14ac:dyDescent="0.2">
      <c r="AF3483" s="12"/>
    </row>
    <row r="3484" spans="32:32" x14ac:dyDescent="0.2">
      <c r="AF3484" s="12"/>
    </row>
    <row r="3485" spans="32:32" x14ac:dyDescent="0.2">
      <c r="AF3485" s="12"/>
    </row>
    <row r="3486" spans="32:32" x14ac:dyDescent="0.2">
      <c r="AF3486" s="12"/>
    </row>
    <row r="3487" spans="32:32" x14ac:dyDescent="0.2">
      <c r="AF3487" s="12"/>
    </row>
    <row r="3488" spans="32:32" x14ac:dyDescent="0.2">
      <c r="AF3488" s="12"/>
    </row>
    <row r="3489" spans="32:32" x14ac:dyDescent="0.2">
      <c r="AF3489" s="12"/>
    </row>
    <row r="3490" spans="32:32" x14ac:dyDescent="0.2">
      <c r="AF3490" s="12"/>
    </row>
    <row r="3491" spans="32:32" x14ac:dyDescent="0.2">
      <c r="AF3491" s="12"/>
    </row>
    <row r="3492" spans="32:32" x14ac:dyDescent="0.2">
      <c r="AF3492" s="12"/>
    </row>
    <row r="3493" spans="32:32" x14ac:dyDescent="0.2">
      <c r="AF3493" s="12"/>
    </row>
    <row r="3494" spans="32:32" x14ac:dyDescent="0.2">
      <c r="AF3494" s="12"/>
    </row>
    <row r="3495" spans="32:32" x14ac:dyDescent="0.2">
      <c r="AF3495" s="12"/>
    </row>
    <row r="3496" spans="32:32" x14ac:dyDescent="0.2">
      <c r="AF3496" s="12"/>
    </row>
    <row r="3497" spans="32:32" x14ac:dyDescent="0.2">
      <c r="AF3497" s="12"/>
    </row>
    <row r="3498" spans="32:32" x14ac:dyDescent="0.2">
      <c r="AF3498" s="12"/>
    </row>
    <row r="3499" spans="32:32" x14ac:dyDescent="0.2">
      <c r="AF3499" s="12"/>
    </row>
    <row r="3500" spans="32:32" x14ac:dyDescent="0.2">
      <c r="AF3500" s="12"/>
    </row>
    <row r="3501" spans="32:32" x14ac:dyDescent="0.2">
      <c r="AF3501" s="12"/>
    </row>
    <row r="3502" spans="32:32" x14ac:dyDescent="0.2">
      <c r="AF3502" s="12"/>
    </row>
    <row r="3503" spans="32:32" x14ac:dyDescent="0.2">
      <c r="AF3503" s="12"/>
    </row>
    <row r="3504" spans="32:32" x14ac:dyDescent="0.2">
      <c r="AF3504" s="12"/>
    </row>
    <row r="3505" spans="32:32" x14ac:dyDescent="0.2">
      <c r="AF3505" s="12"/>
    </row>
    <row r="3506" spans="32:32" x14ac:dyDescent="0.2">
      <c r="AF3506" s="12"/>
    </row>
    <row r="3507" spans="32:32" x14ac:dyDescent="0.2">
      <c r="AF3507" s="12"/>
    </row>
    <row r="3508" spans="32:32" x14ac:dyDescent="0.2">
      <c r="AF3508" s="12"/>
    </row>
    <row r="3509" spans="32:32" x14ac:dyDescent="0.2">
      <c r="AF3509" s="12"/>
    </row>
    <row r="3510" spans="32:32" x14ac:dyDescent="0.2">
      <c r="AF3510" s="12"/>
    </row>
    <row r="3511" spans="32:32" x14ac:dyDescent="0.2">
      <c r="AF3511" s="12"/>
    </row>
    <row r="3512" spans="32:32" x14ac:dyDescent="0.2">
      <c r="AF3512" s="12"/>
    </row>
    <row r="3513" spans="32:32" x14ac:dyDescent="0.2">
      <c r="AF3513" s="12"/>
    </row>
    <row r="3514" spans="32:32" x14ac:dyDescent="0.2">
      <c r="AF3514" s="12"/>
    </row>
    <row r="3515" spans="32:32" x14ac:dyDescent="0.2">
      <c r="AF3515" s="12"/>
    </row>
    <row r="3516" spans="32:32" x14ac:dyDescent="0.2">
      <c r="AF3516" s="12"/>
    </row>
    <row r="3517" spans="32:32" x14ac:dyDescent="0.2">
      <c r="AF3517" s="12"/>
    </row>
    <row r="3518" spans="32:32" x14ac:dyDescent="0.2">
      <c r="AF3518" s="12"/>
    </row>
    <row r="3519" spans="32:32" x14ac:dyDescent="0.2">
      <c r="AF3519" s="12"/>
    </row>
    <row r="3520" spans="32:32" x14ac:dyDescent="0.2">
      <c r="AF3520" s="12"/>
    </row>
    <row r="3521" spans="32:32" x14ac:dyDescent="0.2">
      <c r="AF3521" s="12"/>
    </row>
    <row r="3522" spans="32:32" x14ac:dyDescent="0.2">
      <c r="AF3522" s="12"/>
    </row>
    <row r="3523" spans="32:32" x14ac:dyDescent="0.2">
      <c r="AF3523" s="12"/>
    </row>
    <row r="3524" spans="32:32" x14ac:dyDescent="0.2">
      <c r="AF3524" s="12"/>
    </row>
    <row r="3525" spans="32:32" x14ac:dyDescent="0.2">
      <c r="AF3525" s="12"/>
    </row>
    <row r="3526" spans="32:32" x14ac:dyDescent="0.2">
      <c r="AF3526" s="12"/>
    </row>
    <row r="3527" spans="32:32" x14ac:dyDescent="0.2">
      <c r="AF3527" s="12"/>
    </row>
    <row r="3528" spans="32:32" x14ac:dyDescent="0.2">
      <c r="AF3528" s="12"/>
    </row>
    <row r="3529" spans="32:32" x14ac:dyDescent="0.2">
      <c r="AF3529" s="12"/>
    </row>
    <row r="3530" spans="32:32" x14ac:dyDescent="0.2">
      <c r="AF3530" s="12"/>
    </row>
    <row r="3531" spans="32:32" x14ac:dyDescent="0.2">
      <c r="AF3531" s="12"/>
    </row>
    <row r="3532" spans="32:32" x14ac:dyDescent="0.2">
      <c r="AF3532" s="12"/>
    </row>
    <row r="3533" spans="32:32" x14ac:dyDescent="0.2">
      <c r="AF3533" s="12"/>
    </row>
    <row r="3534" spans="32:32" x14ac:dyDescent="0.2">
      <c r="AF3534" s="12"/>
    </row>
    <row r="3535" spans="32:32" x14ac:dyDescent="0.2">
      <c r="AF3535" s="12"/>
    </row>
    <row r="3536" spans="32:32" x14ac:dyDescent="0.2">
      <c r="AF3536" s="12"/>
    </row>
    <row r="3537" spans="32:32" x14ac:dyDescent="0.2">
      <c r="AF3537" s="12"/>
    </row>
    <row r="3538" spans="32:32" x14ac:dyDescent="0.2">
      <c r="AF3538" s="12"/>
    </row>
    <row r="3539" spans="32:32" x14ac:dyDescent="0.2">
      <c r="AF3539" s="12"/>
    </row>
    <row r="3540" spans="32:32" x14ac:dyDescent="0.2">
      <c r="AF3540" s="12"/>
    </row>
    <row r="3541" spans="32:32" x14ac:dyDescent="0.2">
      <c r="AF3541" s="12"/>
    </row>
    <row r="3542" spans="32:32" x14ac:dyDescent="0.2">
      <c r="AF3542" s="12"/>
    </row>
    <row r="3543" spans="32:32" x14ac:dyDescent="0.2">
      <c r="AF3543" s="12"/>
    </row>
    <row r="3544" spans="32:32" x14ac:dyDescent="0.2">
      <c r="AF3544" s="12"/>
    </row>
    <row r="3545" spans="32:32" x14ac:dyDescent="0.2">
      <c r="AF3545" s="12"/>
    </row>
    <row r="3546" spans="32:32" x14ac:dyDescent="0.2">
      <c r="AF3546" s="12"/>
    </row>
    <row r="3547" spans="32:32" x14ac:dyDescent="0.2">
      <c r="AF3547" s="12"/>
    </row>
    <row r="3548" spans="32:32" x14ac:dyDescent="0.2">
      <c r="AF3548" s="12"/>
    </row>
    <row r="3549" spans="32:32" x14ac:dyDescent="0.2">
      <c r="AF3549" s="12"/>
    </row>
    <row r="3550" spans="32:32" x14ac:dyDescent="0.2">
      <c r="AF3550" s="12"/>
    </row>
    <row r="3551" spans="32:32" x14ac:dyDescent="0.2">
      <c r="AF3551" s="12"/>
    </row>
    <row r="3552" spans="32:32" x14ac:dyDescent="0.2">
      <c r="AF3552" s="12"/>
    </row>
    <row r="3553" spans="32:32" x14ac:dyDescent="0.2">
      <c r="AF3553" s="12"/>
    </row>
    <row r="3554" spans="32:32" x14ac:dyDescent="0.2">
      <c r="AF3554" s="12"/>
    </row>
    <row r="3555" spans="32:32" x14ac:dyDescent="0.2">
      <c r="AF3555" s="12"/>
    </row>
    <row r="3556" spans="32:32" x14ac:dyDescent="0.2">
      <c r="AF3556" s="12"/>
    </row>
    <row r="3557" spans="32:32" x14ac:dyDescent="0.2">
      <c r="AF3557" s="12"/>
    </row>
    <row r="3558" spans="32:32" x14ac:dyDescent="0.2">
      <c r="AF3558" s="12"/>
    </row>
    <row r="3559" spans="32:32" x14ac:dyDescent="0.2">
      <c r="AF3559" s="12"/>
    </row>
    <row r="3560" spans="32:32" x14ac:dyDescent="0.2">
      <c r="AF3560" s="12"/>
    </row>
    <row r="3561" spans="32:32" x14ac:dyDescent="0.2">
      <c r="AF3561" s="12"/>
    </row>
    <row r="3562" spans="32:32" x14ac:dyDescent="0.2">
      <c r="AF3562" s="12"/>
    </row>
    <row r="3563" spans="32:32" x14ac:dyDescent="0.2">
      <c r="AF3563" s="12"/>
    </row>
    <row r="3564" spans="32:32" x14ac:dyDescent="0.2">
      <c r="AF3564" s="12"/>
    </row>
    <row r="3565" spans="32:32" x14ac:dyDescent="0.2">
      <c r="AF3565" s="12"/>
    </row>
    <row r="3566" spans="32:32" x14ac:dyDescent="0.2">
      <c r="AF3566" s="12"/>
    </row>
    <row r="3567" spans="32:32" x14ac:dyDescent="0.2">
      <c r="AF3567" s="12"/>
    </row>
    <row r="3568" spans="32:32" x14ac:dyDescent="0.2">
      <c r="AF3568" s="12"/>
    </row>
    <row r="3569" spans="32:32" x14ac:dyDescent="0.2">
      <c r="AF3569" s="12"/>
    </row>
    <row r="3570" spans="32:32" x14ac:dyDescent="0.2">
      <c r="AF3570" s="12"/>
    </row>
    <row r="3571" spans="32:32" x14ac:dyDescent="0.2">
      <c r="AF3571" s="12"/>
    </row>
    <row r="3572" spans="32:32" x14ac:dyDescent="0.2">
      <c r="AF3572" s="12"/>
    </row>
    <row r="3573" spans="32:32" x14ac:dyDescent="0.2">
      <c r="AF3573" s="12"/>
    </row>
    <row r="3574" spans="32:32" x14ac:dyDescent="0.2">
      <c r="AF3574" s="12"/>
    </row>
    <row r="3575" spans="32:32" x14ac:dyDescent="0.2">
      <c r="AF3575" s="12"/>
    </row>
    <row r="3576" spans="32:32" x14ac:dyDescent="0.2">
      <c r="AF3576" s="12"/>
    </row>
    <row r="3577" spans="32:32" x14ac:dyDescent="0.2">
      <c r="AF3577" s="12"/>
    </row>
    <row r="3578" spans="32:32" x14ac:dyDescent="0.2">
      <c r="AF3578" s="12"/>
    </row>
    <row r="3579" spans="32:32" x14ac:dyDescent="0.2">
      <c r="AF3579" s="12"/>
    </row>
    <row r="3580" spans="32:32" x14ac:dyDescent="0.2">
      <c r="AF3580" s="12"/>
    </row>
    <row r="3581" spans="32:32" x14ac:dyDescent="0.2">
      <c r="AF3581" s="12"/>
    </row>
    <row r="3582" spans="32:32" x14ac:dyDescent="0.2">
      <c r="AF3582" s="12"/>
    </row>
    <row r="3583" spans="32:32" x14ac:dyDescent="0.2">
      <c r="AF3583" s="12"/>
    </row>
    <row r="3584" spans="32:32" x14ac:dyDescent="0.2">
      <c r="AF3584" s="12"/>
    </row>
    <row r="3585" spans="32:32" x14ac:dyDescent="0.2">
      <c r="AF3585" s="12"/>
    </row>
    <row r="3586" spans="32:32" x14ac:dyDescent="0.2">
      <c r="AF3586" s="12"/>
    </row>
    <row r="3587" spans="32:32" x14ac:dyDescent="0.2">
      <c r="AF3587" s="12"/>
    </row>
    <row r="3588" spans="32:32" x14ac:dyDescent="0.2">
      <c r="AF3588" s="12"/>
    </row>
    <row r="3589" spans="32:32" x14ac:dyDescent="0.2">
      <c r="AF3589" s="12"/>
    </row>
    <row r="3590" spans="32:32" x14ac:dyDescent="0.2">
      <c r="AF3590" s="12"/>
    </row>
    <row r="3591" spans="32:32" x14ac:dyDescent="0.2">
      <c r="AF3591" s="12"/>
    </row>
    <row r="3592" spans="32:32" x14ac:dyDescent="0.2">
      <c r="AF3592" s="12"/>
    </row>
    <row r="3593" spans="32:32" x14ac:dyDescent="0.2">
      <c r="AF3593" s="12"/>
    </row>
    <row r="3594" spans="32:32" x14ac:dyDescent="0.2">
      <c r="AF3594" s="12"/>
    </row>
    <row r="3595" spans="32:32" x14ac:dyDescent="0.2">
      <c r="AF3595" s="12"/>
    </row>
    <row r="3596" spans="32:32" x14ac:dyDescent="0.2">
      <c r="AF3596" s="12"/>
    </row>
    <row r="3597" spans="32:32" x14ac:dyDescent="0.2">
      <c r="AF3597" s="12"/>
    </row>
    <row r="3598" spans="32:32" x14ac:dyDescent="0.2">
      <c r="AF3598" s="12"/>
    </row>
    <row r="3599" spans="32:32" x14ac:dyDescent="0.2">
      <c r="AF3599" s="12"/>
    </row>
    <row r="3600" spans="32:32" x14ac:dyDescent="0.2">
      <c r="AF3600" s="12"/>
    </row>
    <row r="3601" spans="32:32" x14ac:dyDescent="0.2">
      <c r="AF3601" s="12"/>
    </row>
    <row r="3602" spans="32:32" x14ac:dyDescent="0.2">
      <c r="AF3602" s="12"/>
    </row>
    <row r="3603" spans="32:32" x14ac:dyDescent="0.2">
      <c r="AF3603" s="12"/>
    </row>
    <row r="3604" spans="32:32" x14ac:dyDescent="0.2">
      <c r="AF3604" s="12"/>
    </row>
    <row r="3605" spans="32:32" x14ac:dyDescent="0.2">
      <c r="AF3605" s="12"/>
    </row>
    <row r="3606" spans="32:32" x14ac:dyDescent="0.2">
      <c r="AF3606" s="12"/>
    </row>
    <row r="3607" spans="32:32" x14ac:dyDescent="0.2">
      <c r="AF3607" s="12"/>
    </row>
    <row r="3608" spans="32:32" x14ac:dyDescent="0.2">
      <c r="AF3608" s="12"/>
    </row>
    <row r="3609" spans="32:32" x14ac:dyDescent="0.2">
      <c r="AF3609" s="12"/>
    </row>
    <row r="3610" spans="32:32" x14ac:dyDescent="0.2">
      <c r="AF3610" s="12"/>
    </row>
    <row r="3611" spans="32:32" x14ac:dyDescent="0.2">
      <c r="AF3611" s="12"/>
    </row>
    <row r="3612" spans="32:32" x14ac:dyDescent="0.2">
      <c r="AF3612" s="12"/>
    </row>
    <row r="3613" spans="32:32" x14ac:dyDescent="0.2">
      <c r="AF3613" s="12"/>
    </row>
    <row r="3614" spans="32:32" x14ac:dyDescent="0.2">
      <c r="AF3614" s="12"/>
    </row>
    <row r="3615" spans="32:32" x14ac:dyDescent="0.2">
      <c r="AF3615" s="12"/>
    </row>
    <row r="3616" spans="32:32" x14ac:dyDescent="0.2">
      <c r="AF3616" s="12"/>
    </row>
    <row r="3617" spans="32:32" x14ac:dyDescent="0.2">
      <c r="AF3617" s="12"/>
    </row>
    <row r="3618" spans="32:32" x14ac:dyDescent="0.2">
      <c r="AF3618" s="12"/>
    </row>
    <row r="3619" spans="32:32" x14ac:dyDescent="0.2">
      <c r="AF3619" s="12"/>
    </row>
    <row r="3620" spans="32:32" x14ac:dyDescent="0.2">
      <c r="AF3620" s="12"/>
    </row>
    <row r="3621" spans="32:32" x14ac:dyDescent="0.2">
      <c r="AF3621" s="12"/>
    </row>
    <row r="3622" spans="32:32" x14ac:dyDescent="0.2">
      <c r="AF3622" s="12"/>
    </row>
    <row r="3623" spans="32:32" x14ac:dyDescent="0.2">
      <c r="AF3623" s="12"/>
    </row>
    <row r="3624" spans="32:32" x14ac:dyDescent="0.2">
      <c r="AF3624" s="12"/>
    </row>
    <row r="3625" spans="32:32" x14ac:dyDescent="0.2">
      <c r="AF3625" s="12"/>
    </row>
    <row r="3626" spans="32:32" x14ac:dyDescent="0.2">
      <c r="AF3626" s="12"/>
    </row>
    <row r="3627" spans="32:32" x14ac:dyDescent="0.2">
      <c r="AF3627" s="12"/>
    </row>
    <row r="3628" spans="32:32" x14ac:dyDescent="0.2">
      <c r="AF3628" s="12"/>
    </row>
    <row r="3629" spans="32:32" x14ac:dyDescent="0.2">
      <c r="AF3629" s="12"/>
    </row>
    <row r="3630" spans="32:32" x14ac:dyDescent="0.2">
      <c r="AF3630" s="12"/>
    </row>
    <row r="3631" spans="32:32" x14ac:dyDescent="0.2">
      <c r="AF3631" s="12"/>
    </row>
    <row r="3632" spans="32:32" x14ac:dyDescent="0.2">
      <c r="AF3632" s="12"/>
    </row>
    <row r="3633" spans="32:32" x14ac:dyDescent="0.2">
      <c r="AF3633" s="12"/>
    </row>
    <row r="3634" spans="32:32" x14ac:dyDescent="0.2">
      <c r="AF3634" s="12"/>
    </row>
    <row r="3635" spans="32:32" x14ac:dyDescent="0.2">
      <c r="AF3635" s="12"/>
    </row>
    <row r="3636" spans="32:32" x14ac:dyDescent="0.2">
      <c r="AF3636" s="12"/>
    </row>
    <row r="3637" spans="32:32" x14ac:dyDescent="0.2">
      <c r="AF3637" s="12"/>
    </row>
    <row r="3638" spans="32:32" x14ac:dyDescent="0.2">
      <c r="AF3638" s="12"/>
    </row>
    <row r="3639" spans="32:32" x14ac:dyDescent="0.2">
      <c r="AF3639" s="12"/>
    </row>
    <row r="3640" spans="32:32" x14ac:dyDescent="0.2">
      <c r="AF3640" s="12"/>
    </row>
    <row r="3641" spans="32:32" x14ac:dyDescent="0.2">
      <c r="AF3641" s="12"/>
    </row>
    <row r="3642" spans="32:32" x14ac:dyDescent="0.2">
      <c r="AF3642" s="12"/>
    </row>
    <row r="3643" spans="32:32" x14ac:dyDescent="0.2">
      <c r="AF3643" s="12"/>
    </row>
    <row r="3644" spans="32:32" x14ac:dyDescent="0.2">
      <c r="AF3644" s="12"/>
    </row>
    <row r="3645" spans="32:32" x14ac:dyDescent="0.2">
      <c r="AF3645" s="12"/>
    </row>
    <row r="3646" spans="32:32" x14ac:dyDescent="0.2">
      <c r="AF3646" s="12"/>
    </row>
    <row r="3647" spans="32:32" x14ac:dyDescent="0.2">
      <c r="AF3647" s="12"/>
    </row>
    <row r="3648" spans="32:32" x14ac:dyDescent="0.2">
      <c r="AF3648" s="12"/>
    </row>
    <row r="3649" spans="32:32" x14ac:dyDescent="0.2">
      <c r="AF3649" s="12"/>
    </row>
    <row r="3650" spans="32:32" x14ac:dyDescent="0.2">
      <c r="AF3650" s="12"/>
    </row>
    <row r="3651" spans="32:32" x14ac:dyDescent="0.2">
      <c r="AF3651" s="12"/>
    </row>
    <row r="3652" spans="32:32" x14ac:dyDescent="0.2">
      <c r="AF3652" s="12"/>
    </row>
    <row r="3653" spans="32:32" x14ac:dyDescent="0.2">
      <c r="AF3653" s="12"/>
    </row>
    <row r="3654" spans="32:32" x14ac:dyDescent="0.2">
      <c r="AF3654" s="12"/>
    </row>
    <row r="3655" spans="32:32" x14ac:dyDescent="0.2">
      <c r="AF3655" s="12"/>
    </row>
    <row r="3656" spans="32:32" x14ac:dyDescent="0.2">
      <c r="AF3656" s="12"/>
    </row>
    <row r="3657" spans="32:32" x14ac:dyDescent="0.2">
      <c r="AF3657" s="12"/>
    </row>
    <row r="3658" spans="32:32" x14ac:dyDescent="0.2">
      <c r="AF3658" s="12"/>
    </row>
    <row r="3659" spans="32:32" x14ac:dyDescent="0.2">
      <c r="AF3659" s="12"/>
    </row>
    <row r="3660" spans="32:32" x14ac:dyDescent="0.2">
      <c r="AF3660" s="12"/>
    </row>
    <row r="3661" spans="32:32" x14ac:dyDescent="0.2">
      <c r="AF3661" s="12"/>
    </row>
    <row r="3662" spans="32:32" x14ac:dyDescent="0.2">
      <c r="AF3662" s="12"/>
    </row>
    <row r="3663" spans="32:32" x14ac:dyDescent="0.2">
      <c r="AF3663" s="12"/>
    </row>
    <row r="3664" spans="32:32" x14ac:dyDescent="0.2">
      <c r="AF3664" s="12"/>
    </row>
    <row r="3665" spans="32:32" x14ac:dyDescent="0.2">
      <c r="AF3665" s="12"/>
    </row>
    <row r="3666" spans="32:32" x14ac:dyDescent="0.2">
      <c r="AF3666" s="12"/>
    </row>
    <row r="3667" spans="32:32" x14ac:dyDescent="0.2">
      <c r="AF3667" s="12"/>
    </row>
    <row r="3668" spans="32:32" x14ac:dyDescent="0.2">
      <c r="AF3668" s="12"/>
    </row>
    <row r="3669" spans="32:32" x14ac:dyDescent="0.2">
      <c r="AF3669" s="12"/>
    </row>
    <row r="3670" spans="32:32" x14ac:dyDescent="0.2">
      <c r="AF3670" s="12"/>
    </row>
    <row r="3671" spans="32:32" x14ac:dyDescent="0.2">
      <c r="AF3671" s="12"/>
    </row>
    <row r="3672" spans="32:32" x14ac:dyDescent="0.2">
      <c r="AF3672" s="12"/>
    </row>
    <row r="3673" spans="32:32" x14ac:dyDescent="0.2">
      <c r="AF3673" s="12"/>
    </row>
    <row r="3674" spans="32:32" x14ac:dyDescent="0.2">
      <c r="AF3674" s="12"/>
    </row>
    <row r="3675" spans="32:32" x14ac:dyDescent="0.2">
      <c r="AF3675" s="12"/>
    </row>
    <row r="3676" spans="32:32" x14ac:dyDescent="0.2">
      <c r="AF3676" s="12"/>
    </row>
    <row r="3677" spans="32:32" x14ac:dyDescent="0.2">
      <c r="AF3677" s="12"/>
    </row>
    <row r="3678" spans="32:32" x14ac:dyDescent="0.2">
      <c r="AF3678" s="12"/>
    </row>
    <row r="3679" spans="32:32" x14ac:dyDescent="0.2">
      <c r="AF3679" s="12"/>
    </row>
    <row r="3680" spans="32:32" x14ac:dyDescent="0.2">
      <c r="AF3680" s="12"/>
    </row>
    <row r="3681" spans="32:32" x14ac:dyDescent="0.2">
      <c r="AF3681" s="12"/>
    </row>
    <row r="3682" spans="32:32" x14ac:dyDescent="0.2">
      <c r="AF3682" s="12"/>
    </row>
    <row r="3683" spans="32:32" x14ac:dyDescent="0.2">
      <c r="AF3683" s="12"/>
    </row>
    <row r="3684" spans="32:32" x14ac:dyDescent="0.2">
      <c r="AF3684" s="12"/>
    </row>
    <row r="3685" spans="32:32" x14ac:dyDescent="0.2">
      <c r="AF3685" s="12"/>
    </row>
    <row r="3686" spans="32:32" x14ac:dyDescent="0.2">
      <c r="AF3686" s="12"/>
    </row>
    <row r="3687" spans="32:32" x14ac:dyDescent="0.2">
      <c r="AF3687" s="12"/>
    </row>
    <row r="3688" spans="32:32" x14ac:dyDescent="0.2">
      <c r="AF3688" s="12"/>
    </row>
    <row r="3689" spans="32:32" x14ac:dyDescent="0.2">
      <c r="AF3689" s="12"/>
    </row>
    <row r="3690" spans="32:32" x14ac:dyDescent="0.2">
      <c r="AF3690" s="12"/>
    </row>
    <row r="3691" spans="32:32" x14ac:dyDescent="0.2">
      <c r="AF3691" s="12"/>
    </row>
    <row r="3692" spans="32:32" x14ac:dyDescent="0.2">
      <c r="AF3692" s="12"/>
    </row>
    <row r="3693" spans="32:32" x14ac:dyDescent="0.2">
      <c r="AF3693" s="12"/>
    </row>
    <row r="3694" spans="32:32" x14ac:dyDescent="0.2">
      <c r="AF3694" s="12"/>
    </row>
    <row r="3695" spans="32:32" x14ac:dyDescent="0.2">
      <c r="AF3695" s="12"/>
    </row>
    <row r="3696" spans="32:32" x14ac:dyDescent="0.2">
      <c r="AF3696" s="12"/>
    </row>
    <row r="3697" spans="32:32" x14ac:dyDescent="0.2">
      <c r="AF3697" s="12"/>
    </row>
    <row r="3698" spans="32:32" x14ac:dyDescent="0.2">
      <c r="AF3698" s="12"/>
    </row>
    <row r="3699" spans="32:32" x14ac:dyDescent="0.2">
      <c r="AF3699" s="12"/>
    </row>
    <row r="3700" spans="32:32" x14ac:dyDescent="0.2">
      <c r="AF3700" s="12"/>
    </row>
    <row r="3701" spans="32:32" x14ac:dyDescent="0.2">
      <c r="AF3701" s="12"/>
    </row>
    <row r="3702" spans="32:32" x14ac:dyDescent="0.2">
      <c r="AF3702" s="12"/>
    </row>
    <row r="3703" spans="32:32" x14ac:dyDescent="0.2">
      <c r="AF3703" s="12"/>
    </row>
    <row r="3704" spans="32:32" x14ac:dyDescent="0.2">
      <c r="AF3704" s="12"/>
    </row>
    <row r="3705" spans="32:32" x14ac:dyDescent="0.2">
      <c r="AF3705" s="12"/>
    </row>
    <row r="3706" spans="32:32" x14ac:dyDescent="0.2">
      <c r="AF3706" s="12"/>
    </row>
    <row r="3707" spans="32:32" x14ac:dyDescent="0.2">
      <c r="AF3707" s="12"/>
    </row>
    <row r="3708" spans="32:32" x14ac:dyDescent="0.2">
      <c r="AF3708" s="12"/>
    </row>
    <row r="3709" spans="32:32" x14ac:dyDescent="0.2">
      <c r="AF3709" s="12"/>
    </row>
    <row r="3710" spans="32:32" x14ac:dyDescent="0.2">
      <c r="AF3710" s="12"/>
    </row>
    <row r="3711" spans="32:32" x14ac:dyDescent="0.2">
      <c r="AF3711" s="12"/>
    </row>
    <row r="3712" spans="32:32" x14ac:dyDescent="0.2">
      <c r="AF3712" s="12"/>
    </row>
    <row r="3713" spans="32:32" x14ac:dyDescent="0.2">
      <c r="AF3713" s="12"/>
    </row>
    <row r="3714" spans="32:32" x14ac:dyDescent="0.2">
      <c r="AF3714" s="12"/>
    </row>
    <row r="3715" spans="32:32" x14ac:dyDescent="0.2">
      <c r="AF3715" s="12"/>
    </row>
    <row r="3716" spans="32:32" x14ac:dyDescent="0.2">
      <c r="AF3716" s="12"/>
    </row>
    <row r="3717" spans="32:32" x14ac:dyDescent="0.2">
      <c r="AF3717" s="12"/>
    </row>
    <row r="3718" spans="32:32" x14ac:dyDescent="0.2">
      <c r="AF3718" s="12"/>
    </row>
    <row r="3719" spans="32:32" x14ac:dyDescent="0.2">
      <c r="AF3719" s="12"/>
    </row>
    <row r="3720" spans="32:32" x14ac:dyDescent="0.2">
      <c r="AF3720" s="12"/>
    </row>
    <row r="3721" spans="32:32" x14ac:dyDescent="0.2">
      <c r="AF3721" s="12"/>
    </row>
    <row r="3722" spans="32:32" x14ac:dyDescent="0.2">
      <c r="AF3722" s="12"/>
    </row>
    <row r="3723" spans="32:32" x14ac:dyDescent="0.2">
      <c r="AF3723" s="12"/>
    </row>
    <row r="3724" spans="32:32" x14ac:dyDescent="0.2">
      <c r="AF3724" s="12"/>
    </row>
    <row r="3725" spans="32:32" x14ac:dyDescent="0.2">
      <c r="AF3725" s="12"/>
    </row>
    <row r="3726" spans="32:32" x14ac:dyDescent="0.2">
      <c r="AF3726" s="12"/>
    </row>
    <row r="3727" spans="32:32" x14ac:dyDescent="0.2">
      <c r="AF3727" s="12"/>
    </row>
    <row r="3728" spans="32:32" x14ac:dyDescent="0.2">
      <c r="AF3728" s="12"/>
    </row>
    <row r="3729" spans="32:32" x14ac:dyDescent="0.2">
      <c r="AF3729" s="12"/>
    </row>
    <row r="3730" spans="32:32" x14ac:dyDescent="0.2">
      <c r="AF3730" s="12"/>
    </row>
    <row r="3731" spans="32:32" x14ac:dyDescent="0.2">
      <c r="AF3731" s="12"/>
    </row>
    <row r="3732" spans="32:32" x14ac:dyDescent="0.2">
      <c r="AF3732" s="12"/>
    </row>
    <row r="3733" spans="32:32" x14ac:dyDescent="0.2">
      <c r="AF3733" s="12"/>
    </row>
    <row r="3734" spans="32:32" x14ac:dyDescent="0.2">
      <c r="AF3734" s="12"/>
    </row>
    <row r="3735" spans="32:32" x14ac:dyDescent="0.2">
      <c r="AF3735" s="12"/>
    </row>
    <row r="3736" spans="32:32" x14ac:dyDescent="0.2">
      <c r="AF3736" s="12"/>
    </row>
    <row r="3737" spans="32:32" x14ac:dyDescent="0.2">
      <c r="AF3737" s="12"/>
    </row>
    <row r="3738" spans="32:32" x14ac:dyDescent="0.2">
      <c r="AF3738" s="12"/>
    </row>
    <row r="3739" spans="32:32" x14ac:dyDescent="0.2">
      <c r="AF3739" s="12"/>
    </row>
    <row r="3740" spans="32:32" x14ac:dyDescent="0.2">
      <c r="AF3740" s="12"/>
    </row>
    <row r="3741" spans="32:32" x14ac:dyDescent="0.2">
      <c r="AF3741" s="12"/>
    </row>
    <row r="3742" spans="32:32" x14ac:dyDescent="0.2">
      <c r="AF3742" s="12"/>
    </row>
    <row r="3743" spans="32:32" x14ac:dyDescent="0.2">
      <c r="AF3743" s="12"/>
    </row>
    <row r="3744" spans="32:32" x14ac:dyDescent="0.2">
      <c r="AF3744" s="12"/>
    </row>
    <row r="3745" spans="32:32" x14ac:dyDescent="0.2">
      <c r="AF3745" s="12"/>
    </row>
    <row r="3746" spans="32:32" x14ac:dyDescent="0.2">
      <c r="AF3746" s="12"/>
    </row>
    <row r="3747" spans="32:32" x14ac:dyDescent="0.2">
      <c r="AF3747" s="12"/>
    </row>
    <row r="3748" spans="32:32" x14ac:dyDescent="0.2">
      <c r="AF3748" s="12"/>
    </row>
    <row r="3749" spans="32:32" x14ac:dyDescent="0.2">
      <c r="AF3749" s="12"/>
    </row>
    <row r="3750" spans="32:32" x14ac:dyDescent="0.2">
      <c r="AF3750" s="12"/>
    </row>
    <row r="3751" spans="32:32" x14ac:dyDescent="0.2">
      <c r="AF3751" s="12"/>
    </row>
    <row r="3752" spans="32:32" x14ac:dyDescent="0.2">
      <c r="AF3752" s="12"/>
    </row>
    <row r="3753" spans="32:32" x14ac:dyDescent="0.2">
      <c r="AF3753" s="12"/>
    </row>
    <row r="3754" spans="32:32" x14ac:dyDescent="0.2">
      <c r="AF3754" s="12"/>
    </row>
    <row r="3755" spans="32:32" x14ac:dyDescent="0.2">
      <c r="AF3755" s="12"/>
    </row>
    <row r="3756" spans="32:32" x14ac:dyDescent="0.2">
      <c r="AF3756" s="12"/>
    </row>
    <row r="3757" spans="32:32" x14ac:dyDescent="0.2">
      <c r="AF3757" s="12"/>
    </row>
    <row r="3758" spans="32:32" x14ac:dyDescent="0.2">
      <c r="AF3758" s="12"/>
    </row>
    <row r="3759" spans="32:32" x14ac:dyDescent="0.2">
      <c r="AF3759" s="12"/>
    </row>
    <row r="3760" spans="32:32" x14ac:dyDescent="0.2">
      <c r="AF3760" s="12"/>
    </row>
    <row r="3761" spans="32:32" x14ac:dyDescent="0.2">
      <c r="AF3761" s="12"/>
    </row>
    <row r="3762" spans="32:32" x14ac:dyDescent="0.2">
      <c r="AF3762" s="12"/>
    </row>
    <row r="3763" spans="32:32" x14ac:dyDescent="0.2">
      <c r="AF3763" s="12"/>
    </row>
    <row r="3764" spans="32:32" x14ac:dyDescent="0.2">
      <c r="AF3764" s="12"/>
    </row>
    <row r="3765" spans="32:32" x14ac:dyDescent="0.2">
      <c r="AF3765" s="12"/>
    </row>
    <row r="3766" spans="32:32" x14ac:dyDescent="0.2">
      <c r="AF3766" s="12"/>
    </row>
    <row r="3767" spans="32:32" x14ac:dyDescent="0.2">
      <c r="AF3767" s="12"/>
    </row>
    <row r="3768" spans="32:32" x14ac:dyDescent="0.2">
      <c r="AF3768" s="12"/>
    </row>
    <row r="3769" spans="32:32" x14ac:dyDescent="0.2">
      <c r="AF3769" s="12"/>
    </row>
    <row r="3770" spans="32:32" x14ac:dyDescent="0.2">
      <c r="AF3770" s="12"/>
    </row>
    <row r="3771" spans="32:32" x14ac:dyDescent="0.2">
      <c r="AF3771" s="12"/>
    </row>
    <row r="3772" spans="32:32" x14ac:dyDescent="0.2">
      <c r="AF3772" s="12"/>
    </row>
    <row r="3773" spans="32:32" x14ac:dyDescent="0.2">
      <c r="AF3773" s="12"/>
    </row>
    <row r="3774" spans="32:32" x14ac:dyDescent="0.2">
      <c r="AF3774" s="12"/>
    </row>
    <row r="3775" spans="32:32" x14ac:dyDescent="0.2">
      <c r="AF3775" s="12"/>
    </row>
    <row r="3776" spans="32:32" x14ac:dyDescent="0.2">
      <c r="AF3776" s="12"/>
    </row>
    <row r="3777" spans="32:32" x14ac:dyDescent="0.2">
      <c r="AF3777" s="12"/>
    </row>
    <row r="3778" spans="32:32" x14ac:dyDescent="0.2">
      <c r="AF3778" s="12"/>
    </row>
    <row r="3779" spans="32:32" x14ac:dyDescent="0.2">
      <c r="AF3779" s="12"/>
    </row>
    <row r="3780" spans="32:32" x14ac:dyDescent="0.2">
      <c r="AF3780" s="12"/>
    </row>
    <row r="3781" spans="32:32" x14ac:dyDescent="0.2">
      <c r="AF3781" s="12"/>
    </row>
    <row r="3782" spans="32:32" x14ac:dyDescent="0.2">
      <c r="AF3782" s="12"/>
    </row>
    <row r="3783" spans="32:32" x14ac:dyDescent="0.2">
      <c r="AF3783" s="12"/>
    </row>
    <row r="3784" spans="32:32" x14ac:dyDescent="0.2">
      <c r="AF3784" s="12"/>
    </row>
    <row r="3785" spans="32:32" x14ac:dyDescent="0.2">
      <c r="AF3785" s="12"/>
    </row>
    <row r="3786" spans="32:32" x14ac:dyDescent="0.2">
      <c r="AF3786" s="12"/>
    </row>
    <row r="3787" spans="32:32" x14ac:dyDescent="0.2">
      <c r="AF3787" s="12"/>
    </row>
    <row r="3788" spans="32:32" x14ac:dyDescent="0.2">
      <c r="AF3788" s="12"/>
    </row>
    <row r="3789" spans="32:32" x14ac:dyDescent="0.2">
      <c r="AF3789" s="12"/>
    </row>
    <row r="3790" spans="32:32" x14ac:dyDescent="0.2">
      <c r="AF3790" s="12"/>
    </row>
    <row r="3791" spans="32:32" x14ac:dyDescent="0.2">
      <c r="AF3791" s="12"/>
    </row>
    <row r="3792" spans="32:32" x14ac:dyDescent="0.2">
      <c r="AF3792" s="12"/>
    </row>
    <row r="3793" spans="32:32" x14ac:dyDescent="0.2">
      <c r="AF3793" s="12"/>
    </row>
    <row r="3794" spans="32:32" x14ac:dyDescent="0.2">
      <c r="AF3794" s="12"/>
    </row>
    <row r="3795" spans="32:32" x14ac:dyDescent="0.2">
      <c r="AF3795" s="12"/>
    </row>
    <row r="3796" spans="32:32" x14ac:dyDescent="0.2">
      <c r="AF3796" s="12"/>
    </row>
    <row r="3797" spans="32:32" x14ac:dyDescent="0.2">
      <c r="AF3797" s="12"/>
    </row>
    <row r="3798" spans="32:32" x14ac:dyDescent="0.2">
      <c r="AF3798" s="12"/>
    </row>
    <row r="3799" spans="32:32" x14ac:dyDescent="0.2">
      <c r="AF3799" s="12"/>
    </row>
    <row r="3800" spans="32:32" x14ac:dyDescent="0.2">
      <c r="AF3800" s="12"/>
    </row>
    <row r="3801" spans="32:32" x14ac:dyDescent="0.2">
      <c r="AF3801" s="12"/>
    </row>
    <row r="3802" spans="32:32" x14ac:dyDescent="0.2">
      <c r="AF3802" s="12"/>
    </row>
    <row r="3803" spans="32:32" x14ac:dyDescent="0.2">
      <c r="AF3803" s="12"/>
    </row>
    <row r="3804" spans="32:32" x14ac:dyDescent="0.2">
      <c r="AF3804" s="12"/>
    </row>
    <row r="3805" spans="32:32" x14ac:dyDescent="0.2">
      <c r="AF3805" s="12"/>
    </row>
    <row r="3806" spans="32:32" x14ac:dyDescent="0.2">
      <c r="AF3806" s="12"/>
    </row>
    <row r="3807" spans="32:32" x14ac:dyDescent="0.2">
      <c r="AF3807" s="12"/>
    </row>
    <row r="3808" spans="32:32" x14ac:dyDescent="0.2">
      <c r="AF3808" s="12"/>
    </row>
    <row r="3809" spans="32:32" x14ac:dyDescent="0.2">
      <c r="AF3809" s="12"/>
    </row>
    <row r="3810" spans="32:32" x14ac:dyDescent="0.2">
      <c r="AF3810" s="12"/>
    </row>
    <row r="3811" spans="32:32" x14ac:dyDescent="0.2">
      <c r="AF3811" s="12"/>
    </row>
    <row r="3812" spans="32:32" x14ac:dyDescent="0.2">
      <c r="AF3812" s="12"/>
    </row>
    <row r="3813" spans="32:32" x14ac:dyDescent="0.2">
      <c r="AF3813" s="12"/>
    </row>
    <row r="3814" spans="32:32" x14ac:dyDescent="0.2">
      <c r="AF3814" s="12"/>
    </row>
    <row r="3815" spans="32:32" x14ac:dyDescent="0.2">
      <c r="AF3815" s="12"/>
    </row>
    <row r="3816" spans="32:32" x14ac:dyDescent="0.2">
      <c r="AF3816" s="12"/>
    </row>
    <row r="3817" spans="32:32" x14ac:dyDescent="0.2">
      <c r="AF3817" s="12"/>
    </row>
    <row r="3818" spans="32:32" x14ac:dyDescent="0.2">
      <c r="AF3818" s="12"/>
    </row>
    <row r="3819" spans="32:32" x14ac:dyDescent="0.2">
      <c r="AF3819" s="12"/>
    </row>
    <row r="3820" spans="32:32" x14ac:dyDescent="0.2">
      <c r="AF3820" s="12"/>
    </row>
    <row r="3821" spans="32:32" x14ac:dyDescent="0.2">
      <c r="AF3821" s="12"/>
    </row>
    <row r="3822" spans="32:32" x14ac:dyDescent="0.2">
      <c r="AF3822" s="12"/>
    </row>
    <row r="3823" spans="32:32" x14ac:dyDescent="0.2">
      <c r="AF3823" s="12"/>
    </row>
    <row r="3824" spans="32:32" x14ac:dyDescent="0.2">
      <c r="AF3824" s="12"/>
    </row>
    <row r="3825" spans="32:32" x14ac:dyDescent="0.2">
      <c r="AF3825" s="12"/>
    </row>
    <row r="3826" spans="32:32" x14ac:dyDescent="0.2">
      <c r="AF3826" s="12"/>
    </row>
    <row r="3827" spans="32:32" x14ac:dyDescent="0.2">
      <c r="AF3827" s="12"/>
    </row>
    <row r="3828" spans="32:32" x14ac:dyDescent="0.2">
      <c r="AF3828" s="12"/>
    </row>
    <row r="3829" spans="32:32" x14ac:dyDescent="0.2">
      <c r="AF3829" s="12"/>
    </row>
    <row r="3830" spans="32:32" x14ac:dyDescent="0.2">
      <c r="AF3830" s="12"/>
    </row>
    <row r="3831" spans="32:32" x14ac:dyDescent="0.2">
      <c r="AF3831" s="12"/>
    </row>
    <row r="3832" spans="32:32" x14ac:dyDescent="0.2">
      <c r="AF3832" s="12"/>
    </row>
    <row r="3833" spans="32:32" x14ac:dyDescent="0.2">
      <c r="AF3833" s="12"/>
    </row>
    <row r="3834" spans="32:32" x14ac:dyDescent="0.2">
      <c r="AF3834" s="12"/>
    </row>
    <row r="3835" spans="32:32" x14ac:dyDescent="0.2">
      <c r="AF3835" s="12"/>
    </row>
    <row r="3836" spans="32:32" x14ac:dyDescent="0.2">
      <c r="AF3836" s="12"/>
    </row>
    <row r="3837" spans="32:32" x14ac:dyDescent="0.2">
      <c r="AF3837" s="12"/>
    </row>
    <row r="3838" spans="32:32" x14ac:dyDescent="0.2">
      <c r="AF3838" s="12"/>
    </row>
    <row r="3839" spans="32:32" x14ac:dyDescent="0.2">
      <c r="AF3839" s="12"/>
    </row>
    <row r="3840" spans="32:32" x14ac:dyDescent="0.2">
      <c r="AF3840" s="12"/>
    </row>
    <row r="3841" spans="32:32" x14ac:dyDescent="0.2">
      <c r="AF3841" s="12"/>
    </row>
    <row r="3842" spans="32:32" x14ac:dyDescent="0.2">
      <c r="AF3842" s="12"/>
    </row>
    <row r="3843" spans="32:32" x14ac:dyDescent="0.2">
      <c r="AF3843" s="12"/>
    </row>
    <row r="3844" spans="32:32" x14ac:dyDescent="0.2">
      <c r="AF3844" s="12"/>
    </row>
    <row r="3845" spans="32:32" x14ac:dyDescent="0.2">
      <c r="AF3845" s="12"/>
    </row>
    <row r="3846" spans="32:32" x14ac:dyDescent="0.2">
      <c r="AF3846" s="12"/>
    </row>
    <row r="3847" spans="32:32" x14ac:dyDescent="0.2">
      <c r="AF3847" s="12"/>
    </row>
    <row r="3848" spans="32:32" x14ac:dyDescent="0.2">
      <c r="AF3848" s="12"/>
    </row>
    <row r="3849" spans="32:32" x14ac:dyDescent="0.2">
      <c r="AF3849" s="12"/>
    </row>
    <row r="3850" spans="32:32" x14ac:dyDescent="0.2">
      <c r="AF3850" s="12"/>
    </row>
    <row r="3851" spans="32:32" x14ac:dyDescent="0.2">
      <c r="AF3851" s="12"/>
    </row>
    <row r="3852" spans="32:32" x14ac:dyDescent="0.2">
      <c r="AF3852" s="12"/>
    </row>
    <row r="3853" spans="32:32" x14ac:dyDescent="0.2">
      <c r="AF3853" s="12"/>
    </row>
    <row r="3854" spans="32:32" x14ac:dyDescent="0.2">
      <c r="AF3854" s="12"/>
    </row>
    <row r="3855" spans="32:32" x14ac:dyDescent="0.2">
      <c r="AF3855" s="12"/>
    </row>
    <row r="3856" spans="32:32" x14ac:dyDescent="0.2">
      <c r="AF3856" s="12"/>
    </row>
    <row r="3857" spans="32:32" x14ac:dyDescent="0.2">
      <c r="AF3857" s="12"/>
    </row>
    <row r="3858" spans="32:32" x14ac:dyDescent="0.2">
      <c r="AF3858" s="12"/>
    </row>
    <row r="3859" spans="32:32" x14ac:dyDescent="0.2">
      <c r="AF3859" s="12"/>
    </row>
    <row r="3860" spans="32:32" x14ac:dyDescent="0.2">
      <c r="AF3860" s="12"/>
    </row>
    <row r="3861" spans="32:32" x14ac:dyDescent="0.2">
      <c r="AF3861" s="12"/>
    </row>
    <row r="3862" spans="32:32" x14ac:dyDescent="0.2">
      <c r="AF3862" s="12"/>
    </row>
    <row r="3863" spans="32:32" x14ac:dyDescent="0.2">
      <c r="AF3863" s="12"/>
    </row>
    <row r="3864" spans="32:32" x14ac:dyDescent="0.2">
      <c r="AF3864" s="12"/>
    </row>
    <row r="3865" spans="32:32" x14ac:dyDescent="0.2">
      <c r="AF3865" s="12"/>
    </row>
    <row r="3866" spans="32:32" x14ac:dyDescent="0.2">
      <c r="AF3866" s="12"/>
    </row>
    <row r="3867" spans="32:32" x14ac:dyDescent="0.2">
      <c r="AF3867" s="12"/>
    </row>
    <row r="3868" spans="32:32" x14ac:dyDescent="0.2">
      <c r="AF3868" s="12"/>
    </row>
    <row r="3869" spans="32:32" x14ac:dyDescent="0.2">
      <c r="AF3869" s="12"/>
    </row>
    <row r="3870" spans="32:32" x14ac:dyDescent="0.2">
      <c r="AF3870" s="12"/>
    </row>
    <row r="3871" spans="32:32" x14ac:dyDescent="0.2">
      <c r="AF3871" s="12"/>
    </row>
    <row r="3872" spans="32:32" x14ac:dyDescent="0.2">
      <c r="AF3872" s="12"/>
    </row>
    <row r="3873" spans="32:32" x14ac:dyDescent="0.2">
      <c r="AF3873" s="12"/>
    </row>
    <row r="3874" spans="32:32" x14ac:dyDescent="0.2">
      <c r="AF3874" s="12"/>
    </row>
    <row r="3875" spans="32:32" x14ac:dyDescent="0.2">
      <c r="AF3875" s="12"/>
    </row>
    <row r="3876" spans="32:32" x14ac:dyDescent="0.2">
      <c r="AF3876" s="12"/>
    </row>
    <row r="3877" spans="32:32" x14ac:dyDescent="0.2">
      <c r="AF3877" s="12"/>
    </row>
    <row r="3878" spans="32:32" x14ac:dyDescent="0.2">
      <c r="AF3878" s="12"/>
    </row>
    <row r="3879" spans="32:32" x14ac:dyDescent="0.2">
      <c r="AF3879" s="12"/>
    </row>
    <row r="3880" spans="32:32" x14ac:dyDescent="0.2">
      <c r="AF3880" s="12"/>
    </row>
    <row r="3881" spans="32:32" x14ac:dyDescent="0.2">
      <c r="AF3881" s="12"/>
    </row>
    <row r="3882" spans="32:32" x14ac:dyDescent="0.2">
      <c r="AF3882" s="12"/>
    </row>
    <row r="3883" spans="32:32" x14ac:dyDescent="0.2">
      <c r="AF3883" s="12"/>
    </row>
    <row r="3884" spans="32:32" x14ac:dyDescent="0.2">
      <c r="AF3884" s="12"/>
    </row>
    <row r="3885" spans="32:32" x14ac:dyDescent="0.2">
      <c r="AF3885" s="12"/>
    </row>
    <row r="3886" spans="32:32" x14ac:dyDescent="0.2">
      <c r="AF3886" s="12"/>
    </row>
    <row r="3887" spans="32:32" x14ac:dyDescent="0.2">
      <c r="AF3887" s="12"/>
    </row>
    <row r="3888" spans="32:32" x14ac:dyDescent="0.2">
      <c r="AF3888" s="12"/>
    </row>
    <row r="3889" spans="32:32" x14ac:dyDescent="0.2">
      <c r="AF3889" s="12"/>
    </row>
    <row r="3890" spans="32:32" x14ac:dyDescent="0.2">
      <c r="AF3890" s="12"/>
    </row>
    <row r="3891" spans="32:32" x14ac:dyDescent="0.2">
      <c r="AF3891" s="12"/>
    </row>
    <row r="3892" spans="32:32" x14ac:dyDescent="0.2">
      <c r="AF3892" s="12"/>
    </row>
    <row r="3893" spans="32:32" x14ac:dyDescent="0.2">
      <c r="AF3893" s="12"/>
    </row>
    <row r="3894" spans="32:32" x14ac:dyDescent="0.2">
      <c r="AF3894" s="12"/>
    </row>
    <row r="3895" spans="32:32" x14ac:dyDescent="0.2">
      <c r="AF3895" s="12"/>
    </row>
    <row r="3896" spans="32:32" x14ac:dyDescent="0.2">
      <c r="AF3896" s="12"/>
    </row>
    <row r="3897" spans="32:32" x14ac:dyDescent="0.2">
      <c r="AF3897" s="12"/>
    </row>
    <row r="3898" spans="32:32" x14ac:dyDescent="0.2">
      <c r="AF3898" s="12"/>
    </row>
    <row r="3899" spans="32:32" x14ac:dyDescent="0.2">
      <c r="AF3899" s="12"/>
    </row>
    <row r="3900" spans="32:32" x14ac:dyDescent="0.2">
      <c r="AF3900" s="12"/>
    </row>
    <row r="3901" spans="32:32" x14ac:dyDescent="0.2">
      <c r="AF3901" s="12"/>
    </row>
    <row r="3902" spans="32:32" x14ac:dyDescent="0.2">
      <c r="AF3902" s="12"/>
    </row>
    <row r="3903" spans="32:32" x14ac:dyDescent="0.2">
      <c r="AF3903" s="12"/>
    </row>
    <row r="3904" spans="32:32" x14ac:dyDescent="0.2">
      <c r="AF3904" s="12"/>
    </row>
    <row r="3905" spans="32:32" x14ac:dyDescent="0.2">
      <c r="AF3905" s="12"/>
    </row>
    <row r="3906" spans="32:32" x14ac:dyDescent="0.2">
      <c r="AF3906" s="12"/>
    </row>
    <row r="3907" spans="32:32" x14ac:dyDescent="0.2">
      <c r="AF3907" s="12"/>
    </row>
    <row r="3908" spans="32:32" x14ac:dyDescent="0.2">
      <c r="AF3908" s="12"/>
    </row>
    <row r="3909" spans="32:32" x14ac:dyDescent="0.2">
      <c r="AF3909" s="12"/>
    </row>
    <row r="3910" spans="32:32" x14ac:dyDescent="0.2">
      <c r="AF3910" s="12"/>
    </row>
    <row r="3911" spans="32:32" x14ac:dyDescent="0.2">
      <c r="AF3911" s="12"/>
    </row>
    <row r="3912" spans="32:32" x14ac:dyDescent="0.2">
      <c r="AF3912" s="12"/>
    </row>
    <row r="3913" spans="32:32" x14ac:dyDescent="0.2">
      <c r="AF3913" s="12"/>
    </row>
    <row r="3914" spans="32:32" x14ac:dyDescent="0.2">
      <c r="AF3914" s="12"/>
    </row>
    <row r="3915" spans="32:32" x14ac:dyDescent="0.2">
      <c r="AF3915" s="12"/>
    </row>
    <row r="3916" spans="32:32" x14ac:dyDescent="0.2">
      <c r="AF3916" s="12"/>
    </row>
    <row r="3917" spans="32:32" x14ac:dyDescent="0.2">
      <c r="AF3917" s="12"/>
    </row>
    <row r="3918" spans="32:32" x14ac:dyDescent="0.2">
      <c r="AF3918" s="12"/>
    </row>
    <row r="3919" spans="32:32" x14ac:dyDescent="0.2">
      <c r="AF3919" s="12"/>
    </row>
    <row r="3920" spans="32:32" x14ac:dyDescent="0.2">
      <c r="AF3920" s="12"/>
    </row>
    <row r="3921" spans="32:32" x14ac:dyDescent="0.2">
      <c r="AF3921" s="12"/>
    </row>
    <row r="3922" spans="32:32" x14ac:dyDescent="0.2">
      <c r="AF3922" s="12"/>
    </row>
    <row r="3923" spans="32:32" x14ac:dyDescent="0.2">
      <c r="AF3923" s="12"/>
    </row>
    <row r="3924" spans="32:32" x14ac:dyDescent="0.2">
      <c r="AF3924" s="12"/>
    </row>
    <row r="3925" spans="32:32" x14ac:dyDescent="0.2">
      <c r="AF3925" s="12"/>
    </row>
    <row r="3926" spans="32:32" x14ac:dyDescent="0.2">
      <c r="AF3926" s="12"/>
    </row>
    <row r="3927" spans="32:32" x14ac:dyDescent="0.2">
      <c r="AF3927" s="12"/>
    </row>
    <row r="3928" spans="32:32" x14ac:dyDescent="0.2">
      <c r="AF3928" s="12"/>
    </row>
    <row r="3929" spans="32:32" x14ac:dyDescent="0.2">
      <c r="AF3929" s="12"/>
    </row>
    <row r="3930" spans="32:32" x14ac:dyDescent="0.2">
      <c r="AF3930" s="12"/>
    </row>
    <row r="3931" spans="32:32" x14ac:dyDescent="0.2">
      <c r="AF3931" s="12"/>
    </row>
    <row r="3932" spans="32:32" x14ac:dyDescent="0.2">
      <c r="AF3932" s="12"/>
    </row>
    <row r="3933" spans="32:32" x14ac:dyDescent="0.2">
      <c r="AF3933" s="12"/>
    </row>
    <row r="3934" spans="32:32" x14ac:dyDescent="0.2">
      <c r="AF3934" s="12"/>
    </row>
    <row r="3935" spans="32:32" x14ac:dyDescent="0.2">
      <c r="AF3935" s="12"/>
    </row>
    <row r="3936" spans="32:32" x14ac:dyDescent="0.2">
      <c r="AF3936" s="12"/>
    </row>
    <row r="3937" spans="32:32" x14ac:dyDescent="0.2">
      <c r="AF3937" s="12"/>
    </row>
    <row r="3938" spans="32:32" x14ac:dyDescent="0.2">
      <c r="AF3938" s="12"/>
    </row>
    <row r="3939" spans="32:32" x14ac:dyDescent="0.2">
      <c r="AF3939" s="12"/>
    </row>
    <row r="3940" spans="32:32" x14ac:dyDescent="0.2">
      <c r="AF3940" s="12"/>
    </row>
    <row r="3941" spans="32:32" x14ac:dyDescent="0.2">
      <c r="AF3941" s="12"/>
    </row>
    <row r="3942" spans="32:32" x14ac:dyDescent="0.2">
      <c r="AF3942" s="12"/>
    </row>
    <row r="3943" spans="32:32" x14ac:dyDescent="0.2">
      <c r="AF3943" s="12"/>
    </row>
    <row r="3944" spans="32:32" x14ac:dyDescent="0.2">
      <c r="AF3944" s="12"/>
    </row>
    <row r="3945" spans="32:32" x14ac:dyDescent="0.2">
      <c r="AF3945" s="12"/>
    </row>
    <row r="3946" spans="32:32" x14ac:dyDescent="0.2">
      <c r="AF3946" s="12"/>
    </row>
    <row r="3947" spans="32:32" x14ac:dyDescent="0.2">
      <c r="AF3947" s="12"/>
    </row>
    <row r="3948" spans="32:32" x14ac:dyDescent="0.2">
      <c r="AF3948" s="12"/>
    </row>
    <row r="3949" spans="32:32" x14ac:dyDescent="0.2">
      <c r="AF3949" s="12"/>
    </row>
    <row r="3950" spans="32:32" x14ac:dyDescent="0.2">
      <c r="AF3950" s="12"/>
    </row>
    <row r="3951" spans="32:32" x14ac:dyDescent="0.2">
      <c r="AF3951" s="12"/>
    </row>
    <row r="3952" spans="32:32" x14ac:dyDescent="0.2">
      <c r="AF3952" s="12"/>
    </row>
    <row r="3953" spans="32:32" x14ac:dyDescent="0.2">
      <c r="AF3953" s="12"/>
    </row>
    <row r="3954" spans="32:32" x14ac:dyDescent="0.2">
      <c r="AF3954" s="12"/>
    </row>
    <row r="3955" spans="32:32" x14ac:dyDescent="0.2">
      <c r="AF3955" s="12"/>
    </row>
    <row r="3956" spans="32:32" x14ac:dyDescent="0.2">
      <c r="AF3956" s="12"/>
    </row>
    <row r="3957" spans="32:32" x14ac:dyDescent="0.2">
      <c r="AF3957" s="12"/>
    </row>
    <row r="3958" spans="32:32" x14ac:dyDescent="0.2">
      <c r="AF3958" s="12"/>
    </row>
    <row r="3959" spans="32:32" x14ac:dyDescent="0.2">
      <c r="AF3959" s="12"/>
    </row>
    <row r="3960" spans="32:32" x14ac:dyDescent="0.2">
      <c r="AF3960" s="12"/>
    </row>
    <row r="3961" spans="32:32" x14ac:dyDescent="0.2">
      <c r="AF3961" s="12"/>
    </row>
    <row r="3962" spans="32:32" x14ac:dyDescent="0.2">
      <c r="AF3962" s="12"/>
    </row>
    <row r="3963" spans="32:32" x14ac:dyDescent="0.2">
      <c r="AF3963" s="12"/>
    </row>
    <row r="3964" spans="32:32" x14ac:dyDescent="0.2">
      <c r="AF3964" s="12"/>
    </row>
    <row r="3965" spans="32:32" x14ac:dyDescent="0.2">
      <c r="AF3965" s="12"/>
    </row>
    <row r="3966" spans="32:32" x14ac:dyDescent="0.2">
      <c r="AF3966" s="12"/>
    </row>
    <row r="3967" spans="32:32" x14ac:dyDescent="0.2">
      <c r="AF3967" s="12"/>
    </row>
    <row r="3968" spans="32:32" x14ac:dyDescent="0.2">
      <c r="AF3968" s="12"/>
    </row>
    <row r="3969" spans="32:32" x14ac:dyDescent="0.2">
      <c r="AF3969" s="12"/>
    </row>
    <row r="3970" spans="32:32" x14ac:dyDescent="0.2">
      <c r="AF3970" s="12"/>
    </row>
    <row r="3971" spans="32:32" x14ac:dyDescent="0.2">
      <c r="AF3971" s="12"/>
    </row>
    <row r="3972" spans="32:32" x14ac:dyDescent="0.2">
      <c r="AF3972" s="12"/>
    </row>
    <row r="3973" spans="32:32" x14ac:dyDescent="0.2">
      <c r="AF3973" s="12"/>
    </row>
    <row r="3974" spans="32:32" x14ac:dyDescent="0.2">
      <c r="AF3974" s="12"/>
    </row>
    <row r="3975" spans="32:32" x14ac:dyDescent="0.2">
      <c r="AF3975" s="12"/>
    </row>
    <row r="3976" spans="32:32" x14ac:dyDescent="0.2">
      <c r="AF3976" s="12"/>
    </row>
    <row r="3977" spans="32:32" x14ac:dyDescent="0.2">
      <c r="AF3977" s="12"/>
    </row>
    <row r="3978" spans="32:32" x14ac:dyDescent="0.2">
      <c r="AF3978" s="12"/>
    </row>
    <row r="3979" spans="32:32" x14ac:dyDescent="0.2">
      <c r="AF3979" s="12"/>
    </row>
    <row r="3980" spans="32:32" x14ac:dyDescent="0.2">
      <c r="AF3980" s="12"/>
    </row>
    <row r="3981" spans="32:32" x14ac:dyDescent="0.2">
      <c r="AF3981" s="12"/>
    </row>
    <row r="3982" spans="32:32" x14ac:dyDescent="0.2">
      <c r="AF3982" s="12"/>
    </row>
    <row r="3983" spans="32:32" x14ac:dyDescent="0.2">
      <c r="AF3983" s="12"/>
    </row>
    <row r="3984" spans="32:32" x14ac:dyDescent="0.2">
      <c r="AF3984" s="12"/>
    </row>
    <row r="3985" spans="32:32" x14ac:dyDescent="0.2">
      <c r="AF3985" s="12"/>
    </row>
    <row r="3986" spans="32:32" x14ac:dyDescent="0.2">
      <c r="AF3986" s="12"/>
    </row>
    <row r="3987" spans="32:32" x14ac:dyDescent="0.2">
      <c r="AF3987" s="12"/>
    </row>
    <row r="3988" spans="32:32" x14ac:dyDescent="0.2">
      <c r="AF3988" s="12"/>
    </row>
    <row r="3989" spans="32:32" x14ac:dyDescent="0.2">
      <c r="AF3989" s="12"/>
    </row>
    <row r="3990" spans="32:32" x14ac:dyDescent="0.2">
      <c r="AF3990" s="12"/>
    </row>
    <row r="3991" spans="32:32" x14ac:dyDescent="0.2">
      <c r="AF3991" s="12"/>
    </row>
    <row r="3992" spans="32:32" x14ac:dyDescent="0.2">
      <c r="AF3992" s="12"/>
    </row>
    <row r="3993" spans="32:32" x14ac:dyDescent="0.2">
      <c r="AF3993" s="12"/>
    </row>
    <row r="3994" spans="32:32" x14ac:dyDescent="0.2">
      <c r="AF3994" s="12"/>
    </row>
    <row r="3995" spans="32:32" x14ac:dyDescent="0.2">
      <c r="AF3995" s="12"/>
    </row>
    <row r="3996" spans="32:32" x14ac:dyDescent="0.2">
      <c r="AF3996" s="12"/>
    </row>
    <row r="3997" spans="32:32" x14ac:dyDescent="0.2">
      <c r="AF3997" s="12"/>
    </row>
    <row r="3998" spans="32:32" x14ac:dyDescent="0.2">
      <c r="AF3998" s="12"/>
    </row>
    <row r="3999" spans="32:32" x14ac:dyDescent="0.2">
      <c r="AF3999" s="12"/>
    </row>
    <row r="4000" spans="32:32" x14ac:dyDescent="0.2">
      <c r="AF4000" s="12"/>
    </row>
    <row r="4001" spans="32:32" x14ac:dyDescent="0.2">
      <c r="AF4001" s="12"/>
    </row>
    <row r="4002" spans="32:32" x14ac:dyDescent="0.2">
      <c r="AF4002" s="12"/>
    </row>
    <row r="4003" spans="32:32" x14ac:dyDescent="0.2">
      <c r="AF4003" s="12"/>
    </row>
    <row r="4004" spans="32:32" x14ac:dyDescent="0.2">
      <c r="AF4004" s="12"/>
    </row>
    <row r="4005" spans="32:32" x14ac:dyDescent="0.2">
      <c r="AF4005" s="12"/>
    </row>
    <row r="4006" spans="32:32" x14ac:dyDescent="0.2">
      <c r="AF4006" s="12"/>
    </row>
    <row r="4007" spans="32:32" x14ac:dyDescent="0.2">
      <c r="AF4007" s="12"/>
    </row>
    <row r="4008" spans="32:32" x14ac:dyDescent="0.2">
      <c r="AF4008" s="12"/>
    </row>
    <row r="4009" spans="32:32" x14ac:dyDescent="0.2">
      <c r="AF4009" s="12"/>
    </row>
    <row r="4010" spans="32:32" x14ac:dyDescent="0.2">
      <c r="AF4010" s="12"/>
    </row>
    <row r="4011" spans="32:32" x14ac:dyDescent="0.2">
      <c r="AF4011" s="12"/>
    </row>
    <row r="4012" spans="32:32" x14ac:dyDescent="0.2">
      <c r="AF4012" s="12"/>
    </row>
    <row r="4013" spans="32:32" x14ac:dyDescent="0.2">
      <c r="AF4013" s="12"/>
    </row>
    <row r="4014" spans="32:32" x14ac:dyDescent="0.2">
      <c r="AF4014" s="12"/>
    </row>
    <row r="4015" spans="32:32" x14ac:dyDescent="0.2">
      <c r="AF4015" s="12"/>
    </row>
    <row r="4016" spans="32:32" x14ac:dyDescent="0.2">
      <c r="AF4016" s="12"/>
    </row>
    <row r="4017" spans="32:32" x14ac:dyDescent="0.2">
      <c r="AF4017" s="12"/>
    </row>
    <row r="4018" spans="32:32" x14ac:dyDescent="0.2">
      <c r="AF4018" s="12"/>
    </row>
    <row r="4019" spans="32:32" x14ac:dyDescent="0.2">
      <c r="AF4019" s="12"/>
    </row>
    <row r="4020" spans="32:32" x14ac:dyDescent="0.2">
      <c r="AF4020" s="12"/>
    </row>
    <row r="4021" spans="32:32" x14ac:dyDescent="0.2">
      <c r="AF4021" s="12"/>
    </row>
    <row r="4022" spans="32:32" x14ac:dyDescent="0.2">
      <c r="AF4022" s="12"/>
    </row>
    <row r="4023" spans="32:32" x14ac:dyDescent="0.2">
      <c r="AF4023" s="12"/>
    </row>
    <row r="4024" spans="32:32" x14ac:dyDescent="0.2">
      <c r="AF4024" s="12"/>
    </row>
    <row r="4025" spans="32:32" x14ac:dyDescent="0.2">
      <c r="AF4025" s="12"/>
    </row>
    <row r="4026" spans="32:32" x14ac:dyDescent="0.2">
      <c r="AF4026" s="12"/>
    </row>
    <row r="4027" spans="32:32" x14ac:dyDescent="0.2">
      <c r="AF4027" s="12"/>
    </row>
    <row r="4028" spans="32:32" x14ac:dyDescent="0.2">
      <c r="AF4028" s="12"/>
    </row>
    <row r="4029" spans="32:32" x14ac:dyDescent="0.2">
      <c r="AF4029" s="12"/>
    </row>
    <row r="4030" spans="32:32" x14ac:dyDescent="0.2">
      <c r="AF4030" s="12"/>
    </row>
    <row r="4031" spans="32:32" x14ac:dyDescent="0.2">
      <c r="AF4031" s="12"/>
    </row>
    <row r="4032" spans="32:32" x14ac:dyDescent="0.2">
      <c r="AF4032" s="12"/>
    </row>
    <row r="4033" spans="32:32" x14ac:dyDescent="0.2">
      <c r="AF4033" s="12"/>
    </row>
    <row r="4034" spans="32:32" x14ac:dyDescent="0.2">
      <c r="AF4034" s="12"/>
    </row>
    <row r="4035" spans="32:32" x14ac:dyDescent="0.2">
      <c r="AF4035" s="12"/>
    </row>
    <row r="4036" spans="32:32" x14ac:dyDescent="0.2">
      <c r="AF4036" s="12"/>
    </row>
    <row r="4037" spans="32:32" x14ac:dyDescent="0.2">
      <c r="AF4037" s="12"/>
    </row>
    <row r="4038" spans="32:32" x14ac:dyDescent="0.2">
      <c r="AF4038" s="12"/>
    </row>
    <row r="4039" spans="32:32" x14ac:dyDescent="0.2">
      <c r="AF4039" s="12"/>
    </row>
    <row r="4040" spans="32:32" x14ac:dyDescent="0.2">
      <c r="AF4040" s="12"/>
    </row>
    <row r="4041" spans="32:32" x14ac:dyDescent="0.2">
      <c r="AF4041" s="12"/>
    </row>
    <row r="4042" spans="32:32" x14ac:dyDescent="0.2">
      <c r="AF4042" s="12"/>
    </row>
    <row r="4043" spans="32:32" x14ac:dyDescent="0.2">
      <c r="AF4043" s="12"/>
    </row>
    <row r="4044" spans="32:32" x14ac:dyDescent="0.2">
      <c r="AF4044" s="12"/>
    </row>
    <row r="4045" spans="32:32" x14ac:dyDescent="0.2">
      <c r="AF4045" s="12"/>
    </row>
    <row r="4046" spans="32:32" x14ac:dyDescent="0.2">
      <c r="AF4046" s="12"/>
    </row>
    <row r="4047" spans="32:32" x14ac:dyDescent="0.2">
      <c r="AF4047" s="12"/>
    </row>
    <row r="4048" spans="32:32" x14ac:dyDescent="0.2">
      <c r="AF4048" s="12"/>
    </row>
    <row r="4049" spans="32:32" x14ac:dyDescent="0.2">
      <c r="AF4049" s="12"/>
    </row>
    <row r="4050" spans="32:32" x14ac:dyDescent="0.2">
      <c r="AF4050" s="12"/>
    </row>
    <row r="4051" spans="32:32" x14ac:dyDescent="0.2">
      <c r="AF4051" s="12"/>
    </row>
    <row r="4052" spans="32:32" x14ac:dyDescent="0.2">
      <c r="AF4052" s="12"/>
    </row>
    <row r="4053" spans="32:32" x14ac:dyDescent="0.2">
      <c r="AF4053" s="12"/>
    </row>
    <row r="4054" spans="32:32" x14ac:dyDescent="0.2">
      <c r="AF4054" s="12"/>
    </row>
    <row r="4055" spans="32:32" x14ac:dyDescent="0.2">
      <c r="AF4055" s="12"/>
    </row>
    <row r="4056" spans="32:32" x14ac:dyDescent="0.2">
      <c r="AF4056" s="12"/>
    </row>
    <row r="4057" spans="32:32" x14ac:dyDescent="0.2">
      <c r="AF4057" s="12"/>
    </row>
    <row r="4058" spans="32:32" x14ac:dyDescent="0.2">
      <c r="AF4058" s="12"/>
    </row>
    <row r="4059" spans="32:32" x14ac:dyDescent="0.2">
      <c r="AF4059" s="12"/>
    </row>
    <row r="4060" spans="32:32" x14ac:dyDescent="0.2">
      <c r="AF4060" s="12"/>
    </row>
    <row r="4061" spans="32:32" x14ac:dyDescent="0.2">
      <c r="AF4061" s="12"/>
    </row>
    <row r="4062" spans="32:32" x14ac:dyDescent="0.2">
      <c r="AF4062" s="12"/>
    </row>
    <row r="4063" spans="32:32" x14ac:dyDescent="0.2">
      <c r="AF4063" s="12"/>
    </row>
    <row r="4064" spans="32:32" x14ac:dyDescent="0.2">
      <c r="AF4064" s="12"/>
    </row>
    <row r="4065" spans="32:32" x14ac:dyDescent="0.2">
      <c r="AF4065" s="12"/>
    </row>
    <row r="4066" spans="32:32" x14ac:dyDescent="0.2">
      <c r="AF4066" s="12"/>
    </row>
    <row r="4067" spans="32:32" x14ac:dyDescent="0.2">
      <c r="AF4067" s="12"/>
    </row>
    <row r="4068" spans="32:32" x14ac:dyDescent="0.2">
      <c r="AF4068" s="12"/>
    </row>
    <row r="4069" spans="32:32" x14ac:dyDescent="0.2">
      <c r="AF4069" s="12"/>
    </row>
    <row r="4070" spans="32:32" x14ac:dyDescent="0.2">
      <c r="AF4070" s="12"/>
    </row>
    <row r="4071" spans="32:32" x14ac:dyDescent="0.2">
      <c r="AF4071" s="12"/>
    </row>
    <row r="4072" spans="32:32" x14ac:dyDescent="0.2">
      <c r="AF4072" s="12"/>
    </row>
    <row r="4073" spans="32:32" x14ac:dyDescent="0.2">
      <c r="AF4073" s="12"/>
    </row>
    <row r="4074" spans="32:32" x14ac:dyDescent="0.2">
      <c r="AF4074" s="12"/>
    </row>
    <row r="4075" spans="32:32" x14ac:dyDescent="0.2">
      <c r="AF4075" s="12"/>
    </row>
    <row r="4076" spans="32:32" x14ac:dyDescent="0.2">
      <c r="AF4076" s="12"/>
    </row>
    <row r="4077" spans="32:32" x14ac:dyDescent="0.2">
      <c r="AF4077" s="12"/>
    </row>
    <row r="4078" spans="32:32" x14ac:dyDescent="0.2">
      <c r="AF4078" s="12"/>
    </row>
    <row r="4079" spans="32:32" x14ac:dyDescent="0.2">
      <c r="AF4079" s="12"/>
    </row>
    <row r="4080" spans="32:32" x14ac:dyDescent="0.2">
      <c r="AF4080" s="12"/>
    </row>
    <row r="4081" spans="32:32" x14ac:dyDescent="0.2">
      <c r="AF4081" s="12"/>
    </row>
    <row r="4082" spans="32:32" x14ac:dyDescent="0.2">
      <c r="AF4082" s="12"/>
    </row>
    <row r="4083" spans="32:32" x14ac:dyDescent="0.2">
      <c r="AF4083" s="12"/>
    </row>
    <row r="4084" spans="32:32" x14ac:dyDescent="0.2">
      <c r="AF4084" s="12"/>
    </row>
    <row r="4085" spans="32:32" x14ac:dyDescent="0.2">
      <c r="AF4085" s="12"/>
    </row>
    <row r="4086" spans="32:32" x14ac:dyDescent="0.2">
      <c r="AF4086" s="12"/>
    </row>
    <row r="4087" spans="32:32" x14ac:dyDescent="0.2">
      <c r="AF4087" s="12"/>
    </row>
    <row r="4088" spans="32:32" x14ac:dyDescent="0.2">
      <c r="AF4088" s="12"/>
    </row>
    <row r="4089" spans="32:32" x14ac:dyDescent="0.2">
      <c r="AF4089" s="12"/>
    </row>
    <row r="4090" spans="32:32" x14ac:dyDescent="0.2">
      <c r="AF4090" s="12"/>
    </row>
    <row r="4091" spans="32:32" x14ac:dyDescent="0.2">
      <c r="AF4091" s="12"/>
    </row>
    <row r="4092" spans="32:32" x14ac:dyDescent="0.2">
      <c r="AF4092" s="12"/>
    </row>
    <row r="4093" spans="32:32" x14ac:dyDescent="0.2">
      <c r="AF4093" s="12"/>
    </row>
    <row r="4094" spans="32:32" x14ac:dyDescent="0.2">
      <c r="AF4094" s="12"/>
    </row>
    <row r="4095" spans="32:32" x14ac:dyDescent="0.2">
      <c r="AF4095" s="12"/>
    </row>
    <row r="4096" spans="32:32" x14ac:dyDescent="0.2">
      <c r="AF4096" s="12"/>
    </row>
    <row r="4097" spans="32:32" x14ac:dyDescent="0.2">
      <c r="AF4097" s="12"/>
    </row>
    <row r="4098" spans="32:32" x14ac:dyDescent="0.2">
      <c r="AF4098" s="12"/>
    </row>
    <row r="4099" spans="32:32" x14ac:dyDescent="0.2">
      <c r="AF4099" s="12"/>
    </row>
    <row r="4100" spans="32:32" x14ac:dyDescent="0.2">
      <c r="AF4100" s="12"/>
    </row>
    <row r="4101" spans="32:32" x14ac:dyDescent="0.2">
      <c r="AF4101" s="12"/>
    </row>
    <row r="4102" spans="32:32" x14ac:dyDescent="0.2">
      <c r="AF4102" s="12"/>
    </row>
    <row r="4103" spans="32:32" x14ac:dyDescent="0.2">
      <c r="AF4103" s="12"/>
    </row>
    <row r="4104" spans="32:32" x14ac:dyDescent="0.2">
      <c r="AF4104" s="12"/>
    </row>
    <row r="4105" spans="32:32" x14ac:dyDescent="0.2">
      <c r="AF4105" s="12"/>
    </row>
    <row r="4106" spans="32:32" x14ac:dyDescent="0.2">
      <c r="AF4106" s="12"/>
    </row>
    <row r="4107" spans="32:32" x14ac:dyDescent="0.2">
      <c r="AF4107" s="12"/>
    </row>
    <row r="4108" spans="32:32" x14ac:dyDescent="0.2">
      <c r="AF4108" s="12"/>
    </row>
    <row r="4109" spans="32:32" x14ac:dyDescent="0.2">
      <c r="AF4109" s="12"/>
    </row>
    <row r="4110" spans="32:32" x14ac:dyDescent="0.2">
      <c r="AF4110" s="12"/>
    </row>
    <row r="4111" spans="32:32" x14ac:dyDescent="0.2">
      <c r="AF4111" s="12"/>
    </row>
    <row r="4112" spans="32:32" x14ac:dyDescent="0.2">
      <c r="AF4112" s="12"/>
    </row>
    <row r="4113" spans="32:32" x14ac:dyDescent="0.2">
      <c r="AF4113" s="12"/>
    </row>
    <row r="4114" spans="32:32" x14ac:dyDescent="0.2">
      <c r="AF4114" s="12"/>
    </row>
    <row r="4115" spans="32:32" x14ac:dyDescent="0.2">
      <c r="AF4115" s="12"/>
    </row>
    <row r="4116" spans="32:32" x14ac:dyDescent="0.2">
      <c r="AF4116" s="12"/>
    </row>
    <row r="4117" spans="32:32" x14ac:dyDescent="0.2">
      <c r="AF4117" s="12"/>
    </row>
    <row r="4118" spans="32:32" x14ac:dyDescent="0.2">
      <c r="AF4118" s="12"/>
    </row>
    <row r="4119" spans="32:32" x14ac:dyDescent="0.2">
      <c r="AF4119" s="12"/>
    </row>
    <row r="4120" spans="32:32" x14ac:dyDescent="0.2">
      <c r="AF4120" s="12"/>
    </row>
    <row r="4121" spans="32:32" x14ac:dyDescent="0.2">
      <c r="AF4121" s="12"/>
    </row>
    <row r="4122" spans="32:32" x14ac:dyDescent="0.2">
      <c r="AF4122" s="12"/>
    </row>
    <row r="4123" spans="32:32" x14ac:dyDescent="0.2">
      <c r="AF4123" s="12"/>
    </row>
    <row r="4124" spans="32:32" x14ac:dyDescent="0.2">
      <c r="AF4124" s="12"/>
    </row>
    <row r="4125" spans="32:32" x14ac:dyDescent="0.2">
      <c r="AF4125" s="12"/>
    </row>
    <row r="4126" spans="32:32" x14ac:dyDescent="0.2">
      <c r="AF4126" s="12"/>
    </row>
    <row r="4127" spans="32:32" x14ac:dyDescent="0.2">
      <c r="AF4127" s="12"/>
    </row>
    <row r="4128" spans="32:32" x14ac:dyDescent="0.2">
      <c r="AF4128" s="12"/>
    </row>
    <row r="4129" spans="32:32" x14ac:dyDescent="0.2">
      <c r="AF4129" s="12"/>
    </row>
    <row r="4130" spans="32:32" x14ac:dyDescent="0.2">
      <c r="AF4130" s="12"/>
    </row>
    <row r="4131" spans="32:32" x14ac:dyDescent="0.2">
      <c r="AF4131" s="12"/>
    </row>
    <row r="4132" spans="32:32" x14ac:dyDescent="0.2">
      <c r="AF4132" s="12"/>
    </row>
    <row r="4133" spans="32:32" x14ac:dyDescent="0.2">
      <c r="AF4133" s="12"/>
    </row>
    <row r="4134" spans="32:32" x14ac:dyDescent="0.2">
      <c r="AF4134" s="12"/>
    </row>
    <row r="4135" spans="32:32" x14ac:dyDescent="0.2">
      <c r="AF4135" s="12"/>
    </row>
    <row r="4136" spans="32:32" x14ac:dyDescent="0.2">
      <c r="AF4136" s="12"/>
    </row>
    <row r="4137" spans="32:32" x14ac:dyDescent="0.2">
      <c r="AF4137" s="12"/>
    </row>
    <row r="4138" spans="32:32" x14ac:dyDescent="0.2">
      <c r="AF4138" s="12"/>
    </row>
    <row r="4139" spans="32:32" x14ac:dyDescent="0.2">
      <c r="AF4139" s="12"/>
    </row>
    <row r="4140" spans="32:32" x14ac:dyDescent="0.2">
      <c r="AF4140" s="12"/>
    </row>
    <row r="4141" spans="32:32" x14ac:dyDescent="0.2">
      <c r="AF4141" s="12"/>
    </row>
    <row r="4142" spans="32:32" x14ac:dyDescent="0.2">
      <c r="AF4142" s="12"/>
    </row>
    <row r="4143" spans="32:32" x14ac:dyDescent="0.2">
      <c r="AF4143" s="12"/>
    </row>
    <row r="4144" spans="32:32" x14ac:dyDescent="0.2">
      <c r="AF4144" s="12"/>
    </row>
    <row r="4145" spans="32:32" x14ac:dyDescent="0.2">
      <c r="AF4145" s="12"/>
    </row>
    <row r="4146" spans="32:32" x14ac:dyDescent="0.2">
      <c r="AF4146" s="12"/>
    </row>
    <row r="4147" spans="32:32" x14ac:dyDescent="0.2">
      <c r="AF4147" s="12"/>
    </row>
    <row r="4148" spans="32:32" x14ac:dyDescent="0.2">
      <c r="AF4148" s="12"/>
    </row>
    <row r="4149" spans="32:32" x14ac:dyDescent="0.2">
      <c r="AF4149" s="12"/>
    </row>
    <row r="4150" spans="32:32" x14ac:dyDescent="0.2">
      <c r="AF4150" s="12"/>
    </row>
    <row r="4151" spans="32:32" x14ac:dyDescent="0.2">
      <c r="AF4151" s="12"/>
    </row>
    <row r="4152" spans="32:32" x14ac:dyDescent="0.2">
      <c r="AF4152" s="12"/>
    </row>
    <row r="4153" spans="32:32" x14ac:dyDescent="0.2">
      <c r="AF4153" s="12"/>
    </row>
    <row r="4154" spans="32:32" x14ac:dyDescent="0.2">
      <c r="AF4154" s="12"/>
    </row>
    <row r="4155" spans="32:32" x14ac:dyDescent="0.2">
      <c r="AF4155" s="12"/>
    </row>
    <row r="4156" spans="32:32" x14ac:dyDescent="0.2">
      <c r="AF4156" s="12"/>
    </row>
    <row r="4157" spans="32:32" x14ac:dyDescent="0.2">
      <c r="AF4157" s="12"/>
    </row>
    <row r="4158" spans="32:32" x14ac:dyDescent="0.2">
      <c r="AF4158" s="12"/>
    </row>
    <row r="4159" spans="32:32" x14ac:dyDescent="0.2">
      <c r="AF4159" s="12"/>
    </row>
    <row r="4160" spans="32:32" x14ac:dyDescent="0.2">
      <c r="AF4160" s="12"/>
    </row>
    <row r="4161" spans="32:32" x14ac:dyDescent="0.2">
      <c r="AF4161" s="12"/>
    </row>
    <row r="4162" spans="32:32" x14ac:dyDescent="0.2">
      <c r="AF4162" s="12"/>
    </row>
    <row r="4163" spans="32:32" x14ac:dyDescent="0.2">
      <c r="AF4163" s="12"/>
    </row>
    <row r="4164" spans="32:32" x14ac:dyDescent="0.2">
      <c r="AF4164" s="12"/>
    </row>
    <row r="4165" spans="32:32" x14ac:dyDescent="0.2">
      <c r="AF4165" s="12"/>
    </row>
    <row r="4166" spans="32:32" x14ac:dyDescent="0.2">
      <c r="AF4166" s="12"/>
    </row>
    <row r="4167" spans="32:32" x14ac:dyDescent="0.2">
      <c r="AF4167" s="12"/>
    </row>
    <row r="4168" spans="32:32" x14ac:dyDescent="0.2">
      <c r="AF4168" s="12"/>
    </row>
    <row r="4169" spans="32:32" x14ac:dyDescent="0.2">
      <c r="AF4169" s="12"/>
    </row>
    <row r="4170" spans="32:32" x14ac:dyDescent="0.2">
      <c r="AF4170" s="12"/>
    </row>
    <row r="4171" spans="32:32" x14ac:dyDescent="0.2">
      <c r="AF4171" s="12"/>
    </row>
    <row r="4172" spans="32:32" x14ac:dyDescent="0.2">
      <c r="AF4172" s="12"/>
    </row>
    <row r="4173" spans="32:32" x14ac:dyDescent="0.2">
      <c r="AF4173" s="12"/>
    </row>
    <row r="4174" spans="32:32" x14ac:dyDescent="0.2">
      <c r="AF4174" s="12"/>
    </row>
    <row r="4175" spans="32:32" x14ac:dyDescent="0.2">
      <c r="AF4175" s="12"/>
    </row>
    <row r="4176" spans="32:32" x14ac:dyDescent="0.2">
      <c r="AF4176" s="12"/>
    </row>
    <row r="4177" spans="32:32" x14ac:dyDescent="0.2">
      <c r="AF4177" s="12"/>
    </row>
    <row r="4178" spans="32:32" x14ac:dyDescent="0.2">
      <c r="AF4178" s="12"/>
    </row>
    <row r="4179" spans="32:32" x14ac:dyDescent="0.2">
      <c r="AF4179" s="12"/>
    </row>
    <row r="4180" spans="32:32" x14ac:dyDescent="0.2">
      <c r="AF4180" s="12"/>
    </row>
    <row r="4181" spans="32:32" x14ac:dyDescent="0.2">
      <c r="AF4181" s="12"/>
    </row>
    <row r="4182" spans="32:32" x14ac:dyDescent="0.2">
      <c r="AF4182" s="12"/>
    </row>
    <row r="4183" spans="32:32" x14ac:dyDescent="0.2">
      <c r="AF4183" s="12"/>
    </row>
    <row r="4184" spans="32:32" x14ac:dyDescent="0.2">
      <c r="AF4184" s="12"/>
    </row>
    <row r="4185" spans="32:32" x14ac:dyDescent="0.2">
      <c r="AF4185" s="12"/>
    </row>
    <row r="4186" spans="32:32" x14ac:dyDescent="0.2">
      <c r="AF4186" s="12"/>
    </row>
    <row r="4187" spans="32:32" x14ac:dyDescent="0.2">
      <c r="AF4187" s="12"/>
    </row>
    <row r="4188" spans="32:32" x14ac:dyDescent="0.2">
      <c r="AF4188" s="12"/>
    </row>
    <row r="4189" spans="32:32" x14ac:dyDescent="0.2">
      <c r="AF4189" s="12"/>
    </row>
    <row r="4190" spans="32:32" x14ac:dyDescent="0.2">
      <c r="AF4190" s="12"/>
    </row>
    <row r="4191" spans="32:32" x14ac:dyDescent="0.2">
      <c r="AF4191" s="12"/>
    </row>
    <row r="4192" spans="32:32" x14ac:dyDescent="0.2">
      <c r="AF4192" s="12"/>
    </row>
    <row r="4193" spans="32:32" x14ac:dyDescent="0.2">
      <c r="AF4193" s="12"/>
    </row>
    <row r="4194" spans="32:32" x14ac:dyDescent="0.2">
      <c r="AF4194" s="12"/>
    </row>
    <row r="4195" spans="32:32" x14ac:dyDescent="0.2">
      <c r="AF4195" s="12"/>
    </row>
    <row r="4196" spans="32:32" x14ac:dyDescent="0.2">
      <c r="AF4196" s="12"/>
    </row>
    <row r="4197" spans="32:32" x14ac:dyDescent="0.2">
      <c r="AF4197" s="12"/>
    </row>
    <row r="4198" spans="32:32" x14ac:dyDescent="0.2">
      <c r="AF4198" s="12"/>
    </row>
    <row r="4199" spans="32:32" x14ac:dyDescent="0.2">
      <c r="AF4199" s="12"/>
    </row>
    <row r="4200" spans="32:32" x14ac:dyDescent="0.2">
      <c r="AF4200" s="12"/>
    </row>
    <row r="4201" spans="32:32" x14ac:dyDescent="0.2">
      <c r="AF4201" s="12"/>
    </row>
    <row r="4202" spans="32:32" x14ac:dyDescent="0.2">
      <c r="AF4202" s="12"/>
    </row>
    <row r="4203" spans="32:32" x14ac:dyDescent="0.2">
      <c r="AF4203" s="12"/>
    </row>
    <row r="4204" spans="32:32" x14ac:dyDescent="0.2">
      <c r="AF4204" s="12"/>
    </row>
    <row r="4205" spans="32:32" x14ac:dyDescent="0.2">
      <c r="AF4205" s="12"/>
    </row>
    <row r="4206" spans="32:32" x14ac:dyDescent="0.2">
      <c r="AF4206" s="12"/>
    </row>
    <row r="4207" spans="32:32" x14ac:dyDescent="0.2">
      <c r="AF4207" s="12"/>
    </row>
    <row r="4208" spans="32:32" x14ac:dyDescent="0.2">
      <c r="AF4208" s="12"/>
    </row>
    <row r="4209" spans="32:32" x14ac:dyDescent="0.2">
      <c r="AF4209" s="12"/>
    </row>
    <row r="4210" spans="32:32" x14ac:dyDescent="0.2">
      <c r="AF4210" s="12"/>
    </row>
    <row r="4211" spans="32:32" x14ac:dyDescent="0.2">
      <c r="AF4211" s="12"/>
    </row>
    <row r="4212" spans="32:32" x14ac:dyDescent="0.2">
      <c r="AF4212" s="12"/>
    </row>
    <row r="4213" spans="32:32" x14ac:dyDescent="0.2">
      <c r="AF4213" s="12"/>
    </row>
    <row r="4214" spans="32:32" x14ac:dyDescent="0.2">
      <c r="AF4214" s="12"/>
    </row>
    <row r="4215" spans="32:32" x14ac:dyDescent="0.2">
      <c r="AF4215" s="12"/>
    </row>
    <row r="4216" spans="32:32" x14ac:dyDescent="0.2">
      <c r="AF4216" s="12"/>
    </row>
    <row r="4217" spans="32:32" x14ac:dyDescent="0.2">
      <c r="AF4217" s="12"/>
    </row>
    <row r="4218" spans="32:32" x14ac:dyDescent="0.2">
      <c r="AF4218" s="12"/>
    </row>
    <row r="4219" spans="32:32" x14ac:dyDescent="0.2">
      <c r="AF4219" s="12"/>
    </row>
    <row r="4220" spans="32:32" x14ac:dyDescent="0.2">
      <c r="AF4220" s="12"/>
    </row>
    <row r="4221" spans="32:32" x14ac:dyDescent="0.2">
      <c r="AF4221" s="12"/>
    </row>
    <row r="4222" spans="32:32" x14ac:dyDescent="0.2">
      <c r="AF4222" s="12"/>
    </row>
    <row r="4223" spans="32:32" x14ac:dyDescent="0.2">
      <c r="AF4223" s="12"/>
    </row>
    <row r="4224" spans="32:32" x14ac:dyDescent="0.2">
      <c r="AF4224" s="12"/>
    </row>
    <row r="4225" spans="32:32" x14ac:dyDescent="0.2">
      <c r="AF4225" s="12"/>
    </row>
    <row r="4226" spans="32:32" x14ac:dyDescent="0.2">
      <c r="AF4226" s="12"/>
    </row>
    <row r="4227" spans="32:32" x14ac:dyDescent="0.2">
      <c r="AF4227" s="12"/>
    </row>
    <row r="4228" spans="32:32" x14ac:dyDescent="0.2">
      <c r="AF4228" s="12"/>
    </row>
    <row r="4229" spans="32:32" x14ac:dyDescent="0.2">
      <c r="AF4229" s="12"/>
    </row>
    <row r="4230" spans="32:32" x14ac:dyDescent="0.2">
      <c r="AF4230" s="12"/>
    </row>
    <row r="4231" spans="32:32" x14ac:dyDescent="0.2">
      <c r="AF4231" s="12"/>
    </row>
    <row r="4232" spans="32:32" x14ac:dyDescent="0.2">
      <c r="AF4232" s="12"/>
    </row>
    <row r="4233" spans="32:32" x14ac:dyDescent="0.2">
      <c r="AF4233" s="12"/>
    </row>
    <row r="4234" spans="32:32" x14ac:dyDescent="0.2">
      <c r="AF4234" s="12"/>
    </row>
    <row r="4235" spans="32:32" x14ac:dyDescent="0.2">
      <c r="AF4235" s="12"/>
    </row>
    <row r="4236" spans="32:32" x14ac:dyDescent="0.2">
      <c r="AF4236" s="12"/>
    </row>
    <row r="4237" spans="32:32" x14ac:dyDescent="0.2">
      <c r="AF4237" s="12"/>
    </row>
    <row r="4238" spans="32:32" x14ac:dyDescent="0.2">
      <c r="AF4238" s="12"/>
    </row>
    <row r="4239" spans="32:32" x14ac:dyDescent="0.2">
      <c r="AF4239" s="12"/>
    </row>
    <row r="4240" spans="32:32" x14ac:dyDescent="0.2">
      <c r="AF4240" s="12"/>
    </row>
    <row r="4241" spans="32:32" x14ac:dyDescent="0.2">
      <c r="AF4241" s="12"/>
    </row>
    <row r="4242" spans="32:32" x14ac:dyDescent="0.2">
      <c r="AF4242" s="12"/>
    </row>
    <row r="4243" spans="32:32" x14ac:dyDescent="0.2">
      <c r="AF4243" s="12"/>
    </row>
    <row r="4244" spans="32:32" x14ac:dyDescent="0.2">
      <c r="AF4244" s="12"/>
    </row>
    <row r="4245" spans="32:32" x14ac:dyDescent="0.2">
      <c r="AF4245" s="12"/>
    </row>
    <row r="4246" spans="32:32" x14ac:dyDescent="0.2">
      <c r="AF4246" s="12"/>
    </row>
    <row r="4247" spans="32:32" x14ac:dyDescent="0.2">
      <c r="AF4247" s="12"/>
    </row>
    <row r="4248" spans="32:32" x14ac:dyDescent="0.2">
      <c r="AF4248" s="12"/>
    </row>
    <row r="4249" spans="32:32" x14ac:dyDescent="0.2">
      <c r="AF4249" s="12"/>
    </row>
    <row r="4250" spans="32:32" x14ac:dyDescent="0.2">
      <c r="AF4250" s="12"/>
    </row>
    <row r="4251" spans="32:32" x14ac:dyDescent="0.2">
      <c r="AF4251" s="12"/>
    </row>
    <row r="4252" spans="32:32" x14ac:dyDescent="0.2">
      <c r="AF4252" s="12"/>
    </row>
    <row r="4253" spans="32:32" x14ac:dyDescent="0.2">
      <c r="AF4253" s="12"/>
    </row>
    <row r="4254" spans="32:32" x14ac:dyDescent="0.2">
      <c r="AF4254" s="12"/>
    </row>
    <row r="4255" spans="32:32" x14ac:dyDescent="0.2">
      <c r="AF4255" s="12"/>
    </row>
    <row r="4256" spans="32:32" x14ac:dyDescent="0.2">
      <c r="AF4256" s="12"/>
    </row>
    <row r="4257" spans="32:32" x14ac:dyDescent="0.2">
      <c r="AF4257" s="12"/>
    </row>
    <row r="4258" spans="32:32" x14ac:dyDescent="0.2">
      <c r="AF4258" s="12"/>
    </row>
    <row r="4259" spans="32:32" x14ac:dyDescent="0.2">
      <c r="AF4259" s="12"/>
    </row>
    <row r="4260" spans="32:32" x14ac:dyDescent="0.2">
      <c r="AF4260" s="12"/>
    </row>
    <row r="4261" spans="32:32" x14ac:dyDescent="0.2">
      <c r="AF4261" s="12"/>
    </row>
    <row r="4262" spans="32:32" x14ac:dyDescent="0.2">
      <c r="AF4262" s="12"/>
    </row>
    <row r="4263" spans="32:32" x14ac:dyDescent="0.2">
      <c r="AF4263" s="12"/>
    </row>
    <row r="4264" spans="32:32" x14ac:dyDescent="0.2">
      <c r="AF4264" s="12"/>
    </row>
    <row r="4265" spans="32:32" x14ac:dyDescent="0.2">
      <c r="AF4265" s="12"/>
    </row>
    <row r="4266" spans="32:32" x14ac:dyDescent="0.2">
      <c r="AF4266" s="12"/>
    </row>
    <row r="4267" spans="32:32" x14ac:dyDescent="0.2">
      <c r="AF4267" s="12"/>
    </row>
    <row r="4268" spans="32:32" x14ac:dyDescent="0.2">
      <c r="AF4268" s="12"/>
    </row>
    <row r="4269" spans="32:32" x14ac:dyDescent="0.2">
      <c r="AF4269" s="12"/>
    </row>
    <row r="4270" spans="32:32" x14ac:dyDescent="0.2">
      <c r="AF4270" s="12"/>
    </row>
    <row r="4271" spans="32:32" x14ac:dyDescent="0.2">
      <c r="AF4271" s="12"/>
    </row>
    <row r="4272" spans="32:32" x14ac:dyDescent="0.2">
      <c r="AF4272" s="12"/>
    </row>
    <row r="4273" spans="32:32" x14ac:dyDescent="0.2">
      <c r="AF4273" s="12"/>
    </row>
    <row r="4274" spans="32:32" x14ac:dyDescent="0.2">
      <c r="AF4274" s="12"/>
    </row>
    <row r="4275" spans="32:32" x14ac:dyDescent="0.2">
      <c r="AF4275" s="12"/>
    </row>
    <row r="4276" spans="32:32" x14ac:dyDescent="0.2">
      <c r="AF4276" s="12"/>
    </row>
    <row r="4277" spans="32:32" x14ac:dyDescent="0.2">
      <c r="AF4277" s="12"/>
    </row>
    <row r="4278" spans="32:32" x14ac:dyDescent="0.2">
      <c r="AF4278" s="12"/>
    </row>
    <row r="4279" spans="32:32" x14ac:dyDescent="0.2">
      <c r="AF4279" s="12"/>
    </row>
    <row r="4280" spans="32:32" x14ac:dyDescent="0.2">
      <c r="AF4280" s="12"/>
    </row>
    <row r="4281" spans="32:32" x14ac:dyDescent="0.2">
      <c r="AF4281" s="12"/>
    </row>
    <row r="4282" spans="32:32" x14ac:dyDescent="0.2">
      <c r="AF4282" s="12"/>
    </row>
    <row r="4283" spans="32:32" x14ac:dyDescent="0.2">
      <c r="AF4283" s="12"/>
    </row>
    <row r="4284" spans="32:32" x14ac:dyDescent="0.2">
      <c r="AF4284" s="12"/>
    </row>
    <row r="4285" spans="32:32" x14ac:dyDescent="0.2">
      <c r="AF4285" s="12"/>
    </row>
    <row r="4286" spans="32:32" x14ac:dyDescent="0.2">
      <c r="AF4286" s="12"/>
    </row>
    <row r="4287" spans="32:32" x14ac:dyDescent="0.2">
      <c r="AF4287" s="12"/>
    </row>
    <row r="4288" spans="32:32" x14ac:dyDescent="0.2">
      <c r="AF4288" s="12"/>
    </row>
    <row r="4289" spans="32:32" x14ac:dyDescent="0.2">
      <c r="AF4289" s="12"/>
    </row>
    <row r="4290" spans="32:32" x14ac:dyDescent="0.2">
      <c r="AF4290" s="12"/>
    </row>
    <row r="4291" spans="32:32" x14ac:dyDescent="0.2">
      <c r="AF4291" s="12"/>
    </row>
    <row r="4292" spans="32:32" x14ac:dyDescent="0.2">
      <c r="AF4292" s="12"/>
    </row>
    <row r="4293" spans="32:32" x14ac:dyDescent="0.2">
      <c r="AF4293" s="12"/>
    </row>
    <row r="4294" spans="32:32" x14ac:dyDescent="0.2">
      <c r="AF4294" s="12"/>
    </row>
    <row r="4295" spans="32:32" x14ac:dyDescent="0.2">
      <c r="AF4295" s="12"/>
    </row>
    <row r="4296" spans="32:32" x14ac:dyDescent="0.2">
      <c r="AF4296" s="12"/>
    </row>
    <row r="4297" spans="32:32" x14ac:dyDescent="0.2">
      <c r="AF4297" s="12"/>
    </row>
    <row r="4298" spans="32:32" x14ac:dyDescent="0.2">
      <c r="AF4298" s="12"/>
    </row>
    <row r="4299" spans="32:32" x14ac:dyDescent="0.2">
      <c r="AF4299" s="12"/>
    </row>
    <row r="4300" spans="32:32" x14ac:dyDescent="0.2">
      <c r="AF4300" s="12"/>
    </row>
    <row r="4301" spans="32:32" x14ac:dyDescent="0.2">
      <c r="AF4301" s="12"/>
    </row>
    <row r="4302" spans="32:32" x14ac:dyDescent="0.2">
      <c r="AF4302" s="12"/>
    </row>
    <row r="4303" spans="32:32" x14ac:dyDescent="0.2">
      <c r="AF4303" s="12"/>
    </row>
    <row r="4304" spans="32:32" x14ac:dyDescent="0.2">
      <c r="AF4304" s="12"/>
    </row>
    <row r="4305" spans="32:32" x14ac:dyDescent="0.2">
      <c r="AF4305" s="12"/>
    </row>
    <row r="4306" spans="32:32" x14ac:dyDescent="0.2">
      <c r="AF4306" s="12"/>
    </row>
    <row r="4307" spans="32:32" x14ac:dyDescent="0.2">
      <c r="AF4307" s="12"/>
    </row>
    <row r="4308" spans="32:32" x14ac:dyDescent="0.2">
      <c r="AF4308" s="12"/>
    </row>
    <row r="4309" spans="32:32" x14ac:dyDescent="0.2">
      <c r="AF4309" s="12"/>
    </row>
    <row r="4310" spans="32:32" x14ac:dyDescent="0.2">
      <c r="AF4310" s="12"/>
    </row>
    <row r="4311" spans="32:32" x14ac:dyDescent="0.2">
      <c r="AF4311" s="12"/>
    </row>
    <row r="4312" spans="32:32" x14ac:dyDescent="0.2">
      <c r="AF4312" s="12"/>
    </row>
    <row r="4313" spans="32:32" x14ac:dyDescent="0.2">
      <c r="AF4313" s="12"/>
    </row>
    <row r="4314" spans="32:32" x14ac:dyDescent="0.2">
      <c r="AF4314" s="12"/>
    </row>
    <row r="4315" spans="32:32" x14ac:dyDescent="0.2">
      <c r="AF4315" s="12"/>
    </row>
    <row r="4316" spans="32:32" x14ac:dyDescent="0.2">
      <c r="AF4316" s="12"/>
    </row>
    <row r="4317" spans="32:32" x14ac:dyDescent="0.2">
      <c r="AF4317" s="12"/>
    </row>
    <row r="4318" spans="32:32" x14ac:dyDescent="0.2">
      <c r="AF4318" s="12"/>
    </row>
    <row r="4319" spans="32:32" x14ac:dyDescent="0.2">
      <c r="AF4319" s="12"/>
    </row>
    <row r="4320" spans="32:32" x14ac:dyDescent="0.2">
      <c r="AF4320" s="12"/>
    </row>
    <row r="4321" spans="32:32" x14ac:dyDescent="0.2">
      <c r="AF4321" s="12"/>
    </row>
    <row r="4322" spans="32:32" x14ac:dyDescent="0.2">
      <c r="AF4322" s="12"/>
    </row>
    <row r="4323" spans="32:32" x14ac:dyDescent="0.2">
      <c r="AF4323" s="12"/>
    </row>
    <row r="4324" spans="32:32" x14ac:dyDescent="0.2">
      <c r="AF4324" s="12"/>
    </row>
    <row r="4325" spans="32:32" x14ac:dyDescent="0.2">
      <c r="AF4325" s="12"/>
    </row>
    <row r="4326" spans="32:32" x14ac:dyDescent="0.2">
      <c r="AF4326" s="12"/>
    </row>
    <row r="4327" spans="32:32" x14ac:dyDescent="0.2">
      <c r="AF4327" s="12"/>
    </row>
    <row r="4328" spans="32:32" x14ac:dyDescent="0.2">
      <c r="AF4328" s="12"/>
    </row>
    <row r="4329" spans="32:32" x14ac:dyDescent="0.2">
      <c r="AF4329" s="12"/>
    </row>
    <row r="4330" spans="32:32" x14ac:dyDescent="0.2">
      <c r="AF4330" s="12"/>
    </row>
    <row r="4331" spans="32:32" x14ac:dyDescent="0.2">
      <c r="AF4331" s="12"/>
    </row>
    <row r="4332" spans="32:32" x14ac:dyDescent="0.2">
      <c r="AF4332" s="12"/>
    </row>
    <row r="4333" spans="32:32" x14ac:dyDescent="0.2">
      <c r="AF4333" s="12"/>
    </row>
    <row r="4334" spans="32:32" x14ac:dyDescent="0.2">
      <c r="AF4334" s="12"/>
    </row>
    <row r="4335" spans="32:32" x14ac:dyDescent="0.2">
      <c r="AF4335" s="12"/>
    </row>
    <row r="4336" spans="32:32" x14ac:dyDescent="0.2">
      <c r="AF4336" s="12"/>
    </row>
    <row r="4337" spans="32:32" x14ac:dyDescent="0.2">
      <c r="AF4337" s="12"/>
    </row>
    <row r="4338" spans="32:32" x14ac:dyDescent="0.2">
      <c r="AF4338" s="12"/>
    </row>
    <row r="4339" spans="32:32" x14ac:dyDescent="0.2">
      <c r="AF4339" s="12"/>
    </row>
    <row r="4340" spans="32:32" x14ac:dyDescent="0.2">
      <c r="AF4340" s="12"/>
    </row>
    <row r="4341" spans="32:32" x14ac:dyDescent="0.2">
      <c r="AF4341" s="12"/>
    </row>
    <row r="4342" spans="32:32" x14ac:dyDescent="0.2">
      <c r="AF4342" s="12"/>
    </row>
    <row r="4343" spans="32:32" x14ac:dyDescent="0.2">
      <c r="AF4343" s="12"/>
    </row>
    <row r="4344" spans="32:32" x14ac:dyDescent="0.2">
      <c r="AF4344" s="12"/>
    </row>
    <row r="4345" spans="32:32" x14ac:dyDescent="0.2">
      <c r="AF4345" s="12"/>
    </row>
    <row r="4346" spans="32:32" x14ac:dyDescent="0.2">
      <c r="AF4346" s="12"/>
    </row>
    <row r="4347" spans="32:32" x14ac:dyDescent="0.2">
      <c r="AF4347" s="12"/>
    </row>
    <row r="4348" spans="32:32" x14ac:dyDescent="0.2">
      <c r="AF4348" s="12"/>
    </row>
    <row r="4349" spans="32:32" x14ac:dyDescent="0.2">
      <c r="AF4349" s="12"/>
    </row>
    <row r="4350" spans="32:32" x14ac:dyDescent="0.2">
      <c r="AF4350" s="12"/>
    </row>
    <row r="4351" spans="32:32" x14ac:dyDescent="0.2">
      <c r="AF4351" s="12"/>
    </row>
    <row r="4352" spans="32:32" x14ac:dyDescent="0.2">
      <c r="AF4352" s="12"/>
    </row>
    <row r="4353" spans="32:32" x14ac:dyDescent="0.2">
      <c r="AF4353" s="12"/>
    </row>
    <row r="4354" spans="32:32" x14ac:dyDescent="0.2">
      <c r="AF4354" s="12"/>
    </row>
    <row r="4355" spans="32:32" x14ac:dyDescent="0.2">
      <c r="AF4355" s="12"/>
    </row>
    <row r="4356" spans="32:32" x14ac:dyDescent="0.2">
      <c r="AF4356" s="12"/>
    </row>
    <row r="4357" spans="32:32" x14ac:dyDescent="0.2">
      <c r="AF4357" s="12"/>
    </row>
    <row r="4358" spans="32:32" x14ac:dyDescent="0.2">
      <c r="AF4358" s="12"/>
    </row>
    <row r="4359" spans="32:32" x14ac:dyDescent="0.2">
      <c r="AF4359" s="12"/>
    </row>
    <row r="4360" spans="32:32" x14ac:dyDescent="0.2">
      <c r="AF4360" s="12"/>
    </row>
    <row r="4361" spans="32:32" x14ac:dyDescent="0.2">
      <c r="AF4361" s="12"/>
    </row>
    <row r="4362" spans="32:32" x14ac:dyDescent="0.2">
      <c r="AF4362" s="12"/>
    </row>
    <row r="4363" spans="32:32" x14ac:dyDescent="0.2">
      <c r="AF4363" s="12"/>
    </row>
    <row r="4364" spans="32:32" x14ac:dyDescent="0.2">
      <c r="AF4364" s="12"/>
    </row>
    <row r="4365" spans="32:32" x14ac:dyDescent="0.2">
      <c r="AF4365" s="12"/>
    </row>
    <row r="4366" spans="32:32" x14ac:dyDescent="0.2">
      <c r="AF4366" s="12"/>
    </row>
    <row r="4367" spans="32:32" x14ac:dyDescent="0.2">
      <c r="AF4367" s="12"/>
    </row>
    <row r="4368" spans="32:32" x14ac:dyDescent="0.2">
      <c r="AF4368" s="12"/>
    </row>
    <row r="4369" spans="32:32" x14ac:dyDescent="0.2">
      <c r="AF4369" s="12"/>
    </row>
    <row r="4370" spans="32:32" x14ac:dyDescent="0.2">
      <c r="AF4370" s="12"/>
    </row>
    <row r="4371" spans="32:32" x14ac:dyDescent="0.2">
      <c r="AF4371" s="12"/>
    </row>
    <row r="4372" spans="32:32" x14ac:dyDescent="0.2">
      <c r="AF4372" s="12"/>
    </row>
    <row r="4373" spans="32:32" x14ac:dyDescent="0.2">
      <c r="AF4373" s="12"/>
    </row>
    <row r="4374" spans="32:32" x14ac:dyDescent="0.2">
      <c r="AF4374" s="12"/>
    </row>
    <row r="4375" spans="32:32" x14ac:dyDescent="0.2">
      <c r="AF4375" s="12"/>
    </row>
    <row r="4376" spans="32:32" x14ac:dyDescent="0.2">
      <c r="AF4376" s="12"/>
    </row>
    <row r="4377" spans="32:32" x14ac:dyDescent="0.2">
      <c r="AF4377" s="12"/>
    </row>
    <row r="4378" spans="32:32" x14ac:dyDescent="0.2">
      <c r="AF4378" s="12"/>
    </row>
    <row r="4379" spans="32:32" x14ac:dyDescent="0.2">
      <c r="AF4379" s="12"/>
    </row>
    <row r="4380" spans="32:32" x14ac:dyDescent="0.2">
      <c r="AF4380" s="12"/>
    </row>
    <row r="4381" spans="32:32" x14ac:dyDescent="0.2">
      <c r="AF4381" s="12"/>
    </row>
    <row r="4382" spans="32:32" x14ac:dyDescent="0.2">
      <c r="AF4382" s="12"/>
    </row>
    <row r="4383" spans="32:32" x14ac:dyDescent="0.2">
      <c r="AF4383" s="12"/>
    </row>
    <row r="4384" spans="32:32" x14ac:dyDescent="0.2">
      <c r="AF4384" s="12"/>
    </row>
    <row r="4385" spans="32:32" x14ac:dyDescent="0.2">
      <c r="AF4385" s="12"/>
    </row>
    <row r="4386" spans="32:32" x14ac:dyDescent="0.2">
      <c r="AF4386" s="12"/>
    </row>
    <row r="4387" spans="32:32" x14ac:dyDescent="0.2">
      <c r="AF4387" s="12"/>
    </row>
    <row r="4388" spans="32:32" x14ac:dyDescent="0.2">
      <c r="AF4388" s="12"/>
    </row>
    <row r="4389" spans="32:32" x14ac:dyDescent="0.2">
      <c r="AF4389" s="12"/>
    </row>
    <row r="4390" spans="32:32" x14ac:dyDescent="0.2">
      <c r="AF4390" s="12"/>
    </row>
    <row r="4391" spans="32:32" x14ac:dyDescent="0.2">
      <c r="AF4391" s="12"/>
    </row>
    <row r="4392" spans="32:32" x14ac:dyDescent="0.2">
      <c r="AF4392" s="12"/>
    </row>
    <row r="4393" spans="32:32" x14ac:dyDescent="0.2">
      <c r="AF4393" s="12"/>
    </row>
    <row r="4394" spans="32:32" x14ac:dyDescent="0.2">
      <c r="AF4394" s="12"/>
    </row>
    <row r="4395" spans="32:32" x14ac:dyDescent="0.2">
      <c r="AF4395" s="12"/>
    </row>
    <row r="4396" spans="32:32" x14ac:dyDescent="0.2">
      <c r="AF4396" s="12"/>
    </row>
    <row r="4397" spans="32:32" x14ac:dyDescent="0.2">
      <c r="AF4397" s="12"/>
    </row>
    <row r="4398" spans="32:32" x14ac:dyDescent="0.2">
      <c r="AF4398" s="12"/>
    </row>
    <row r="4399" spans="32:32" x14ac:dyDescent="0.2">
      <c r="AF4399" s="12"/>
    </row>
    <row r="4400" spans="32:32" x14ac:dyDescent="0.2">
      <c r="AF4400" s="12"/>
    </row>
    <row r="4401" spans="32:32" x14ac:dyDescent="0.2">
      <c r="AF4401" s="12"/>
    </row>
    <row r="4402" spans="32:32" x14ac:dyDescent="0.2">
      <c r="AF4402" s="12"/>
    </row>
    <row r="4403" spans="32:32" x14ac:dyDescent="0.2">
      <c r="AF4403" s="12"/>
    </row>
    <row r="4404" spans="32:32" x14ac:dyDescent="0.2">
      <c r="AF4404" s="12"/>
    </row>
    <row r="4405" spans="32:32" x14ac:dyDescent="0.2">
      <c r="AF4405" s="12"/>
    </row>
    <row r="4406" spans="32:32" x14ac:dyDescent="0.2">
      <c r="AF4406" s="12"/>
    </row>
    <row r="4407" spans="32:32" x14ac:dyDescent="0.2">
      <c r="AF4407" s="12"/>
    </row>
    <row r="4408" spans="32:32" x14ac:dyDescent="0.2">
      <c r="AF4408" s="12"/>
    </row>
    <row r="4409" spans="32:32" x14ac:dyDescent="0.2">
      <c r="AF4409" s="12"/>
    </row>
    <row r="4410" spans="32:32" x14ac:dyDescent="0.2">
      <c r="AF4410" s="12"/>
    </row>
    <row r="4411" spans="32:32" x14ac:dyDescent="0.2">
      <c r="AF4411" s="12"/>
    </row>
    <row r="4412" spans="32:32" x14ac:dyDescent="0.2">
      <c r="AF4412" s="12"/>
    </row>
    <row r="4413" spans="32:32" x14ac:dyDescent="0.2">
      <c r="AF4413" s="12"/>
    </row>
    <row r="4414" spans="32:32" x14ac:dyDescent="0.2">
      <c r="AF4414" s="12"/>
    </row>
    <row r="4415" spans="32:32" x14ac:dyDescent="0.2">
      <c r="AF4415" s="12"/>
    </row>
    <row r="4416" spans="32:32" x14ac:dyDescent="0.2">
      <c r="AF4416" s="12"/>
    </row>
    <row r="4417" spans="32:32" x14ac:dyDescent="0.2">
      <c r="AF4417" s="12"/>
    </row>
    <row r="4418" spans="32:32" x14ac:dyDescent="0.2">
      <c r="AF4418" s="12"/>
    </row>
    <row r="4419" spans="32:32" x14ac:dyDescent="0.2">
      <c r="AF4419" s="12"/>
    </row>
    <row r="4420" spans="32:32" x14ac:dyDescent="0.2">
      <c r="AF4420" s="12"/>
    </row>
    <row r="4421" spans="32:32" x14ac:dyDescent="0.2">
      <c r="AF4421" s="12"/>
    </row>
    <row r="4422" spans="32:32" x14ac:dyDescent="0.2">
      <c r="AF4422" s="12"/>
    </row>
    <row r="4423" spans="32:32" x14ac:dyDescent="0.2">
      <c r="AF4423" s="12"/>
    </row>
    <row r="4424" spans="32:32" x14ac:dyDescent="0.2">
      <c r="AF4424" s="12"/>
    </row>
    <row r="4425" spans="32:32" x14ac:dyDescent="0.2">
      <c r="AF4425" s="12"/>
    </row>
    <row r="4426" spans="32:32" x14ac:dyDescent="0.2">
      <c r="AF4426" s="12"/>
    </row>
    <row r="4427" spans="32:32" x14ac:dyDescent="0.2">
      <c r="AF4427" s="12"/>
    </row>
    <row r="4428" spans="32:32" x14ac:dyDescent="0.2">
      <c r="AF4428" s="12"/>
    </row>
    <row r="4429" spans="32:32" x14ac:dyDescent="0.2">
      <c r="AF4429" s="12"/>
    </row>
    <row r="4430" spans="32:32" x14ac:dyDescent="0.2">
      <c r="AF4430" s="12"/>
    </row>
    <row r="4431" spans="32:32" x14ac:dyDescent="0.2">
      <c r="AF4431" s="12"/>
    </row>
    <row r="4432" spans="32:32" x14ac:dyDescent="0.2">
      <c r="AF4432" s="12"/>
    </row>
    <row r="4433" spans="32:32" x14ac:dyDescent="0.2">
      <c r="AF4433" s="12"/>
    </row>
    <row r="4434" spans="32:32" x14ac:dyDescent="0.2">
      <c r="AF4434" s="12"/>
    </row>
    <row r="4435" spans="32:32" x14ac:dyDescent="0.2">
      <c r="AF4435" s="12"/>
    </row>
    <row r="4436" spans="32:32" x14ac:dyDescent="0.2">
      <c r="AF4436" s="12"/>
    </row>
    <row r="4437" spans="32:32" x14ac:dyDescent="0.2">
      <c r="AF4437" s="12"/>
    </row>
    <row r="4438" spans="32:32" x14ac:dyDescent="0.2">
      <c r="AF4438" s="12"/>
    </row>
    <row r="4439" spans="32:32" x14ac:dyDescent="0.2">
      <c r="AF4439" s="12"/>
    </row>
    <row r="4440" spans="32:32" x14ac:dyDescent="0.2">
      <c r="AF4440" s="12"/>
    </row>
    <row r="4441" spans="32:32" x14ac:dyDescent="0.2">
      <c r="AF4441" s="12"/>
    </row>
    <row r="4442" spans="32:32" x14ac:dyDescent="0.2">
      <c r="AF4442" s="12"/>
    </row>
    <row r="4443" spans="32:32" x14ac:dyDescent="0.2">
      <c r="AF4443" s="12"/>
    </row>
    <row r="4444" spans="32:32" x14ac:dyDescent="0.2">
      <c r="AF4444" s="12"/>
    </row>
    <row r="4445" spans="32:32" x14ac:dyDescent="0.2">
      <c r="AF4445" s="12"/>
    </row>
    <row r="4446" spans="32:32" x14ac:dyDescent="0.2">
      <c r="AF4446" s="12"/>
    </row>
    <row r="4447" spans="32:32" x14ac:dyDescent="0.2">
      <c r="AF4447" s="12"/>
    </row>
    <row r="4448" spans="32:32" x14ac:dyDescent="0.2">
      <c r="AF4448" s="12"/>
    </row>
    <row r="4449" spans="32:32" x14ac:dyDescent="0.2">
      <c r="AF4449" s="12"/>
    </row>
    <row r="4450" spans="32:32" x14ac:dyDescent="0.2">
      <c r="AF4450" s="12"/>
    </row>
    <row r="4451" spans="32:32" x14ac:dyDescent="0.2">
      <c r="AF4451" s="12"/>
    </row>
    <row r="4452" spans="32:32" x14ac:dyDescent="0.2">
      <c r="AF4452" s="12"/>
    </row>
    <row r="4453" spans="32:32" x14ac:dyDescent="0.2">
      <c r="AF4453" s="12"/>
    </row>
    <row r="4454" spans="32:32" x14ac:dyDescent="0.2">
      <c r="AF4454" s="12"/>
    </row>
    <row r="4455" spans="32:32" x14ac:dyDescent="0.2">
      <c r="AF4455" s="12"/>
    </row>
    <row r="4456" spans="32:32" x14ac:dyDescent="0.2">
      <c r="AF4456" s="12"/>
    </row>
    <row r="4457" spans="32:32" x14ac:dyDescent="0.2">
      <c r="AF4457" s="12"/>
    </row>
    <row r="4458" spans="32:32" x14ac:dyDescent="0.2">
      <c r="AF4458" s="12"/>
    </row>
    <row r="4459" spans="32:32" x14ac:dyDescent="0.2">
      <c r="AF4459" s="12"/>
    </row>
    <row r="4460" spans="32:32" x14ac:dyDescent="0.2">
      <c r="AF4460" s="12"/>
    </row>
    <row r="4461" spans="32:32" x14ac:dyDescent="0.2">
      <c r="AF4461" s="12"/>
    </row>
    <row r="4462" spans="32:32" x14ac:dyDescent="0.2">
      <c r="AF4462" s="12"/>
    </row>
    <row r="4463" spans="32:32" x14ac:dyDescent="0.2">
      <c r="AF4463" s="12"/>
    </row>
    <row r="4464" spans="32:32" x14ac:dyDescent="0.2">
      <c r="AF4464" s="12"/>
    </row>
    <row r="4465" spans="32:32" x14ac:dyDescent="0.2">
      <c r="AF4465" s="12"/>
    </row>
    <row r="4466" spans="32:32" x14ac:dyDescent="0.2">
      <c r="AF4466" s="12"/>
    </row>
    <row r="4467" spans="32:32" x14ac:dyDescent="0.2">
      <c r="AF4467" s="12"/>
    </row>
    <row r="4468" spans="32:32" x14ac:dyDescent="0.2">
      <c r="AF4468" s="12"/>
    </row>
    <row r="4469" spans="32:32" x14ac:dyDescent="0.2">
      <c r="AF4469" s="12"/>
    </row>
    <row r="4470" spans="32:32" x14ac:dyDescent="0.2">
      <c r="AF4470" s="12"/>
    </row>
    <row r="4471" spans="32:32" x14ac:dyDescent="0.2">
      <c r="AF4471" s="12"/>
    </row>
    <row r="4472" spans="32:32" x14ac:dyDescent="0.2">
      <c r="AF4472" s="12"/>
    </row>
    <row r="4473" spans="32:32" x14ac:dyDescent="0.2">
      <c r="AF4473" s="12"/>
    </row>
    <row r="4474" spans="32:32" x14ac:dyDescent="0.2">
      <c r="AF4474" s="12"/>
    </row>
    <row r="4475" spans="32:32" x14ac:dyDescent="0.2">
      <c r="AF4475" s="12"/>
    </row>
    <row r="4476" spans="32:32" x14ac:dyDescent="0.2">
      <c r="AF4476" s="12"/>
    </row>
    <row r="4477" spans="32:32" x14ac:dyDescent="0.2">
      <c r="AF4477" s="12"/>
    </row>
    <row r="4478" spans="32:32" x14ac:dyDescent="0.2">
      <c r="AF4478" s="12"/>
    </row>
    <row r="4479" spans="32:32" x14ac:dyDescent="0.2">
      <c r="AF4479" s="12"/>
    </row>
    <row r="4480" spans="32:32" x14ac:dyDescent="0.2">
      <c r="AF4480" s="12"/>
    </row>
    <row r="4481" spans="32:32" x14ac:dyDescent="0.2">
      <c r="AF4481" s="12"/>
    </row>
    <row r="4482" spans="32:32" x14ac:dyDescent="0.2">
      <c r="AF4482" s="12"/>
    </row>
    <row r="4483" spans="32:32" x14ac:dyDescent="0.2">
      <c r="AF4483" s="12"/>
    </row>
    <row r="4484" spans="32:32" x14ac:dyDescent="0.2">
      <c r="AF4484" s="12"/>
    </row>
    <row r="4485" spans="32:32" x14ac:dyDescent="0.2">
      <c r="AF4485" s="12"/>
    </row>
    <row r="4486" spans="32:32" x14ac:dyDescent="0.2">
      <c r="AF4486" s="12"/>
    </row>
    <row r="4487" spans="32:32" x14ac:dyDescent="0.2">
      <c r="AF4487" s="12"/>
    </row>
    <row r="4488" spans="32:32" x14ac:dyDescent="0.2">
      <c r="AF4488" s="12"/>
    </row>
    <row r="4489" spans="32:32" x14ac:dyDescent="0.2">
      <c r="AF4489" s="12"/>
    </row>
    <row r="4490" spans="32:32" x14ac:dyDescent="0.2">
      <c r="AF4490" s="12"/>
    </row>
    <row r="4491" spans="32:32" x14ac:dyDescent="0.2">
      <c r="AF4491" s="12"/>
    </row>
    <row r="4492" spans="32:32" x14ac:dyDescent="0.2">
      <c r="AF4492" s="12"/>
    </row>
    <row r="4493" spans="32:32" x14ac:dyDescent="0.2">
      <c r="AF4493" s="12"/>
    </row>
    <row r="4494" spans="32:32" x14ac:dyDescent="0.2">
      <c r="AF4494" s="12"/>
    </row>
    <row r="4495" spans="32:32" x14ac:dyDescent="0.2">
      <c r="AF4495" s="12"/>
    </row>
    <row r="4496" spans="32:32" x14ac:dyDescent="0.2">
      <c r="AF4496" s="12"/>
    </row>
    <row r="4497" spans="32:32" x14ac:dyDescent="0.2">
      <c r="AF4497" s="12"/>
    </row>
    <row r="4498" spans="32:32" x14ac:dyDescent="0.2">
      <c r="AF4498" s="12"/>
    </row>
    <row r="4499" spans="32:32" x14ac:dyDescent="0.2">
      <c r="AF4499" s="12"/>
    </row>
    <row r="4500" spans="32:32" x14ac:dyDescent="0.2">
      <c r="AF4500" s="12"/>
    </row>
    <row r="4501" spans="32:32" x14ac:dyDescent="0.2">
      <c r="AF4501" s="12"/>
    </row>
    <row r="4502" spans="32:32" x14ac:dyDescent="0.2">
      <c r="AF4502" s="12"/>
    </row>
    <row r="4503" spans="32:32" x14ac:dyDescent="0.2">
      <c r="AF4503" s="12"/>
    </row>
    <row r="4504" spans="32:32" x14ac:dyDescent="0.2">
      <c r="AF4504" s="12"/>
    </row>
    <row r="4505" spans="32:32" x14ac:dyDescent="0.2">
      <c r="AF4505" s="12"/>
    </row>
    <row r="4506" spans="32:32" x14ac:dyDescent="0.2">
      <c r="AF4506" s="12"/>
    </row>
    <row r="4507" spans="32:32" x14ac:dyDescent="0.2">
      <c r="AF4507" s="12"/>
    </row>
    <row r="4508" spans="32:32" x14ac:dyDescent="0.2">
      <c r="AF4508" s="12"/>
    </row>
    <row r="4509" spans="32:32" x14ac:dyDescent="0.2">
      <c r="AF4509" s="12"/>
    </row>
    <row r="4510" spans="32:32" x14ac:dyDescent="0.2">
      <c r="AF4510" s="12"/>
    </row>
    <row r="4511" spans="32:32" x14ac:dyDescent="0.2">
      <c r="AF4511" s="12"/>
    </row>
    <row r="4512" spans="32:32" x14ac:dyDescent="0.2">
      <c r="AF4512" s="12"/>
    </row>
    <row r="4513" spans="32:32" x14ac:dyDescent="0.2">
      <c r="AF4513" s="12"/>
    </row>
    <row r="4514" spans="32:32" x14ac:dyDescent="0.2">
      <c r="AF4514" s="12"/>
    </row>
    <row r="4515" spans="32:32" x14ac:dyDescent="0.2">
      <c r="AF4515" s="12"/>
    </row>
    <row r="4516" spans="32:32" x14ac:dyDescent="0.2">
      <c r="AF4516" s="12"/>
    </row>
    <row r="4517" spans="32:32" x14ac:dyDescent="0.2">
      <c r="AF4517" s="12"/>
    </row>
    <row r="4518" spans="32:32" x14ac:dyDescent="0.2">
      <c r="AF4518" s="12"/>
    </row>
    <row r="4519" spans="32:32" x14ac:dyDescent="0.2">
      <c r="AF4519" s="12"/>
    </row>
    <row r="4520" spans="32:32" x14ac:dyDescent="0.2">
      <c r="AF4520" s="12"/>
    </row>
    <row r="4521" spans="32:32" x14ac:dyDescent="0.2">
      <c r="AF4521" s="12"/>
    </row>
    <row r="4522" spans="32:32" x14ac:dyDescent="0.2">
      <c r="AF4522" s="12"/>
    </row>
    <row r="4523" spans="32:32" x14ac:dyDescent="0.2">
      <c r="AF4523" s="12"/>
    </row>
    <row r="4524" spans="32:32" x14ac:dyDescent="0.2">
      <c r="AF4524" s="12"/>
    </row>
    <row r="4525" spans="32:32" x14ac:dyDescent="0.2">
      <c r="AF4525" s="12"/>
    </row>
    <row r="4526" spans="32:32" x14ac:dyDescent="0.2">
      <c r="AF4526" s="12"/>
    </row>
    <row r="4527" spans="32:32" x14ac:dyDescent="0.2">
      <c r="AF4527" s="12"/>
    </row>
    <row r="4528" spans="32:32" x14ac:dyDescent="0.2">
      <c r="AF4528" s="12"/>
    </row>
    <row r="4529" spans="32:32" x14ac:dyDescent="0.2">
      <c r="AF4529" s="12"/>
    </row>
    <row r="4530" spans="32:32" x14ac:dyDescent="0.2">
      <c r="AF4530" s="12"/>
    </row>
    <row r="4531" spans="32:32" x14ac:dyDescent="0.2">
      <c r="AF4531" s="12"/>
    </row>
    <row r="4532" spans="32:32" x14ac:dyDescent="0.2">
      <c r="AF4532" s="12"/>
    </row>
    <row r="4533" spans="32:32" x14ac:dyDescent="0.2">
      <c r="AF4533" s="12"/>
    </row>
    <row r="4534" spans="32:32" x14ac:dyDescent="0.2">
      <c r="AF4534" s="12"/>
    </row>
    <row r="4535" spans="32:32" x14ac:dyDescent="0.2">
      <c r="AF4535" s="12"/>
    </row>
    <row r="4536" spans="32:32" x14ac:dyDescent="0.2">
      <c r="AF4536" s="12"/>
    </row>
    <row r="4537" spans="32:32" x14ac:dyDescent="0.2">
      <c r="AF4537" s="12"/>
    </row>
    <row r="4538" spans="32:32" x14ac:dyDescent="0.2">
      <c r="AF4538" s="12"/>
    </row>
    <row r="4539" spans="32:32" x14ac:dyDescent="0.2">
      <c r="AF4539" s="12"/>
    </row>
    <row r="4540" spans="32:32" x14ac:dyDescent="0.2">
      <c r="AF4540" s="12"/>
    </row>
    <row r="4541" spans="32:32" x14ac:dyDescent="0.2">
      <c r="AF4541" s="12"/>
    </row>
    <row r="4542" spans="32:32" x14ac:dyDescent="0.2">
      <c r="AF4542" s="12"/>
    </row>
    <row r="4543" spans="32:32" x14ac:dyDescent="0.2">
      <c r="AF4543" s="12"/>
    </row>
    <row r="4544" spans="32:32" x14ac:dyDescent="0.2">
      <c r="AF4544" s="12"/>
    </row>
    <row r="4545" spans="32:32" x14ac:dyDescent="0.2">
      <c r="AF4545" s="12"/>
    </row>
    <row r="4546" spans="32:32" x14ac:dyDescent="0.2">
      <c r="AF4546" s="12"/>
    </row>
    <row r="4547" spans="32:32" x14ac:dyDescent="0.2">
      <c r="AF4547" s="12"/>
    </row>
    <row r="4548" spans="32:32" x14ac:dyDescent="0.2">
      <c r="AF4548" s="12"/>
    </row>
    <row r="4549" spans="32:32" x14ac:dyDescent="0.2">
      <c r="AF4549" s="12"/>
    </row>
    <row r="4550" spans="32:32" x14ac:dyDescent="0.2">
      <c r="AF4550" s="12"/>
    </row>
    <row r="4551" spans="32:32" x14ac:dyDescent="0.2">
      <c r="AF4551" s="12"/>
    </row>
    <row r="4552" spans="32:32" x14ac:dyDescent="0.2">
      <c r="AF4552" s="12"/>
    </row>
    <row r="4553" spans="32:32" x14ac:dyDescent="0.2">
      <c r="AF4553" s="12"/>
    </row>
    <row r="4554" spans="32:32" x14ac:dyDescent="0.2">
      <c r="AF4554" s="12"/>
    </row>
    <row r="4555" spans="32:32" x14ac:dyDescent="0.2">
      <c r="AF4555" s="12"/>
    </row>
    <row r="4556" spans="32:32" x14ac:dyDescent="0.2">
      <c r="AF4556" s="12"/>
    </row>
    <row r="4557" spans="32:32" x14ac:dyDescent="0.2">
      <c r="AF4557" s="12"/>
    </row>
    <row r="4558" spans="32:32" x14ac:dyDescent="0.2">
      <c r="AF4558" s="12"/>
    </row>
    <row r="4559" spans="32:32" x14ac:dyDescent="0.2">
      <c r="AF4559" s="12"/>
    </row>
    <row r="4560" spans="32:32" x14ac:dyDescent="0.2">
      <c r="AF4560" s="12"/>
    </row>
    <row r="4561" spans="32:32" x14ac:dyDescent="0.2">
      <c r="AF4561" s="12"/>
    </row>
    <row r="4562" spans="32:32" x14ac:dyDescent="0.2">
      <c r="AF4562" s="12"/>
    </row>
    <row r="4563" spans="32:32" x14ac:dyDescent="0.2">
      <c r="AF4563" s="12"/>
    </row>
    <row r="4564" spans="32:32" x14ac:dyDescent="0.2">
      <c r="AF4564" s="12"/>
    </row>
    <row r="4565" spans="32:32" x14ac:dyDescent="0.2">
      <c r="AF4565" s="12"/>
    </row>
    <row r="4566" spans="32:32" x14ac:dyDescent="0.2">
      <c r="AF4566" s="12"/>
    </row>
    <row r="4567" spans="32:32" x14ac:dyDescent="0.2">
      <c r="AF4567" s="12"/>
    </row>
    <row r="4568" spans="32:32" x14ac:dyDescent="0.2">
      <c r="AF4568" s="12"/>
    </row>
    <row r="4569" spans="32:32" x14ac:dyDescent="0.2">
      <c r="AF4569" s="12"/>
    </row>
    <row r="4570" spans="32:32" x14ac:dyDescent="0.2">
      <c r="AF4570" s="12"/>
    </row>
    <row r="4571" spans="32:32" x14ac:dyDescent="0.2">
      <c r="AF4571" s="12"/>
    </row>
    <row r="4572" spans="32:32" x14ac:dyDescent="0.2">
      <c r="AF4572" s="12"/>
    </row>
    <row r="4573" spans="32:32" x14ac:dyDescent="0.2">
      <c r="AF4573" s="12"/>
    </row>
    <row r="4574" spans="32:32" x14ac:dyDescent="0.2">
      <c r="AF4574" s="12"/>
    </row>
    <row r="4575" spans="32:32" x14ac:dyDescent="0.2">
      <c r="AF4575" s="12"/>
    </row>
    <row r="4576" spans="32:32" x14ac:dyDescent="0.2">
      <c r="AF4576" s="12"/>
    </row>
    <row r="4577" spans="32:32" x14ac:dyDescent="0.2">
      <c r="AF4577" s="12"/>
    </row>
    <row r="4578" spans="32:32" x14ac:dyDescent="0.2">
      <c r="AF4578" s="12"/>
    </row>
    <row r="4579" spans="32:32" x14ac:dyDescent="0.2">
      <c r="AF4579" s="12"/>
    </row>
    <row r="4580" spans="32:32" x14ac:dyDescent="0.2">
      <c r="AF4580" s="12"/>
    </row>
    <row r="4581" spans="32:32" x14ac:dyDescent="0.2">
      <c r="AF4581" s="12"/>
    </row>
    <row r="4582" spans="32:32" x14ac:dyDescent="0.2">
      <c r="AF4582" s="12"/>
    </row>
    <row r="4583" spans="32:32" x14ac:dyDescent="0.2">
      <c r="AF4583" s="12"/>
    </row>
    <row r="4584" spans="32:32" x14ac:dyDescent="0.2">
      <c r="AF4584" s="12"/>
    </row>
    <row r="4585" spans="32:32" x14ac:dyDescent="0.2">
      <c r="AF4585" s="12"/>
    </row>
    <row r="4586" spans="32:32" x14ac:dyDescent="0.2">
      <c r="AF4586" s="12"/>
    </row>
    <row r="4587" spans="32:32" x14ac:dyDescent="0.2">
      <c r="AF4587" s="12"/>
    </row>
    <row r="4588" spans="32:32" x14ac:dyDescent="0.2">
      <c r="AF4588" s="12"/>
    </row>
    <row r="4589" spans="32:32" x14ac:dyDescent="0.2">
      <c r="AF4589" s="12"/>
    </row>
    <row r="4590" spans="32:32" x14ac:dyDescent="0.2">
      <c r="AF4590" s="12"/>
    </row>
    <row r="4591" spans="32:32" x14ac:dyDescent="0.2">
      <c r="AF4591" s="12"/>
    </row>
    <row r="4592" spans="32:32" x14ac:dyDescent="0.2">
      <c r="AF4592" s="12"/>
    </row>
    <row r="4593" spans="32:32" x14ac:dyDescent="0.2">
      <c r="AF4593" s="12"/>
    </row>
    <row r="4594" spans="32:32" x14ac:dyDescent="0.2">
      <c r="AF4594" s="12"/>
    </row>
    <row r="4595" spans="32:32" x14ac:dyDescent="0.2">
      <c r="AF4595" s="12"/>
    </row>
    <row r="4596" spans="32:32" x14ac:dyDescent="0.2">
      <c r="AF4596" s="12"/>
    </row>
    <row r="4597" spans="32:32" x14ac:dyDescent="0.2">
      <c r="AF4597" s="12"/>
    </row>
    <row r="4598" spans="32:32" x14ac:dyDescent="0.2">
      <c r="AF4598" s="12"/>
    </row>
    <row r="4599" spans="32:32" x14ac:dyDescent="0.2">
      <c r="AF4599" s="12"/>
    </row>
    <row r="4600" spans="32:32" x14ac:dyDescent="0.2">
      <c r="AF4600" s="12"/>
    </row>
    <row r="4601" spans="32:32" x14ac:dyDescent="0.2">
      <c r="AF4601" s="12"/>
    </row>
    <row r="4602" spans="32:32" x14ac:dyDescent="0.2">
      <c r="AF4602" s="12"/>
    </row>
    <row r="4603" spans="32:32" x14ac:dyDescent="0.2">
      <c r="AF4603" s="12"/>
    </row>
    <row r="4604" spans="32:32" x14ac:dyDescent="0.2">
      <c r="AF4604" s="12"/>
    </row>
    <row r="4605" spans="32:32" x14ac:dyDescent="0.2">
      <c r="AF4605" s="12"/>
    </row>
    <row r="4606" spans="32:32" x14ac:dyDescent="0.2">
      <c r="AF4606" s="12"/>
    </row>
    <row r="4607" spans="32:32" x14ac:dyDescent="0.2">
      <c r="AF4607" s="12"/>
    </row>
    <row r="4608" spans="32:32" x14ac:dyDescent="0.2">
      <c r="AF4608" s="12"/>
    </row>
    <row r="4609" spans="32:32" x14ac:dyDescent="0.2">
      <c r="AF4609" s="12"/>
    </row>
    <row r="4610" spans="32:32" x14ac:dyDescent="0.2">
      <c r="AF4610" s="12"/>
    </row>
    <row r="4611" spans="32:32" x14ac:dyDescent="0.2">
      <c r="AF4611" s="12"/>
    </row>
    <row r="4612" spans="32:32" x14ac:dyDescent="0.2">
      <c r="AF4612" s="12"/>
    </row>
    <row r="4613" spans="32:32" x14ac:dyDescent="0.2">
      <c r="AF4613" s="12"/>
    </row>
    <row r="4614" spans="32:32" x14ac:dyDescent="0.2">
      <c r="AF4614" s="12"/>
    </row>
    <row r="4615" spans="32:32" x14ac:dyDescent="0.2">
      <c r="AF4615" s="12"/>
    </row>
    <row r="4616" spans="32:32" x14ac:dyDescent="0.2">
      <c r="AF4616" s="12"/>
    </row>
    <row r="4617" spans="32:32" x14ac:dyDescent="0.2">
      <c r="AF4617" s="12"/>
    </row>
    <row r="4618" spans="32:32" x14ac:dyDescent="0.2">
      <c r="AF4618" s="12"/>
    </row>
    <row r="4619" spans="32:32" x14ac:dyDescent="0.2">
      <c r="AF4619" s="12"/>
    </row>
    <row r="4620" spans="32:32" x14ac:dyDescent="0.2">
      <c r="AF4620" s="12"/>
    </row>
    <row r="4621" spans="32:32" x14ac:dyDescent="0.2">
      <c r="AF4621" s="12"/>
    </row>
    <row r="4622" spans="32:32" x14ac:dyDescent="0.2">
      <c r="AF4622" s="12"/>
    </row>
    <row r="4623" spans="32:32" x14ac:dyDescent="0.2">
      <c r="AF4623" s="12"/>
    </row>
    <row r="4624" spans="32:32" x14ac:dyDescent="0.2">
      <c r="AF4624" s="12"/>
    </row>
    <row r="4625" spans="32:32" x14ac:dyDescent="0.2">
      <c r="AF4625" s="12"/>
    </row>
    <row r="4626" spans="32:32" x14ac:dyDescent="0.2">
      <c r="AF4626" s="12"/>
    </row>
    <row r="4627" spans="32:32" x14ac:dyDescent="0.2">
      <c r="AF4627" s="12"/>
    </row>
    <row r="4628" spans="32:32" x14ac:dyDescent="0.2">
      <c r="AF4628" s="12"/>
    </row>
    <row r="4629" spans="32:32" x14ac:dyDescent="0.2">
      <c r="AF4629" s="12"/>
    </row>
    <row r="4630" spans="32:32" x14ac:dyDescent="0.2">
      <c r="AF4630" s="12"/>
    </row>
    <row r="4631" spans="32:32" x14ac:dyDescent="0.2">
      <c r="AF4631" s="12"/>
    </row>
    <row r="4632" spans="32:32" x14ac:dyDescent="0.2">
      <c r="AF4632" s="12"/>
    </row>
    <row r="4633" spans="32:32" x14ac:dyDescent="0.2">
      <c r="AF4633" s="12"/>
    </row>
    <row r="4634" spans="32:32" x14ac:dyDescent="0.2">
      <c r="AF4634" s="12"/>
    </row>
    <row r="4635" spans="32:32" x14ac:dyDescent="0.2">
      <c r="AF4635" s="12"/>
    </row>
    <row r="4636" spans="32:32" x14ac:dyDescent="0.2">
      <c r="AF4636" s="12"/>
    </row>
    <row r="4637" spans="32:32" x14ac:dyDescent="0.2">
      <c r="AF4637" s="12"/>
    </row>
    <row r="4638" spans="32:32" x14ac:dyDescent="0.2">
      <c r="AF4638" s="12"/>
    </row>
    <row r="4639" spans="32:32" x14ac:dyDescent="0.2">
      <c r="AF4639" s="12"/>
    </row>
    <row r="4640" spans="32:32" x14ac:dyDescent="0.2">
      <c r="AF4640" s="12"/>
    </row>
    <row r="4641" spans="32:32" x14ac:dyDescent="0.2">
      <c r="AF4641" s="12"/>
    </row>
    <row r="4642" spans="32:32" x14ac:dyDescent="0.2">
      <c r="AF4642" s="12"/>
    </row>
    <row r="4643" spans="32:32" x14ac:dyDescent="0.2">
      <c r="AF4643" s="12"/>
    </row>
    <row r="4644" spans="32:32" x14ac:dyDescent="0.2">
      <c r="AF4644" s="12"/>
    </row>
    <row r="4645" spans="32:32" x14ac:dyDescent="0.2">
      <c r="AF4645" s="12"/>
    </row>
    <row r="4646" spans="32:32" x14ac:dyDescent="0.2">
      <c r="AF4646" s="12"/>
    </row>
    <row r="4647" spans="32:32" x14ac:dyDescent="0.2">
      <c r="AF4647" s="12"/>
    </row>
    <row r="4648" spans="32:32" x14ac:dyDescent="0.2">
      <c r="AF4648" s="12"/>
    </row>
    <row r="4649" spans="32:32" x14ac:dyDescent="0.2">
      <c r="AF4649" s="12"/>
    </row>
    <row r="4650" spans="32:32" x14ac:dyDescent="0.2">
      <c r="AF4650" s="12"/>
    </row>
    <row r="4651" spans="32:32" x14ac:dyDescent="0.2">
      <c r="AF4651" s="12"/>
    </row>
    <row r="4652" spans="32:32" x14ac:dyDescent="0.2">
      <c r="AF4652" s="12"/>
    </row>
    <row r="4653" spans="32:32" x14ac:dyDescent="0.2">
      <c r="AF4653" s="12"/>
    </row>
    <row r="4654" spans="32:32" x14ac:dyDescent="0.2">
      <c r="AF4654" s="12"/>
    </row>
    <row r="4655" spans="32:32" x14ac:dyDescent="0.2">
      <c r="AF4655" s="12"/>
    </row>
    <row r="4656" spans="32:32" x14ac:dyDescent="0.2">
      <c r="AF4656" s="12"/>
    </row>
    <row r="4657" spans="32:32" x14ac:dyDescent="0.2">
      <c r="AF4657" s="12"/>
    </row>
    <row r="4658" spans="32:32" x14ac:dyDescent="0.2">
      <c r="AF4658" s="12"/>
    </row>
    <row r="4659" spans="32:32" x14ac:dyDescent="0.2">
      <c r="AF4659" s="12"/>
    </row>
    <row r="4660" spans="32:32" x14ac:dyDescent="0.2">
      <c r="AF4660" s="12"/>
    </row>
    <row r="4661" spans="32:32" x14ac:dyDescent="0.2">
      <c r="AF4661" s="12"/>
    </row>
    <row r="4662" spans="32:32" x14ac:dyDescent="0.2">
      <c r="AF4662" s="12"/>
    </row>
    <row r="4663" spans="32:32" x14ac:dyDescent="0.2">
      <c r="AF4663" s="12"/>
    </row>
    <row r="4664" spans="32:32" x14ac:dyDescent="0.2">
      <c r="AF4664" s="12"/>
    </row>
    <row r="4665" spans="32:32" x14ac:dyDescent="0.2">
      <c r="AF4665" s="12"/>
    </row>
    <row r="4666" spans="32:32" x14ac:dyDescent="0.2">
      <c r="AF4666" s="12"/>
    </row>
    <row r="4667" spans="32:32" x14ac:dyDescent="0.2">
      <c r="AF4667" s="12"/>
    </row>
    <row r="4668" spans="32:32" x14ac:dyDescent="0.2">
      <c r="AF4668" s="12"/>
    </row>
    <row r="4669" spans="32:32" x14ac:dyDescent="0.2">
      <c r="AF4669" s="12"/>
    </row>
    <row r="4670" spans="32:32" x14ac:dyDescent="0.2">
      <c r="AF4670" s="12"/>
    </row>
    <row r="4671" spans="32:32" x14ac:dyDescent="0.2">
      <c r="AF4671" s="12"/>
    </row>
    <row r="4672" spans="32:32" x14ac:dyDescent="0.2">
      <c r="AF4672" s="12"/>
    </row>
    <row r="4673" spans="32:32" x14ac:dyDescent="0.2">
      <c r="AF4673" s="12"/>
    </row>
    <row r="4674" spans="32:32" x14ac:dyDescent="0.2">
      <c r="AF4674" s="12"/>
    </row>
    <row r="4675" spans="32:32" x14ac:dyDescent="0.2">
      <c r="AF4675" s="12"/>
    </row>
    <row r="4676" spans="32:32" x14ac:dyDescent="0.2">
      <c r="AF4676" s="12"/>
    </row>
    <row r="4677" spans="32:32" x14ac:dyDescent="0.2">
      <c r="AF4677" s="12"/>
    </row>
    <row r="4678" spans="32:32" x14ac:dyDescent="0.2">
      <c r="AF4678" s="12"/>
    </row>
    <row r="4679" spans="32:32" x14ac:dyDescent="0.2">
      <c r="AF4679" s="12"/>
    </row>
    <row r="4680" spans="32:32" x14ac:dyDescent="0.2">
      <c r="AF4680" s="12"/>
    </row>
    <row r="4681" spans="32:32" x14ac:dyDescent="0.2">
      <c r="AF4681" s="12"/>
    </row>
    <row r="4682" spans="32:32" x14ac:dyDescent="0.2">
      <c r="AF4682" s="12"/>
    </row>
    <row r="4683" spans="32:32" x14ac:dyDescent="0.2">
      <c r="AF4683" s="12"/>
    </row>
    <row r="4684" spans="32:32" x14ac:dyDescent="0.2">
      <c r="AF4684" s="12"/>
    </row>
    <row r="4685" spans="32:32" x14ac:dyDescent="0.2">
      <c r="AF4685" s="12"/>
    </row>
    <row r="4686" spans="32:32" x14ac:dyDescent="0.2">
      <c r="AF4686" s="12"/>
    </row>
    <row r="4687" spans="32:32" x14ac:dyDescent="0.2">
      <c r="AF4687" s="12"/>
    </row>
    <row r="4688" spans="32:32" x14ac:dyDescent="0.2">
      <c r="AF4688" s="12"/>
    </row>
    <row r="4689" spans="32:32" x14ac:dyDescent="0.2">
      <c r="AF4689" s="12"/>
    </row>
    <row r="4690" spans="32:32" x14ac:dyDescent="0.2">
      <c r="AF4690" s="12"/>
    </row>
    <row r="4691" spans="32:32" x14ac:dyDescent="0.2">
      <c r="AF4691" s="12"/>
    </row>
    <row r="4692" spans="32:32" x14ac:dyDescent="0.2">
      <c r="AF4692" s="12"/>
    </row>
    <row r="4693" spans="32:32" x14ac:dyDescent="0.2">
      <c r="AF4693" s="12"/>
    </row>
    <row r="4694" spans="32:32" x14ac:dyDescent="0.2">
      <c r="AF4694" s="12"/>
    </row>
    <row r="4695" spans="32:32" x14ac:dyDescent="0.2">
      <c r="AF4695" s="12"/>
    </row>
    <row r="4696" spans="32:32" x14ac:dyDescent="0.2">
      <c r="AF4696" s="12"/>
    </row>
    <row r="4697" spans="32:32" x14ac:dyDescent="0.2">
      <c r="AF4697" s="12"/>
    </row>
    <row r="4698" spans="32:32" x14ac:dyDescent="0.2">
      <c r="AF4698" s="12"/>
    </row>
    <row r="4699" spans="32:32" x14ac:dyDescent="0.2">
      <c r="AF4699" s="12"/>
    </row>
    <row r="4700" spans="32:32" x14ac:dyDescent="0.2">
      <c r="AF4700" s="12"/>
    </row>
    <row r="4701" spans="32:32" x14ac:dyDescent="0.2">
      <c r="AF4701" s="12"/>
    </row>
    <row r="4702" spans="32:32" x14ac:dyDescent="0.2">
      <c r="AF4702" s="12"/>
    </row>
    <row r="4703" spans="32:32" x14ac:dyDescent="0.2">
      <c r="AF4703" s="12"/>
    </row>
    <row r="4704" spans="32:32" x14ac:dyDescent="0.2">
      <c r="AF4704" s="12"/>
    </row>
    <row r="4705" spans="32:32" x14ac:dyDescent="0.2">
      <c r="AF4705" s="12"/>
    </row>
    <row r="4706" spans="32:32" x14ac:dyDescent="0.2">
      <c r="AF4706" s="12"/>
    </row>
    <row r="4707" spans="32:32" x14ac:dyDescent="0.2">
      <c r="AF4707" s="12"/>
    </row>
    <row r="4708" spans="32:32" x14ac:dyDescent="0.2">
      <c r="AF4708" s="12"/>
    </row>
    <row r="4709" spans="32:32" x14ac:dyDescent="0.2">
      <c r="AF4709" s="12"/>
    </row>
    <row r="4710" spans="32:32" x14ac:dyDescent="0.2">
      <c r="AF4710" s="12"/>
    </row>
    <row r="4711" spans="32:32" x14ac:dyDescent="0.2">
      <c r="AF4711" s="12"/>
    </row>
    <row r="4712" spans="32:32" x14ac:dyDescent="0.2">
      <c r="AF4712" s="12"/>
    </row>
    <row r="4713" spans="32:32" x14ac:dyDescent="0.2">
      <c r="AF4713" s="12"/>
    </row>
    <row r="4714" spans="32:32" x14ac:dyDescent="0.2">
      <c r="AF4714" s="12"/>
    </row>
    <row r="4715" spans="32:32" x14ac:dyDescent="0.2">
      <c r="AF4715" s="12"/>
    </row>
    <row r="4716" spans="32:32" x14ac:dyDescent="0.2">
      <c r="AF4716" s="12"/>
    </row>
    <row r="4717" spans="32:32" x14ac:dyDescent="0.2">
      <c r="AF4717" s="12"/>
    </row>
    <row r="4718" spans="32:32" x14ac:dyDescent="0.2">
      <c r="AF4718" s="12"/>
    </row>
    <row r="4719" spans="32:32" x14ac:dyDescent="0.2">
      <c r="AF4719" s="12"/>
    </row>
    <row r="4720" spans="32:32" x14ac:dyDescent="0.2">
      <c r="AF4720" s="12"/>
    </row>
    <row r="4721" spans="32:32" x14ac:dyDescent="0.2">
      <c r="AF4721" s="12"/>
    </row>
    <row r="4722" spans="32:32" x14ac:dyDescent="0.2">
      <c r="AF4722" s="12"/>
    </row>
    <row r="4723" spans="32:32" x14ac:dyDescent="0.2">
      <c r="AF4723" s="12"/>
    </row>
    <row r="4724" spans="32:32" x14ac:dyDescent="0.2">
      <c r="AF4724" s="12"/>
    </row>
    <row r="4725" spans="32:32" x14ac:dyDescent="0.2">
      <c r="AF4725" s="12"/>
    </row>
    <row r="4726" spans="32:32" x14ac:dyDescent="0.2">
      <c r="AF4726" s="12"/>
    </row>
    <row r="4727" spans="32:32" x14ac:dyDescent="0.2">
      <c r="AF4727" s="12"/>
    </row>
    <row r="4728" spans="32:32" x14ac:dyDescent="0.2">
      <c r="AF4728" s="12"/>
    </row>
    <row r="4729" spans="32:32" x14ac:dyDescent="0.2">
      <c r="AF4729" s="12"/>
    </row>
    <row r="4730" spans="32:32" x14ac:dyDescent="0.2">
      <c r="AF4730" s="12"/>
    </row>
    <row r="4731" spans="32:32" x14ac:dyDescent="0.2">
      <c r="AF4731" s="12"/>
    </row>
    <row r="4732" spans="32:32" x14ac:dyDescent="0.2">
      <c r="AF4732" s="12"/>
    </row>
    <row r="4733" spans="32:32" x14ac:dyDescent="0.2">
      <c r="AF4733" s="12"/>
    </row>
    <row r="4734" spans="32:32" x14ac:dyDescent="0.2">
      <c r="AF4734" s="12"/>
    </row>
    <row r="4735" spans="32:32" x14ac:dyDescent="0.2">
      <c r="AF4735" s="12"/>
    </row>
    <row r="4736" spans="32:32" x14ac:dyDescent="0.2">
      <c r="AF4736" s="12"/>
    </row>
    <row r="4737" spans="32:32" x14ac:dyDescent="0.2">
      <c r="AF4737" s="12"/>
    </row>
    <row r="4738" spans="32:32" x14ac:dyDescent="0.2">
      <c r="AF4738" s="12"/>
    </row>
    <row r="4739" spans="32:32" x14ac:dyDescent="0.2">
      <c r="AF4739" s="12"/>
    </row>
    <row r="4740" spans="32:32" x14ac:dyDescent="0.2">
      <c r="AF4740" s="12"/>
    </row>
    <row r="4741" spans="32:32" x14ac:dyDescent="0.2">
      <c r="AF4741" s="12"/>
    </row>
    <row r="4742" spans="32:32" x14ac:dyDescent="0.2">
      <c r="AF4742" s="12"/>
    </row>
    <row r="4743" spans="32:32" x14ac:dyDescent="0.2">
      <c r="AF4743" s="12"/>
    </row>
    <row r="4744" spans="32:32" x14ac:dyDescent="0.2">
      <c r="AF4744" s="12"/>
    </row>
    <row r="4745" spans="32:32" x14ac:dyDescent="0.2">
      <c r="AF4745" s="12"/>
    </row>
    <row r="4746" spans="32:32" x14ac:dyDescent="0.2">
      <c r="AF4746" s="12"/>
    </row>
    <row r="4747" spans="32:32" x14ac:dyDescent="0.2">
      <c r="AF4747" s="12"/>
    </row>
    <row r="4748" spans="32:32" x14ac:dyDescent="0.2">
      <c r="AF4748" s="12"/>
    </row>
    <row r="4749" spans="32:32" x14ac:dyDescent="0.2">
      <c r="AF4749" s="12"/>
    </row>
    <row r="4750" spans="32:32" x14ac:dyDescent="0.2">
      <c r="AF4750" s="12"/>
    </row>
    <row r="4751" spans="32:32" x14ac:dyDescent="0.2">
      <c r="AF4751" s="12"/>
    </row>
    <row r="4752" spans="32:32" x14ac:dyDescent="0.2">
      <c r="AF4752" s="12"/>
    </row>
    <row r="4753" spans="32:32" x14ac:dyDescent="0.2">
      <c r="AF4753" s="12"/>
    </row>
    <row r="4754" spans="32:32" x14ac:dyDescent="0.2">
      <c r="AF4754" s="12"/>
    </row>
    <row r="4755" spans="32:32" x14ac:dyDescent="0.2">
      <c r="AF4755" s="12"/>
    </row>
    <row r="4756" spans="32:32" x14ac:dyDescent="0.2">
      <c r="AF4756" s="12"/>
    </row>
    <row r="4757" spans="32:32" x14ac:dyDescent="0.2">
      <c r="AF4757" s="12"/>
    </row>
    <row r="4758" spans="32:32" x14ac:dyDescent="0.2">
      <c r="AF4758" s="12"/>
    </row>
    <row r="4759" spans="32:32" x14ac:dyDescent="0.2">
      <c r="AF4759" s="12"/>
    </row>
    <row r="4760" spans="32:32" x14ac:dyDescent="0.2">
      <c r="AF4760" s="12"/>
    </row>
    <row r="4761" spans="32:32" x14ac:dyDescent="0.2">
      <c r="AF4761" s="12"/>
    </row>
    <row r="4762" spans="32:32" x14ac:dyDescent="0.2">
      <c r="AF4762" s="12"/>
    </row>
    <row r="4763" spans="32:32" x14ac:dyDescent="0.2">
      <c r="AF4763" s="12"/>
    </row>
    <row r="4764" spans="32:32" x14ac:dyDescent="0.2">
      <c r="AF4764" s="12"/>
    </row>
    <row r="4765" spans="32:32" x14ac:dyDescent="0.2">
      <c r="AF4765" s="12"/>
    </row>
    <row r="4766" spans="32:32" x14ac:dyDescent="0.2">
      <c r="AF4766" s="12"/>
    </row>
    <row r="4767" spans="32:32" x14ac:dyDescent="0.2">
      <c r="AF4767" s="12"/>
    </row>
    <row r="4768" spans="32:32" x14ac:dyDescent="0.2">
      <c r="AF4768" s="12"/>
    </row>
    <row r="4769" spans="32:32" x14ac:dyDescent="0.2">
      <c r="AF4769" s="12"/>
    </row>
    <row r="4770" spans="32:32" x14ac:dyDescent="0.2">
      <c r="AF4770" s="12"/>
    </row>
    <row r="4771" spans="32:32" x14ac:dyDescent="0.2">
      <c r="AF4771" s="12"/>
    </row>
    <row r="4772" spans="32:32" x14ac:dyDescent="0.2">
      <c r="AF4772" s="12"/>
    </row>
    <row r="4773" spans="32:32" x14ac:dyDescent="0.2">
      <c r="AF4773" s="12"/>
    </row>
    <row r="4774" spans="32:32" x14ac:dyDescent="0.2">
      <c r="AF4774" s="12"/>
    </row>
    <row r="4775" spans="32:32" x14ac:dyDescent="0.2">
      <c r="AF4775" s="12"/>
    </row>
    <row r="4776" spans="32:32" x14ac:dyDescent="0.2">
      <c r="AF4776" s="12"/>
    </row>
    <row r="4777" spans="32:32" x14ac:dyDescent="0.2">
      <c r="AF4777" s="12"/>
    </row>
    <row r="4778" spans="32:32" x14ac:dyDescent="0.2">
      <c r="AF4778" s="12"/>
    </row>
    <row r="4779" spans="32:32" x14ac:dyDescent="0.2">
      <c r="AF4779" s="12"/>
    </row>
    <row r="4780" spans="32:32" x14ac:dyDescent="0.2">
      <c r="AF4780" s="12"/>
    </row>
    <row r="4781" spans="32:32" x14ac:dyDescent="0.2">
      <c r="AF4781" s="12"/>
    </row>
    <row r="4782" spans="32:32" x14ac:dyDescent="0.2">
      <c r="AF4782" s="12"/>
    </row>
    <row r="4783" spans="32:32" x14ac:dyDescent="0.2">
      <c r="AF4783" s="12"/>
    </row>
    <row r="4784" spans="32:32" x14ac:dyDescent="0.2">
      <c r="AF4784" s="12"/>
    </row>
    <row r="4785" spans="32:32" x14ac:dyDescent="0.2">
      <c r="AF4785" s="12"/>
    </row>
    <row r="4786" spans="32:32" x14ac:dyDescent="0.2">
      <c r="AF4786" s="12"/>
    </row>
    <row r="4787" spans="32:32" x14ac:dyDescent="0.2">
      <c r="AF4787" s="12"/>
    </row>
    <row r="4788" spans="32:32" x14ac:dyDescent="0.2">
      <c r="AF4788" s="12"/>
    </row>
    <row r="4789" spans="32:32" x14ac:dyDescent="0.2">
      <c r="AF4789" s="12"/>
    </row>
    <row r="4790" spans="32:32" x14ac:dyDescent="0.2">
      <c r="AF4790" s="12"/>
    </row>
    <row r="4791" spans="32:32" x14ac:dyDescent="0.2">
      <c r="AF4791" s="12"/>
    </row>
    <row r="4792" spans="32:32" x14ac:dyDescent="0.2">
      <c r="AF4792" s="12"/>
    </row>
    <row r="4793" spans="32:32" x14ac:dyDescent="0.2">
      <c r="AF4793" s="12"/>
    </row>
    <row r="4794" spans="32:32" x14ac:dyDescent="0.2">
      <c r="AF4794" s="12"/>
    </row>
    <row r="4795" spans="32:32" x14ac:dyDescent="0.2">
      <c r="AF4795" s="12"/>
    </row>
    <row r="4796" spans="32:32" x14ac:dyDescent="0.2">
      <c r="AF4796" s="12"/>
    </row>
    <row r="4797" spans="32:32" x14ac:dyDescent="0.2">
      <c r="AF4797" s="12"/>
    </row>
    <row r="4798" spans="32:32" x14ac:dyDescent="0.2">
      <c r="AF4798" s="12"/>
    </row>
    <row r="4799" spans="32:32" x14ac:dyDescent="0.2">
      <c r="AF4799" s="12"/>
    </row>
    <row r="4800" spans="32:32" x14ac:dyDescent="0.2">
      <c r="AF4800" s="12"/>
    </row>
    <row r="4801" spans="32:32" x14ac:dyDescent="0.2">
      <c r="AF4801" s="12"/>
    </row>
    <row r="4802" spans="32:32" x14ac:dyDescent="0.2">
      <c r="AF4802" s="12"/>
    </row>
    <row r="4803" spans="32:32" x14ac:dyDescent="0.2">
      <c r="AF4803" s="12"/>
    </row>
    <row r="4804" spans="32:32" x14ac:dyDescent="0.2">
      <c r="AF4804" s="12"/>
    </row>
    <row r="4805" spans="32:32" x14ac:dyDescent="0.2">
      <c r="AF4805" s="12"/>
    </row>
    <row r="4806" spans="32:32" x14ac:dyDescent="0.2">
      <c r="AF4806" s="12"/>
    </row>
    <row r="4807" spans="32:32" x14ac:dyDescent="0.2">
      <c r="AF4807" s="12"/>
    </row>
    <row r="4808" spans="32:32" x14ac:dyDescent="0.2">
      <c r="AF4808" s="12"/>
    </row>
    <row r="4809" spans="32:32" x14ac:dyDescent="0.2">
      <c r="AF4809" s="12"/>
    </row>
    <row r="4810" spans="32:32" x14ac:dyDescent="0.2">
      <c r="AF4810" s="12"/>
    </row>
    <row r="4811" spans="32:32" x14ac:dyDescent="0.2">
      <c r="AF4811" s="12"/>
    </row>
    <row r="4812" spans="32:32" x14ac:dyDescent="0.2">
      <c r="AF4812" s="12"/>
    </row>
    <row r="4813" spans="32:32" x14ac:dyDescent="0.2">
      <c r="AF4813" s="12"/>
    </row>
    <row r="4814" spans="32:32" x14ac:dyDescent="0.2">
      <c r="AF4814" s="12"/>
    </row>
    <row r="4815" spans="32:32" x14ac:dyDescent="0.2">
      <c r="AF4815" s="12"/>
    </row>
    <row r="4816" spans="32:32" x14ac:dyDescent="0.2">
      <c r="AF4816" s="12"/>
    </row>
    <row r="4817" spans="32:32" x14ac:dyDescent="0.2">
      <c r="AF4817" s="12"/>
    </row>
    <row r="4818" spans="32:32" x14ac:dyDescent="0.2">
      <c r="AF4818" s="12"/>
    </row>
    <row r="4819" spans="32:32" x14ac:dyDescent="0.2">
      <c r="AF4819" s="12"/>
    </row>
    <row r="4820" spans="32:32" x14ac:dyDescent="0.2">
      <c r="AF4820" s="12"/>
    </row>
    <row r="4821" spans="32:32" x14ac:dyDescent="0.2">
      <c r="AF4821" s="12"/>
    </row>
    <row r="4822" spans="32:32" x14ac:dyDescent="0.2">
      <c r="AF4822" s="12"/>
    </row>
    <row r="4823" spans="32:32" x14ac:dyDescent="0.2">
      <c r="AF4823" s="12"/>
    </row>
    <row r="4824" spans="32:32" x14ac:dyDescent="0.2">
      <c r="AF4824" s="12"/>
    </row>
    <row r="4825" spans="32:32" x14ac:dyDescent="0.2">
      <c r="AF4825" s="12"/>
    </row>
    <row r="4826" spans="32:32" x14ac:dyDescent="0.2">
      <c r="AF4826" s="12"/>
    </row>
    <row r="4827" spans="32:32" x14ac:dyDescent="0.2">
      <c r="AF4827" s="12"/>
    </row>
    <row r="4828" spans="32:32" x14ac:dyDescent="0.2">
      <c r="AF4828" s="12"/>
    </row>
    <row r="4829" spans="32:32" x14ac:dyDescent="0.2">
      <c r="AF4829" s="12"/>
    </row>
    <row r="4830" spans="32:32" x14ac:dyDescent="0.2">
      <c r="AF4830" s="12"/>
    </row>
    <row r="4831" spans="32:32" x14ac:dyDescent="0.2">
      <c r="AF4831" s="12"/>
    </row>
    <row r="4832" spans="32:32" x14ac:dyDescent="0.2">
      <c r="AF4832" s="12"/>
    </row>
    <row r="4833" spans="32:32" x14ac:dyDescent="0.2">
      <c r="AF4833" s="12"/>
    </row>
    <row r="4834" spans="32:32" x14ac:dyDescent="0.2">
      <c r="AF4834" s="12"/>
    </row>
    <row r="4835" spans="32:32" x14ac:dyDescent="0.2">
      <c r="AF4835" s="12"/>
    </row>
    <row r="4836" spans="32:32" x14ac:dyDescent="0.2">
      <c r="AF4836" s="12"/>
    </row>
    <row r="4837" spans="32:32" x14ac:dyDescent="0.2">
      <c r="AF4837" s="12"/>
    </row>
    <row r="4838" spans="32:32" x14ac:dyDescent="0.2">
      <c r="AF4838" s="12"/>
    </row>
    <row r="4839" spans="32:32" x14ac:dyDescent="0.2">
      <c r="AF4839" s="12"/>
    </row>
    <row r="4840" spans="32:32" x14ac:dyDescent="0.2">
      <c r="AF4840" s="12"/>
    </row>
    <row r="4841" spans="32:32" x14ac:dyDescent="0.2">
      <c r="AF4841" s="12"/>
    </row>
    <row r="4842" spans="32:32" x14ac:dyDescent="0.2">
      <c r="AF4842" s="12"/>
    </row>
    <row r="4843" spans="32:32" x14ac:dyDescent="0.2">
      <c r="AF4843" s="12"/>
    </row>
    <row r="4844" spans="32:32" x14ac:dyDescent="0.2">
      <c r="AF4844" s="12"/>
    </row>
    <row r="4845" spans="32:32" x14ac:dyDescent="0.2">
      <c r="AF4845" s="12"/>
    </row>
    <row r="4846" spans="32:32" x14ac:dyDescent="0.2">
      <c r="AF4846" s="12"/>
    </row>
    <row r="4847" spans="32:32" x14ac:dyDescent="0.2">
      <c r="AF4847" s="12"/>
    </row>
    <row r="4848" spans="32:32" x14ac:dyDescent="0.2">
      <c r="AF4848" s="12"/>
    </row>
    <row r="4849" spans="32:32" x14ac:dyDescent="0.2">
      <c r="AF4849" s="12"/>
    </row>
    <row r="4850" spans="32:32" x14ac:dyDescent="0.2">
      <c r="AF4850" s="12"/>
    </row>
    <row r="4851" spans="32:32" x14ac:dyDescent="0.2">
      <c r="AF4851" s="12"/>
    </row>
    <row r="4852" spans="32:32" x14ac:dyDescent="0.2">
      <c r="AF4852" s="12"/>
    </row>
    <row r="4853" spans="32:32" x14ac:dyDescent="0.2">
      <c r="AF4853" s="12"/>
    </row>
    <row r="4854" spans="32:32" x14ac:dyDescent="0.2">
      <c r="AF4854" s="12"/>
    </row>
    <row r="4855" spans="32:32" x14ac:dyDescent="0.2">
      <c r="AF4855" s="12"/>
    </row>
    <row r="4856" spans="32:32" x14ac:dyDescent="0.2">
      <c r="AF4856" s="12"/>
    </row>
    <row r="4857" spans="32:32" x14ac:dyDescent="0.2">
      <c r="AF4857" s="12"/>
    </row>
    <row r="4858" spans="32:32" x14ac:dyDescent="0.2">
      <c r="AF4858" s="12"/>
    </row>
    <row r="4859" spans="32:32" x14ac:dyDescent="0.2">
      <c r="AF4859" s="12"/>
    </row>
    <row r="4860" spans="32:32" x14ac:dyDescent="0.2">
      <c r="AF4860" s="12"/>
    </row>
    <row r="4861" spans="32:32" x14ac:dyDescent="0.2">
      <c r="AF4861" s="12"/>
    </row>
    <row r="4862" spans="32:32" x14ac:dyDescent="0.2">
      <c r="AF4862" s="12"/>
    </row>
    <row r="4863" spans="32:32" x14ac:dyDescent="0.2">
      <c r="AF4863" s="12"/>
    </row>
    <row r="4864" spans="32:32" x14ac:dyDescent="0.2">
      <c r="AF4864" s="12"/>
    </row>
    <row r="4865" spans="32:32" x14ac:dyDescent="0.2">
      <c r="AF4865" s="12"/>
    </row>
    <row r="4866" spans="32:32" x14ac:dyDescent="0.2">
      <c r="AF4866" s="12"/>
    </row>
    <row r="4867" spans="32:32" x14ac:dyDescent="0.2">
      <c r="AF4867" s="12"/>
    </row>
    <row r="4868" spans="32:32" x14ac:dyDescent="0.2">
      <c r="AF4868" s="12"/>
    </row>
    <row r="4869" spans="32:32" x14ac:dyDescent="0.2">
      <c r="AF4869" s="12"/>
    </row>
    <row r="4870" spans="32:32" x14ac:dyDescent="0.2">
      <c r="AF4870" s="12"/>
    </row>
    <row r="4871" spans="32:32" x14ac:dyDescent="0.2">
      <c r="AF4871" s="12"/>
    </row>
    <row r="4872" spans="32:32" x14ac:dyDescent="0.2">
      <c r="AF4872" s="12"/>
    </row>
    <row r="4873" spans="32:32" x14ac:dyDescent="0.2">
      <c r="AF4873" s="12"/>
    </row>
    <row r="4874" spans="32:32" x14ac:dyDescent="0.2">
      <c r="AF4874" s="12"/>
    </row>
    <row r="4875" spans="32:32" x14ac:dyDescent="0.2">
      <c r="AF4875" s="12"/>
    </row>
    <row r="4876" spans="32:32" x14ac:dyDescent="0.2">
      <c r="AF4876" s="12"/>
    </row>
    <row r="4877" spans="32:32" x14ac:dyDescent="0.2">
      <c r="AF4877" s="12"/>
    </row>
    <row r="4878" spans="32:32" x14ac:dyDescent="0.2">
      <c r="AF4878" s="12"/>
    </row>
    <row r="4879" spans="32:32" x14ac:dyDescent="0.2">
      <c r="AF4879" s="12"/>
    </row>
    <row r="4880" spans="32:32" x14ac:dyDescent="0.2">
      <c r="AF4880" s="12"/>
    </row>
    <row r="4881" spans="32:32" x14ac:dyDescent="0.2">
      <c r="AF4881" s="12"/>
    </row>
    <row r="4882" spans="32:32" x14ac:dyDescent="0.2">
      <c r="AF4882" s="12"/>
    </row>
    <row r="4883" spans="32:32" x14ac:dyDescent="0.2">
      <c r="AF4883" s="12"/>
    </row>
    <row r="4884" spans="32:32" x14ac:dyDescent="0.2">
      <c r="AF4884" s="12"/>
    </row>
    <row r="4885" spans="32:32" x14ac:dyDescent="0.2">
      <c r="AF4885" s="12"/>
    </row>
    <row r="4886" spans="32:32" x14ac:dyDescent="0.2">
      <c r="AF4886" s="12"/>
    </row>
    <row r="4887" spans="32:32" x14ac:dyDescent="0.2">
      <c r="AF4887" s="12"/>
    </row>
    <row r="4888" spans="32:32" x14ac:dyDescent="0.2">
      <c r="AF4888" s="12"/>
    </row>
    <row r="4889" spans="32:32" x14ac:dyDescent="0.2">
      <c r="AF4889" s="12"/>
    </row>
    <row r="4890" spans="32:32" x14ac:dyDescent="0.2">
      <c r="AF4890" s="12"/>
    </row>
    <row r="4891" spans="32:32" x14ac:dyDescent="0.2">
      <c r="AF4891" s="12"/>
    </row>
    <row r="4892" spans="32:32" x14ac:dyDescent="0.2">
      <c r="AF4892" s="12"/>
    </row>
    <row r="4893" spans="32:32" x14ac:dyDescent="0.2">
      <c r="AF4893" s="12"/>
    </row>
    <row r="4894" spans="32:32" x14ac:dyDescent="0.2">
      <c r="AF4894" s="12"/>
    </row>
    <row r="4895" spans="32:32" x14ac:dyDescent="0.2">
      <c r="AF4895" s="12"/>
    </row>
    <row r="4896" spans="32:32" x14ac:dyDescent="0.2">
      <c r="AF4896" s="12"/>
    </row>
    <row r="4897" spans="32:32" x14ac:dyDescent="0.2">
      <c r="AF4897" s="12"/>
    </row>
    <row r="4898" spans="32:32" x14ac:dyDescent="0.2">
      <c r="AF4898" s="12"/>
    </row>
    <row r="4899" spans="32:32" x14ac:dyDescent="0.2">
      <c r="AF4899" s="12"/>
    </row>
    <row r="4900" spans="32:32" x14ac:dyDescent="0.2">
      <c r="AF4900" s="12"/>
    </row>
    <row r="4901" spans="32:32" x14ac:dyDescent="0.2">
      <c r="AF4901" s="12"/>
    </row>
    <row r="4902" spans="32:32" x14ac:dyDescent="0.2">
      <c r="AF4902" s="12"/>
    </row>
    <row r="4903" spans="32:32" x14ac:dyDescent="0.2">
      <c r="AF4903" s="12"/>
    </row>
    <row r="4904" spans="32:32" x14ac:dyDescent="0.2">
      <c r="AF4904" s="12"/>
    </row>
    <row r="4905" spans="32:32" x14ac:dyDescent="0.2">
      <c r="AF4905" s="12"/>
    </row>
    <row r="4906" spans="32:32" x14ac:dyDescent="0.2">
      <c r="AF4906" s="12"/>
    </row>
    <row r="4907" spans="32:32" x14ac:dyDescent="0.2">
      <c r="AF4907" s="12"/>
    </row>
    <row r="4908" spans="32:32" x14ac:dyDescent="0.2">
      <c r="AF4908" s="12"/>
    </row>
    <row r="4909" spans="32:32" x14ac:dyDescent="0.2">
      <c r="AF4909" s="12"/>
    </row>
    <row r="4910" spans="32:32" x14ac:dyDescent="0.2">
      <c r="AF4910" s="12"/>
    </row>
    <row r="4911" spans="32:32" x14ac:dyDescent="0.2">
      <c r="AF4911" s="12"/>
    </row>
    <row r="4912" spans="32:32" x14ac:dyDescent="0.2">
      <c r="AF4912" s="12"/>
    </row>
    <row r="4913" spans="32:32" x14ac:dyDescent="0.2">
      <c r="AF4913" s="12"/>
    </row>
    <row r="4914" spans="32:32" x14ac:dyDescent="0.2">
      <c r="AF4914" s="12"/>
    </row>
    <row r="4915" spans="32:32" x14ac:dyDescent="0.2">
      <c r="AF4915" s="12"/>
    </row>
    <row r="4916" spans="32:32" x14ac:dyDescent="0.2">
      <c r="AF4916" s="12"/>
    </row>
    <row r="4917" spans="32:32" x14ac:dyDescent="0.2">
      <c r="AF4917" s="12"/>
    </row>
    <row r="4918" spans="32:32" x14ac:dyDescent="0.2">
      <c r="AF4918" s="12"/>
    </row>
    <row r="4919" spans="32:32" x14ac:dyDescent="0.2">
      <c r="AF4919" s="12"/>
    </row>
    <row r="4920" spans="32:32" x14ac:dyDescent="0.2">
      <c r="AF4920" s="12"/>
    </row>
    <row r="4921" spans="32:32" x14ac:dyDescent="0.2">
      <c r="AF4921" s="12"/>
    </row>
    <row r="4922" spans="32:32" x14ac:dyDescent="0.2">
      <c r="AF4922" s="12"/>
    </row>
    <row r="4923" spans="32:32" x14ac:dyDescent="0.2">
      <c r="AF4923" s="12"/>
    </row>
    <row r="4924" spans="32:32" x14ac:dyDescent="0.2">
      <c r="AF4924" s="12"/>
    </row>
    <row r="4925" spans="32:32" x14ac:dyDescent="0.2">
      <c r="AF4925" s="12"/>
    </row>
    <row r="4926" spans="32:32" x14ac:dyDescent="0.2">
      <c r="AF4926" s="12"/>
    </row>
    <row r="4927" spans="32:32" x14ac:dyDescent="0.2">
      <c r="AF4927" s="12"/>
    </row>
    <row r="4928" spans="32:32" x14ac:dyDescent="0.2">
      <c r="AF4928" s="12"/>
    </row>
    <row r="4929" spans="32:32" x14ac:dyDescent="0.2">
      <c r="AF4929" s="12"/>
    </row>
    <row r="4930" spans="32:32" x14ac:dyDescent="0.2">
      <c r="AF4930" s="12"/>
    </row>
    <row r="4931" spans="32:32" x14ac:dyDescent="0.2">
      <c r="AF4931" s="12"/>
    </row>
    <row r="4932" spans="32:32" x14ac:dyDescent="0.2">
      <c r="AF4932" s="12"/>
    </row>
    <row r="4933" spans="32:32" x14ac:dyDescent="0.2">
      <c r="AF4933" s="12"/>
    </row>
    <row r="4934" spans="32:32" x14ac:dyDescent="0.2">
      <c r="AF4934" s="12"/>
    </row>
    <row r="4935" spans="32:32" x14ac:dyDescent="0.2">
      <c r="AF4935" s="12"/>
    </row>
    <row r="4936" spans="32:32" x14ac:dyDescent="0.2">
      <c r="AF4936" s="12"/>
    </row>
    <row r="4937" spans="32:32" x14ac:dyDescent="0.2">
      <c r="AF4937" s="12"/>
    </row>
    <row r="4938" spans="32:32" x14ac:dyDescent="0.2">
      <c r="AF4938" s="12"/>
    </row>
    <row r="4939" spans="32:32" x14ac:dyDescent="0.2">
      <c r="AF4939" s="12"/>
    </row>
    <row r="4940" spans="32:32" x14ac:dyDescent="0.2">
      <c r="AF4940" s="12"/>
    </row>
    <row r="4941" spans="32:32" x14ac:dyDescent="0.2">
      <c r="AF4941" s="12"/>
    </row>
    <row r="4942" spans="32:32" x14ac:dyDescent="0.2">
      <c r="AF4942" s="12"/>
    </row>
    <row r="4943" spans="32:32" x14ac:dyDescent="0.2">
      <c r="AF4943" s="12"/>
    </row>
    <row r="4944" spans="32:32" x14ac:dyDescent="0.2">
      <c r="AF4944" s="12"/>
    </row>
    <row r="4945" spans="32:32" x14ac:dyDescent="0.2">
      <c r="AF4945" s="12"/>
    </row>
    <row r="4946" spans="32:32" x14ac:dyDescent="0.2">
      <c r="AF4946" s="12"/>
    </row>
    <row r="4947" spans="32:32" x14ac:dyDescent="0.2">
      <c r="AF4947" s="12"/>
    </row>
    <row r="4948" spans="32:32" x14ac:dyDescent="0.2">
      <c r="AF4948" s="12"/>
    </row>
    <row r="4949" spans="32:32" x14ac:dyDescent="0.2">
      <c r="AF4949" s="12"/>
    </row>
    <row r="4950" spans="32:32" x14ac:dyDescent="0.2">
      <c r="AF4950" s="12"/>
    </row>
    <row r="4951" spans="32:32" x14ac:dyDescent="0.2">
      <c r="AF4951" s="12"/>
    </row>
    <row r="4952" spans="32:32" x14ac:dyDescent="0.2">
      <c r="AF4952" s="12"/>
    </row>
    <row r="4953" spans="32:32" x14ac:dyDescent="0.2">
      <c r="AF4953" s="12"/>
    </row>
    <row r="4954" spans="32:32" x14ac:dyDescent="0.2">
      <c r="AF4954" s="12"/>
    </row>
    <row r="4955" spans="32:32" x14ac:dyDescent="0.2">
      <c r="AF4955" s="12"/>
    </row>
    <row r="4956" spans="32:32" x14ac:dyDescent="0.2">
      <c r="AF4956" s="12"/>
    </row>
    <row r="4957" spans="32:32" x14ac:dyDescent="0.2">
      <c r="AF4957" s="12"/>
    </row>
    <row r="4958" spans="32:32" x14ac:dyDescent="0.2">
      <c r="AF4958" s="12"/>
    </row>
    <row r="4959" spans="32:32" x14ac:dyDescent="0.2">
      <c r="AF4959" s="12"/>
    </row>
    <row r="4960" spans="32:32" x14ac:dyDescent="0.2">
      <c r="AF4960" s="12"/>
    </row>
    <row r="4961" spans="32:32" x14ac:dyDescent="0.2">
      <c r="AF4961" s="12"/>
    </row>
    <row r="4962" spans="32:32" x14ac:dyDescent="0.2">
      <c r="AF4962" s="12"/>
    </row>
    <row r="4963" spans="32:32" x14ac:dyDescent="0.2">
      <c r="AF4963" s="12"/>
    </row>
    <row r="4964" spans="32:32" x14ac:dyDescent="0.2">
      <c r="AF4964" s="12"/>
    </row>
    <row r="4965" spans="32:32" x14ac:dyDescent="0.2">
      <c r="AF4965" s="12"/>
    </row>
    <row r="4966" spans="32:32" x14ac:dyDescent="0.2">
      <c r="AF4966" s="12"/>
    </row>
    <row r="4967" spans="32:32" x14ac:dyDescent="0.2">
      <c r="AF4967" s="12"/>
    </row>
    <row r="4968" spans="32:32" x14ac:dyDescent="0.2">
      <c r="AF4968" s="12"/>
    </row>
    <row r="4969" spans="32:32" x14ac:dyDescent="0.2">
      <c r="AF4969" s="12"/>
    </row>
    <row r="4970" spans="32:32" x14ac:dyDescent="0.2">
      <c r="AF4970" s="12"/>
    </row>
    <row r="4971" spans="32:32" x14ac:dyDescent="0.2">
      <c r="AF4971" s="12"/>
    </row>
    <row r="4972" spans="32:32" x14ac:dyDescent="0.2">
      <c r="AF4972" s="12"/>
    </row>
    <row r="4973" spans="32:32" x14ac:dyDescent="0.2">
      <c r="AF4973" s="12"/>
    </row>
    <row r="4974" spans="32:32" x14ac:dyDescent="0.2">
      <c r="AF4974" s="12"/>
    </row>
    <row r="4975" spans="32:32" x14ac:dyDescent="0.2">
      <c r="AF4975" s="12"/>
    </row>
    <row r="4976" spans="32:32" x14ac:dyDescent="0.2">
      <c r="AF4976" s="12"/>
    </row>
    <row r="4977" spans="32:32" x14ac:dyDescent="0.2">
      <c r="AF4977" s="12"/>
    </row>
    <row r="4978" spans="32:32" x14ac:dyDescent="0.2">
      <c r="AF4978" s="12"/>
    </row>
    <row r="4979" spans="32:32" x14ac:dyDescent="0.2">
      <c r="AF4979" s="12"/>
    </row>
    <row r="4980" spans="32:32" x14ac:dyDescent="0.2">
      <c r="AF4980" s="12"/>
    </row>
    <row r="4981" spans="32:32" x14ac:dyDescent="0.2">
      <c r="AF4981" s="12"/>
    </row>
    <row r="4982" spans="32:32" x14ac:dyDescent="0.2">
      <c r="AF4982" s="12"/>
    </row>
    <row r="4983" spans="32:32" x14ac:dyDescent="0.2">
      <c r="AF4983" s="12"/>
    </row>
    <row r="4984" spans="32:32" x14ac:dyDescent="0.2">
      <c r="AF4984" s="12"/>
    </row>
    <row r="4985" spans="32:32" x14ac:dyDescent="0.2">
      <c r="AF4985" s="12"/>
    </row>
    <row r="4986" spans="32:32" x14ac:dyDescent="0.2">
      <c r="AF4986" s="12"/>
    </row>
    <row r="4987" spans="32:32" x14ac:dyDescent="0.2">
      <c r="AF4987" s="12"/>
    </row>
    <row r="4988" spans="32:32" x14ac:dyDescent="0.2">
      <c r="AF4988" s="12"/>
    </row>
    <row r="4989" spans="32:32" x14ac:dyDescent="0.2">
      <c r="AF4989" s="12"/>
    </row>
    <row r="4990" spans="32:32" x14ac:dyDescent="0.2">
      <c r="AF4990" s="12"/>
    </row>
    <row r="4991" spans="32:32" x14ac:dyDescent="0.2">
      <c r="AF4991" s="12"/>
    </row>
    <row r="4992" spans="32:32" x14ac:dyDescent="0.2">
      <c r="AF4992" s="12"/>
    </row>
    <row r="4993" spans="32:32" x14ac:dyDescent="0.2">
      <c r="AF4993" s="12"/>
    </row>
    <row r="4994" spans="32:32" x14ac:dyDescent="0.2">
      <c r="AF4994" s="12"/>
    </row>
    <row r="4995" spans="32:32" x14ac:dyDescent="0.2">
      <c r="AF4995" s="12"/>
    </row>
    <row r="4996" spans="32:32" x14ac:dyDescent="0.2">
      <c r="AF4996" s="12"/>
    </row>
    <row r="4997" spans="32:32" x14ac:dyDescent="0.2">
      <c r="AF4997" s="12"/>
    </row>
    <row r="4998" spans="32:32" x14ac:dyDescent="0.2">
      <c r="AF4998" s="12"/>
    </row>
    <row r="4999" spans="32:32" x14ac:dyDescent="0.2">
      <c r="AF4999" s="12"/>
    </row>
    <row r="5000" spans="32:32" x14ac:dyDescent="0.2">
      <c r="AF5000" s="12"/>
    </row>
    <row r="5001" spans="32:32" x14ac:dyDescent="0.2">
      <c r="AF5001" s="12"/>
    </row>
    <row r="5002" spans="32:32" x14ac:dyDescent="0.2">
      <c r="AF5002" s="12"/>
    </row>
    <row r="5003" spans="32:32" x14ac:dyDescent="0.2">
      <c r="AF5003" s="12"/>
    </row>
    <row r="5004" spans="32:32" x14ac:dyDescent="0.2">
      <c r="AF5004" s="12"/>
    </row>
    <row r="5005" spans="32:32" x14ac:dyDescent="0.2">
      <c r="AF5005" s="12"/>
    </row>
    <row r="5006" spans="32:32" x14ac:dyDescent="0.2">
      <c r="AF5006" s="12"/>
    </row>
    <row r="5007" spans="32:32" x14ac:dyDescent="0.2">
      <c r="AF5007" s="12"/>
    </row>
    <row r="5008" spans="32:32" x14ac:dyDescent="0.2">
      <c r="AF5008" s="12"/>
    </row>
    <row r="5009" spans="32:32" x14ac:dyDescent="0.2">
      <c r="AF5009" s="12"/>
    </row>
    <row r="5010" spans="32:32" x14ac:dyDescent="0.2">
      <c r="AF5010" s="12"/>
    </row>
    <row r="5011" spans="32:32" x14ac:dyDescent="0.2">
      <c r="AF5011" s="12"/>
    </row>
    <row r="5012" spans="32:32" x14ac:dyDescent="0.2">
      <c r="AF5012" s="12"/>
    </row>
    <row r="5013" spans="32:32" x14ac:dyDescent="0.2">
      <c r="AF5013" s="12"/>
    </row>
    <row r="5014" spans="32:32" x14ac:dyDescent="0.2">
      <c r="AF5014" s="12"/>
    </row>
    <row r="5015" spans="32:32" x14ac:dyDescent="0.2">
      <c r="AF5015" s="12"/>
    </row>
    <row r="5016" spans="32:32" x14ac:dyDescent="0.2">
      <c r="AF5016" s="12"/>
    </row>
    <row r="5017" spans="32:32" x14ac:dyDescent="0.2">
      <c r="AF5017" s="12"/>
    </row>
    <row r="5018" spans="32:32" x14ac:dyDescent="0.2">
      <c r="AF5018" s="12"/>
    </row>
    <row r="5019" spans="32:32" x14ac:dyDescent="0.2">
      <c r="AF5019" s="12"/>
    </row>
    <row r="5020" spans="32:32" x14ac:dyDescent="0.2">
      <c r="AF5020" s="12"/>
    </row>
    <row r="5021" spans="32:32" x14ac:dyDescent="0.2">
      <c r="AF5021" s="12"/>
    </row>
    <row r="5022" spans="32:32" x14ac:dyDescent="0.2">
      <c r="AF5022" s="12"/>
    </row>
    <row r="5023" spans="32:32" x14ac:dyDescent="0.2">
      <c r="AF5023" s="12"/>
    </row>
    <row r="5024" spans="32:32" x14ac:dyDescent="0.2">
      <c r="AF5024" s="12"/>
    </row>
    <row r="5025" spans="32:32" x14ac:dyDescent="0.2">
      <c r="AF5025" s="12"/>
    </row>
    <row r="5026" spans="32:32" x14ac:dyDescent="0.2">
      <c r="AF5026" s="12"/>
    </row>
    <row r="5027" spans="32:32" x14ac:dyDescent="0.2">
      <c r="AF5027" s="12"/>
    </row>
    <row r="5028" spans="32:32" x14ac:dyDescent="0.2">
      <c r="AF5028" s="12"/>
    </row>
    <row r="5029" spans="32:32" x14ac:dyDescent="0.2">
      <c r="AF5029" s="12"/>
    </row>
    <row r="5030" spans="32:32" x14ac:dyDescent="0.2">
      <c r="AF5030" s="12"/>
    </row>
    <row r="5031" spans="32:32" x14ac:dyDescent="0.2">
      <c r="AF5031" s="12"/>
    </row>
    <row r="5032" spans="32:32" x14ac:dyDescent="0.2">
      <c r="AF5032" s="12"/>
    </row>
    <row r="5033" spans="32:32" x14ac:dyDescent="0.2">
      <c r="AF5033" s="12"/>
    </row>
    <row r="5034" spans="32:32" x14ac:dyDescent="0.2">
      <c r="AF5034" s="12"/>
    </row>
    <row r="5035" spans="32:32" x14ac:dyDescent="0.2">
      <c r="AF5035" s="12"/>
    </row>
    <row r="5036" spans="32:32" x14ac:dyDescent="0.2">
      <c r="AF5036" s="12"/>
    </row>
    <row r="5037" spans="32:32" x14ac:dyDescent="0.2">
      <c r="AF5037" s="12"/>
    </row>
    <row r="5038" spans="32:32" x14ac:dyDescent="0.2">
      <c r="AF5038" s="12"/>
    </row>
    <row r="5039" spans="32:32" x14ac:dyDescent="0.2">
      <c r="AF5039" s="12"/>
    </row>
    <row r="5040" spans="32:32" x14ac:dyDescent="0.2">
      <c r="AF5040" s="12"/>
    </row>
    <row r="5041" spans="32:32" x14ac:dyDescent="0.2">
      <c r="AF5041" s="12"/>
    </row>
    <row r="5042" spans="32:32" x14ac:dyDescent="0.2">
      <c r="AF5042" s="12"/>
    </row>
    <row r="5043" spans="32:32" x14ac:dyDescent="0.2">
      <c r="AF5043" s="12"/>
    </row>
    <row r="5044" spans="32:32" x14ac:dyDescent="0.2">
      <c r="AF5044" s="12"/>
    </row>
    <row r="5045" spans="32:32" x14ac:dyDescent="0.2">
      <c r="AF5045" s="12"/>
    </row>
    <row r="5046" spans="32:32" x14ac:dyDescent="0.2">
      <c r="AF5046" s="12"/>
    </row>
    <row r="5047" spans="32:32" x14ac:dyDescent="0.2">
      <c r="AF5047" s="12"/>
    </row>
    <row r="5048" spans="32:32" x14ac:dyDescent="0.2">
      <c r="AF5048" s="12"/>
    </row>
    <row r="5049" spans="32:32" x14ac:dyDescent="0.2">
      <c r="AF5049" s="12"/>
    </row>
    <row r="5050" spans="32:32" x14ac:dyDescent="0.2">
      <c r="AF5050" s="12"/>
    </row>
    <row r="5051" spans="32:32" x14ac:dyDescent="0.2">
      <c r="AF5051" s="12"/>
    </row>
    <row r="5052" spans="32:32" x14ac:dyDescent="0.2">
      <c r="AF5052" s="12"/>
    </row>
    <row r="5053" spans="32:32" x14ac:dyDescent="0.2">
      <c r="AF5053" s="12"/>
    </row>
    <row r="5054" spans="32:32" x14ac:dyDescent="0.2">
      <c r="AF5054" s="12"/>
    </row>
    <row r="5055" spans="32:32" x14ac:dyDescent="0.2">
      <c r="AF5055" s="12"/>
    </row>
    <row r="5056" spans="32:32" x14ac:dyDescent="0.2">
      <c r="AF5056" s="12"/>
    </row>
    <row r="5057" spans="32:32" x14ac:dyDescent="0.2">
      <c r="AF5057" s="12"/>
    </row>
    <row r="5058" spans="32:32" x14ac:dyDescent="0.2">
      <c r="AF5058" s="12"/>
    </row>
    <row r="5059" spans="32:32" x14ac:dyDescent="0.2">
      <c r="AF5059" s="12"/>
    </row>
    <row r="5060" spans="32:32" x14ac:dyDescent="0.2">
      <c r="AF5060" s="12"/>
    </row>
    <row r="5061" spans="32:32" x14ac:dyDescent="0.2">
      <c r="AF5061" s="12"/>
    </row>
    <row r="5062" spans="32:32" x14ac:dyDescent="0.2">
      <c r="AF5062" s="12"/>
    </row>
    <row r="5063" spans="32:32" x14ac:dyDescent="0.2">
      <c r="AF5063" s="12"/>
    </row>
    <row r="5064" spans="32:32" x14ac:dyDescent="0.2">
      <c r="AF5064" s="12"/>
    </row>
    <row r="5065" spans="32:32" x14ac:dyDescent="0.2">
      <c r="AF5065" s="12"/>
    </row>
    <row r="5066" spans="32:32" x14ac:dyDescent="0.2">
      <c r="AF5066" s="12"/>
    </row>
    <row r="5067" spans="32:32" x14ac:dyDescent="0.2">
      <c r="AF5067" s="12"/>
    </row>
    <row r="5068" spans="32:32" x14ac:dyDescent="0.2">
      <c r="AF5068" s="12"/>
    </row>
    <row r="5069" spans="32:32" x14ac:dyDescent="0.2">
      <c r="AF5069" s="12"/>
    </row>
    <row r="5070" spans="32:32" x14ac:dyDescent="0.2">
      <c r="AF5070" s="12"/>
    </row>
    <row r="5071" spans="32:32" x14ac:dyDescent="0.2">
      <c r="AF5071" s="12"/>
    </row>
    <row r="5072" spans="32:32" x14ac:dyDescent="0.2">
      <c r="AF5072" s="12"/>
    </row>
    <row r="5073" spans="32:32" x14ac:dyDescent="0.2">
      <c r="AF5073" s="12"/>
    </row>
    <row r="5074" spans="32:32" x14ac:dyDescent="0.2">
      <c r="AF5074" s="12"/>
    </row>
    <row r="5075" spans="32:32" x14ac:dyDescent="0.2">
      <c r="AF5075" s="12"/>
    </row>
    <row r="5076" spans="32:32" x14ac:dyDescent="0.2">
      <c r="AF5076" s="12"/>
    </row>
    <row r="5077" spans="32:32" x14ac:dyDescent="0.2">
      <c r="AF5077" s="12"/>
    </row>
    <row r="5078" spans="32:32" x14ac:dyDescent="0.2">
      <c r="AF5078" s="12"/>
    </row>
    <row r="5079" spans="32:32" x14ac:dyDescent="0.2">
      <c r="AF5079" s="12"/>
    </row>
    <row r="5080" spans="32:32" x14ac:dyDescent="0.2">
      <c r="AF5080" s="12"/>
    </row>
    <row r="5081" spans="32:32" x14ac:dyDescent="0.2">
      <c r="AF5081" s="12"/>
    </row>
    <row r="5082" spans="32:32" x14ac:dyDescent="0.2">
      <c r="AF5082" s="12"/>
    </row>
    <row r="5083" spans="32:32" x14ac:dyDescent="0.2">
      <c r="AF5083" s="12"/>
    </row>
    <row r="5084" spans="32:32" x14ac:dyDescent="0.2">
      <c r="AF5084" s="12"/>
    </row>
    <row r="5085" spans="32:32" x14ac:dyDescent="0.2">
      <c r="AF5085" s="12"/>
    </row>
    <row r="5086" spans="32:32" x14ac:dyDescent="0.2">
      <c r="AF5086" s="12"/>
    </row>
    <row r="5087" spans="32:32" x14ac:dyDescent="0.2">
      <c r="AF5087" s="12"/>
    </row>
    <row r="5088" spans="32:32" x14ac:dyDescent="0.2">
      <c r="AF5088" s="12"/>
    </row>
    <row r="5089" spans="32:32" x14ac:dyDescent="0.2">
      <c r="AF5089" s="12"/>
    </row>
    <row r="5090" spans="32:32" x14ac:dyDescent="0.2">
      <c r="AF5090" s="12"/>
    </row>
    <row r="5091" spans="32:32" x14ac:dyDescent="0.2">
      <c r="AF5091" s="12"/>
    </row>
    <row r="5092" spans="32:32" x14ac:dyDescent="0.2">
      <c r="AF5092" s="12"/>
    </row>
    <row r="5093" spans="32:32" x14ac:dyDescent="0.2">
      <c r="AF5093" s="12"/>
    </row>
    <row r="5094" spans="32:32" x14ac:dyDescent="0.2">
      <c r="AF5094" s="12"/>
    </row>
    <row r="5095" spans="32:32" x14ac:dyDescent="0.2">
      <c r="AF5095" s="12"/>
    </row>
    <row r="5096" spans="32:32" x14ac:dyDescent="0.2">
      <c r="AF5096" s="12"/>
    </row>
    <row r="5097" spans="32:32" x14ac:dyDescent="0.2">
      <c r="AF5097" s="12"/>
    </row>
    <row r="5098" spans="32:32" x14ac:dyDescent="0.2">
      <c r="AF5098" s="12"/>
    </row>
    <row r="5099" spans="32:32" x14ac:dyDescent="0.2">
      <c r="AF5099" s="12"/>
    </row>
    <row r="5100" spans="32:32" x14ac:dyDescent="0.2">
      <c r="AF5100" s="12"/>
    </row>
    <row r="5101" spans="32:32" x14ac:dyDescent="0.2">
      <c r="AF5101" s="12"/>
    </row>
    <row r="5102" spans="32:32" x14ac:dyDescent="0.2">
      <c r="AF5102" s="12"/>
    </row>
    <row r="5103" spans="32:32" x14ac:dyDescent="0.2">
      <c r="AF5103" s="12"/>
    </row>
    <row r="5104" spans="32:32" x14ac:dyDescent="0.2">
      <c r="AF5104" s="12"/>
    </row>
    <row r="5105" spans="32:32" x14ac:dyDescent="0.2">
      <c r="AF5105" s="12"/>
    </row>
    <row r="5106" spans="32:32" x14ac:dyDescent="0.2">
      <c r="AF5106" s="12"/>
    </row>
    <row r="5107" spans="32:32" x14ac:dyDescent="0.2">
      <c r="AF5107" s="12"/>
    </row>
    <row r="5108" spans="32:32" x14ac:dyDescent="0.2">
      <c r="AF5108" s="12"/>
    </row>
    <row r="5109" spans="32:32" x14ac:dyDescent="0.2">
      <c r="AF5109" s="12"/>
    </row>
    <row r="5110" spans="32:32" x14ac:dyDescent="0.2">
      <c r="AF5110" s="12"/>
    </row>
    <row r="5111" spans="32:32" x14ac:dyDescent="0.2">
      <c r="AF5111" s="12"/>
    </row>
    <row r="5112" spans="32:32" x14ac:dyDescent="0.2">
      <c r="AF5112" s="12"/>
    </row>
    <row r="5113" spans="32:32" x14ac:dyDescent="0.2">
      <c r="AF5113" s="12"/>
    </row>
    <row r="5114" spans="32:32" x14ac:dyDescent="0.2">
      <c r="AF5114" s="12"/>
    </row>
    <row r="5115" spans="32:32" x14ac:dyDescent="0.2">
      <c r="AF5115" s="12"/>
    </row>
    <row r="5116" spans="32:32" x14ac:dyDescent="0.2">
      <c r="AF5116" s="12"/>
    </row>
    <row r="5117" spans="32:32" x14ac:dyDescent="0.2">
      <c r="AF5117" s="12"/>
    </row>
    <row r="5118" spans="32:32" x14ac:dyDescent="0.2">
      <c r="AF5118" s="12"/>
    </row>
    <row r="5119" spans="32:32" x14ac:dyDescent="0.2">
      <c r="AF5119" s="12"/>
    </row>
    <row r="5120" spans="32:32" x14ac:dyDescent="0.2">
      <c r="AF5120" s="12"/>
    </row>
    <row r="5121" spans="32:32" x14ac:dyDescent="0.2">
      <c r="AF5121" s="12"/>
    </row>
    <row r="5122" spans="32:32" x14ac:dyDescent="0.2">
      <c r="AF5122" s="12"/>
    </row>
    <row r="5123" spans="32:32" x14ac:dyDescent="0.2">
      <c r="AF5123" s="12"/>
    </row>
    <row r="5124" spans="32:32" x14ac:dyDescent="0.2">
      <c r="AF5124" s="12"/>
    </row>
    <row r="5125" spans="32:32" x14ac:dyDescent="0.2">
      <c r="AF5125" s="12"/>
    </row>
    <row r="5126" spans="32:32" x14ac:dyDescent="0.2">
      <c r="AF5126" s="12"/>
    </row>
    <row r="5127" spans="32:32" x14ac:dyDescent="0.2">
      <c r="AF5127" s="12"/>
    </row>
    <row r="5128" spans="32:32" x14ac:dyDescent="0.2">
      <c r="AF5128" s="12"/>
    </row>
    <row r="5129" spans="32:32" x14ac:dyDescent="0.2">
      <c r="AF5129" s="12"/>
    </row>
    <row r="5130" spans="32:32" x14ac:dyDescent="0.2">
      <c r="AF5130" s="12"/>
    </row>
    <row r="5131" spans="32:32" x14ac:dyDescent="0.2">
      <c r="AF5131" s="12"/>
    </row>
    <row r="5132" spans="32:32" x14ac:dyDescent="0.2">
      <c r="AF5132" s="12"/>
    </row>
    <row r="5133" spans="32:32" x14ac:dyDescent="0.2">
      <c r="AF5133" s="12"/>
    </row>
    <row r="5134" spans="32:32" x14ac:dyDescent="0.2">
      <c r="AF5134" s="12"/>
    </row>
    <row r="5135" spans="32:32" x14ac:dyDescent="0.2">
      <c r="AF5135" s="12"/>
    </row>
    <row r="5136" spans="32:32" x14ac:dyDescent="0.2">
      <c r="AF5136" s="12"/>
    </row>
    <row r="5137" spans="32:32" x14ac:dyDescent="0.2">
      <c r="AF5137" s="12"/>
    </row>
    <row r="5138" spans="32:32" x14ac:dyDescent="0.2">
      <c r="AF5138" s="12"/>
    </row>
    <row r="5139" spans="32:32" x14ac:dyDescent="0.2">
      <c r="AF5139" s="12"/>
    </row>
    <row r="5140" spans="32:32" x14ac:dyDescent="0.2">
      <c r="AF5140" s="12"/>
    </row>
    <row r="5141" spans="32:32" x14ac:dyDescent="0.2">
      <c r="AF5141" s="12"/>
    </row>
    <row r="5142" spans="32:32" x14ac:dyDescent="0.2">
      <c r="AF5142" s="12"/>
    </row>
    <row r="5143" spans="32:32" x14ac:dyDescent="0.2">
      <c r="AF5143" s="12"/>
    </row>
    <row r="5144" spans="32:32" x14ac:dyDescent="0.2">
      <c r="AF5144" s="12"/>
    </row>
    <row r="5145" spans="32:32" x14ac:dyDescent="0.2">
      <c r="AF5145" s="12"/>
    </row>
    <row r="5146" spans="32:32" x14ac:dyDescent="0.2">
      <c r="AF5146" s="12"/>
    </row>
    <row r="5147" spans="32:32" x14ac:dyDescent="0.2">
      <c r="AF5147" s="12"/>
    </row>
    <row r="5148" spans="32:32" x14ac:dyDescent="0.2">
      <c r="AF5148" s="12"/>
    </row>
    <row r="5149" spans="32:32" x14ac:dyDescent="0.2">
      <c r="AF5149" s="12"/>
    </row>
    <row r="5150" spans="32:32" x14ac:dyDescent="0.2">
      <c r="AF5150" s="12"/>
    </row>
    <row r="5151" spans="32:32" x14ac:dyDescent="0.2">
      <c r="AF5151" s="12"/>
    </row>
    <row r="5152" spans="32:32" x14ac:dyDescent="0.2">
      <c r="AF5152" s="12"/>
    </row>
    <row r="5153" spans="32:32" x14ac:dyDescent="0.2">
      <c r="AF5153" s="12"/>
    </row>
    <row r="5154" spans="32:32" x14ac:dyDescent="0.2">
      <c r="AF5154" s="12"/>
    </row>
    <row r="5155" spans="32:32" x14ac:dyDescent="0.2">
      <c r="AF5155" s="12"/>
    </row>
    <row r="5156" spans="32:32" x14ac:dyDescent="0.2">
      <c r="AF5156" s="12"/>
    </row>
    <row r="5157" spans="32:32" x14ac:dyDescent="0.2">
      <c r="AF5157" s="12"/>
    </row>
    <row r="5158" spans="32:32" x14ac:dyDescent="0.2">
      <c r="AF5158" s="12"/>
    </row>
    <row r="5159" spans="32:32" x14ac:dyDescent="0.2">
      <c r="AF5159" s="12"/>
    </row>
    <row r="5160" spans="32:32" x14ac:dyDescent="0.2">
      <c r="AF5160" s="12"/>
    </row>
    <row r="5161" spans="32:32" x14ac:dyDescent="0.2">
      <c r="AF5161" s="12"/>
    </row>
    <row r="5162" spans="32:32" x14ac:dyDescent="0.2">
      <c r="AF5162" s="12"/>
    </row>
    <row r="5163" spans="32:32" x14ac:dyDescent="0.2">
      <c r="AF5163" s="12"/>
    </row>
    <row r="5164" spans="32:32" x14ac:dyDescent="0.2">
      <c r="AF5164" s="12"/>
    </row>
    <row r="5165" spans="32:32" x14ac:dyDescent="0.2">
      <c r="AF5165" s="12"/>
    </row>
    <row r="5166" spans="32:32" x14ac:dyDescent="0.2">
      <c r="AF5166" s="12"/>
    </row>
    <row r="5167" spans="32:32" x14ac:dyDescent="0.2">
      <c r="AF5167" s="12"/>
    </row>
    <row r="5168" spans="32:32" x14ac:dyDescent="0.2">
      <c r="AF5168" s="12"/>
    </row>
    <row r="5169" spans="32:32" x14ac:dyDescent="0.2">
      <c r="AF5169" s="12"/>
    </row>
    <row r="5170" spans="32:32" x14ac:dyDescent="0.2">
      <c r="AF5170" s="12"/>
    </row>
    <row r="5171" spans="32:32" x14ac:dyDescent="0.2">
      <c r="AF5171" s="12"/>
    </row>
    <row r="5172" spans="32:32" x14ac:dyDescent="0.2">
      <c r="AF5172" s="12"/>
    </row>
    <row r="5173" spans="32:32" x14ac:dyDescent="0.2">
      <c r="AF5173" s="12"/>
    </row>
    <row r="5174" spans="32:32" x14ac:dyDescent="0.2">
      <c r="AF5174" s="12"/>
    </row>
    <row r="5175" spans="32:32" x14ac:dyDescent="0.2">
      <c r="AF5175" s="12"/>
    </row>
    <row r="5176" spans="32:32" x14ac:dyDescent="0.2">
      <c r="AF5176" s="12"/>
    </row>
    <row r="5177" spans="32:32" x14ac:dyDescent="0.2">
      <c r="AF5177" s="12"/>
    </row>
    <row r="5178" spans="32:32" x14ac:dyDescent="0.2">
      <c r="AF5178" s="12"/>
    </row>
    <row r="5179" spans="32:32" x14ac:dyDescent="0.2">
      <c r="AF5179" s="12"/>
    </row>
    <row r="5180" spans="32:32" x14ac:dyDescent="0.2">
      <c r="AF5180" s="12"/>
    </row>
    <row r="5181" spans="32:32" x14ac:dyDescent="0.2">
      <c r="AF5181" s="12"/>
    </row>
    <row r="5182" spans="32:32" x14ac:dyDescent="0.2">
      <c r="AF5182" s="12"/>
    </row>
    <row r="5183" spans="32:32" x14ac:dyDescent="0.2">
      <c r="AF5183" s="12"/>
    </row>
    <row r="5184" spans="32:32" x14ac:dyDescent="0.2">
      <c r="AF5184" s="12"/>
    </row>
    <row r="5185" spans="32:32" x14ac:dyDescent="0.2">
      <c r="AF5185" s="12"/>
    </row>
    <row r="5186" spans="32:32" x14ac:dyDescent="0.2">
      <c r="AF5186" s="12"/>
    </row>
    <row r="5187" spans="32:32" x14ac:dyDescent="0.2">
      <c r="AF5187" s="12"/>
    </row>
    <row r="5188" spans="32:32" x14ac:dyDescent="0.2">
      <c r="AF5188" s="12"/>
    </row>
    <row r="5189" spans="32:32" x14ac:dyDescent="0.2">
      <c r="AF5189" s="12"/>
    </row>
    <row r="5190" spans="32:32" x14ac:dyDescent="0.2">
      <c r="AF5190" s="12"/>
    </row>
    <row r="5191" spans="32:32" x14ac:dyDescent="0.2">
      <c r="AF5191" s="12"/>
    </row>
    <row r="5192" spans="32:32" x14ac:dyDescent="0.2">
      <c r="AF5192" s="12"/>
    </row>
    <row r="5193" spans="32:32" x14ac:dyDescent="0.2">
      <c r="AF5193" s="12"/>
    </row>
    <row r="5194" spans="32:32" x14ac:dyDescent="0.2">
      <c r="AF5194" s="12"/>
    </row>
    <row r="5195" spans="32:32" x14ac:dyDescent="0.2">
      <c r="AF5195" s="12"/>
    </row>
    <row r="5196" spans="32:32" x14ac:dyDescent="0.2">
      <c r="AF5196" s="12"/>
    </row>
    <row r="5197" spans="32:32" x14ac:dyDescent="0.2">
      <c r="AF5197" s="12"/>
    </row>
    <row r="5198" spans="32:32" x14ac:dyDescent="0.2">
      <c r="AF5198" s="12"/>
    </row>
    <row r="5199" spans="32:32" x14ac:dyDescent="0.2">
      <c r="AF5199" s="12"/>
    </row>
    <row r="5200" spans="32:32" x14ac:dyDescent="0.2">
      <c r="AF5200" s="12"/>
    </row>
    <row r="5201" spans="32:32" x14ac:dyDescent="0.2">
      <c r="AF5201" s="12"/>
    </row>
    <row r="5202" spans="32:32" x14ac:dyDescent="0.2">
      <c r="AF5202" s="12"/>
    </row>
    <row r="5203" spans="32:32" x14ac:dyDescent="0.2">
      <c r="AF5203" s="12"/>
    </row>
    <row r="5204" spans="32:32" x14ac:dyDescent="0.2">
      <c r="AF5204" s="12"/>
    </row>
    <row r="5205" spans="32:32" x14ac:dyDescent="0.2">
      <c r="AF5205" s="12"/>
    </row>
    <row r="5206" spans="32:32" x14ac:dyDescent="0.2">
      <c r="AF5206" s="12"/>
    </row>
    <row r="5207" spans="32:32" x14ac:dyDescent="0.2">
      <c r="AF5207" s="12"/>
    </row>
    <row r="5208" spans="32:32" x14ac:dyDescent="0.2">
      <c r="AF5208" s="12"/>
    </row>
    <row r="5209" spans="32:32" x14ac:dyDescent="0.2">
      <c r="AF5209" s="12"/>
    </row>
    <row r="5210" spans="32:32" x14ac:dyDescent="0.2">
      <c r="AF5210" s="12"/>
    </row>
    <row r="5211" spans="32:32" x14ac:dyDescent="0.2">
      <c r="AF5211" s="12"/>
    </row>
    <row r="5212" spans="32:32" x14ac:dyDescent="0.2">
      <c r="AF5212" s="12"/>
    </row>
    <row r="5213" spans="32:32" x14ac:dyDescent="0.2">
      <c r="AF5213" s="12"/>
    </row>
    <row r="5214" spans="32:32" x14ac:dyDescent="0.2">
      <c r="AF5214" s="12"/>
    </row>
    <row r="5215" spans="32:32" x14ac:dyDescent="0.2">
      <c r="AF5215" s="12"/>
    </row>
    <row r="5216" spans="32:32" x14ac:dyDescent="0.2">
      <c r="AF5216" s="12"/>
    </row>
    <row r="5217" spans="32:32" x14ac:dyDescent="0.2">
      <c r="AF5217" s="12"/>
    </row>
    <row r="5218" spans="32:32" x14ac:dyDescent="0.2">
      <c r="AF5218" s="12"/>
    </row>
    <row r="5219" spans="32:32" x14ac:dyDescent="0.2">
      <c r="AF5219" s="12"/>
    </row>
    <row r="5220" spans="32:32" x14ac:dyDescent="0.2">
      <c r="AF5220" s="12"/>
    </row>
    <row r="5221" spans="32:32" x14ac:dyDescent="0.2">
      <c r="AF5221" s="12"/>
    </row>
    <row r="5222" spans="32:32" x14ac:dyDescent="0.2">
      <c r="AF5222" s="12"/>
    </row>
    <row r="5223" spans="32:32" x14ac:dyDescent="0.2">
      <c r="AF5223" s="12"/>
    </row>
    <row r="5224" spans="32:32" x14ac:dyDescent="0.2">
      <c r="AF5224" s="12"/>
    </row>
    <row r="5225" spans="32:32" x14ac:dyDescent="0.2">
      <c r="AF5225" s="12"/>
    </row>
    <row r="5226" spans="32:32" x14ac:dyDescent="0.2">
      <c r="AF5226" s="12"/>
    </row>
    <row r="5227" spans="32:32" x14ac:dyDescent="0.2">
      <c r="AF5227" s="12"/>
    </row>
    <row r="5228" spans="32:32" x14ac:dyDescent="0.2">
      <c r="AF5228" s="12"/>
    </row>
    <row r="5229" spans="32:32" x14ac:dyDescent="0.2">
      <c r="AF5229" s="12"/>
    </row>
    <row r="5230" spans="32:32" x14ac:dyDescent="0.2">
      <c r="AF5230" s="12"/>
    </row>
    <row r="5231" spans="32:32" x14ac:dyDescent="0.2">
      <c r="AF5231" s="12"/>
    </row>
    <row r="5232" spans="32:32" x14ac:dyDescent="0.2">
      <c r="AF5232" s="12"/>
    </row>
    <row r="5233" spans="32:32" x14ac:dyDescent="0.2">
      <c r="AF5233" s="12"/>
    </row>
    <row r="5234" spans="32:32" x14ac:dyDescent="0.2">
      <c r="AF5234" s="12"/>
    </row>
    <row r="5235" spans="32:32" x14ac:dyDescent="0.2">
      <c r="AF5235" s="12"/>
    </row>
    <row r="5236" spans="32:32" x14ac:dyDescent="0.2">
      <c r="AF5236" s="12"/>
    </row>
    <row r="5237" spans="32:32" x14ac:dyDescent="0.2">
      <c r="AF5237" s="12"/>
    </row>
    <row r="5238" spans="32:32" x14ac:dyDescent="0.2">
      <c r="AF5238" s="12"/>
    </row>
    <row r="5239" spans="32:32" x14ac:dyDescent="0.2">
      <c r="AF5239" s="12"/>
    </row>
    <row r="5240" spans="32:32" x14ac:dyDescent="0.2">
      <c r="AF5240" s="12"/>
    </row>
    <row r="5241" spans="32:32" x14ac:dyDescent="0.2">
      <c r="AF5241" s="12"/>
    </row>
    <row r="5242" spans="32:32" x14ac:dyDescent="0.2">
      <c r="AF5242" s="12"/>
    </row>
    <row r="5243" spans="32:32" x14ac:dyDescent="0.2">
      <c r="AF5243" s="12"/>
    </row>
    <row r="5244" spans="32:32" x14ac:dyDescent="0.2">
      <c r="AF5244" s="12"/>
    </row>
    <row r="5245" spans="32:32" x14ac:dyDescent="0.2">
      <c r="AF5245" s="12"/>
    </row>
    <row r="5246" spans="32:32" x14ac:dyDescent="0.2">
      <c r="AF5246" s="12"/>
    </row>
    <row r="5247" spans="32:32" x14ac:dyDescent="0.2">
      <c r="AF5247" s="12"/>
    </row>
    <row r="5248" spans="32:32" x14ac:dyDescent="0.2">
      <c r="AF5248" s="12"/>
    </row>
    <row r="5249" spans="32:32" x14ac:dyDescent="0.2">
      <c r="AF5249" s="12"/>
    </row>
    <row r="5250" spans="32:32" x14ac:dyDescent="0.2">
      <c r="AF5250" s="12"/>
    </row>
    <row r="5251" spans="32:32" x14ac:dyDescent="0.2">
      <c r="AF5251" s="12"/>
    </row>
    <row r="5252" spans="32:32" x14ac:dyDescent="0.2">
      <c r="AF5252" s="12"/>
    </row>
    <row r="5253" spans="32:32" x14ac:dyDescent="0.2">
      <c r="AF5253" s="12"/>
    </row>
    <row r="5254" spans="32:32" x14ac:dyDescent="0.2">
      <c r="AF5254" s="12"/>
    </row>
    <row r="5255" spans="32:32" x14ac:dyDescent="0.2">
      <c r="AF5255" s="12"/>
    </row>
    <row r="5256" spans="32:32" x14ac:dyDescent="0.2">
      <c r="AF5256" s="12"/>
    </row>
    <row r="5257" spans="32:32" x14ac:dyDescent="0.2">
      <c r="AF5257" s="12"/>
    </row>
    <row r="5258" spans="32:32" x14ac:dyDescent="0.2">
      <c r="AF5258" s="12"/>
    </row>
    <row r="5259" spans="32:32" x14ac:dyDescent="0.2">
      <c r="AF5259" s="12"/>
    </row>
    <row r="5260" spans="32:32" x14ac:dyDescent="0.2">
      <c r="AF5260" s="12"/>
    </row>
    <row r="5261" spans="32:32" x14ac:dyDescent="0.2">
      <c r="AF5261" s="12"/>
    </row>
    <row r="5262" spans="32:32" x14ac:dyDescent="0.2">
      <c r="AF5262" s="12"/>
    </row>
    <row r="5263" spans="32:32" x14ac:dyDescent="0.2">
      <c r="AF5263" s="12"/>
    </row>
    <row r="5264" spans="32:32" x14ac:dyDescent="0.2">
      <c r="AF5264" s="12"/>
    </row>
    <row r="5265" spans="32:32" x14ac:dyDescent="0.2">
      <c r="AF5265" s="12"/>
    </row>
    <row r="5266" spans="32:32" x14ac:dyDescent="0.2">
      <c r="AF5266" s="12"/>
    </row>
    <row r="5267" spans="32:32" x14ac:dyDescent="0.2">
      <c r="AF5267" s="12"/>
    </row>
    <row r="5268" spans="32:32" x14ac:dyDescent="0.2">
      <c r="AF5268" s="12"/>
    </row>
    <row r="5269" spans="32:32" x14ac:dyDescent="0.2">
      <c r="AF5269" s="12"/>
    </row>
    <row r="5270" spans="32:32" x14ac:dyDescent="0.2">
      <c r="AF5270" s="12"/>
    </row>
    <row r="5271" spans="32:32" x14ac:dyDescent="0.2">
      <c r="AF5271" s="12"/>
    </row>
    <row r="5272" spans="32:32" x14ac:dyDescent="0.2">
      <c r="AF5272" s="12"/>
    </row>
    <row r="5273" spans="32:32" x14ac:dyDescent="0.2">
      <c r="AF5273" s="12"/>
    </row>
    <row r="5274" spans="32:32" x14ac:dyDescent="0.2">
      <c r="AF5274" s="12"/>
    </row>
    <row r="5275" spans="32:32" x14ac:dyDescent="0.2">
      <c r="AF5275" s="12"/>
    </row>
    <row r="5276" spans="32:32" x14ac:dyDescent="0.2">
      <c r="AF5276" s="12"/>
    </row>
    <row r="5277" spans="32:32" x14ac:dyDescent="0.2">
      <c r="AF5277" s="12"/>
    </row>
    <row r="5278" spans="32:32" x14ac:dyDescent="0.2">
      <c r="AF5278" s="12"/>
    </row>
    <row r="5279" spans="32:32" x14ac:dyDescent="0.2">
      <c r="AF5279" s="12"/>
    </row>
    <row r="5280" spans="32:32" x14ac:dyDescent="0.2">
      <c r="AF5280" s="12"/>
    </row>
    <row r="5281" spans="32:32" x14ac:dyDescent="0.2">
      <c r="AF5281" s="12"/>
    </row>
    <row r="5282" spans="32:32" x14ac:dyDescent="0.2">
      <c r="AF5282" s="12"/>
    </row>
    <row r="5283" spans="32:32" x14ac:dyDescent="0.2">
      <c r="AF5283" s="12"/>
    </row>
    <row r="5284" spans="32:32" x14ac:dyDescent="0.2">
      <c r="AF5284" s="12"/>
    </row>
    <row r="5285" spans="32:32" x14ac:dyDescent="0.2">
      <c r="AF5285" s="12"/>
    </row>
    <row r="5286" spans="32:32" x14ac:dyDescent="0.2">
      <c r="AF5286" s="12"/>
    </row>
    <row r="5287" spans="32:32" x14ac:dyDescent="0.2">
      <c r="AF5287" s="12"/>
    </row>
    <row r="5288" spans="32:32" x14ac:dyDescent="0.2">
      <c r="AF5288" s="12"/>
    </row>
    <row r="5289" spans="32:32" x14ac:dyDescent="0.2">
      <c r="AF5289" s="12"/>
    </row>
    <row r="5290" spans="32:32" x14ac:dyDescent="0.2">
      <c r="AF5290" s="12"/>
    </row>
    <row r="5291" spans="32:32" x14ac:dyDescent="0.2">
      <c r="AF5291" s="12"/>
    </row>
    <row r="5292" spans="32:32" x14ac:dyDescent="0.2">
      <c r="AF5292" s="12"/>
    </row>
    <row r="5293" spans="32:32" x14ac:dyDescent="0.2">
      <c r="AF5293" s="12"/>
    </row>
    <row r="5294" spans="32:32" x14ac:dyDescent="0.2">
      <c r="AF5294" s="12"/>
    </row>
    <row r="5295" spans="32:32" x14ac:dyDescent="0.2">
      <c r="AF5295" s="12"/>
    </row>
    <row r="5296" spans="32:32" x14ac:dyDescent="0.2">
      <c r="AF5296" s="12"/>
    </row>
    <row r="5297" spans="32:32" x14ac:dyDescent="0.2">
      <c r="AF5297" s="12"/>
    </row>
    <row r="5298" spans="32:32" x14ac:dyDescent="0.2">
      <c r="AF5298" s="12"/>
    </row>
    <row r="5299" spans="32:32" x14ac:dyDescent="0.2">
      <c r="AF5299" s="12"/>
    </row>
    <row r="5300" spans="32:32" x14ac:dyDescent="0.2">
      <c r="AF5300" s="12"/>
    </row>
    <row r="5301" spans="32:32" x14ac:dyDescent="0.2">
      <c r="AF5301" s="12"/>
    </row>
    <row r="5302" spans="32:32" x14ac:dyDescent="0.2">
      <c r="AF5302" s="12"/>
    </row>
    <row r="5303" spans="32:32" x14ac:dyDescent="0.2">
      <c r="AF5303" s="12"/>
    </row>
    <row r="5304" spans="32:32" x14ac:dyDescent="0.2">
      <c r="AF5304" s="12"/>
    </row>
    <row r="5305" spans="32:32" x14ac:dyDescent="0.2">
      <c r="AF5305" s="12"/>
    </row>
    <row r="5306" spans="32:32" x14ac:dyDescent="0.2">
      <c r="AF5306" s="12"/>
    </row>
    <row r="5307" spans="32:32" x14ac:dyDescent="0.2">
      <c r="AF5307" s="12"/>
    </row>
    <row r="5308" spans="32:32" x14ac:dyDescent="0.2">
      <c r="AF5308" s="12"/>
    </row>
    <row r="5309" spans="32:32" x14ac:dyDescent="0.2">
      <c r="AF5309" s="12"/>
    </row>
    <row r="5310" spans="32:32" x14ac:dyDescent="0.2">
      <c r="AF5310" s="12"/>
    </row>
    <row r="5311" spans="32:32" x14ac:dyDescent="0.2">
      <c r="AF5311" s="12"/>
    </row>
    <row r="5312" spans="32:32" x14ac:dyDescent="0.2">
      <c r="AF5312" s="12"/>
    </row>
    <row r="5313" spans="32:32" x14ac:dyDescent="0.2">
      <c r="AF5313" s="12"/>
    </row>
    <row r="5314" spans="32:32" x14ac:dyDescent="0.2">
      <c r="AF5314" s="12"/>
    </row>
    <row r="5315" spans="32:32" x14ac:dyDescent="0.2">
      <c r="AF5315" s="12"/>
    </row>
    <row r="5316" spans="32:32" x14ac:dyDescent="0.2">
      <c r="AF5316" s="12"/>
    </row>
    <row r="5317" spans="32:32" x14ac:dyDescent="0.2">
      <c r="AF5317" s="12"/>
    </row>
    <row r="5318" spans="32:32" x14ac:dyDescent="0.2">
      <c r="AF5318" s="12"/>
    </row>
    <row r="5319" spans="32:32" x14ac:dyDescent="0.2">
      <c r="AF5319" s="12"/>
    </row>
    <row r="5320" spans="32:32" x14ac:dyDescent="0.2">
      <c r="AF5320" s="12"/>
    </row>
    <row r="5321" spans="32:32" x14ac:dyDescent="0.2">
      <c r="AF5321" s="12"/>
    </row>
    <row r="5322" spans="32:32" x14ac:dyDescent="0.2">
      <c r="AF5322" s="12"/>
    </row>
    <row r="5323" spans="32:32" x14ac:dyDescent="0.2">
      <c r="AF5323" s="12"/>
    </row>
    <row r="5324" spans="32:32" x14ac:dyDescent="0.2">
      <c r="AF5324" s="12"/>
    </row>
    <row r="5325" spans="32:32" x14ac:dyDescent="0.2">
      <c r="AF5325" s="12"/>
    </row>
    <row r="5326" spans="32:32" x14ac:dyDescent="0.2">
      <c r="AF5326" s="12"/>
    </row>
    <row r="5327" spans="32:32" x14ac:dyDescent="0.2">
      <c r="AF5327" s="12"/>
    </row>
    <row r="5328" spans="32:32" x14ac:dyDescent="0.2">
      <c r="AF5328" s="12"/>
    </row>
    <row r="5329" spans="32:32" x14ac:dyDescent="0.2">
      <c r="AF5329" s="12"/>
    </row>
    <row r="5330" spans="32:32" x14ac:dyDescent="0.2">
      <c r="AF5330" s="12"/>
    </row>
    <row r="5331" spans="32:32" x14ac:dyDescent="0.2">
      <c r="AF5331" s="12"/>
    </row>
    <row r="5332" spans="32:32" x14ac:dyDescent="0.2">
      <c r="AF5332" s="12"/>
    </row>
    <row r="5333" spans="32:32" x14ac:dyDescent="0.2">
      <c r="AF5333" s="12"/>
    </row>
    <row r="5334" spans="32:32" x14ac:dyDescent="0.2">
      <c r="AF5334" s="12"/>
    </row>
    <row r="5335" spans="32:32" x14ac:dyDescent="0.2">
      <c r="AF5335" s="12"/>
    </row>
    <row r="5336" spans="32:32" x14ac:dyDescent="0.2">
      <c r="AF5336" s="12"/>
    </row>
    <row r="5337" spans="32:32" x14ac:dyDescent="0.2">
      <c r="AF5337" s="12"/>
    </row>
    <row r="5338" spans="32:32" x14ac:dyDescent="0.2">
      <c r="AF5338" s="12"/>
    </row>
    <row r="5339" spans="32:32" x14ac:dyDescent="0.2">
      <c r="AF5339" s="12"/>
    </row>
    <row r="5340" spans="32:32" x14ac:dyDescent="0.2">
      <c r="AF5340" s="12"/>
    </row>
    <row r="5341" spans="32:32" x14ac:dyDescent="0.2">
      <c r="AF5341" s="12"/>
    </row>
    <row r="5342" spans="32:32" x14ac:dyDescent="0.2">
      <c r="AF5342" s="12"/>
    </row>
    <row r="5343" spans="32:32" x14ac:dyDescent="0.2">
      <c r="AF5343" s="12"/>
    </row>
    <row r="5344" spans="32:32" x14ac:dyDescent="0.2">
      <c r="AF5344" s="12"/>
    </row>
    <row r="5345" spans="32:32" x14ac:dyDescent="0.2">
      <c r="AF5345" s="12"/>
    </row>
    <row r="5346" spans="32:32" x14ac:dyDescent="0.2">
      <c r="AF5346" s="12"/>
    </row>
    <row r="5347" spans="32:32" x14ac:dyDescent="0.2">
      <c r="AF5347" s="12"/>
    </row>
    <row r="5348" spans="32:32" x14ac:dyDescent="0.2">
      <c r="AF5348" s="12"/>
    </row>
    <row r="5349" spans="32:32" x14ac:dyDescent="0.2">
      <c r="AF5349" s="12"/>
    </row>
    <row r="5350" spans="32:32" x14ac:dyDescent="0.2">
      <c r="AF5350" s="12"/>
    </row>
    <row r="5351" spans="32:32" x14ac:dyDescent="0.2">
      <c r="AF5351" s="12"/>
    </row>
    <row r="5352" spans="32:32" x14ac:dyDescent="0.2">
      <c r="AF5352" s="12"/>
    </row>
    <row r="5353" spans="32:32" x14ac:dyDescent="0.2">
      <c r="AF5353" s="12"/>
    </row>
    <row r="5354" spans="32:32" x14ac:dyDescent="0.2">
      <c r="AF5354" s="12"/>
    </row>
    <row r="5355" spans="32:32" x14ac:dyDescent="0.2">
      <c r="AF5355" s="12"/>
    </row>
    <row r="5356" spans="32:32" x14ac:dyDescent="0.2">
      <c r="AF5356" s="12"/>
    </row>
    <row r="5357" spans="32:32" x14ac:dyDescent="0.2">
      <c r="AF5357" s="12"/>
    </row>
    <row r="5358" spans="32:32" x14ac:dyDescent="0.2">
      <c r="AF5358" s="12"/>
    </row>
    <row r="5359" spans="32:32" x14ac:dyDescent="0.2">
      <c r="AF5359" s="12"/>
    </row>
    <row r="5360" spans="32:32" x14ac:dyDescent="0.2">
      <c r="AF5360" s="12"/>
    </row>
    <row r="5361" spans="32:32" x14ac:dyDescent="0.2">
      <c r="AF5361" s="12"/>
    </row>
    <row r="5362" spans="32:32" x14ac:dyDescent="0.2">
      <c r="AF5362" s="12"/>
    </row>
    <row r="5363" spans="32:32" x14ac:dyDescent="0.2">
      <c r="AF5363" s="12"/>
    </row>
    <row r="5364" spans="32:32" x14ac:dyDescent="0.2">
      <c r="AF5364" s="12"/>
    </row>
    <row r="5365" spans="32:32" x14ac:dyDescent="0.2">
      <c r="AF5365" s="12"/>
    </row>
    <row r="5366" spans="32:32" x14ac:dyDescent="0.2">
      <c r="AF5366" s="12"/>
    </row>
    <row r="5367" spans="32:32" x14ac:dyDescent="0.2">
      <c r="AF5367" s="12"/>
    </row>
    <row r="5368" spans="32:32" x14ac:dyDescent="0.2">
      <c r="AF5368" s="12"/>
    </row>
    <row r="5369" spans="32:32" x14ac:dyDescent="0.2">
      <c r="AF5369" s="12"/>
    </row>
    <row r="5370" spans="32:32" x14ac:dyDescent="0.2">
      <c r="AF5370" s="12"/>
    </row>
    <row r="5371" spans="32:32" x14ac:dyDescent="0.2">
      <c r="AF5371" s="12"/>
    </row>
    <row r="5372" spans="32:32" x14ac:dyDescent="0.2">
      <c r="AF5372" s="12"/>
    </row>
    <row r="5373" spans="32:32" x14ac:dyDescent="0.2">
      <c r="AF5373" s="12"/>
    </row>
    <row r="5374" spans="32:32" x14ac:dyDescent="0.2">
      <c r="AF5374" s="12"/>
    </row>
    <row r="5375" spans="32:32" x14ac:dyDescent="0.2">
      <c r="AF5375" s="12"/>
    </row>
    <row r="5376" spans="32:32" x14ac:dyDescent="0.2">
      <c r="AF5376" s="12"/>
    </row>
    <row r="5377" spans="32:32" x14ac:dyDescent="0.2">
      <c r="AF5377" s="12"/>
    </row>
    <row r="5378" spans="32:32" x14ac:dyDescent="0.2">
      <c r="AF5378" s="12"/>
    </row>
    <row r="5379" spans="32:32" x14ac:dyDescent="0.2">
      <c r="AF5379" s="12"/>
    </row>
    <row r="5380" spans="32:32" x14ac:dyDescent="0.2">
      <c r="AF5380" s="12"/>
    </row>
    <row r="5381" spans="32:32" x14ac:dyDescent="0.2">
      <c r="AF5381" s="12"/>
    </row>
    <row r="5382" spans="32:32" x14ac:dyDescent="0.2">
      <c r="AF5382" s="12"/>
    </row>
    <row r="5383" spans="32:32" x14ac:dyDescent="0.2">
      <c r="AF5383" s="12"/>
    </row>
    <row r="5384" spans="32:32" x14ac:dyDescent="0.2">
      <c r="AF5384" s="12"/>
    </row>
    <row r="5385" spans="32:32" x14ac:dyDescent="0.2">
      <c r="AF5385" s="12"/>
    </row>
    <row r="5386" spans="32:32" x14ac:dyDescent="0.2">
      <c r="AF5386" s="12"/>
    </row>
    <row r="5387" spans="32:32" x14ac:dyDescent="0.2">
      <c r="AF5387" s="12"/>
    </row>
    <row r="5388" spans="32:32" x14ac:dyDescent="0.2">
      <c r="AF5388" s="12"/>
    </row>
    <row r="5389" spans="32:32" x14ac:dyDescent="0.2">
      <c r="AF5389" s="12"/>
    </row>
    <row r="5390" spans="32:32" x14ac:dyDescent="0.2">
      <c r="AF5390" s="12"/>
    </row>
    <row r="5391" spans="32:32" x14ac:dyDescent="0.2">
      <c r="AF5391" s="12"/>
    </row>
    <row r="5392" spans="32:32" x14ac:dyDescent="0.2">
      <c r="AF5392" s="12"/>
    </row>
    <row r="5393" spans="32:32" x14ac:dyDescent="0.2">
      <c r="AF5393" s="12"/>
    </row>
    <row r="5394" spans="32:32" x14ac:dyDescent="0.2">
      <c r="AF5394" s="12"/>
    </row>
    <row r="5395" spans="32:32" x14ac:dyDescent="0.2">
      <c r="AF5395" s="12"/>
    </row>
    <row r="5396" spans="32:32" x14ac:dyDescent="0.2">
      <c r="AF5396" s="12"/>
    </row>
    <row r="5397" spans="32:32" x14ac:dyDescent="0.2">
      <c r="AF5397" s="12"/>
    </row>
    <row r="5398" spans="32:32" x14ac:dyDescent="0.2">
      <c r="AF5398" s="12"/>
    </row>
    <row r="5399" spans="32:32" x14ac:dyDescent="0.2">
      <c r="AF5399" s="12"/>
    </row>
    <row r="5400" spans="32:32" x14ac:dyDescent="0.2">
      <c r="AF5400" s="12"/>
    </row>
    <row r="5401" spans="32:32" x14ac:dyDescent="0.2">
      <c r="AF5401" s="12"/>
    </row>
    <row r="5402" spans="32:32" x14ac:dyDescent="0.2">
      <c r="AF5402" s="12"/>
    </row>
    <row r="5403" spans="32:32" x14ac:dyDescent="0.2">
      <c r="AF5403" s="12"/>
    </row>
    <row r="5404" spans="32:32" x14ac:dyDescent="0.2">
      <c r="AF5404" s="12"/>
    </row>
    <row r="5405" spans="32:32" x14ac:dyDescent="0.2">
      <c r="AF5405" s="12"/>
    </row>
    <row r="5406" spans="32:32" x14ac:dyDescent="0.2">
      <c r="AF5406" s="12"/>
    </row>
    <row r="5407" spans="32:32" x14ac:dyDescent="0.2">
      <c r="AF5407" s="12"/>
    </row>
    <row r="5408" spans="32:32" x14ac:dyDescent="0.2">
      <c r="AF5408" s="12"/>
    </row>
    <row r="5409" spans="32:32" x14ac:dyDescent="0.2">
      <c r="AF5409" s="12"/>
    </row>
    <row r="5410" spans="32:32" x14ac:dyDescent="0.2">
      <c r="AF5410" s="12"/>
    </row>
    <row r="5411" spans="32:32" x14ac:dyDescent="0.2">
      <c r="AF5411" s="12"/>
    </row>
    <row r="5412" spans="32:32" x14ac:dyDescent="0.2">
      <c r="AF5412" s="12"/>
    </row>
    <row r="5413" spans="32:32" x14ac:dyDescent="0.2">
      <c r="AF5413" s="12"/>
    </row>
    <row r="5414" spans="32:32" x14ac:dyDescent="0.2">
      <c r="AF5414" s="12"/>
    </row>
    <row r="5415" spans="32:32" x14ac:dyDescent="0.2">
      <c r="AF5415" s="12"/>
    </row>
    <row r="5416" spans="32:32" x14ac:dyDescent="0.2">
      <c r="AF5416" s="12"/>
    </row>
    <row r="5417" spans="32:32" x14ac:dyDescent="0.2">
      <c r="AF5417" s="12"/>
    </row>
    <row r="5418" spans="32:32" x14ac:dyDescent="0.2">
      <c r="AF5418" s="12"/>
    </row>
    <row r="5419" spans="32:32" x14ac:dyDescent="0.2">
      <c r="AF5419" s="12"/>
    </row>
    <row r="5420" spans="32:32" x14ac:dyDescent="0.2">
      <c r="AF5420" s="12"/>
    </row>
    <row r="5421" spans="32:32" x14ac:dyDescent="0.2">
      <c r="AF5421" s="12"/>
    </row>
    <row r="5422" spans="32:32" x14ac:dyDescent="0.2">
      <c r="AF5422" s="12"/>
    </row>
    <row r="5423" spans="32:32" x14ac:dyDescent="0.2">
      <c r="AF5423" s="12"/>
    </row>
    <row r="5424" spans="32:32" x14ac:dyDescent="0.2">
      <c r="AF5424" s="12"/>
    </row>
    <row r="5425" spans="32:32" x14ac:dyDescent="0.2">
      <c r="AF5425" s="12"/>
    </row>
    <row r="5426" spans="32:32" x14ac:dyDescent="0.2">
      <c r="AF5426" s="12"/>
    </row>
    <row r="5427" spans="32:32" x14ac:dyDescent="0.2">
      <c r="AF5427" s="12"/>
    </row>
    <row r="5428" spans="32:32" x14ac:dyDescent="0.2">
      <c r="AF5428" s="12"/>
    </row>
    <row r="5429" spans="32:32" x14ac:dyDescent="0.2">
      <c r="AF5429" s="12"/>
    </row>
    <row r="5430" spans="32:32" x14ac:dyDescent="0.2">
      <c r="AF5430" s="12"/>
    </row>
    <row r="5431" spans="32:32" x14ac:dyDescent="0.2">
      <c r="AF5431" s="12"/>
    </row>
    <row r="5432" spans="32:32" x14ac:dyDescent="0.2">
      <c r="AF5432" s="12"/>
    </row>
    <row r="5433" spans="32:32" x14ac:dyDescent="0.2">
      <c r="AF5433" s="12"/>
    </row>
    <row r="5434" spans="32:32" x14ac:dyDescent="0.2">
      <c r="AF5434" s="12"/>
    </row>
    <row r="5435" spans="32:32" x14ac:dyDescent="0.2">
      <c r="AF5435" s="12"/>
    </row>
    <row r="5436" spans="32:32" x14ac:dyDescent="0.2">
      <c r="AF5436" s="12"/>
    </row>
    <row r="5437" spans="32:32" x14ac:dyDescent="0.2">
      <c r="AF5437" s="12"/>
    </row>
    <row r="5438" spans="32:32" x14ac:dyDescent="0.2">
      <c r="AF5438" s="12"/>
    </row>
    <row r="5439" spans="32:32" x14ac:dyDescent="0.2">
      <c r="AF5439" s="12"/>
    </row>
    <row r="5440" spans="32:32" x14ac:dyDescent="0.2">
      <c r="AF5440" s="12"/>
    </row>
    <row r="5441" spans="32:32" x14ac:dyDescent="0.2">
      <c r="AF5441" s="12"/>
    </row>
    <row r="5442" spans="32:32" x14ac:dyDescent="0.2">
      <c r="AF5442" s="12"/>
    </row>
    <row r="5443" spans="32:32" x14ac:dyDescent="0.2">
      <c r="AF5443" s="12"/>
    </row>
    <row r="5444" spans="32:32" x14ac:dyDescent="0.2">
      <c r="AF5444" s="12"/>
    </row>
    <row r="5445" spans="32:32" x14ac:dyDescent="0.2">
      <c r="AF5445" s="12"/>
    </row>
    <row r="5446" spans="32:32" x14ac:dyDescent="0.2">
      <c r="AF5446" s="12"/>
    </row>
    <row r="5447" spans="32:32" x14ac:dyDescent="0.2">
      <c r="AF5447" s="12"/>
    </row>
    <row r="5448" spans="32:32" x14ac:dyDescent="0.2">
      <c r="AF5448" s="12"/>
    </row>
    <row r="5449" spans="32:32" x14ac:dyDescent="0.2">
      <c r="AF5449" s="12"/>
    </row>
    <row r="5450" spans="32:32" x14ac:dyDescent="0.2">
      <c r="AF5450" s="12"/>
    </row>
    <row r="5451" spans="32:32" x14ac:dyDescent="0.2">
      <c r="AF5451" s="12"/>
    </row>
    <row r="5452" spans="32:32" x14ac:dyDescent="0.2">
      <c r="AF5452" s="12"/>
    </row>
    <row r="5453" spans="32:32" x14ac:dyDescent="0.2">
      <c r="AF5453" s="12"/>
    </row>
    <row r="5454" spans="32:32" x14ac:dyDescent="0.2">
      <c r="AF5454" s="12"/>
    </row>
    <row r="5455" spans="32:32" x14ac:dyDescent="0.2">
      <c r="AF5455" s="12"/>
    </row>
    <row r="5456" spans="32:32" x14ac:dyDescent="0.2">
      <c r="AF5456" s="12"/>
    </row>
    <row r="5457" spans="32:32" x14ac:dyDescent="0.2">
      <c r="AF5457" s="12"/>
    </row>
    <row r="5458" spans="32:32" x14ac:dyDescent="0.2">
      <c r="AF5458" s="12"/>
    </row>
    <row r="5459" spans="32:32" x14ac:dyDescent="0.2">
      <c r="AF5459" s="12"/>
    </row>
    <row r="5460" spans="32:32" x14ac:dyDescent="0.2">
      <c r="AF5460" s="12"/>
    </row>
    <row r="5461" spans="32:32" x14ac:dyDescent="0.2">
      <c r="AF5461" s="12"/>
    </row>
    <row r="5462" spans="32:32" x14ac:dyDescent="0.2">
      <c r="AF5462" s="12"/>
    </row>
    <row r="5463" spans="32:32" x14ac:dyDescent="0.2">
      <c r="AF5463" s="12"/>
    </row>
    <row r="5464" spans="32:32" x14ac:dyDescent="0.2">
      <c r="AF5464" s="12"/>
    </row>
    <row r="5465" spans="32:32" x14ac:dyDescent="0.2">
      <c r="AF5465" s="12"/>
    </row>
    <row r="5466" spans="32:32" x14ac:dyDescent="0.2">
      <c r="AF5466" s="12"/>
    </row>
    <row r="5467" spans="32:32" x14ac:dyDescent="0.2">
      <c r="AF5467" s="12"/>
    </row>
    <row r="5468" spans="32:32" x14ac:dyDescent="0.2">
      <c r="AF5468" s="12"/>
    </row>
    <row r="5469" spans="32:32" x14ac:dyDescent="0.2">
      <c r="AF5469" s="12"/>
    </row>
    <row r="5470" spans="32:32" x14ac:dyDescent="0.2">
      <c r="AF5470" s="12"/>
    </row>
    <row r="5471" spans="32:32" x14ac:dyDescent="0.2">
      <c r="AF5471" s="12"/>
    </row>
    <row r="5472" spans="32:32" x14ac:dyDescent="0.2">
      <c r="AF5472" s="12"/>
    </row>
    <row r="5473" spans="32:32" x14ac:dyDescent="0.2">
      <c r="AF5473" s="12"/>
    </row>
    <row r="5474" spans="32:32" x14ac:dyDescent="0.2">
      <c r="AF5474" s="12"/>
    </row>
    <row r="5475" spans="32:32" x14ac:dyDescent="0.2">
      <c r="AF5475" s="12"/>
    </row>
    <row r="5476" spans="32:32" x14ac:dyDescent="0.2">
      <c r="AF5476" s="12"/>
    </row>
    <row r="5477" spans="32:32" x14ac:dyDescent="0.2">
      <c r="AF5477" s="12"/>
    </row>
    <row r="5478" spans="32:32" x14ac:dyDescent="0.2">
      <c r="AF5478" s="12"/>
    </row>
    <row r="5479" spans="32:32" x14ac:dyDescent="0.2">
      <c r="AF5479" s="12"/>
    </row>
    <row r="5480" spans="32:32" x14ac:dyDescent="0.2">
      <c r="AF5480" s="12"/>
    </row>
    <row r="5481" spans="32:32" x14ac:dyDescent="0.2">
      <c r="AF5481" s="12"/>
    </row>
    <row r="5482" spans="32:32" x14ac:dyDescent="0.2">
      <c r="AF5482" s="12"/>
    </row>
    <row r="5483" spans="32:32" x14ac:dyDescent="0.2">
      <c r="AF5483" s="12"/>
    </row>
    <row r="5484" spans="32:32" x14ac:dyDescent="0.2">
      <c r="AF5484" s="12"/>
    </row>
    <row r="5485" spans="32:32" x14ac:dyDescent="0.2">
      <c r="AF5485" s="12"/>
    </row>
    <row r="5486" spans="32:32" x14ac:dyDescent="0.2">
      <c r="AF5486" s="12"/>
    </row>
    <row r="5487" spans="32:32" x14ac:dyDescent="0.2">
      <c r="AF5487" s="12"/>
    </row>
    <row r="5488" spans="32:32" x14ac:dyDescent="0.2">
      <c r="AF5488" s="12"/>
    </row>
    <row r="5489" spans="32:32" x14ac:dyDescent="0.2">
      <c r="AF5489" s="12"/>
    </row>
    <row r="5490" spans="32:32" x14ac:dyDescent="0.2">
      <c r="AF5490" s="12"/>
    </row>
    <row r="5491" spans="32:32" x14ac:dyDescent="0.2">
      <c r="AF5491" s="12"/>
    </row>
    <row r="5492" spans="32:32" x14ac:dyDescent="0.2">
      <c r="AF5492" s="12"/>
    </row>
    <row r="5493" spans="32:32" x14ac:dyDescent="0.2">
      <c r="AF5493" s="12"/>
    </row>
    <row r="5494" spans="32:32" x14ac:dyDescent="0.2">
      <c r="AF5494" s="12"/>
    </row>
    <row r="5495" spans="32:32" x14ac:dyDescent="0.2">
      <c r="AF5495" s="12"/>
    </row>
    <row r="5496" spans="32:32" x14ac:dyDescent="0.2">
      <c r="AF5496" s="12"/>
    </row>
    <row r="5497" spans="32:32" x14ac:dyDescent="0.2">
      <c r="AF5497" s="12"/>
    </row>
    <row r="5498" spans="32:32" x14ac:dyDescent="0.2">
      <c r="AF5498" s="12"/>
    </row>
    <row r="5499" spans="32:32" x14ac:dyDescent="0.2">
      <c r="AF5499" s="12"/>
    </row>
    <row r="5500" spans="32:32" x14ac:dyDescent="0.2">
      <c r="AF5500" s="12"/>
    </row>
    <row r="5501" spans="32:32" x14ac:dyDescent="0.2">
      <c r="AF5501" s="12"/>
    </row>
    <row r="5502" spans="32:32" x14ac:dyDescent="0.2">
      <c r="AF5502" s="12"/>
    </row>
    <row r="5503" spans="32:32" x14ac:dyDescent="0.2">
      <c r="AF5503" s="12"/>
    </row>
    <row r="5504" spans="32:32" x14ac:dyDescent="0.2">
      <c r="AF5504" s="12"/>
    </row>
    <row r="5505" spans="32:32" x14ac:dyDescent="0.2">
      <c r="AF5505" s="12"/>
    </row>
    <row r="5506" spans="32:32" x14ac:dyDescent="0.2">
      <c r="AF5506" s="12"/>
    </row>
    <row r="5507" spans="32:32" x14ac:dyDescent="0.2">
      <c r="AF5507" s="12"/>
    </row>
    <row r="5508" spans="32:32" x14ac:dyDescent="0.2">
      <c r="AF5508" s="12"/>
    </row>
    <row r="5509" spans="32:32" x14ac:dyDescent="0.2">
      <c r="AF5509" s="12"/>
    </row>
    <row r="5510" spans="32:32" x14ac:dyDescent="0.2">
      <c r="AF5510" s="12"/>
    </row>
    <row r="5511" spans="32:32" x14ac:dyDescent="0.2">
      <c r="AF5511" s="12"/>
    </row>
    <row r="5512" spans="32:32" x14ac:dyDescent="0.2">
      <c r="AF5512" s="12"/>
    </row>
    <row r="5513" spans="32:32" x14ac:dyDescent="0.2">
      <c r="AF5513" s="12"/>
    </row>
    <row r="5514" spans="32:32" x14ac:dyDescent="0.2">
      <c r="AF5514" s="12"/>
    </row>
    <row r="5515" spans="32:32" x14ac:dyDescent="0.2">
      <c r="AF5515" s="12"/>
    </row>
    <row r="5516" spans="32:32" x14ac:dyDescent="0.2">
      <c r="AF5516" s="12"/>
    </row>
    <row r="5517" spans="32:32" x14ac:dyDescent="0.2">
      <c r="AF5517" s="12"/>
    </row>
    <row r="5518" spans="32:32" x14ac:dyDescent="0.2">
      <c r="AF5518" s="12"/>
    </row>
    <row r="5519" spans="32:32" x14ac:dyDescent="0.2">
      <c r="AF5519" s="12"/>
    </row>
    <row r="5520" spans="32:32" x14ac:dyDescent="0.2">
      <c r="AF5520" s="12"/>
    </row>
    <row r="5521" spans="32:32" x14ac:dyDescent="0.2">
      <c r="AF5521" s="12"/>
    </row>
    <row r="5522" spans="32:32" x14ac:dyDescent="0.2">
      <c r="AF5522" s="12"/>
    </row>
    <row r="5523" spans="32:32" x14ac:dyDescent="0.2">
      <c r="AF5523" s="12"/>
    </row>
    <row r="5524" spans="32:32" x14ac:dyDescent="0.2">
      <c r="AF5524" s="12"/>
    </row>
    <row r="5525" spans="32:32" x14ac:dyDescent="0.2">
      <c r="AF5525" s="12"/>
    </row>
    <row r="5526" spans="32:32" x14ac:dyDescent="0.2">
      <c r="AF5526" s="12"/>
    </row>
    <row r="5527" spans="32:32" x14ac:dyDescent="0.2">
      <c r="AF5527" s="12"/>
    </row>
    <row r="5528" spans="32:32" x14ac:dyDescent="0.2">
      <c r="AF5528" s="12"/>
    </row>
    <row r="5529" spans="32:32" x14ac:dyDescent="0.2">
      <c r="AF5529" s="12"/>
    </row>
    <row r="5530" spans="32:32" x14ac:dyDescent="0.2">
      <c r="AF5530" s="12"/>
    </row>
    <row r="5531" spans="32:32" x14ac:dyDescent="0.2">
      <c r="AF5531" s="12"/>
    </row>
    <row r="5532" spans="32:32" x14ac:dyDescent="0.2">
      <c r="AF5532" s="12"/>
    </row>
    <row r="5533" spans="32:32" x14ac:dyDescent="0.2">
      <c r="AF5533" s="12"/>
    </row>
    <row r="5534" spans="32:32" x14ac:dyDescent="0.2">
      <c r="AF5534" s="12"/>
    </row>
    <row r="5535" spans="32:32" x14ac:dyDescent="0.2">
      <c r="AF5535" s="12"/>
    </row>
    <row r="5536" spans="32:32" x14ac:dyDescent="0.2">
      <c r="AF5536" s="12"/>
    </row>
    <row r="5537" spans="32:32" x14ac:dyDescent="0.2">
      <c r="AF5537" s="12"/>
    </row>
    <row r="5538" spans="32:32" x14ac:dyDescent="0.2">
      <c r="AF5538" s="12"/>
    </row>
    <row r="5539" spans="32:32" x14ac:dyDescent="0.2">
      <c r="AF5539" s="12"/>
    </row>
    <row r="5540" spans="32:32" x14ac:dyDescent="0.2">
      <c r="AF5540" s="12"/>
    </row>
    <row r="5541" spans="32:32" x14ac:dyDescent="0.2">
      <c r="AF5541" s="12"/>
    </row>
    <row r="5542" spans="32:32" x14ac:dyDescent="0.2">
      <c r="AF5542" s="12"/>
    </row>
    <row r="5543" spans="32:32" x14ac:dyDescent="0.2">
      <c r="AF5543" s="12"/>
    </row>
    <row r="5544" spans="32:32" x14ac:dyDescent="0.2">
      <c r="AF5544" s="12"/>
    </row>
    <row r="5545" spans="32:32" x14ac:dyDescent="0.2">
      <c r="AF5545" s="12"/>
    </row>
    <row r="5546" spans="32:32" x14ac:dyDescent="0.2">
      <c r="AF5546" s="12"/>
    </row>
    <row r="5547" spans="32:32" x14ac:dyDescent="0.2">
      <c r="AF5547" s="12"/>
    </row>
    <row r="5548" spans="32:32" x14ac:dyDescent="0.2">
      <c r="AF5548" s="12"/>
    </row>
    <row r="5549" spans="32:32" x14ac:dyDescent="0.2">
      <c r="AF5549" s="12"/>
    </row>
    <row r="5550" spans="32:32" x14ac:dyDescent="0.2">
      <c r="AF5550" s="12"/>
    </row>
    <row r="5551" spans="32:32" x14ac:dyDescent="0.2">
      <c r="AF5551" s="12"/>
    </row>
    <row r="5552" spans="32:32" x14ac:dyDescent="0.2">
      <c r="AF5552" s="12"/>
    </row>
    <row r="5553" spans="32:32" x14ac:dyDescent="0.2">
      <c r="AF5553" s="12"/>
    </row>
    <row r="5554" spans="32:32" x14ac:dyDescent="0.2">
      <c r="AF5554" s="12"/>
    </row>
    <row r="5555" spans="32:32" x14ac:dyDescent="0.2">
      <c r="AF5555" s="12"/>
    </row>
    <row r="5556" spans="32:32" x14ac:dyDescent="0.2">
      <c r="AF5556" s="12"/>
    </row>
    <row r="5557" spans="32:32" x14ac:dyDescent="0.2">
      <c r="AF5557" s="12"/>
    </row>
    <row r="5558" spans="32:32" x14ac:dyDescent="0.2">
      <c r="AF5558" s="12"/>
    </row>
    <row r="5559" spans="32:32" x14ac:dyDescent="0.2">
      <c r="AF5559" s="12"/>
    </row>
    <row r="5560" spans="32:32" x14ac:dyDescent="0.2">
      <c r="AF5560" s="12"/>
    </row>
    <row r="5561" spans="32:32" x14ac:dyDescent="0.2">
      <c r="AF5561" s="12"/>
    </row>
    <row r="5562" spans="32:32" x14ac:dyDescent="0.2">
      <c r="AF5562" s="12"/>
    </row>
    <row r="5563" spans="32:32" x14ac:dyDescent="0.2">
      <c r="AF5563" s="12"/>
    </row>
    <row r="5564" spans="32:32" x14ac:dyDescent="0.2">
      <c r="AF5564" s="12"/>
    </row>
    <row r="5565" spans="32:32" x14ac:dyDescent="0.2">
      <c r="AF5565" s="12"/>
    </row>
    <row r="5566" spans="32:32" x14ac:dyDescent="0.2">
      <c r="AF5566" s="12"/>
    </row>
    <row r="5567" spans="32:32" x14ac:dyDescent="0.2">
      <c r="AF5567" s="12"/>
    </row>
    <row r="5568" spans="32:32" x14ac:dyDescent="0.2">
      <c r="AF5568" s="12"/>
    </row>
    <row r="5569" spans="32:32" x14ac:dyDescent="0.2">
      <c r="AF5569" s="12"/>
    </row>
    <row r="5570" spans="32:32" x14ac:dyDescent="0.2">
      <c r="AF5570" s="12"/>
    </row>
    <row r="5571" spans="32:32" x14ac:dyDescent="0.2">
      <c r="AF5571" s="12"/>
    </row>
    <row r="5572" spans="32:32" x14ac:dyDescent="0.2">
      <c r="AF5572" s="12"/>
    </row>
    <row r="5573" spans="32:32" x14ac:dyDescent="0.2">
      <c r="AF5573" s="12"/>
    </row>
    <row r="5574" spans="32:32" x14ac:dyDescent="0.2">
      <c r="AF5574" s="12"/>
    </row>
    <row r="5575" spans="32:32" x14ac:dyDescent="0.2">
      <c r="AF5575" s="12"/>
    </row>
    <row r="5576" spans="32:32" x14ac:dyDescent="0.2">
      <c r="AF5576" s="12"/>
    </row>
    <row r="5577" spans="32:32" x14ac:dyDescent="0.2">
      <c r="AF5577" s="12"/>
    </row>
    <row r="5578" spans="32:32" x14ac:dyDescent="0.2">
      <c r="AF5578" s="12"/>
    </row>
    <row r="5579" spans="32:32" x14ac:dyDescent="0.2">
      <c r="AF5579" s="12"/>
    </row>
    <row r="5580" spans="32:32" x14ac:dyDescent="0.2">
      <c r="AF5580" s="12"/>
    </row>
    <row r="5581" spans="32:32" x14ac:dyDescent="0.2">
      <c r="AF5581" s="12"/>
    </row>
    <row r="5582" spans="32:32" x14ac:dyDescent="0.2">
      <c r="AF5582" s="12"/>
    </row>
    <row r="5583" spans="32:32" x14ac:dyDescent="0.2">
      <c r="AF5583" s="12"/>
    </row>
    <row r="5584" spans="32:32" x14ac:dyDescent="0.2">
      <c r="AF5584" s="12"/>
    </row>
    <row r="5585" spans="32:32" x14ac:dyDescent="0.2">
      <c r="AF5585" s="12"/>
    </row>
    <row r="5586" spans="32:32" x14ac:dyDescent="0.2">
      <c r="AF5586" s="12"/>
    </row>
    <row r="5587" spans="32:32" x14ac:dyDescent="0.2">
      <c r="AF5587" s="12"/>
    </row>
    <row r="5588" spans="32:32" x14ac:dyDescent="0.2">
      <c r="AF5588" s="12"/>
    </row>
    <row r="5589" spans="32:32" x14ac:dyDescent="0.2">
      <c r="AF5589" s="12"/>
    </row>
    <row r="5590" spans="32:32" x14ac:dyDescent="0.2">
      <c r="AF5590" s="12"/>
    </row>
    <row r="5591" spans="32:32" x14ac:dyDescent="0.2">
      <c r="AF5591" s="12"/>
    </row>
    <row r="5592" spans="32:32" x14ac:dyDescent="0.2">
      <c r="AF5592" s="12"/>
    </row>
    <row r="5593" spans="32:32" x14ac:dyDescent="0.2">
      <c r="AF5593" s="12"/>
    </row>
    <row r="5594" spans="32:32" x14ac:dyDescent="0.2">
      <c r="AF5594" s="12"/>
    </row>
    <row r="5595" spans="32:32" x14ac:dyDescent="0.2">
      <c r="AF5595" s="12"/>
    </row>
    <row r="5596" spans="32:32" x14ac:dyDescent="0.2">
      <c r="AF5596" s="12"/>
    </row>
    <row r="5597" spans="32:32" x14ac:dyDescent="0.2">
      <c r="AF5597" s="12"/>
    </row>
    <row r="5598" spans="32:32" x14ac:dyDescent="0.2">
      <c r="AF5598" s="12"/>
    </row>
    <row r="5599" spans="32:32" x14ac:dyDescent="0.2">
      <c r="AF5599" s="12"/>
    </row>
    <row r="5600" spans="32:32" x14ac:dyDescent="0.2">
      <c r="AF5600" s="12"/>
    </row>
    <row r="5601" spans="32:32" x14ac:dyDescent="0.2">
      <c r="AF5601" s="12"/>
    </row>
    <row r="5602" spans="32:32" x14ac:dyDescent="0.2">
      <c r="AF5602" s="12"/>
    </row>
    <row r="5603" spans="32:32" x14ac:dyDescent="0.2">
      <c r="AF5603" s="12"/>
    </row>
    <row r="5604" spans="32:32" x14ac:dyDescent="0.2">
      <c r="AF5604" s="12"/>
    </row>
    <row r="5605" spans="32:32" x14ac:dyDescent="0.2">
      <c r="AF5605" s="12"/>
    </row>
    <row r="5606" spans="32:32" x14ac:dyDescent="0.2">
      <c r="AF5606" s="12"/>
    </row>
    <row r="5607" spans="32:32" x14ac:dyDescent="0.2">
      <c r="AF5607" s="12"/>
    </row>
    <row r="5608" spans="32:32" x14ac:dyDescent="0.2">
      <c r="AF5608" s="12"/>
    </row>
    <row r="5609" spans="32:32" x14ac:dyDescent="0.2">
      <c r="AF5609" s="12"/>
    </row>
    <row r="5610" spans="32:32" x14ac:dyDescent="0.2">
      <c r="AF5610" s="12"/>
    </row>
    <row r="5611" spans="32:32" x14ac:dyDescent="0.2">
      <c r="AF5611" s="12"/>
    </row>
    <row r="5612" spans="32:32" x14ac:dyDescent="0.2">
      <c r="AF5612" s="12"/>
    </row>
    <row r="5613" spans="32:32" x14ac:dyDescent="0.2">
      <c r="AF5613" s="12"/>
    </row>
    <row r="5614" spans="32:32" x14ac:dyDescent="0.2">
      <c r="AF5614" s="12"/>
    </row>
    <row r="5615" spans="32:32" x14ac:dyDescent="0.2">
      <c r="AF5615" s="12"/>
    </row>
    <row r="5616" spans="32:32" x14ac:dyDescent="0.2">
      <c r="AF5616" s="12"/>
    </row>
    <row r="5617" spans="32:32" x14ac:dyDescent="0.2">
      <c r="AF5617" s="12"/>
    </row>
    <row r="5618" spans="32:32" x14ac:dyDescent="0.2">
      <c r="AF5618" s="12"/>
    </row>
    <row r="5619" spans="32:32" x14ac:dyDescent="0.2">
      <c r="AF5619" s="12"/>
    </row>
    <row r="5620" spans="32:32" x14ac:dyDescent="0.2">
      <c r="AF5620" s="12"/>
    </row>
    <row r="5621" spans="32:32" x14ac:dyDescent="0.2">
      <c r="AF5621" s="12"/>
    </row>
    <row r="5622" spans="32:32" x14ac:dyDescent="0.2">
      <c r="AF5622" s="12"/>
    </row>
    <row r="5623" spans="32:32" x14ac:dyDescent="0.2">
      <c r="AF5623" s="12"/>
    </row>
    <row r="5624" spans="32:32" x14ac:dyDescent="0.2">
      <c r="AF5624" s="12"/>
    </row>
    <row r="5625" spans="32:32" x14ac:dyDescent="0.2">
      <c r="AF5625" s="12"/>
    </row>
    <row r="5626" spans="32:32" x14ac:dyDescent="0.2">
      <c r="AF5626" s="12"/>
    </row>
    <row r="5627" spans="32:32" x14ac:dyDescent="0.2">
      <c r="AF5627" s="12"/>
    </row>
    <row r="5628" spans="32:32" x14ac:dyDescent="0.2">
      <c r="AF5628" s="12"/>
    </row>
    <row r="5629" spans="32:32" x14ac:dyDescent="0.2">
      <c r="AF5629" s="12"/>
    </row>
    <row r="5630" spans="32:32" x14ac:dyDescent="0.2">
      <c r="AF5630" s="12"/>
    </row>
    <row r="5631" spans="32:32" x14ac:dyDescent="0.2">
      <c r="AF5631" s="12"/>
    </row>
    <row r="5632" spans="32:32" x14ac:dyDescent="0.2">
      <c r="AF5632" s="12"/>
    </row>
    <row r="5633" spans="32:32" x14ac:dyDescent="0.2">
      <c r="AF5633" s="12"/>
    </row>
    <row r="5634" spans="32:32" x14ac:dyDescent="0.2">
      <c r="AF5634" s="12"/>
    </row>
    <row r="5635" spans="32:32" x14ac:dyDescent="0.2">
      <c r="AF5635" s="12"/>
    </row>
    <row r="5636" spans="32:32" x14ac:dyDescent="0.2">
      <c r="AF5636" s="12"/>
    </row>
    <row r="5637" spans="32:32" x14ac:dyDescent="0.2">
      <c r="AF5637" s="12"/>
    </row>
    <row r="5638" spans="32:32" x14ac:dyDescent="0.2">
      <c r="AF5638" s="12"/>
    </row>
    <row r="5639" spans="32:32" x14ac:dyDescent="0.2">
      <c r="AF5639" s="12"/>
    </row>
    <row r="5640" spans="32:32" x14ac:dyDescent="0.2">
      <c r="AF5640" s="12"/>
    </row>
    <row r="5641" spans="32:32" x14ac:dyDescent="0.2">
      <c r="AF5641" s="12"/>
    </row>
    <row r="5642" spans="32:32" x14ac:dyDescent="0.2">
      <c r="AF5642" s="12"/>
    </row>
    <row r="5643" spans="32:32" x14ac:dyDescent="0.2">
      <c r="AF5643" s="12"/>
    </row>
    <row r="5644" spans="32:32" x14ac:dyDescent="0.2">
      <c r="AF5644" s="12"/>
    </row>
    <row r="5645" spans="32:32" x14ac:dyDescent="0.2">
      <c r="AF5645" s="12"/>
    </row>
    <row r="5646" spans="32:32" x14ac:dyDescent="0.2">
      <c r="AF5646" s="12"/>
    </row>
    <row r="5647" spans="32:32" x14ac:dyDescent="0.2">
      <c r="AF5647" s="12"/>
    </row>
    <row r="5648" spans="32:32" x14ac:dyDescent="0.2">
      <c r="AF5648" s="12"/>
    </row>
    <row r="5649" spans="32:32" x14ac:dyDescent="0.2">
      <c r="AF5649" s="12"/>
    </row>
    <row r="5650" spans="32:32" x14ac:dyDescent="0.2">
      <c r="AF5650" s="12"/>
    </row>
    <row r="5651" spans="32:32" x14ac:dyDescent="0.2">
      <c r="AF5651" s="12"/>
    </row>
    <row r="5652" spans="32:32" x14ac:dyDescent="0.2">
      <c r="AF5652" s="12"/>
    </row>
    <row r="5653" spans="32:32" x14ac:dyDescent="0.2">
      <c r="AF5653" s="12"/>
    </row>
    <row r="5654" spans="32:32" x14ac:dyDescent="0.2">
      <c r="AF5654" s="12"/>
    </row>
    <row r="5655" spans="32:32" x14ac:dyDescent="0.2">
      <c r="AF5655" s="12"/>
    </row>
    <row r="5656" spans="32:32" x14ac:dyDescent="0.2">
      <c r="AF5656" s="12"/>
    </row>
    <row r="5657" spans="32:32" x14ac:dyDescent="0.2">
      <c r="AF5657" s="12"/>
    </row>
    <row r="5658" spans="32:32" x14ac:dyDescent="0.2">
      <c r="AF5658" s="12"/>
    </row>
    <row r="5659" spans="32:32" x14ac:dyDescent="0.2">
      <c r="AF5659" s="12"/>
    </row>
    <row r="5660" spans="32:32" x14ac:dyDescent="0.2">
      <c r="AF5660" s="12"/>
    </row>
    <row r="5661" spans="32:32" x14ac:dyDescent="0.2">
      <c r="AF5661" s="12"/>
    </row>
    <row r="5662" spans="32:32" x14ac:dyDescent="0.2">
      <c r="AF5662" s="12"/>
    </row>
    <row r="5663" spans="32:32" x14ac:dyDescent="0.2">
      <c r="AF5663" s="12"/>
    </row>
    <row r="5664" spans="32:32" x14ac:dyDescent="0.2">
      <c r="AF5664" s="12"/>
    </row>
    <row r="5665" spans="32:32" x14ac:dyDescent="0.2">
      <c r="AF5665" s="12"/>
    </row>
    <row r="5666" spans="32:32" x14ac:dyDescent="0.2">
      <c r="AF5666" s="12"/>
    </row>
    <row r="5667" spans="32:32" x14ac:dyDescent="0.2">
      <c r="AF5667" s="12"/>
    </row>
    <row r="5668" spans="32:32" x14ac:dyDescent="0.2">
      <c r="AF5668" s="12"/>
    </row>
    <row r="5669" spans="32:32" x14ac:dyDescent="0.2">
      <c r="AF5669" s="12"/>
    </row>
    <row r="5670" spans="32:32" x14ac:dyDescent="0.2">
      <c r="AF5670" s="12"/>
    </row>
    <row r="5671" spans="32:32" x14ac:dyDescent="0.2">
      <c r="AF5671" s="12"/>
    </row>
    <row r="5672" spans="32:32" x14ac:dyDescent="0.2">
      <c r="AF5672" s="12"/>
    </row>
    <row r="5673" spans="32:32" x14ac:dyDescent="0.2">
      <c r="AF5673" s="12"/>
    </row>
    <row r="5674" spans="32:32" x14ac:dyDescent="0.2">
      <c r="AF5674" s="12"/>
    </row>
    <row r="5675" spans="32:32" x14ac:dyDescent="0.2">
      <c r="AF5675" s="12"/>
    </row>
    <row r="5676" spans="32:32" x14ac:dyDescent="0.2">
      <c r="AF5676" s="12"/>
    </row>
    <row r="5677" spans="32:32" x14ac:dyDescent="0.2">
      <c r="AF5677" s="12"/>
    </row>
    <row r="5678" spans="32:32" x14ac:dyDescent="0.2">
      <c r="AF5678" s="12"/>
    </row>
    <row r="5679" spans="32:32" x14ac:dyDescent="0.2">
      <c r="AF5679" s="12"/>
    </row>
    <row r="5680" spans="32:32" x14ac:dyDescent="0.2">
      <c r="AF5680" s="12"/>
    </row>
    <row r="5681" spans="32:32" x14ac:dyDescent="0.2">
      <c r="AF5681" s="12"/>
    </row>
    <row r="5682" spans="32:32" x14ac:dyDescent="0.2">
      <c r="AF5682" s="12"/>
    </row>
    <row r="5683" spans="32:32" x14ac:dyDescent="0.2">
      <c r="AF5683" s="12"/>
    </row>
    <row r="5684" spans="32:32" x14ac:dyDescent="0.2">
      <c r="AF5684" s="12"/>
    </row>
    <row r="5685" spans="32:32" x14ac:dyDescent="0.2">
      <c r="AF5685" s="12"/>
    </row>
    <row r="5686" spans="32:32" x14ac:dyDescent="0.2">
      <c r="AF5686" s="12"/>
    </row>
    <row r="5687" spans="32:32" x14ac:dyDescent="0.2">
      <c r="AF5687" s="12"/>
    </row>
    <row r="5688" spans="32:32" x14ac:dyDescent="0.2">
      <c r="AF5688" s="12"/>
    </row>
    <row r="5689" spans="32:32" x14ac:dyDescent="0.2">
      <c r="AF5689" s="12"/>
    </row>
    <row r="5690" spans="32:32" x14ac:dyDescent="0.2">
      <c r="AF5690" s="12"/>
    </row>
    <row r="5691" spans="32:32" x14ac:dyDescent="0.2">
      <c r="AF5691" s="12"/>
    </row>
    <row r="5692" spans="32:32" x14ac:dyDescent="0.2">
      <c r="AF5692" s="12"/>
    </row>
    <row r="5693" spans="32:32" x14ac:dyDescent="0.2">
      <c r="AF5693" s="12"/>
    </row>
    <row r="5694" spans="32:32" x14ac:dyDescent="0.2">
      <c r="AF5694" s="12"/>
    </row>
    <row r="5695" spans="32:32" x14ac:dyDescent="0.2">
      <c r="AF5695" s="12"/>
    </row>
    <row r="5696" spans="32:32" x14ac:dyDescent="0.2">
      <c r="AF5696" s="12"/>
    </row>
    <row r="5697" spans="32:32" x14ac:dyDescent="0.2">
      <c r="AF5697" s="12"/>
    </row>
    <row r="5698" spans="32:32" x14ac:dyDescent="0.2">
      <c r="AF5698" s="12"/>
    </row>
    <row r="5699" spans="32:32" x14ac:dyDescent="0.2">
      <c r="AF5699" s="12"/>
    </row>
    <row r="5700" spans="32:32" x14ac:dyDescent="0.2">
      <c r="AF5700" s="12"/>
    </row>
    <row r="5701" spans="32:32" x14ac:dyDescent="0.2">
      <c r="AF5701" s="12"/>
    </row>
    <row r="5702" spans="32:32" x14ac:dyDescent="0.2">
      <c r="AF5702" s="12"/>
    </row>
    <row r="5703" spans="32:32" x14ac:dyDescent="0.2">
      <c r="AF5703" s="12"/>
    </row>
    <row r="5704" spans="32:32" x14ac:dyDescent="0.2">
      <c r="AF5704" s="12"/>
    </row>
    <row r="5705" spans="32:32" x14ac:dyDescent="0.2">
      <c r="AF5705" s="12"/>
    </row>
    <row r="5706" spans="32:32" x14ac:dyDescent="0.2">
      <c r="AF5706" s="12"/>
    </row>
    <row r="5707" spans="32:32" x14ac:dyDescent="0.2">
      <c r="AF5707" s="12"/>
    </row>
    <row r="5708" spans="32:32" x14ac:dyDescent="0.2">
      <c r="AF5708" s="12"/>
    </row>
    <row r="5709" spans="32:32" x14ac:dyDescent="0.2">
      <c r="AF5709" s="12"/>
    </row>
    <row r="5710" spans="32:32" x14ac:dyDescent="0.2">
      <c r="AF5710" s="12"/>
    </row>
    <row r="5711" spans="32:32" x14ac:dyDescent="0.2">
      <c r="AF5711" s="12"/>
    </row>
    <row r="5712" spans="32:32" x14ac:dyDescent="0.2">
      <c r="AF5712" s="12"/>
    </row>
    <row r="5713" spans="32:32" x14ac:dyDescent="0.2">
      <c r="AF5713" s="12"/>
    </row>
    <row r="5714" spans="32:32" x14ac:dyDescent="0.2">
      <c r="AF5714" s="12"/>
    </row>
    <row r="5715" spans="32:32" x14ac:dyDescent="0.2">
      <c r="AF5715" s="12"/>
    </row>
    <row r="5716" spans="32:32" x14ac:dyDescent="0.2">
      <c r="AF5716" s="12"/>
    </row>
    <row r="5717" spans="32:32" x14ac:dyDescent="0.2">
      <c r="AF5717" s="12"/>
    </row>
    <row r="5718" spans="32:32" x14ac:dyDescent="0.2">
      <c r="AF5718" s="12"/>
    </row>
    <row r="5719" spans="32:32" x14ac:dyDescent="0.2">
      <c r="AF5719" s="12"/>
    </row>
    <row r="5720" spans="32:32" x14ac:dyDescent="0.2">
      <c r="AF5720" s="12"/>
    </row>
    <row r="5721" spans="32:32" x14ac:dyDescent="0.2">
      <c r="AF5721" s="12"/>
    </row>
    <row r="5722" spans="32:32" x14ac:dyDescent="0.2">
      <c r="AF5722" s="12"/>
    </row>
    <row r="5723" spans="32:32" x14ac:dyDescent="0.2">
      <c r="AF5723" s="12"/>
    </row>
    <row r="5724" spans="32:32" x14ac:dyDescent="0.2">
      <c r="AF5724" s="12"/>
    </row>
    <row r="5725" spans="32:32" x14ac:dyDescent="0.2">
      <c r="AF5725" s="12"/>
    </row>
    <row r="5726" spans="32:32" x14ac:dyDescent="0.2">
      <c r="AF5726" s="12"/>
    </row>
    <row r="5727" spans="32:32" x14ac:dyDescent="0.2">
      <c r="AF5727" s="12"/>
    </row>
    <row r="5728" spans="32:32" x14ac:dyDescent="0.2">
      <c r="AF5728" s="12"/>
    </row>
    <row r="5729" spans="32:32" x14ac:dyDescent="0.2">
      <c r="AF5729" s="12"/>
    </row>
    <row r="5730" spans="32:32" x14ac:dyDescent="0.2">
      <c r="AF5730" s="12"/>
    </row>
    <row r="5731" spans="32:32" x14ac:dyDescent="0.2">
      <c r="AF5731" s="12"/>
    </row>
    <row r="5732" spans="32:32" x14ac:dyDescent="0.2">
      <c r="AF5732" s="12"/>
    </row>
    <row r="5733" spans="32:32" x14ac:dyDescent="0.2">
      <c r="AF5733" s="12"/>
    </row>
    <row r="5734" spans="32:32" x14ac:dyDescent="0.2">
      <c r="AF5734" s="12"/>
    </row>
    <row r="5735" spans="32:32" x14ac:dyDescent="0.2">
      <c r="AF5735" s="12"/>
    </row>
    <row r="5736" spans="32:32" x14ac:dyDescent="0.2">
      <c r="AF5736" s="12"/>
    </row>
    <row r="5737" spans="32:32" x14ac:dyDescent="0.2">
      <c r="AF5737" s="12"/>
    </row>
    <row r="5738" spans="32:32" x14ac:dyDescent="0.2">
      <c r="AF5738" s="12"/>
    </row>
    <row r="5739" spans="32:32" x14ac:dyDescent="0.2">
      <c r="AF5739" s="12"/>
    </row>
    <row r="5740" spans="32:32" x14ac:dyDescent="0.2">
      <c r="AF5740" s="12"/>
    </row>
    <row r="5741" spans="32:32" x14ac:dyDescent="0.2">
      <c r="AF5741" s="12"/>
    </row>
    <row r="5742" spans="32:32" x14ac:dyDescent="0.2">
      <c r="AF5742" s="12"/>
    </row>
    <row r="5743" spans="32:32" x14ac:dyDescent="0.2">
      <c r="AF5743" s="12"/>
    </row>
    <row r="5744" spans="32:32" x14ac:dyDescent="0.2">
      <c r="AF5744" s="12"/>
    </row>
    <row r="5745" spans="32:32" x14ac:dyDescent="0.2">
      <c r="AF5745" s="12"/>
    </row>
    <row r="5746" spans="32:32" x14ac:dyDescent="0.2">
      <c r="AF5746" s="12"/>
    </row>
    <row r="5747" spans="32:32" x14ac:dyDescent="0.2">
      <c r="AF5747" s="12"/>
    </row>
    <row r="5748" spans="32:32" x14ac:dyDescent="0.2">
      <c r="AF5748" s="12"/>
    </row>
    <row r="5749" spans="32:32" x14ac:dyDescent="0.2">
      <c r="AF5749" s="12"/>
    </row>
    <row r="5750" spans="32:32" x14ac:dyDescent="0.2">
      <c r="AF5750" s="12"/>
    </row>
    <row r="5751" spans="32:32" x14ac:dyDescent="0.2">
      <c r="AF5751" s="12"/>
    </row>
    <row r="5752" spans="32:32" x14ac:dyDescent="0.2">
      <c r="AF5752" s="12"/>
    </row>
    <row r="5753" spans="32:32" x14ac:dyDescent="0.2">
      <c r="AF5753" s="12"/>
    </row>
    <row r="5754" spans="32:32" x14ac:dyDescent="0.2">
      <c r="AF5754" s="12"/>
    </row>
    <row r="5755" spans="32:32" x14ac:dyDescent="0.2">
      <c r="AF5755" s="12"/>
    </row>
    <row r="5756" spans="32:32" x14ac:dyDescent="0.2">
      <c r="AF5756" s="12"/>
    </row>
    <row r="5757" spans="32:32" x14ac:dyDescent="0.2">
      <c r="AF5757" s="12"/>
    </row>
    <row r="5758" spans="32:32" x14ac:dyDescent="0.2">
      <c r="AF5758" s="12"/>
    </row>
    <row r="5759" spans="32:32" x14ac:dyDescent="0.2">
      <c r="AF5759" s="12"/>
    </row>
    <row r="5760" spans="32:32" x14ac:dyDescent="0.2">
      <c r="AF5760" s="12"/>
    </row>
    <row r="5761" spans="32:32" x14ac:dyDescent="0.2">
      <c r="AF5761" s="12"/>
    </row>
    <row r="5762" spans="32:32" x14ac:dyDescent="0.2">
      <c r="AF5762" s="12"/>
    </row>
    <row r="5763" spans="32:32" x14ac:dyDescent="0.2">
      <c r="AF5763" s="12"/>
    </row>
    <row r="5764" spans="32:32" x14ac:dyDescent="0.2">
      <c r="AF5764" s="12"/>
    </row>
    <row r="5765" spans="32:32" x14ac:dyDescent="0.2">
      <c r="AF5765" s="12"/>
    </row>
    <row r="5766" spans="32:32" x14ac:dyDescent="0.2">
      <c r="AF5766" s="12"/>
    </row>
    <row r="5767" spans="32:32" x14ac:dyDescent="0.2">
      <c r="AF5767" s="12"/>
    </row>
    <row r="5768" spans="32:32" x14ac:dyDescent="0.2">
      <c r="AF5768" s="12"/>
    </row>
    <row r="5769" spans="32:32" x14ac:dyDescent="0.2">
      <c r="AF5769" s="12"/>
    </row>
    <row r="5770" spans="32:32" x14ac:dyDescent="0.2">
      <c r="AF5770" s="12"/>
    </row>
    <row r="5771" spans="32:32" x14ac:dyDescent="0.2">
      <c r="AF5771" s="12"/>
    </row>
    <row r="5772" spans="32:32" x14ac:dyDescent="0.2">
      <c r="AF5772" s="12"/>
    </row>
    <row r="5773" spans="32:32" x14ac:dyDescent="0.2">
      <c r="AF5773" s="12"/>
    </row>
    <row r="5774" spans="32:32" x14ac:dyDescent="0.2">
      <c r="AF5774" s="12"/>
    </row>
    <row r="5775" spans="32:32" x14ac:dyDescent="0.2">
      <c r="AF5775" s="12"/>
    </row>
    <row r="5776" spans="32:32" x14ac:dyDescent="0.2">
      <c r="AF5776" s="12"/>
    </row>
    <row r="5777" spans="32:32" x14ac:dyDescent="0.2">
      <c r="AF5777" s="12"/>
    </row>
    <row r="5778" spans="32:32" x14ac:dyDescent="0.2">
      <c r="AF5778" s="12"/>
    </row>
    <row r="5779" spans="32:32" x14ac:dyDescent="0.2">
      <c r="AF5779" s="12"/>
    </row>
    <row r="5780" spans="32:32" x14ac:dyDescent="0.2">
      <c r="AF5780" s="12"/>
    </row>
    <row r="5781" spans="32:32" x14ac:dyDescent="0.2">
      <c r="AF5781" s="12"/>
    </row>
    <row r="5782" spans="32:32" x14ac:dyDescent="0.2">
      <c r="AF5782" s="12"/>
    </row>
    <row r="5783" spans="32:32" x14ac:dyDescent="0.2">
      <c r="AF5783" s="12"/>
    </row>
    <row r="5784" spans="32:32" x14ac:dyDescent="0.2">
      <c r="AF5784" s="12"/>
    </row>
    <row r="5785" spans="32:32" x14ac:dyDescent="0.2">
      <c r="AF5785" s="12"/>
    </row>
    <row r="5786" spans="32:32" x14ac:dyDescent="0.2">
      <c r="AF5786" s="12"/>
    </row>
    <row r="5787" spans="32:32" x14ac:dyDescent="0.2">
      <c r="AF5787" s="12"/>
    </row>
    <row r="5788" spans="32:32" x14ac:dyDescent="0.2">
      <c r="AF5788" s="12"/>
    </row>
    <row r="5789" spans="32:32" x14ac:dyDescent="0.2">
      <c r="AF5789" s="12"/>
    </row>
    <row r="5790" spans="32:32" x14ac:dyDescent="0.2">
      <c r="AF5790" s="12"/>
    </row>
    <row r="5791" spans="32:32" x14ac:dyDescent="0.2">
      <c r="AF5791" s="12"/>
    </row>
    <row r="5792" spans="32:32" x14ac:dyDescent="0.2">
      <c r="AF5792" s="12"/>
    </row>
    <row r="5793" spans="32:32" x14ac:dyDescent="0.2">
      <c r="AF5793" s="12"/>
    </row>
    <row r="5794" spans="32:32" x14ac:dyDescent="0.2">
      <c r="AF5794" s="12"/>
    </row>
    <row r="5795" spans="32:32" x14ac:dyDescent="0.2">
      <c r="AF5795" s="12"/>
    </row>
    <row r="5796" spans="32:32" x14ac:dyDescent="0.2">
      <c r="AF5796" s="12"/>
    </row>
    <row r="5797" spans="32:32" x14ac:dyDescent="0.2">
      <c r="AF5797" s="12"/>
    </row>
    <row r="5798" spans="32:32" x14ac:dyDescent="0.2">
      <c r="AF5798" s="12"/>
    </row>
    <row r="5799" spans="32:32" x14ac:dyDescent="0.2">
      <c r="AF5799" s="12"/>
    </row>
    <row r="5800" spans="32:32" x14ac:dyDescent="0.2">
      <c r="AF5800" s="12"/>
    </row>
    <row r="5801" spans="32:32" x14ac:dyDescent="0.2">
      <c r="AF5801" s="12"/>
    </row>
    <row r="5802" spans="32:32" x14ac:dyDescent="0.2">
      <c r="AF5802" s="12"/>
    </row>
    <row r="5803" spans="32:32" x14ac:dyDescent="0.2">
      <c r="AF5803" s="12"/>
    </row>
    <row r="5804" spans="32:32" x14ac:dyDescent="0.2">
      <c r="AF5804" s="12"/>
    </row>
    <row r="5805" spans="32:32" x14ac:dyDescent="0.2">
      <c r="AF5805" s="12"/>
    </row>
    <row r="5806" spans="32:32" x14ac:dyDescent="0.2">
      <c r="AF5806" s="12"/>
    </row>
    <row r="5807" spans="32:32" x14ac:dyDescent="0.2">
      <c r="AF5807" s="12"/>
    </row>
    <row r="5808" spans="32:32" x14ac:dyDescent="0.2">
      <c r="AF5808" s="12"/>
    </row>
    <row r="5809" spans="32:32" x14ac:dyDescent="0.2">
      <c r="AF5809" s="12"/>
    </row>
    <row r="5810" spans="32:32" x14ac:dyDescent="0.2">
      <c r="AF5810" s="12"/>
    </row>
    <row r="5811" spans="32:32" x14ac:dyDescent="0.2">
      <c r="AF5811" s="12"/>
    </row>
    <row r="5812" spans="32:32" x14ac:dyDescent="0.2">
      <c r="AF5812" s="12"/>
    </row>
    <row r="5813" spans="32:32" x14ac:dyDescent="0.2">
      <c r="AF5813" s="12"/>
    </row>
    <row r="5814" spans="32:32" x14ac:dyDescent="0.2">
      <c r="AF5814" s="12"/>
    </row>
    <row r="5815" spans="32:32" x14ac:dyDescent="0.2">
      <c r="AF5815" s="12"/>
    </row>
    <row r="5816" spans="32:32" x14ac:dyDescent="0.2">
      <c r="AF5816" s="12"/>
    </row>
    <row r="5817" spans="32:32" x14ac:dyDescent="0.2">
      <c r="AF5817" s="12"/>
    </row>
    <row r="5818" spans="32:32" x14ac:dyDescent="0.2">
      <c r="AF5818" s="12"/>
    </row>
    <row r="5819" spans="32:32" x14ac:dyDescent="0.2">
      <c r="AF5819" s="12"/>
    </row>
    <row r="5820" spans="32:32" x14ac:dyDescent="0.2">
      <c r="AF5820" s="12"/>
    </row>
    <row r="5821" spans="32:32" x14ac:dyDescent="0.2">
      <c r="AF5821" s="12"/>
    </row>
    <row r="5822" spans="32:32" x14ac:dyDescent="0.2">
      <c r="AF5822" s="12"/>
    </row>
    <row r="5823" spans="32:32" x14ac:dyDescent="0.2">
      <c r="AF5823" s="12"/>
    </row>
    <row r="5824" spans="32:32" x14ac:dyDescent="0.2">
      <c r="AF5824" s="12"/>
    </row>
    <row r="5825" spans="32:32" x14ac:dyDescent="0.2">
      <c r="AF5825" s="12"/>
    </row>
    <row r="5826" spans="32:32" x14ac:dyDescent="0.2">
      <c r="AF5826" s="12"/>
    </row>
    <row r="5827" spans="32:32" x14ac:dyDescent="0.2">
      <c r="AF5827" s="12"/>
    </row>
    <row r="5828" spans="32:32" x14ac:dyDescent="0.2">
      <c r="AF5828" s="12"/>
    </row>
    <row r="5829" spans="32:32" x14ac:dyDescent="0.2">
      <c r="AF5829" s="12"/>
    </row>
    <row r="5830" spans="32:32" x14ac:dyDescent="0.2">
      <c r="AF5830" s="12"/>
    </row>
    <row r="5831" spans="32:32" x14ac:dyDescent="0.2">
      <c r="AF5831" s="12"/>
    </row>
    <row r="5832" spans="32:32" x14ac:dyDescent="0.2">
      <c r="AF5832" s="12"/>
    </row>
    <row r="5833" spans="32:32" x14ac:dyDescent="0.2">
      <c r="AF5833" s="12"/>
    </row>
    <row r="5834" spans="32:32" x14ac:dyDescent="0.2">
      <c r="AF5834" s="12"/>
    </row>
    <row r="5835" spans="32:32" x14ac:dyDescent="0.2">
      <c r="AF5835" s="12"/>
    </row>
    <row r="5836" spans="32:32" x14ac:dyDescent="0.2">
      <c r="AF5836" s="12"/>
    </row>
    <row r="5837" spans="32:32" x14ac:dyDescent="0.2">
      <c r="AF5837" s="12"/>
    </row>
    <row r="5838" spans="32:32" x14ac:dyDescent="0.2">
      <c r="AF5838" s="12"/>
    </row>
    <row r="5839" spans="32:32" x14ac:dyDescent="0.2">
      <c r="AF5839" s="12"/>
    </row>
    <row r="5840" spans="32:32" x14ac:dyDescent="0.2">
      <c r="AF5840" s="12"/>
    </row>
    <row r="5841" spans="32:32" x14ac:dyDescent="0.2">
      <c r="AF5841" s="12"/>
    </row>
    <row r="5842" spans="32:32" x14ac:dyDescent="0.2">
      <c r="AF5842" s="12"/>
    </row>
    <row r="5843" spans="32:32" x14ac:dyDescent="0.2">
      <c r="AF5843" s="12"/>
    </row>
    <row r="5844" spans="32:32" x14ac:dyDescent="0.2">
      <c r="AF5844" s="12"/>
    </row>
    <row r="5845" spans="32:32" x14ac:dyDescent="0.2">
      <c r="AF5845" s="12"/>
    </row>
    <row r="5846" spans="32:32" x14ac:dyDescent="0.2">
      <c r="AF5846" s="12"/>
    </row>
    <row r="5847" spans="32:32" x14ac:dyDescent="0.2">
      <c r="AF5847" s="12"/>
    </row>
    <row r="5848" spans="32:32" x14ac:dyDescent="0.2">
      <c r="AF5848" s="12"/>
    </row>
    <row r="5849" spans="32:32" x14ac:dyDescent="0.2">
      <c r="AF5849" s="12"/>
    </row>
    <row r="5850" spans="32:32" x14ac:dyDescent="0.2">
      <c r="AF5850" s="12"/>
    </row>
    <row r="5851" spans="32:32" x14ac:dyDescent="0.2">
      <c r="AF5851" s="12"/>
    </row>
    <row r="5852" spans="32:32" x14ac:dyDescent="0.2">
      <c r="AF5852" s="12"/>
    </row>
    <row r="5853" spans="32:32" x14ac:dyDescent="0.2">
      <c r="AF5853" s="12"/>
    </row>
    <row r="5854" spans="32:32" x14ac:dyDescent="0.2">
      <c r="AF5854" s="12"/>
    </row>
    <row r="5855" spans="32:32" x14ac:dyDescent="0.2">
      <c r="AF5855" s="12"/>
    </row>
    <row r="5856" spans="32:32" x14ac:dyDescent="0.2">
      <c r="AF5856" s="12"/>
    </row>
    <row r="5857" spans="32:32" x14ac:dyDescent="0.2">
      <c r="AF5857" s="12"/>
    </row>
    <row r="5858" spans="32:32" x14ac:dyDescent="0.2">
      <c r="AF5858" s="12"/>
    </row>
    <row r="5859" spans="32:32" x14ac:dyDescent="0.2">
      <c r="AF5859" s="12"/>
    </row>
    <row r="5860" spans="32:32" x14ac:dyDescent="0.2">
      <c r="AF5860" s="12"/>
    </row>
    <row r="5861" spans="32:32" x14ac:dyDescent="0.2">
      <c r="AF5861" s="12"/>
    </row>
    <row r="5862" spans="32:32" x14ac:dyDescent="0.2">
      <c r="AF5862" s="12"/>
    </row>
    <row r="5863" spans="32:32" x14ac:dyDescent="0.2">
      <c r="AF5863" s="12"/>
    </row>
    <row r="5864" spans="32:32" x14ac:dyDescent="0.2">
      <c r="AF5864" s="12"/>
    </row>
    <row r="5865" spans="32:32" x14ac:dyDescent="0.2">
      <c r="AF5865" s="12"/>
    </row>
    <row r="5866" spans="32:32" x14ac:dyDescent="0.2">
      <c r="AF5866" s="12"/>
    </row>
    <row r="5867" spans="32:32" x14ac:dyDescent="0.2">
      <c r="AF5867" s="12"/>
    </row>
    <row r="5868" spans="32:32" x14ac:dyDescent="0.2">
      <c r="AF5868" s="12"/>
    </row>
    <row r="5869" spans="32:32" x14ac:dyDescent="0.2">
      <c r="AF5869" s="12"/>
    </row>
    <row r="5870" spans="32:32" x14ac:dyDescent="0.2">
      <c r="AF5870" s="12"/>
    </row>
    <row r="5871" spans="32:32" x14ac:dyDescent="0.2">
      <c r="AF5871" s="12"/>
    </row>
    <row r="5872" spans="32:32" x14ac:dyDescent="0.2">
      <c r="AF5872" s="12"/>
    </row>
    <row r="5873" spans="32:32" x14ac:dyDescent="0.2">
      <c r="AF5873" s="12"/>
    </row>
    <row r="5874" spans="32:32" x14ac:dyDescent="0.2">
      <c r="AF5874" s="12"/>
    </row>
    <row r="5875" spans="32:32" x14ac:dyDescent="0.2">
      <c r="AF5875" s="12"/>
    </row>
    <row r="5876" spans="32:32" x14ac:dyDescent="0.2">
      <c r="AF5876" s="12"/>
    </row>
    <row r="5877" spans="32:32" x14ac:dyDescent="0.2">
      <c r="AF5877" s="12"/>
    </row>
    <row r="5878" spans="32:32" x14ac:dyDescent="0.2">
      <c r="AF5878" s="12"/>
    </row>
    <row r="5879" spans="32:32" x14ac:dyDescent="0.2">
      <c r="AF5879" s="12"/>
    </row>
    <row r="5880" spans="32:32" x14ac:dyDescent="0.2">
      <c r="AF5880" s="12"/>
    </row>
    <row r="5881" spans="32:32" x14ac:dyDescent="0.2">
      <c r="AF5881" s="12"/>
    </row>
    <row r="5882" spans="32:32" x14ac:dyDescent="0.2">
      <c r="AF5882" s="12"/>
    </row>
    <row r="5883" spans="32:32" x14ac:dyDescent="0.2">
      <c r="AF5883" s="12"/>
    </row>
    <row r="5884" spans="32:32" x14ac:dyDescent="0.2">
      <c r="AF5884" s="12"/>
    </row>
    <row r="5885" spans="32:32" x14ac:dyDescent="0.2">
      <c r="AF5885" s="12"/>
    </row>
    <row r="5886" spans="32:32" x14ac:dyDescent="0.2">
      <c r="AF5886" s="12"/>
    </row>
    <row r="5887" spans="32:32" x14ac:dyDescent="0.2">
      <c r="AF5887" s="12"/>
    </row>
    <row r="5888" spans="32:32" x14ac:dyDescent="0.2">
      <c r="AF5888" s="12"/>
    </row>
    <row r="5889" spans="32:32" x14ac:dyDescent="0.2">
      <c r="AF5889" s="12"/>
    </row>
    <row r="5890" spans="32:32" x14ac:dyDescent="0.2">
      <c r="AF5890" s="12"/>
    </row>
    <row r="5891" spans="32:32" x14ac:dyDescent="0.2">
      <c r="AF5891" s="12"/>
    </row>
    <row r="5892" spans="32:32" x14ac:dyDescent="0.2">
      <c r="AF5892" s="12"/>
    </row>
    <row r="5893" spans="32:32" x14ac:dyDescent="0.2">
      <c r="AF5893" s="12"/>
    </row>
    <row r="5894" spans="32:32" x14ac:dyDescent="0.2">
      <c r="AF5894" s="12"/>
    </row>
    <row r="5895" spans="32:32" x14ac:dyDescent="0.2">
      <c r="AF5895" s="12"/>
    </row>
    <row r="5896" spans="32:32" x14ac:dyDescent="0.2">
      <c r="AF5896" s="12"/>
    </row>
    <row r="5897" spans="32:32" x14ac:dyDescent="0.2">
      <c r="AF5897" s="12"/>
    </row>
    <row r="5898" spans="32:32" x14ac:dyDescent="0.2">
      <c r="AF5898" s="12"/>
    </row>
    <row r="5899" spans="32:32" x14ac:dyDescent="0.2">
      <c r="AF5899" s="12"/>
    </row>
    <row r="5900" spans="32:32" x14ac:dyDescent="0.2">
      <c r="AF5900" s="12"/>
    </row>
    <row r="5901" spans="32:32" x14ac:dyDescent="0.2">
      <c r="AF5901" s="12"/>
    </row>
    <row r="5902" spans="32:32" x14ac:dyDescent="0.2">
      <c r="AF5902" s="12"/>
    </row>
    <row r="5903" spans="32:32" x14ac:dyDescent="0.2">
      <c r="AF5903" s="12"/>
    </row>
    <row r="5904" spans="32:32" x14ac:dyDescent="0.2">
      <c r="AF5904" s="12"/>
    </row>
    <row r="5905" spans="32:32" x14ac:dyDescent="0.2">
      <c r="AF5905" s="12"/>
    </row>
    <row r="5906" spans="32:32" x14ac:dyDescent="0.2">
      <c r="AF5906" s="12"/>
    </row>
    <row r="5907" spans="32:32" x14ac:dyDescent="0.2">
      <c r="AF5907" s="12"/>
    </row>
    <row r="5908" spans="32:32" x14ac:dyDescent="0.2">
      <c r="AF5908" s="12"/>
    </row>
    <row r="5909" spans="32:32" x14ac:dyDescent="0.2">
      <c r="AF5909" s="12"/>
    </row>
    <row r="5910" spans="32:32" x14ac:dyDescent="0.2">
      <c r="AF5910" s="12"/>
    </row>
    <row r="5911" spans="32:32" x14ac:dyDescent="0.2">
      <c r="AF5911" s="12"/>
    </row>
    <row r="5912" spans="32:32" x14ac:dyDescent="0.2">
      <c r="AF5912" s="12"/>
    </row>
    <row r="5913" spans="32:32" x14ac:dyDescent="0.2">
      <c r="AF5913" s="12"/>
    </row>
    <row r="5914" spans="32:32" x14ac:dyDescent="0.2">
      <c r="AF5914" s="12"/>
    </row>
    <row r="5915" spans="32:32" x14ac:dyDescent="0.2">
      <c r="AF5915" s="12"/>
    </row>
    <row r="5916" spans="32:32" x14ac:dyDescent="0.2">
      <c r="AF5916" s="12"/>
    </row>
    <row r="5917" spans="32:32" x14ac:dyDescent="0.2">
      <c r="AF5917" s="12"/>
    </row>
    <row r="5918" spans="32:32" x14ac:dyDescent="0.2">
      <c r="AF5918" s="12"/>
    </row>
    <row r="5919" spans="32:32" x14ac:dyDescent="0.2">
      <c r="AF5919" s="12"/>
    </row>
    <row r="5920" spans="32:32" x14ac:dyDescent="0.2">
      <c r="AF5920" s="12"/>
    </row>
    <row r="5921" spans="32:32" x14ac:dyDescent="0.2">
      <c r="AF5921" s="12"/>
    </row>
    <row r="5922" spans="32:32" x14ac:dyDescent="0.2">
      <c r="AF5922" s="12"/>
    </row>
    <row r="5923" spans="32:32" x14ac:dyDescent="0.2">
      <c r="AF5923" s="12"/>
    </row>
    <row r="5924" spans="32:32" x14ac:dyDescent="0.2">
      <c r="AF5924" s="12"/>
    </row>
    <row r="5925" spans="32:32" x14ac:dyDescent="0.2">
      <c r="AF5925" s="12"/>
    </row>
    <row r="5926" spans="32:32" x14ac:dyDescent="0.2">
      <c r="AF5926" s="12"/>
    </row>
    <row r="5927" spans="32:32" x14ac:dyDescent="0.2">
      <c r="AF5927" s="12"/>
    </row>
    <row r="5928" spans="32:32" x14ac:dyDescent="0.2">
      <c r="AF5928" s="12"/>
    </row>
    <row r="5929" spans="32:32" x14ac:dyDescent="0.2">
      <c r="AF5929" s="12"/>
    </row>
    <row r="5930" spans="32:32" x14ac:dyDescent="0.2">
      <c r="AF5930" s="12"/>
    </row>
    <row r="5931" spans="32:32" x14ac:dyDescent="0.2">
      <c r="AF5931" s="12"/>
    </row>
    <row r="5932" spans="32:32" x14ac:dyDescent="0.2">
      <c r="AF5932" s="12"/>
    </row>
    <row r="5933" spans="32:32" x14ac:dyDescent="0.2">
      <c r="AF5933" s="12"/>
    </row>
    <row r="5934" spans="32:32" x14ac:dyDescent="0.2">
      <c r="AF5934" s="12"/>
    </row>
    <row r="5935" spans="32:32" x14ac:dyDescent="0.2">
      <c r="AF5935" s="12"/>
    </row>
    <row r="5936" spans="32:32" x14ac:dyDescent="0.2">
      <c r="AF5936" s="12"/>
    </row>
    <row r="5937" spans="32:32" x14ac:dyDescent="0.2">
      <c r="AF5937" s="12"/>
    </row>
    <row r="5938" spans="32:32" x14ac:dyDescent="0.2">
      <c r="AF5938" s="12"/>
    </row>
    <row r="5939" spans="32:32" x14ac:dyDescent="0.2">
      <c r="AF5939" s="12"/>
    </row>
    <row r="5940" spans="32:32" x14ac:dyDescent="0.2">
      <c r="AF5940" s="12"/>
    </row>
    <row r="5941" spans="32:32" x14ac:dyDescent="0.2">
      <c r="AF5941" s="12"/>
    </row>
    <row r="5942" spans="32:32" x14ac:dyDescent="0.2">
      <c r="AF5942" s="12"/>
    </row>
    <row r="5943" spans="32:32" x14ac:dyDescent="0.2">
      <c r="AF5943" s="12"/>
    </row>
    <row r="5944" spans="32:32" x14ac:dyDescent="0.2">
      <c r="AF5944" s="12"/>
    </row>
    <row r="5945" spans="32:32" x14ac:dyDescent="0.2">
      <c r="AF5945" s="12"/>
    </row>
    <row r="5946" spans="32:32" x14ac:dyDescent="0.2">
      <c r="AF5946" s="12"/>
    </row>
    <row r="5947" spans="32:32" x14ac:dyDescent="0.2">
      <c r="AF5947" s="12"/>
    </row>
    <row r="5948" spans="32:32" x14ac:dyDescent="0.2">
      <c r="AF5948" s="12"/>
    </row>
    <row r="5949" spans="32:32" x14ac:dyDescent="0.2">
      <c r="AF5949" s="12"/>
    </row>
    <row r="5950" spans="32:32" x14ac:dyDescent="0.2">
      <c r="AF5950" s="12"/>
    </row>
    <row r="5951" spans="32:32" x14ac:dyDescent="0.2">
      <c r="AF5951" s="12"/>
    </row>
    <row r="5952" spans="32:32" x14ac:dyDescent="0.2">
      <c r="AF5952" s="12"/>
    </row>
    <row r="5953" spans="32:32" x14ac:dyDescent="0.2">
      <c r="AF5953" s="12"/>
    </row>
    <row r="5954" spans="32:32" x14ac:dyDescent="0.2">
      <c r="AF5954" s="12"/>
    </row>
    <row r="5955" spans="32:32" x14ac:dyDescent="0.2">
      <c r="AF5955" s="12"/>
    </row>
    <row r="5956" spans="32:32" x14ac:dyDescent="0.2">
      <c r="AF5956" s="12"/>
    </row>
    <row r="5957" spans="32:32" x14ac:dyDescent="0.2">
      <c r="AF5957" s="12"/>
    </row>
    <row r="5958" spans="32:32" x14ac:dyDescent="0.2">
      <c r="AF5958" s="12"/>
    </row>
    <row r="5959" spans="32:32" x14ac:dyDescent="0.2">
      <c r="AF5959" s="12"/>
    </row>
    <row r="5960" spans="32:32" x14ac:dyDescent="0.2">
      <c r="AF5960" s="12"/>
    </row>
    <row r="5961" spans="32:32" x14ac:dyDescent="0.2">
      <c r="AF5961" s="12"/>
    </row>
    <row r="5962" spans="32:32" x14ac:dyDescent="0.2">
      <c r="AF5962" s="12"/>
    </row>
    <row r="5963" spans="32:32" x14ac:dyDescent="0.2">
      <c r="AF5963" s="12"/>
    </row>
    <row r="5964" spans="32:32" x14ac:dyDescent="0.2">
      <c r="AF5964" s="12"/>
    </row>
    <row r="5965" spans="32:32" x14ac:dyDescent="0.2">
      <c r="AF5965" s="12"/>
    </row>
    <row r="5966" spans="32:32" x14ac:dyDescent="0.2">
      <c r="AF5966" s="12"/>
    </row>
    <row r="5967" spans="32:32" x14ac:dyDescent="0.2">
      <c r="AF5967" s="12"/>
    </row>
    <row r="5968" spans="32:32" x14ac:dyDescent="0.2">
      <c r="AF5968" s="12"/>
    </row>
    <row r="5969" spans="32:32" x14ac:dyDescent="0.2">
      <c r="AF5969" s="12"/>
    </row>
    <row r="5970" spans="32:32" x14ac:dyDescent="0.2">
      <c r="AF5970" s="12"/>
    </row>
    <row r="5971" spans="32:32" x14ac:dyDescent="0.2">
      <c r="AF5971" s="12"/>
    </row>
    <row r="5972" spans="32:32" x14ac:dyDescent="0.2">
      <c r="AF5972" s="12"/>
    </row>
    <row r="5973" spans="32:32" x14ac:dyDescent="0.2">
      <c r="AF5973" s="12"/>
    </row>
    <row r="5974" spans="32:32" x14ac:dyDescent="0.2">
      <c r="AF5974" s="12"/>
    </row>
    <row r="5975" spans="32:32" x14ac:dyDescent="0.2">
      <c r="AF5975" s="12"/>
    </row>
    <row r="5976" spans="32:32" x14ac:dyDescent="0.2">
      <c r="AF5976" s="12"/>
    </row>
    <row r="5977" spans="32:32" x14ac:dyDescent="0.2">
      <c r="AF5977" s="12"/>
    </row>
    <row r="5978" spans="32:32" x14ac:dyDescent="0.2">
      <c r="AF5978" s="12"/>
    </row>
    <row r="5979" spans="32:32" x14ac:dyDescent="0.2">
      <c r="AF5979" s="12"/>
    </row>
    <row r="5980" spans="32:32" x14ac:dyDescent="0.2">
      <c r="AF5980" s="12"/>
    </row>
    <row r="5981" spans="32:32" x14ac:dyDescent="0.2">
      <c r="AF5981" s="12"/>
    </row>
    <row r="5982" spans="32:32" x14ac:dyDescent="0.2">
      <c r="AF5982" s="12"/>
    </row>
    <row r="5983" spans="32:32" x14ac:dyDescent="0.2">
      <c r="AF5983" s="12"/>
    </row>
    <row r="5984" spans="32:32" x14ac:dyDescent="0.2">
      <c r="AF5984" s="12"/>
    </row>
    <row r="5985" spans="32:32" x14ac:dyDescent="0.2">
      <c r="AF5985" s="12"/>
    </row>
    <row r="5986" spans="32:32" x14ac:dyDescent="0.2">
      <c r="AF5986" s="12"/>
    </row>
    <row r="5987" spans="32:32" x14ac:dyDescent="0.2">
      <c r="AF5987" s="12"/>
    </row>
    <row r="5988" spans="32:32" x14ac:dyDescent="0.2">
      <c r="AF5988" s="12"/>
    </row>
    <row r="5989" spans="32:32" x14ac:dyDescent="0.2">
      <c r="AF5989" s="12"/>
    </row>
    <row r="5990" spans="32:32" x14ac:dyDescent="0.2">
      <c r="AF5990" s="12"/>
    </row>
    <row r="5991" spans="32:32" x14ac:dyDescent="0.2">
      <c r="AF5991" s="12"/>
    </row>
    <row r="5992" spans="32:32" x14ac:dyDescent="0.2">
      <c r="AF5992" s="12"/>
    </row>
    <row r="5993" spans="32:32" x14ac:dyDescent="0.2">
      <c r="AF5993" s="12"/>
    </row>
    <row r="5994" spans="32:32" x14ac:dyDescent="0.2">
      <c r="AF5994" s="12"/>
    </row>
    <row r="5995" spans="32:32" x14ac:dyDescent="0.2">
      <c r="AF5995" s="12"/>
    </row>
    <row r="5996" spans="32:32" x14ac:dyDescent="0.2">
      <c r="AF5996" s="12"/>
    </row>
    <row r="5997" spans="32:32" x14ac:dyDescent="0.2">
      <c r="AF5997" s="12"/>
    </row>
    <row r="5998" spans="32:32" x14ac:dyDescent="0.2">
      <c r="AF5998" s="12"/>
    </row>
    <row r="5999" spans="32:32" x14ac:dyDescent="0.2">
      <c r="AF5999" s="12"/>
    </row>
    <row r="6000" spans="32:32" x14ac:dyDescent="0.2">
      <c r="AF6000" s="12"/>
    </row>
    <row r="6001" spans="32:32" x14ac:dyDescent="0.2">
      <c r="AF6001" s="12"/>
    </row>
    <row r="6002" spans="32:32" x14ac:dyDescent="0.2">
      <c r="AF6002" s="12"/>
    </row>
    <row r="6003" spans="32:32" x14ac:dyDescent="0.2">
      <c r="AF6003" s="12"/>
    </row>
    <row r="6004" spans="32:32" x14ac:dyDescent="0.2">
      <c r="AF6004" s="12"/>
    </row>
    <row r="6005" spans="32:32" x14ac:dyDescent="0.2">
      <c r="AF6005" s="12"/>
    </row>
    <row r="6006" spans="32:32" x14ac:dyDescent="0.2">
      <c r="AF6006" s="12"/>
    </row>
    <row r="6007" spans="32:32" x14ac:dyDescent="0.2">
      <c r="AF6007" s="12"/>
    </row>
    <row r="6008" spans="32:32" x14ac:dyDescent="0.2">
      <c r="AF6008" s="12"/>
    </row>
    <row r="6009" spans="32:32" x14ac:dyDescent="0.2">
      <c r="AF6009" s="12"/>
    </row>
    <row r="6010" spans="32:32" x14ac:dyDescent="0.2">
      <c r="AF6010" s="12"/>
    </row>
    <row r="6011" spans="32:32" x14ac:dyDescent="0.2">
      <c r="AF6011" s="12"/>
    </row>
    <row r="6012" spans="32:32" x14ac:dyDescent="0.2">
      <c r="AF6012" s="12"/>
    </row>
    <row r="6013" spans="32:32" x14ac:dyDescent="0.2">
      <c r="AF6013" s="12"/>
    </row>
    <row r="6014" spans="32:32" x14ac:dyDescent="0.2">
      <c r="AF6014" s="12"/>
    </row>
    <row r="6015" spans="32:32" x14ac:dyDescent="0.2">
      <c r="AF6015" s="12"/>
    </row>
    <row r="6016" spans="32:32" x14ac:dyDescent="0.2">
      <c r="AF6016" s="12"/>
    </row>
    <row r="6017" spans="32:32" x14ac:dyDescent="0.2">
      <c r="AF6017" s="12"/>
    </row>
    <row r="6018" spans="32:32" x14ac:dyDescent="0.2">
      <c r="AF6018" s="12"/>
    </row>
    <row r="6019" spans="32:32" x14ac:dyDescent="0.2">
      <c r="AF6019" s="12"/>
    </row>
    <row r="6020" spans="32:32" x14ac:dyDescent="0.2">
      <c r="AF6020" s="12"/>
    </row>
    <row r="6021" spans="32:32" x14ac:dyDescent="0.2">
      <c r="AF6021" s="12"/>
    </row>
    <row r="6022" spans="32:32" x14ac:dyDescent="0.2">
      <c r="AF6022" s="12"/>
    </row>
    <row r="6023" spans="32:32" x14ac:dyDescent="0.2">
      <c r="AF6023" s="12"/>
    </row>
    <row r="6024" spans="32:32" x14ac:dyDescent="0.2">
      <c r="AF6024" s="12"/>
    </row>
    <row r="6025" spans="32:32" x14ac:dyDescent="0.2">
      <c r="AF6025" s="12"/>
    </row>
    <row r="6026" spans="32:32" x14ac:dyDescent="0.2">
      <c r="AF6026" s="12"/>
    </row>
    <row r="6027" spans="32:32" x14ac:dyDescent="0.2">
      <c r="AF6027" s="12"/>
    </row>
    <row r="6028" spans="32:32" x14ac:dyDescent="0.2">
      <c r="AF6028" s="12"/>
    </row>
    <row r="6029" spans="32:32" x14ac:dyDescent="0.2">
      <c r="AF6029" s="12"/>
    </row>
    <row r="6030" spans="32:32" x14ac:dyDescent="0.2">
      <c r="AF6030" s="12"/>
    </row>
    <row r="6031" spans="32:32" x14ac:dyDescent="0.2">
      <c r="AF6031" s="12"/>
    </row>
    <row r="6032" spans="32:32" x14ac:dyDescent="0.2">
      <c r="AF6032" s="12"/>
    </row>
    <row r="6033" spans="32:32" x14ac:dyDescent="0.2">
      <c r="AF6033" s="12"/>
    </row>
    <row r="6034" spans="32:32" x14ac:dyDescent="0.2">
      <c r="AF6034" s="12"/>
    </row>
    <row r="6035" spans="32:32" x14ac:dyDescent="0.2">
      <c r="AF6035" s="12"/>
    </row>
    <row r="6036" spans="32:32" x14ac:dyDescent="0.2">
      <c r="AF6036" s="12"/>
    </row>
    <row r="6037" spans="32:32" x14ac:dyDescent="0.2">
      <c r="AF6037" s="12"/>
    </row>
    <row r="6038" spans="32:32" x14ac:dyDescent="0.2">
      <c r="AF6038" s="12"/>
    </row>
    <row r="6039" spans="32:32" x14ac:dyDescent="0.2">
      <c r="AF6039" s="12"/>
    </row>
    <row r="6040" spans="32:32" x14ac:dyDescent="0.2">
      <c r="AF6040" s="12"/>
    </row>
    <row r="6041" spans="32:32" x14ac:dyDescent="0.2">
      <c r="AF6041" s="12"/>
    </row>
    <row r="6042" spans="32:32" x14ac:dyDescent="0.2">
      <c r="AF6042" s="12"/>
    </row>
    <row r="6043" spans="32:32" x14ac:dyDescent="0.2">
      <c r="AF6043" s="12"/>
    </row>
    <row r="6044" spans="32:32" x14ac:dyDescent="0.2">
      <c r="AF6044" s="12"/>
    </row>
    <row r="6045" spans="32:32" x14ac:dyDescent="0.2">
      <c r="AF6045" s="12"/>
    </row>
    <row r="6046" spans="32:32" x14ac:dyDescent="0.2">
      <c r="AF6046" s="12"/>
    </row>
    <row r="6047" spans="32:32" x14ac:dyDescent="0.2">
      <c r="AF6047" s="12"/>
    </row>
    <row r="6048" spans="32:32" x14ac:dyDescent="0.2">
      <c r="AF6048" s="12"/>
    </row>
    <row r="6049" spans="32:32" x14ac:dyDescent="0.2">
      <c r="AF6049" s="12"/>
    </row>
    <row r="6050" spans="32:32" x14ac:dyDescent="0.2">
      <c r="AF6050" s="12"/>
    </row>
    <row r="6051" spans="32:32" x14ac:dyDescent="0.2">
      <c r="AF6051" s="12"/>
    </row>
    <row r="6052" spans="32:32" x14ac:dyDescent="0.2">
      <c r="AF6052" s="12"/>
    </row>
    <row r="6053" spans="32:32" x14ac:dyDescent="0.2">
      <c r="AF6053" s="12"/>
    </row>
    <row r="6054" spans="32:32" x14ac:dyDescent="0.2">
      <c r="AF6054" s="12"/>
    </row>
    <row r="6055" spans="32:32" x14ac:dyDescent="0.2">
      <c r="AF6055" s="12"/>
    </row>
    <row r="6056" spans="32:32" x14ac:dyDescent="0.2">
      <c r="AF6056" s="12"/>
    </row>
    <row r="6057" spans="32:32" x14ac:dyDescent="0.2">
      <c r="AF6057" s="12"/>
    </row>
    <row r="6058" spans="32:32" x14ac:dyDescent="0.2">
      <c r="AF6058" s="12"/>
    </row>
    <row r="6059" spans="32:32" x14ac:dyDescent="0.2">
      <c r="AF6059" s="12"/>
    </row>
    <row r="6060" spans="32:32" x14ac:dyDescent="0.2">
      <c r="AF6060" s="12"/>
    </row>
    <row r="6061" spans="32:32" x14ac:dyDescent="0.2">
      <c r="AF6061" s="12"/>
    </row>
    <row r="6062" spans="32:32" x14ac:dyDescent="0.2">
      <c r="AF6062" s="12"/>
    </row>
    <row r="6063" spans="32:32" x14ac:dyDescent="0.2">
      <c r="AF6063" s="12"/>
    </row>
    <row r="6064" spans="32:32" x14ac:dyDescent="0.2">
      <c r="AF6064" s="12"/>
    </row>
    <row r="6065" spans="32:32" x14ac:dyDescent="0.2">
      <c r="AF6065" s="12"/>
    </row>
    <row r="6066" spans="32:32" x14ac:dyDescent="0.2">
      <c r="AF6066" s="12"/>
    </row>
    <row r="6067" spans="32:32" x14ac:dyDescent="0.2">
      <c r="AF6067" s="12"/>
    </row>
    <row r="6068" spans="32:32" x14ac:dyDescent="0.2">
      <c r="AF6068" s="12"/>
    </row>
    <row r="6069" spans="32:32" x14ac:dyDescent="0.2">
      <c r="AF6069" s="12"/>
    </row>
    <row r="6070" spans="32:32" x14ac:dyDescent="0.2">
      <c r="AF6070" s="12"/>
    </row>
    <row r="6071" spans="32:32" x14ac:dyDescent="0.2">
      <c r="AF6071" s="12"/>
    </row>
    <row r="6072" spans="32:32" x14ac:dyDescent="0.2">
      <c r="AF6072" s="12"/>
    </row>
    <row r="6073" spans="32:32" x14ac:dyDescent="0.2">
      <c r="AF6073" s="12"/>
    </row>
    <row r="6074" spans="32:32" x14ac:dyDescent="0.2">
      <c r="AF6074" s="12"/>
    </row>
    <row r="6075" spans="32:32" x14ac:dyDescent="0.2">
      <c r="AF6075" s="12"/>
    </row>
    <row r="6076" spans="32:32" x14ac:dyDescent="0.2">
      <c r="AF6076" s="12"/>
    </row>
    <row r="6077" spans="32:32" x14ac:dyDescent="0.2">
      <c r="AF6077" s="12"/>
    </row>
    <row r="6078" spans="32:32" x14ac:dyDescent="0.2">
      <c r="AF6078" s="12"/>
    </row>
    <row r="6079" spans="32:32" x14ac:dyDescent="0.2">
      <c r="AF6079" s="12"/>
    </row>
    <row r="6080" spans="32:32" x14ac:dyDescent="0.2">
      <c r="AF6080" s="12"/>
    </row>
    <row r="6081" spans="32:32" x14ac:dyDescent="0.2">
      <c r="AF6081" s="12"/>
    </row>
    <row r="6082" spans="32:32" x14ac:dyDescent="0.2">
      <c r="AF6082" s="12"/>
    </row>
    <row r="6083" spans="32:32" x14ac:dyDescent="0.2">
      <c r="AF6083" s="12"/>
    </row>
    <row r="6084" spans="32:32" x14ac:dyDescent="0.2">
      <c r="AF6084" s="12"/>
    </row>
    <row r="6085" spans="32:32" x14ac:dyDescent="0.2">
      <c r="AF6085" s="12"/>
    </row>
    <row r="6086" spans="32:32" x14ac:dyDescent="0.2">
      <c r="AF6086" s="12"/>
    </row>
    <row r="6087" spans="32:32" x14ac:dyDescent="0.2">
      <c r="AF6087" s="12"/>
    </row>
    <row r="6088" spans="32:32" x14ac:dyDescent="0.2">
      <c r="AF6088" s="12"/>
    </row>
    <row r="6089" spans="32:32" x14ac:dyDescent="0.2">
      <c r="AF6089" s="12"/>
    </row>
    <row r="6090" spans="32:32" x14ac:dyDescent="0.2">
      <c r="AF6090" s="12"/>
    </row>
    <row r="6091" spans="32:32" x14ac:dyDescent="0.2">
      <c r="AF6091" s="12"/>
    </row>
    <row r="6092" spans="32:32" x14ac:dyDescent="0.2">
      <c r="AF6092" s="12"/>
    </row>
    <row r="6093" spans="32:32" x14ac:dyDescent="0.2">
      <c r="AF6093" s="12"/>
    </row>
    <row r="6094" spans="32:32" x14ac:dyDescent="0.2">
      <c r="AF6094" s="12"/>
    </row>
    <row r="6095" spans="32:32" x14ac:dyDescent="0.2">
      <c r="AF6095" s="12"/>
    </row>
    <row r="6096" spans="32:32" x14ac:dyDescent="0.2">
      <c r="AF6096" s="12"/>
    </row>
    <row r="6097" spans="32:32" x14ac:dyDescent="0.2">
      <c r="AF6097" s="12"/>
    </row>
    <row r="6098" spans="32:32" x14ac:dyDescent="0.2">
      <c r="AF6098" s="12"/>
    </row>
    <row r="6099" spans="32:32" x14ac:dyDescent="0.2">
      <c r="AF6099" s="12"/>
    </row>
    <row r="6100" spans="32:32" x14ac:dyDescent="0.2">
      <c r="AF6100" s="12"/>
    </row>
    <row r="6101" spans="32:32" x14ac:dyDescent="0.2">
      <c r="AF6101" s="12"/>
    </row>
    <row r="6102" spans="32:32" x14ac:dyDescent="0.2">
      <c r="AF6102" s="12"/>
    </row>
    <row r="6103" spans="32:32" x14ac:dyDescent="0.2">
      <c r="AF6103" s="12"/>
    </row>
    <row r="6104" spans="32:32" x14ac:dyDescent="0.2">
      <c r="AF6104" s="12"/>
    </row>
    <row r="6105" spans="32:32" x14ac:dyDescent="0.2">
      <c r="AF6105" s="12"/>
    </row>
    <row r="6106" spans="32:32" x14ac:dyDescent="0.2">
      <c r="AF6106" s="12"/>
    </row>
    <row r="6107" spans="32:32" x14ac:dyDescent="0.2">
      <c r="AF6107" s="12"/>
    </row>
    <row r="6108" spans="32:32" x14ac:dyDescent="0.2">
      <c r="AF6108" s="12"/>
    </row>
    <row r="6109" spans="32:32" x14ac:dyDescent="0.2">
      <c r="AF6109" s="12"/>
    </row>
    <row r="6110" spans="32:32" x14ac:dyDescent="0.2">
      <c r="AF6110" s="12"/>
    </row>
    <row r="6111" spans="32:32" x14ac:dyDescent="0.2">
      <c r="AF6111" s="12"/>
    </row>
    <row r="6112" spans="32:32" x14ac:dyDescent="0.2">
      <c r="AF6112" s="12"/>
    </row>
    <row r="6113" spans="32:32" x14ac:dyDescent="0.2">
      <c r="AF6113" s="12"/>
    </row>
    <row r="6114" spans="32:32" x14ac:dyDescent="0.2">
      <c r="AF6114" s="12"/>
    </row>
    <row r="6115" spans="32:32" x14ac:dyDescent="0.2">
      <c r="AF6115" s="12"/>
    </row>
    <row r="6116" spans="32:32" x14ac:dyDescent="0.2">
      <c r="AF6116" s="12"/>
    </row>
    <row r="6117" spans="32:32" x14ac:dyDescent="0.2">
      <c r="AF6117" s="12"/>
    </row>
    <row r="6118" spans="32:32" x14ac:dyDescent="0.2">
      <c r="AF6118" s="12"/>
    </row>
    <row r="6119" spans="32:32" x14ac:dyDescent="0.2">
      <c r="AF6119" s="12"/>
    </row>
    <row r="6120" spans="32:32" x14ac:dyDescent="0.2">
      <c r="AF6120" s="12"/>
    </row>
    <row r="6121" spans="32:32" x14ac:dyDescent="0.2">
      <c r="AF6121" s="12"/>
    </row>
    <row r="6122" spans="32:32" x14ac:dyDescent="0.2">
      <c r="AF6122" s="12"/>
    </row>
    <row r="6123" spans="32:32" x14ac:dyDescent="0.2">
      <c r="AF6123" s="12"/>
    </row>
    <row r="6124" spans="32:32" x14ac:dyDescent="0.2">
      <c r="AF6124" s="12"/>
    </row>
    <row r="6125" spans="32:32" x14ac:dyDescent="0.2">
      <c r="AF6125" s="12"/>
    </row>
    <row r="6126" spans="32:32" x14ac:dyDescent="0.2">
      <c r="AF6126" s="12"/>
    </row>
    <row r="6127" spans="32:32" x14ac:dyDescent="0.2">
      <c r="AF6127" s="12"/>
    </row>
    <row r="6128" spans="32:32" x14ac:dyDescent="0.2">
      <c r="AF6128" s="12"/>
    </row>
    <row r="6129" spans="32:32" x14ac:dyDescent="0.2">
      <c r="AF6129" s="12"/>
    </row>
    <row r="6130" spans="32:32" x14ac:dyDescent="0.2">
      <c r="AF6130" s="12"/>
    </row>
    <row r="6131" spans="32:32" x14ac:dyDescent="0.2">
      <c r="AF6131" s="12"/>
    </row>
    <row r="6132" spans="32:32" x14ac:dyDescent="0.2">
      <c r="AF6132" s="12"/>
    </row>
    <row r="6133" spans="32:32" x14ac:dyDescent="0.2">
      <c r="AF6133" s="12"/>
    </row>
    <row r="6134" spans="32:32" x14ac:dyDescent="0.2">
      <c r="AF6134" s="12"/>
    </row>
    <row r="6135" spans="32:32" x14ac:dyDescent="0.2">
      <c r="AF6135" s="12"/>
    </row>
    <row r="6136" spans="32:32" x14ac:dyDescent="0.2">
      <c r="AF6136" s="12"/>
    </row>
    <row r="6137" spans="32:32" x14ac:dyDescent="0.2">
      <c r="AF6137" s="12"/>
    </row>
    <row r="6138" spans="32:32" x14ac:dyDescent="0.2">
      <c r="AF6138" s="12"/>
    </row>
    <row r="6139" spans="32:32" x14ac:dyDescent="0.2">
      <c r="AF6139" s="12"/>
    </row>
    <row r="6140" spans="32:32" x14ac:dyDescent="0.2">
      <c r="AF6140" s="12"/>
    </row>
    <row r="6141" spans="32:32" x14ac:dyDescent="0.2">
      <c r="AF6141" s="12"/>
    </row>
    <row r="6142" spans="32:32" x14ac:dyDescent="0.2">
      <c r="AF6142" s="12"/>
    </row>
    <row r="6143" spans="32:32" x14ac:dyDescent="0.2">
      <c r="AF6143" s="12"/>
    </row>
    <row r="6144" spans="32:32" x14ac:dyDescent="0.2">
      <c r="AF6144" s="12"/>
    </row>
    <row r="6145" spans="32:32" x14ac:dyDescent="0.2">
      <c r="AF6145" s="12"/>
    </row>
    <row r="6146" spans="32:32" x14ac:dyDescent="0.2">
      <c r="AF6146" s="12"/>
    </row>
    <row r="6147" spans="32:32" x14ac:dyDescent="0.2">
      <c r="AF6147" s="12"/>
    </row>
    <row r="6148" spans="32:32" x14ac:dyDescent="0.2">
      <c r="AF6148" s="12"/>
    </row>
    <row r="6149" spans="32:32" x14ac:dyDescent="0.2">
      <c r="AF6149" s="12"/>
    </row>
    <row r="6150" spans="32:32" x14ac:dyDescent="0.2">
      <c r="AF6150" s="12"/>
    </row>
    <row r="6151" spans="32:32" x14ac:dyDescent="0.2">
      <c r="AF6151" s="12"/>
    </row>
    <row r="6152" spans="32:32" x14ac:dyDescent="0.2">
      <c r="AF6152" s="12"/>
    </row>
    <row r="6153" spans="32:32" x14ac:dyDescent="0.2">
      <c r="AF6153" s="12"/>
    </row>
    <row r="6154" spans="32:32" x14ac:dyDescent="0.2">
      <c r="AF6154" s="12"/>
    </row>
    <row r="6155" spans="32:32" x14ac:dyDescent="0.2">
      <c r="AF6155" s="12"/>
    </row>
    <row r="6156" spans="32:32" x14ac:dyDescent="0.2">
      <c r="AF6156" s="12"/>
    </row>
    <row r="6157" spans="32:32" x14ac:dyDescent="0.2">
      <c r="AF6157" s="12"/>
    </row>
    <row r="6158" spans="32:32" x14ac:dyDescent="0.2">
      <c r="AF6158" s="12"/>
    </row>
    <row r="6159" spans="32:32" x14ac:dyDescent="0.2">
      <c r="AF6159" s="12"/>
    </row>
    <row r="6160" spans="32:32" x14ac:dyDescent="0.2">
      <c r="AF6160" s="12"/>
    </row>
    <row r="6161" spans="32:32" x14ac:dyDescent="0.2">
      <c r="AF6161" s="12"/>
    </row>
    <row r="6162" spans="32:32" x14ac:dyDescent="0.2">
      <c r="AF6162" s="12"/>
    </row>
    <row r="6163" spans="32:32" x14ac:dyDescent="0.2">
      <c r="AF6163" s="12"/>
    </row>
    <row r="6164" spans="32:32" x14ac:dyDescent="0.2">
      <c r="AF6164" s="12"/>
    </row>
    <row r="6165" spans="32:32" x14ac:dyDescent="0.2">
      <c r="AF6165" s="12"/>
    </row>
    <row r="6166" spans="32:32" x14ac:dyDescent="0.2">
      <c r="AF6166" s="12"/>
    </row>
    <row r="6167" spans="32:32" x14ac:dyDescent="0.2">
      <c r="AF6167" s="12"/>
    </row>
    <row r="6168" spans="32:32" x14ac:dyDescent="0.2">
      <c r="AF6168" s="12"/>
    </row>
    <row r="6169" spans="32:32" x14ac:dyDescent="0.2">
      <c r="AF6169" s="12"/>
    </row>
    <row r="6170" spans="32:32" x14ac:dyDescent="0.2">
      <c r="AF6170" s="12"/>
    </row>
    <row r="6171" spans="32:32" x14ac:dyDescent="0.2">
      <c r="AF6171" s="12"/>
    </row>
    <row r="6172" spans="32:32" x14ac:dyDescent="0.2">
      <c r="AF6172" s="12"/>
    </row>
    <row r="6173" spans="32:32" x14ac:dyDescent="0.2">
      <c r="AF6173" s="12"/>
    </row>
    <row r="6174" spans="32:32" x14ac:dyDescent="0.2">
      <c r="AF6174" s="12"/>
    </row>
    <row r="6175" spans="32:32" x14ac:dyDescent="0.2">
      <c r="AF6175" s="12"/>
    </row>
    <row r="6176" spans="32:32" x14ac:dyDescent="0.2">
      <c r="AF6176" s="12"/>
    </row>
    <row r="6177" spans="32:32" x14ac:dyDescent="0.2">
      <c r="AF6177" s="12"/>
    </row>
    <row r="6178" spans="32:32" x14ac:dyDescent="0.2">
      <c r="AF6178" s="12"/>
    </row>
    <row r="6179" spans="32:32" x14ac:dyDescent="0.2">
      <c r="AF6179" s="12"/>
    </row>
    <row r="6180" spans="32:32" x14ac:dyDescent="0.2">
      <c r="AF6180" s="12"/>
    </row>
    <row r="6181" spans="32:32" x14ac:dyDescent="0.2">
      <c r="AF6181" s="12"/>
    </row>
    <row r="6182" spans="32:32" x14ac:dyDescent="0.2">
      <c r="AF6182" s="12"/>
    </row>
    <row r="6183" spans="32:32" x14ac:dyDescent="0.2">
      <c r="AF6183" s="12"/>
    </row>
    <row r="6184" spans="32:32" x14ac:dyDescent="0.2">
      <c r="AF6184" s="12"/>
    </row>
    <row r="6185" spans="32:32" x14ac:dyDescent="0.2">
      <c r="AF6185" s="12"/>
    </row>
    <row r="6186" spans="32:32" x14ac:dyDescent="0.2">
      <c r="AF6186" s="12"/>
    </row>
    <row r="6187" spans="32:32" x14ac:dyDescent="0.2">
      <c r="AF6187" s="12"/>
    </row>
    <row r="6188" spans="32:32" x14ac:dyDescent="0.2">
      <c r="AF6188" s="12"/>
    </row>
    <row r="6189" spans="32:32" x14ac:dyDescent="0.2">
      <c r="AF6189" s="12"/>
    </row>
    <row r="6190" spans="32:32" x14ac:dyDescent="0.2">
      <c r="AF6190" s="12"/>
    </row>
    <row r="6191" spans="32:32" x14ac:dyDescent="0.2">
      <c r="AF6191" s="12"/>
    </row>
    <row r="6192" spans="32:32" x14ac:dyDescent="0.2">
      <c r="AF6192" s="12"/>
    </row>
    <row r="6193" spans="32:32" x14ac:dyDescent="0.2">
      <c r="AF6193" s="12"/>
    </row>
    <row r="6194" spans="32:32" x14ac:dyDescent="0.2">
      <c r="AF6194" s="12"/>
    </row>
    <row r="6195" spans="32:32" x14ac:dyDescent="0.2">
      <c r="AF6195" s="12"/>
    </row>
    <row r="6196" spans="32:32" x14ac:dyDescent="0.2">
      <c r="AF6196" s="12"/>
    </row>
    <row r="6197" spans="32:32" x14ac:dyDescent="0.2">
      <c r="AF6197" s="12"/>
    </row>
    <row r="6198" spans="32:32" x14ac:dyDescent="0.2">
      <c r="AF6198" s="12"/>
    </row>
    <row r="6199" spans="32:32" x14ac:dyDescent="0.2">
      <c r="AF6199" s="12"/>
    </row>
    <row r="6200" spans="32:32" x14ac:dyDescent="0.2">
      <c r="AF6200" s="12"/>
    </row>
    <row r="6201" spans="32:32" x14ac:dyDescent="0.2">
      <c r="AF6201" s="12"/>
    </row>
    <row r="6202" spans="32:32" x14ac:dyDescent="0.2">
      <c r="AF6202" s="12"/>
    </row>
    <row r="6203" spans="32:32" x14ac:dyDescent="0.2">
      <c r="AF6203" s="12"/>
    </row>
    <row r="6204" spans="32:32" x14ac:dyDescent="0.2">
      <c r="AF6204" s="12"/>
    </row>
    <row r="6205" spans="32:32" x14ac:dyDescent="0.2">
      <c r="AF6205" s="12"/>
    </row>
    <row r="6206" spans="32:32" x14ac:dyDescent="0.2">
      <c r="AF6206" s="12"/>
    </row>
    <row r="6207" spans="32:32" x14ac:dyDescent="0.2">
      <c r="AF6207" s="12"/>
    </row>
    <row r="6208" spans="32:32" x14ac:dyDescent="0.2">
      <c r="AF6208" s="12"/>
    </row>
    <row r="6209" spans="32:32" x14ac:dyDescent="0.2">
      <c r="AF6209" s="12"/>
    </row>
    <row r="6210" spans="32:32" x14ac:dyDescent="0.2">
      <c r="AF6210" s="12"/>
    </row>
    <row r="6211" spans="32:32" x14ac:dyDescent="0.2">
      <c r="AF6211" s="12"/>
    </row>
    <row r="6212" spans="32:32" x14ac:dyDescent="0.2">
      <c r="AF6212" s="12"/>
    </row>
    <row r="6213" spans="32:32" x14ac:dyDescent="0.2">
      <c r="AF6213" s="12"/>
    </row>
    <row r="6214" spans="32:32" x14ac:dyDescent="0.2">
      <c r="AF6214" s="12"/>
    </row>
    <row r="6215" spans="32:32" x14ac:dyDescent="0.2">
      <c r="AF6215" s="12"/>
    </row>
    <row r="6216" spans="32:32" x14ac:dyDescent="0.2">
      <c r="AF6216" s="12"/>
    </row>
    <row r="6217" spans="32:32" x14ac:dyDescent="0.2">
      <c r="AF6217" s="12"/>
    </row>
    <row r="6218" spans="32:32" x14ac:dyDescent="0.2">
      <c r="AF6218" s="12"/>
    </row>
    <row r="6219" spans="32:32" x14ac:dyDescent="0.2">
      <c r="AF6219" s="12"/>
    </row>
    <row r="6220" spans="32:32" x14ac:dyDescent="0.2">
      <c r="AF6220" s="12"/>
    </row>
    <row r="6221" spans="32:32" x14ac:dyDescent="0.2">
      <c r="AF6221" s="12"/>
    </row>
    <row r="6222" spans="32:32" x14ac:dyDescent="0.2">
      <c r="AF6222" s="12"/>
    </row>
    <row r="6223" spans="32:32" x14ac:dyDescent="0.2">
      <c r="AF6223" s="12"/>
    </row>
    <row r="6224" spans="32:32" x14ac:dyDescent="0.2">
      <c r="AF6224" s="12"/>
    </row>
    <row r="6225" spans="32:32" x14ac:dyDescent="0.2">
      <c r="AF6225" s="12"/>
    </row>
    <row r="6226" spans="32:32" x14ac:dyDescent="0.2">
      <c r="AF6226" s="12"/>
    </row>
    <row r="6227" spans="32:32" x14ac:dyDescent="0.2">
      <c r="AF6227" s="12"/>
    </row>
    <row r="6228" spans="32:32" x14ac:dyDescent="0.2">
      <c r="AF6228" s="12"/>
    </row>
    <row r="6229" spans="32:32" x14ac:dyDescent="0.2">
      <c r="AF6229" s="12"/>
    </row>
    <row r="6230" spans="32:32" x14ac:dyDescent="0.2">
      <c r="AF6230" s="12"/>
    </row>
    <row r="6231" spans="32:32" x14ac:dyDescent="0.2">
      <c r="AF6231" s="12"/>
    </row>
    <row r="6232" spans="32:32" x14ac:dyDescent="0.2">
      <c r="AF6232" s="12"/>
    </row>
    <row r="6233" spans="32:32" x14ac:dyDescent="0.2">
      <c r="AF6233" s="12"/>
    </row>
    <row r="6234" spans="32:32" x14ac:dyDescent="0.2">
      <c r="AF6234" s="12"/>
    </row>
    <row r="6235" spans="32:32" x14ac:dyDescent="0.2">
      <c r="AF6235" s="12"/>
    </row>
    <row r="6236" spans="32:32" x14ac:dyDescent="0.2">
      <c r="AF6236" s="12"/>
    </row>
    <row r="6237" spans="32:32" x14ac:dyDescent="0.2">
      <c r="AF6237" s="12"/>
    </row>
    <row r="6238" spans="32:32" x14ac:dyDescent="0.2">
      <c r="AF6238" s="12"/>
    </row>
    <row r="6239" spans="32:32" x14ac:dyDescent="0.2">
      <c r="AF6239" s="12"/>
    </row>
    <row r="6240" spans="32:32" x14ac:dyDescent="0.2">
      <c r="AF6240" s="12"/>
    </row>
    <row r="6241" spans="32:32" x14ac:dyDescent="0.2">
      <c r="AF6241" s="12"/>
    </row>
    <row r="6242" spans="32:32" x14ac:dyDescent="0.2">
      <c r="AF6242" s="12"/>
    </row>
    <row r="6243" spans="32:32" x14ac:dyDescent="0.2">
      <c r="AF6243" s="12"/>
    </row>
    <row r="6244" spans="32:32" x14ac:dyDescent="0.2">
      <c r="AF6244" s="12"/>
    </row>
    <row r="6245" spans="32:32" x14ac:dyDescent="0.2">
      <c r="AF6245" s="12"/>
    </row>
    <row r="6246" spans="32:32" x14ac:dyDescent="0.2">
      <c r="AF6246" s="12"/>
    </row>
    <row r="6247" spans="32:32" x14ac:dyDescent="0.2">
      <c r="AF6247" s="12"/>
    </row>
    <row r="6248" spans="32:32" x14ac:dyDescent="0.2">
      <c r="AF6248" s="12"/>
    </row>
    <row r="6249" spans="32:32" x14ac:dyDescent="0.2">
      <c r="AF6249" s="12"/>
    </row>
    <row r="6250" spans="32:32" x14ac:dyDescent="0.2">
      <c r="AF6250" s="12"/>
    </row>
    <row r="6251" spans="32:32" x14ac:dyDescent="0.2">
      <c r="AF6251" s="12"/>
    </row>
    <row r="6252" spans="32:32" x14ac:dyDescent="0.2">
      <c r="AF6252" s="12"/>
    </row>
    <row r="6253" spans="32:32" x14ac:dyDescent="0.2">
      <c r="AF6253" s="12"/>
    </row>
    <row r="6254" spans="32:32" x14ac:dyDescent="0.2">
      <c r="AF6254" s="12"/>
    </row>
    <row r="6255" spans="32:32" x14ac:dyDescent="0.2">
      <c r="AF6255" s="12"/>
    </row>
    <row r="6256" spans="32:32" x14ac:dyDescent="0.2">
      <c r="AF6256" s="12"/>
    </row>
    <row r="6257" spans="32:32" x14ac:dyDescent="0.2">
      <c r="AF6257" s="12"/>
    </row>
    <row r="6258" spans="32:32" x14ac:dyDescent="0.2">
      <c r="AF6258" s="12"/>
    </row>
    <row r="6259" spans="32:32" x14ac:dyDescent="0.2">
      <c r="AF6259" s="12"/>
    </row>
    <row r="6260" spans="32:32" x14ac:dyDescent="0.2">
      <c r="AF6260" s="12"/>
    </row>
    <row r="6261" spans="32:32" x14ac:dyDescent="0.2">
      <c r="AF6261" s="12"/>
    </row>
    <row r="6262" spans="32:32" x14ac:dyDescent="0.2">
      <c r="AF6262" s="12"/>
    </row>
    <row r="6263" spans="32:32" x14ac:dyDescent="0.2">
      <c r="AF6263" s="12"/>
    </row>
    <row r="6264" spans="32:32" x14ac:dyDescent="0.2">
      <c r="AF6264" s="12"/>
    </row>
    <row r="6265" spans="32:32" x14ac:dyDescent="0.2">
      <c r="AF6265" s="12"/>
    </row>
    <row r="6266" spans="32:32" x14ac:dyDescent="0.2">
      <c r="AF6266" s="12"/>
    </row>
    <row r="6267" spans="32:32" x14ac:dyDescent="0.2">
      <c r="AF6267" s="12"/>
    </row>
    <row r="6268" spans="32:32" x14ac:dyDescent="0.2">
      <c r="AF6268" s="12"/>
    </row>
    <row r="6269" spans="32:32" x14ac:dyDescent="0.2">
      <c r="AF6269" s="12"/>
    </row>
    <row r="6270" spans="32:32" x14ac:dyDescent="0.2">
      <c r="AF6270" s="12"/>
    </row>
    <row r="6271" spans="32:32" x14ac:dyDescent="0.2">
      <c r="AF6271" s="12"/>
    </row>
    <row r="6272" spans="32:32" x14ac:dyDescent="0.2">
      <c r="AF6272" s="12"/>
    </row>
    <row r="6273" spans="32:32" x14ac:dyDescent="0.2">
      <c r="AF6273" s="12"/>
    </row>
    <row r="6274" spans="32:32" x14ac:dyDescent="0.2">
      <c r="AF6274" s="12"/>
    </row>
    <row r="6275" spans="32:32" x14ac:dyDescent="0.2">
      <c r="AF6275" s="12"/>
    </row>
    <row r="6276" spans="32:32" x14ac:dyDescent="0.2">
      <c r="AF6276" s="12"/>
    </row>
    <row r="6277" spans="32:32" x14ac:dyDescent="0.2">
      <c r="AF6277" s="12"/>
    </row>
    <row r="6278" spans="32:32" x14ac:dyDescent="0.2">
      <c r="AF6278" s="12"/>
    </row>
    <row r="6279" spans="32:32" x14ac:dyDescent="0.2">
      <c r="AF6279" s="12"/>
    </row>
    <row r="6280" spans="32:32" x14ac:dyDescent="0.2">
      <c r="AF6280" s="12"/>
    </row>
    <row r="6281" spans="32:32" x14ac:dyDescent="0.2">
      <c r="AF6281" s="12"/>
    </row>
    <row r="6282" spans="32:32" x14ac:dyDescent="0.2">
      <c r="AF6282" s="12"/>
    </row>
    <row r="6283" spans="32:32" x14ac:dyDescent="0.2">
      <c r="AF6283" s="12"/>
    </row>
    <row r="6284" spans="32:32" x14ac:dyDescent="0.2">
      <c r="AF6284" s="12"/>
    </row>
    <row r="6285" spans="32:32" x14ac:dyDescent="0.2">
      <c r="AF6285" s="12"/>
    </row>
    <row r="6286" spans="32:32" x14ac:dyDescent="0.2">
      <c r="AF6286" s="12"/>
    </row>
    <row r="6287" spans="32:32" x14ac:dyDescent="0.2">
      <c r="AF6287" s="12"/>
    </row>
    <row r="6288" spans="32:32" x14ac:dyDescent="0.2">
      <c r="AF6288" s="12"/>
    </row>
    <row r="6289" spans="32:32" x14ac:dyDescent="0.2">
      <c r="AF6289" s="12"/>
    </row>
    <row r="6290" spans="32:32" x14ac:dyDescent="0.2">
      <c r="AF6290" s="12"/>
    </row>
    <row r="6291" spans="32:32" x14ac:dyDescent="0.2">
      <c r="AF6291" s="12"/>
    </row>
    <row r="6292" spans="32:32" x14ac:dyDescent="0.2">
      <c r="AF6292" s="12"/>
    </row>
    <row r="6293" spans="32:32" x14ac:dyDescent="0.2">
      <c r="AF6293" s="12"/>
    </row>
    <row r="6294" spans="32:32" x14ac:dyDescent="0.2">
      <c r="AF6294" s="12"/>
    </row>
    <row r="6295" spans="32:32" x14ac:dyDescent="0.2">
      <c r="AF6295" s="12"/>
    </row>
    <row r="6296" spans="32:32" x14ac:dyDescent="0.2">
      <c r="AF6296" s="12"/>
    </row>
    <row r="6297" spans="32:32" x14ac:dyDescent="0.2">
      <c r="AF6297" s="12"/>
    </row>
    <row r="6298" spans="32:32" x14ac:dyDescent="0.2">
      <c r="AF6298" s="12"/>
    </row>
    <row r="6299" spans="32:32" x14ac:dyDescent="0.2">
      <c r="AF6299" s="12"/>
    </row>
    <row r="6300" spans="32:32" x14ac:dyDescent="0.2">
      <c r="AF6300" s="12"/>
    </row>
    <row r="6301" spans="32:32" x14ac:dyDescent="0.2">
      <c r="AF6301" s="12"/>
    </row>
    <row r="6302" spans="32:32" x14ac:dyDescent="0.2">
      <c r="AF6302" s="12"/>
    </row>
    <row r="6303" spans="32:32" x14ac:dyDescent="0.2">
      <c r="AF6303" s="12"/>
    </row>
    <row r="6304" spans="32:32" x14ac:dyDescent="0.2">
      <c r="AF6304" s="12"/>
    </row>
    <row r="6305" spans="32:32" x14ac:dyDescent="0.2">
      <c r="AF6305" s="12"/>
    </row>
    <row r="6306" spans="32:32" x14ac:dyDescent="0.2">
      <c r="AF6306" s="12"/>
    </row>
    <row r="6307" spans="32:32" x14ac:dyDescent="0.2">
      <c r="AF6307" s="12"/>
    </row>
    <row r="6308" spans="32:32" x14ac:dyDescent="0.2">
      <c r="AF6308" s="12"/>
    </row>
    <row r="6309" spans="32:32" x14ac:dyDescent="0.2">
      <c r="AF6309" s="12"/>
    </row>
    <row r="6310" spans="32:32" x14ac:dyDescent="0.2">
      <c r="AF6310" s="12"/>
    </row>
    <row r="6311" spans="32:32" x14ac:dyDescent="0.2">
      <c r="AF6311" s="12"/>
    </row>
    <row r="6312" spans="32:32" x14ac:dyDescent="0.2">
      <c r="AF6312" s="12"/>
    </row>
    <row r="6313" spans="32:32" x14ac:dyDescent="0.2">
      <c r="AF6313" s="12"/>
    </row>
    <row r="6314" spans="32:32" x14ac:dyDescent="0.2">
      <c r="AF6314" s="12"/>
    </row>
    <row r="6315" spans="32:32" x14ac:dyDescent="0.2">
      <c r="AF6315" s="12"/>
    </row>
    <row r="6316" spans="32:32" x14ac:dyDescent="0.2">
      <c r="AF6316" s="12"/>
    </row>
    <row r="6317" spans="32:32" x14ac:dyDescent="0.2">
      <c r="AF6317" s="12"/>
    </row>
    <row r="6318" spans="32:32" x14ac:dyDescent="0.2">
      <c r="AF6318" s="12"/>
    </row>
    <row r="6319" spans="32:32" x14ac:dyDescent="0.2">
      <c r="AF6319" s="12"/>
    </row>
    <row r="6320" spans="32:32" x14ac:dyDescent="0.2">
      <c r="AF6320" s="12"/>
    </row>
    <row r="6321" spans="32:32" x14ac:dyDescent="0.2">
      <c r="AF6321" s="12"/>
    </row>
    <row r="6322" spans="32:32" x14ac:dyDescent="0.2">
      <c r="AF6322" s="12"/>
    </row>
    <row r="6323" spans="32:32" x14ac:dyDescent="0.2">
      <c r="AF6323" s="12"/>
    </row>
    <row r="6324" spans="32:32" x14ac:dyDescent="0.2">
      <c r="AF6324" s="12"/>
    </row>
    <row r="6325" spans="32:32" x14ac:dyDescent="0.2">
      <c r="AF6325" s="12"/>
    </row>
    <row r="6326" spans="32:32" x14ac:dyDescent="0.2">
      <c r="AF6326" s="12"/>
    </row>
    <row r="6327" spans="32:32" x14ac:dyDescent="0.2">
      <c r="AF6327" s="12"/>
    </row>
    <row r="6328" spans="32:32" x14ac:dyDescent="0.2">
      <c r="AF6328" s="12"/>
    </row>
    <row r="6329" spans="32:32" x14ac:dyDescent="0.2">
      <c r="AF6329" s="12"/>
    </row>
    <row r="6330" spans="32:32" x14ac:dyDescent="0.2">
      <c r="AF6330" s="12"/>
    </row>
    <row r="6331" spans="32:32" x14ac:dyDescent="0.2">
      <c r="AF6331" s="12"/>
    </row>
    <row r="6332" spans="32:32" x14ac:dyDescent="0.2">
      <c r="AF6332" s="12"/>
    </row>
    <row r="6333" spans="32:32" x14ac:dyDescent="0.2">
      <c r="AF6333" s="12"/>
    </row>
    <row r="6334" spans="32:32" x14ac:dyDescent="0.2">
      <c r="AF6334" s="12"/>
    </row>
    <row r="6335" spans="32:32" x14ac:dyDescent="0.2">
      <c r="AF6335" s="12"/>
    </row>
    <row r="6336" spans="32:32" x14ac:dyDescent="0.2">
      <c r="AF6336" s="12"/>
    </row>
    <row r="6337" spans="32:32" x14ac:dyDescent="0.2">
      <c r="AF6337" s="12"/>
    </row>
    <row r="6338" spans="32:32" x14ac:dyDescent="0.2">
      <c r="AF6338" s="12"/>
    </row>
    <row r="6339" spans="32:32" x14ac:dyDescent="0.2">
      <c r="AF6339" s="12"/>
    </row>
    <row r="6340" spans="32:32" x14ac:dyDescent="0.2">
      <c r="AF6340" s="12"/>
    </row>
    <row r="6341" spans="32:32" x14ac:dyDescent="0.2">
      <c r="AF6341" s="12"/>
    </row>
    <row r="6342" spans="32:32" x14ac:dyDescent="0.2">
      <c r="AF6342" s="12"/>
    </row>
    <row r="6343" spans="32:32" x14ac:dyDescent="0.2">
      <c r="AF6343" s="12"/>
    </row>
    <row r="6344" spans="32:32" x14ac:dyDescent="0.2">
      <c r="AF6344" s="12"/>
    </row>
    <row r="6345" spans="32:32" x14ac:dyDescent="0.2">
      <c r="AF6345" s="12"/>
    </row>
    <row r="6346" spans="32:32" x14ac:dyDescent="0.2">
      <c r="AF6346" s="12"/>
    </row>
    <row r="6347" spans="32:32" x14ac:dyDescent="0.2">
      <c r="AF6347" s="12"/>
    </row>
    <row r="6348" spans="32:32" x14ac:dyDescent="0.2">
      <c r="AF6348" s="12"/>
    </row>
    <row r="6349" spans="32:32" x14ac:dyDescent="0.2">
      <c r="AF6349" s="12"/>
    </row>
    <row r="6350" spans="32:32" x14ac:dyDescent="0.2">
      <c r="AF6350" s="12"/>
    </row>
    <row r="6351" spans="32:32" x14ac:dyDescent="0.2">
      <c r="AF6351" s="12"/>
    </row>
    <row r="6352" spans="32:32" x14ac:dyDescent="0.2">
      <c r="AF6352" s="12"/>
    </row>
    <row r="6353" spans="32:32" x14ac:dyDescent="0.2">
      <c r="AF6353" s="12"/>
    </row>
    <row r="6354" spans="32:32" x14ac:dyDescent="0.2">
      <c r="AF6354" s="12"/>
    </row>
    <row r="6355" spans="32:32" x14ac:dyDescent="0.2">
      <c r="AF6355" s="12"/>
    </row>
    <row r="6356" spans="32:32" x14ac:dyDescent="0.2">
      <c r="AF6356" s="12"/>
    </row>
    <row r="6357" spans="32:32" x14ac:dyDescent="0.2">
      <c r="AF6357" s="12"/>
    </row>
    <row r="6358" spans="32:32" x14ac:dyDescent="0.2">
      <c r="AF6358" s="12"/>
    </row>
    <row r="6359" spans="32:32" x14ac:dyDescent="0.2">
      <c r="AF6359" s="12"/>
    </row>
    <row r="6360" spans="32:32" x14ac:dyDescent="0.2">
      <c r="AF6360" s="12"/>
    </row>
    <row r="6361" spans="32:32" x14ac:dyDescent="0.2">
      <c r="AF6361" s="12"/>
    </row>
    <row r="6362" spans="32:32" x14ac:dyDescent="0.2">
      <c r="AF6362" s="12"/>
    </row>
    <row r="6363" spans="32:32" x14ac:dyDescent="0.2">
      <c r="AF6363" s="12"/>
    </row>
    <row r="6364" spans="32:32" x14ac:dyDescent="0.2">
      <c r="AF6364" s="12"/>
    </row>
    <row r="6365" spans="32:32" x14ac:dyDescent="0.2">
      <c r="AF6365" s="12"/>
    </row>
    <row r="6366" spans="32:32" x14ac:dyDescent="0.2">
      <c r="AF6366" s="12"/>
    </row>
    <row r="6367" spans="32:32" x14ac:dyDescent="0.2">
      <c r="AF6367" s="12"/>
    </row>
    <row r="6368" spans="32:32" x14ac:dyDescent="0.2">
      <c r="AF6368" s="12"/>
    </row>
    <row r="6369" spans="32:32" x14ac:dyDescent="0.2">
      <c r="AF6369" s="12"/>
    </row>
    <row r="6370" spans="32:32" x14ac:dyDescent="0.2">
      <c r="AF6370" s="12"/>
    </row>
    <row r="6371" spans="32:32" x14ac:dyDescent="0.2">
      <c r="AF6371" s="12"/>
    </row>
    <row r="6372" spans="32:32" x14ac:dyDescent="0.2">
      <c r="AF6372" s="12"/>
    </row>
    <row r="6373" spans="32:32" x14ac:dyDescent="0.2">
      <c r="AF6373" s="12"/>
    </row>
    <row r="6374" spans="32:32" x14ac:dyDescent="0.2">
      <c r="AF6374" s="12"/>
    </row>
    <row r="6375" spans="32:32" x14ac:dyDescent="0.2">
      <c r="AF6375" s="12"/>
    </row>
    <row r="6376" spans="32:32" x14ac:dyDescent="0.2">
      <c r="AF6376" s="12"/>
    </row>
    <row r="6377" spans="32:32" x14ac:dyDescent="0.2">
      <c r="AF6377" s="12"/>
    </row>
    <row r="6378" spans="32:32" x14ac:dyDescent="0.2">
      <c r="AF6378" s="12"/>
    </row>
    <row r="6379" spans="32:32" x14ac:dyDescent="0.2">
      <c r="AF6379" s="12"/>
    </row>
    <row r="6380" spans="32:32" x14ac:dyDescent="0.2">
      <c r="AF6380" s="12"/>
    </row>
    <row r="6381" spans="32:32" x14ac:dyDescent="0.2">
      <c r="AF6381" s="12"/>
    </row>
    <row r="6382" spans="32:32" x14ac:dyDescent="0.2">
      <c r="AF6382" s="12"/>
    </row>
    <row r="6383" spans="32:32" x14ac:dyDescent="0.2">
      <c r="AF6383" s="12"/>
    </row>
    <row r="6384" spans="32:32" x14ac:dyDescent="0.2">
      <c r="AF6384" s="12"/>
    </row>
    <row r="6385" spans="32:32" x14ac:dyDescent="0.2">
      <c r="AF6385" s="12"/>
    </row>
    <row r="6386" spans="32:32" x14ac:dyDescent="0.2">
      <c r="AF6386" s="12"/>
    </row>
    <row r="6387" spans="32:32" x14ac:dyDescent="0.2">
      <c r="AF6387" s="12"/>
    </row>
    <row r="6388" spans="32:32" x14ac:dyDescent="0.2">
      <c r="AF6388" s="12"/>
    </row>
    <row r="6389" spans="32:32" x14ac:dyDescent="0.2">
      <c r="AF6389" s="12"/>
    </row>
    <row r="6390" spans="32:32" x14ac:dyDescent="0.2">
      <c r="AF6390" s="12"/>
    </row>
    <row r="6391" spans="32:32" x14ac:dyDescent="0.2">
      <c r="AF6391" s="12"/>
    </row>
    <row r="6392" spans="32:32" x14ac:dyDescent="0.2">
      <c r="AF6392" s="12"/>
    </row>
    <row r="6393" spans="32:32" x14ac:dyDescent="0.2">
      <c r="AF6393" s="12"/>
    </row>
    <row r="6394" spans="32:32" x14ac:dyDescent="0.2">
      <c r="AF6394" s="12"/>
    </row>
    <row r="6395" spans="32:32" x14ac:dyDescent="0.2">
      <c r="AF6395" s="12"/>
    </row>
    <row r="6396" spans="32:32" x14ac:dyDescent="0.2">
      <c r="AF6396" s="12"/>
    </row>
    <row r="6397" spans="32:32" x14ac:dyDescent="0.2">
      <c r="AF6397" s="12"/>
    </row>
    <row r="6398" spans="32:32" x14ac:dyDescent="0.2">
      <c r="AF6398" s="12"/>
    </row>
    <row r="6399" spans="32:32" x14ac:dyDescent="0.2">
      <c r="AF6399" s="12"/>
    </row>
    <row r="6400" spans="32:32" x14ac:dyDescent="0.2">
      <c r="AF6400" s="12"/>
    </row>
    <row r="6401" spans="32:32" x14ac:dyDescent="0.2">
      <c r="AF6401" s="12"/>
    </row>
    <row r="6402" spans="32:32" x14ac:dyDescent="0.2">
      <c r="AF6402" s="12"/>
    </row>
    <row r="6403" spans="32:32" x14ac:dyDescent="0.2">
      <c r="AF6403" s="12"/>
    </row>
    <row r="6404" spans="32:32" x14ac:dyDescent="0.2">
      <c r="AF6404" s="12"/>
    </row>
    <row r="6405" spans="32:32" x14ac:dyDescent="0.2">
      <c r="AF6405" s="12"/>
    </row>
    <row r="6406" spans="32:32" x14ac:dyDescent="0.2">
      <c r="AF6406" s="12"/>
    </row>
    <row r="6407" spans="32:32" x14ac:dyDescent="0.2">
      <c r="AF6407" s="12"/>
    </row>
    <row r="6408" spans="32:32" x14ac:dyDescent="0.2">
      <c r="AF6408" s="12"/>
    </row>
    <row r="6409" spans="32:32" x14ac:dyDescent="0.2">
      <c r="AF6409" s="12"/>
    </row>
    <row r="6410" spans="32:32" x14ac:dyDescent="0.2">
      <c r="AF6410" s="12"/>
    </row>
    <row r="6411" spans="32:32" x14ac:dyDescent="0.2">
      <c r="AF6411" s="12"/>
    </row>
    <row r="6412" spans="32:32" x14ac:dyDescent="0.2">
      <c r="AF6412" s="12"/>
    </row>
    <row r="6413" spans="32:32" x14ac:dyDescent="0.2">
      <c r="AF6413" s="12"/>
    </row>
    <row r="6414" spans="32:32" x14ac:dyDescent="0.2">
      <c r="AF6414" s="12"/>
    </row>
    <row r="6415" spans="32:32" x14ac:dyDescent="0.2">
      <c r="AF6415" s="12"/>
    </row>
    <row r="6416" spans="32:32" x14ac:dyDescent="0.2">
      <c r="AF6416" s="12"/>
    </row>
    <row r="6417" spans="32:32" x14ac:dyDescent="0.2">
      <c r="AF6417" s="12"/>
    </row>
    <row r="6418" spans="32:32" x14ac:dyDescent="0.2">
      <c r="AF6418" s="12"/>
    </row>
    <row r="6419" spans="32:32" x14ac:dyDescent="0.2">
      <c r="AF6419" s="12"/>
    </row>
    <row r="6420" spans="32:32" x14ac:dyDescent="0.2">
      <c r="AF6420" s="12"/>
    </row>
    <row r="6421" spans="32:32" x14ac:dyDescent="0.2">
      <c r="AF6421" s="12"/>
    </row>
    <row r="6422" spans="32:32" x14ac:dyDescent="0.2">
      <c r="AF6422" s="12"/>
    </row>
    <row r="6423" spans="32:32" x14ac:dyDescent="0.2">
      <c r="AF6423" s="12"/>
    </row>
    <row r="6424" spans="32:32" x14ac:dyDescent="0.2">
      <c r="AF6424" s="12"/>
    </row>
    <row r="6425" spans="32:32" x14ac:dyDescent="0.2">
      <c r="AF6425" s="12"/>
    </row>
    <row r="6426" spans="32:32" x14ac:dyDescent="0.2">
      <c r="AF6426" s="12"/>
    </row>
    <row r="6427" spans="32:32" x14ac:dyDescent="0.2">
      <c r="AF6427" s="12"/>
    </row>
    <row r="6428" spans="32:32" x14ac:dyDescent="0.2">
      <c r="AF6428" s="12"/>
    </row>
    <row r="6429" spans="32:32" x14ac:dyDescent="0.2">
      <c r="AF6429" s="12"/>
    </row>
    <row r="6430" spans="32:32" x14ac:dyDescent="0.2">
      <c r="AF6430" s="12"/>
    </row>
    <row r="6431" spans="32:32" x14ac:dyDescent="0.2">
      <c r="AF6431" s="12"/>
    </row>
    <row r="6432" spans="32:32" x14ac:dyDescent="0.2">
      <c r="AF6432" s="12"/>
    </row>
    <row r="6433" spans="32:32" x14ac:dyDescent="0.2">
      <c r="AF6433" s="12"/>
    </row>
    <row r="6434" spans="32:32" x14ac:dyDescent="0.2">
      <c r="AF6434" s="12"/>
    </row>
    <row r="6435" spans="32:32" x14ac:dyDescent="0.2">
      <c r="AF6435" s="12"/>
    </row>
    <row r="6436" spans="32:32" x14ac:dyDescent="0.2">
      <c r="AF6436" s="12"/>
    </row>
    <row r="6437" spans="32:32" x14ac:dyDescent="0.2">
      <c r="AF6437" s="12"/>
    </row>
    <row r="6438" spans="32:32" x14ac:dyDescent="0.2">
      <c r="AF6438" s="12"/>
    </row>
    <row r="6439" spans="32:32" x14ac:dyDescent="0.2">
      <c r="AF6439" s="12"/>
    </row>
    <row r="6440" spans="32:32" x14ac:dyDescent="0.2">
      <c r="AF6440" s="12"/>
    </row>
    <row r="6441" spans="32:32" x14ac:dyDescent="0.2">
      <c r="AF6441" s="12"/>
    </row>
    <row r="6442" spans="32:32" x14ac:dyDescent="0.2">
      <c r="AF6442" s="12"/>
    </row>
    <row r="6443" spans="32:32" x14ac:dyDescent="0.2">
      <c r="AF6443" s="12"/>
    </row>
    <row r="6444" spans="32:32" x14ac:dyDescent="0.2">
      <c r="AF6444" s="12"/>
    </row>
    <row r="6445" spans="32:32" x14ac:dyDescent="0.2">
      <c r="AF6445" s="12"/>
    </row>
    <row r="6446" spans="32:32" x14ac:dyDescent="0.2">
      <c r="AF6446" s="12"/>
    </row>
    <row r="6447" spans="32:32" x14ac:dyDescent="0.2">
      <c r="AF6447" s="12"/>
    </row>
    <row r="6448" spans="32:32" x14ac:dyDescent="0.2">
      <c r="AF6448" s="12"/>
    </row>
    <row r="6449" spans="32:32" x14ac:dyDescent="0.2">
      <c r="AF6449" s="12"/>
    </row>
    <row r="6450" spans="32:32" x14ac:dyDescent="0.2">
      <c r="AF6450" s="12"/>
    </row>
    <row r="6451" spans="32:32" x14ac:dyDescent="0.2">
      <c r="AF6451" s="12"/>
    </row>
    <row r="6452" spans="32:32" x14ac:dyDescent="0.2">
      <c r="AF6452" s="12"/>
    </row>
    <row r="6453" spans="32:32" x14ac:dyDescent="0.2">
      <c r="AF6453" s="12"/>
    </row>
    <row r="6454" spans="32:32" x14ac:dyDescent="0.2">
      <c r="AF6454" s="12"/>
    </row>
    <row r="6455" spans="32:32" x14ac:dyDescent="0.2">
      <c r="AF6455" s="12"/>
    </row>
    <row r="6456" spans="32:32" x14ac:dyDescent="0.2">
      <c r="AF6456" s="12"/>
    </row>
    <row r="6457" spans="32:32" x14ac:dyDescent="0.2">
      <c r="AF6457" s="12"/>
    </row>
    <row r="6458" spans="32:32" x14ac:dyDescent="0.2">
      <c r="AF6458" s="12"/>
    </row>
    <row r="6459" spans="32:32" x14ac:dyDescent="0.2">
      <c r="AF6459" s="12"/>
    </row>
    <row r="6460" spans="32:32" x14ac:dyDescent="0.2">
      <c r="AF6460" s="12"/>
    </row>
    <row r="6461" spans="32:32" x14ac:dyDescent="0.2">
      <c r="AF6461" s="12"/>
    </row>
    <row r="6462" spans="32:32" x14ac:dyDescent="0.2">
      <c r="AF6462" s="12"/>
    </row>
    <row r="6463" spans="32:32" x14ac:dyDescent="0.2">
      <c r="AF6463" s="12"/>
    </row>
    <row r="6464" spans="32:32" x14ac:dyDescent="0.2">
      <c r="AF6464" s="12"/>
    </row>
    <row r="6465" spans="32:32" x14ac:dyDescent="0.2">
      <c r="AF6465" s="12"/>
    </row>
    <row r="6466" spans="32:32" x14ac:dyDescent="0.2">
      <c r="AF6466" s="12"/>
    </row>
    <row r="6467" spans="32:32" x14ac:dyDescent="0.2">
      <c r="AF6467" s="12"/>
    </row>
    <row r="6468" spans="32:32" x14ac:dyDescent="0.2">
      <c r="AF6468" s="12"/>
    </row>
    <row r="6469" spans="32:32" x14ac:dyDescent="0.2">
      <c r="AF6469" s="12"/>
    </row>
    <row r="6470" spans="32:32" x14ac:dyDescent="0.2">
      <c r="AF6470" s="12"/>
    </row>
    <row r="6471" spans="32:32" x14ac:dyDescent="0.2">
      <c r="AF6471" s="12"/>
    </row>
    <row r="6472" spans="32:32" x14ac:dyDescent="0.2">
      <c r="AF6472" s="12"/>
    </row>
    <row r="6473" spans="32:32" x14ac:dyDescent="0.2">
      <c r="AF6473" s="12"/>
    </row>
    <row r="6474" spans="32:32" x14ac:dyDescent="0.2">
      <c r="AF6474" s="12"/>
    </row>
    <row r="6475" spans="32:32" x14ac:dyDescent="0.2">
      <c r="AF6475" s="12"/>
    </row>
    <row r="6476" spans="32:32" x14ac:dyDescent="0.2">
      <c r="AF6476" s="12"/>
    </row>
    <row r="6477" spans="32:32" x14ac:dyDescent="0.2">
      <c r="AF6477" s="12"/>
    </row>
    <row r="6478" spans="32:32" x14ac:dyDescent="0.2">
      <c r="AF6478" s="12"/>
    </row>
    <row r="6479" spans="32:32" x14ac:dyDescent="0.2">
      <c r="AF6479" s="12"/>
    </row>
    <row r="6480" spans="32:32" x14ac:dyDescent="0.2">
      <c r="AF6480" s="12"/>
    </row>
    <row r="6481" spans="32:32" x14ac:dyDescent="0.2">
      <c r="AF6481" s="12"/>
    </row>
    <row r="6482" spans="32:32" x14ac:dyDescent="0.2">
      <c r="AF6482" s="12"/>
    </row>
    <row r="6483" spans="32:32" x14ac:dyDescent="0.2">
      <c r="AF6483" s="12"/>
    </row>
    <row r="6484" spans="32:32" x14ac:dyDescent="0.2">
      <c r="AF6484" s="12"/>
    </row>
    <row r="6485" spans="32:32" x14ac:dyDescent="0.2">
      <c r="AF6485" s="12"/>
    </row>
    <row r="6486" spans="32:32" x14ac:dyDescent="0.2">
      <c r="AF6486" s="12"/>
    </row>
    <row r="6487" spans="32:32" x14ac:dyDescent="0.2">
      <c r="AF6487" s="12"/>
    </row>
    <row r="6488" spans="32:32" x14ac:dyDescent="0.2">
      <c r="AF6488" s="12"/>
    </row>
    <row r="6489" spans="32:32" x14ac:dyDescent="0.2">
      <c r="AF6489" s="12"/>
    </row>
    <row r="6490" spans="32:32" x14ac:dyDescent="0.2">
      <c r="AF6490" s="12"/>
    </row>
    <row r="6491" spans="32:32" x14ac:dyDescent="0.2">
      <c r="AF6491" s="12"/>
    </row>
    <row r="6492" spans="32:32" x14ac:dyDescent="0.2">
      <c r="AF6492" s="12"/>
    </row>
    <row r="6493" spans="32:32" x14ac:dyDescent="0.2">
      <c r="AF6493" s="12"/>
    </row>
    <row r="6494" spans="32:32" x14ac:dyDescent="0.2">
      <c r="AF6494" s="12"/>
    </row>
    <row r="6495" spans="32:32" x14ac:dyDescent="0.2">
      <c r="AF6495" s="12"/>
    </row>
    <row r="6496" spans="32:32" x14ac:dyDescent="0.2">
      <c r="AF6496" s="12"/>
    </row>
    <row r="6497" spans="32:32" x14ac:dyDescent="0.2">
      <c r="AF6497" s="12"/>
    </row>
    <row r="6498" spans="32:32" x14ac:dyDescent="0.2">
      <c r="AF6498" s="12"/>
    </row>
    <row r="6499" spans="32:32" x14ac:dyDescent="0.2">
      <c r="AF6499" s="12"/>
    </row>
    <row r="6500" spans="32:32" x14ac:dyDescent="0.2">
      <c r="AF6500" s="12"/>
    </row>
    <row r="6501" spans="32:32" x14ac:dyDescent="0.2">
      <c r="AF6501" s="12"/>
    </row>
    <row r="6502" spans="32:32" x14ac:dyDescent="0.2">
      <c r="AF6502" s="12"/>
    </row>
    <row r="6503" spans="32:32" x14ac:dyDescent="0.2">
      <c r="AF6503" s="12"/>
    </row>
    <row r="6504" spans="32:32" x14ac:dyDescent="0.2">
      <c r="AF6504" s="12"/>
    </row>
    <row r="6505" spans="32:32" x14ac:dyDescent="0.2">
      <c r="AF6505" s="12"/>
    </row>
    <row r="6506" spans="32:32" x14ac:dyDescent="0.2">
      <c r="AF6506" s="12"/>
    </row>
    <row r="6507" spans="32:32" x14ac:dyDescent="0.2">
      <c r="AF6507" s="12"/>
    </row>
    <row r="6508" spans="32:32" x14ac:dyDescent="0.2">
      <c r="AF6508" s="12"/>
    </row>
    <row r="6509" spans="32:32" x14ac:dyDescent="0.2">
      <c r="AF6509" s="12"/>
    </row>
    <row r="6510" spans="32:32" x14ac:dyDescent="0.2">
      <c r="AF6510" s="12"/>
    </row>
    <row r="6511" spans="32:32" x14ac:dyDescent="0.2">
      <c r="AF6511" s="12"/>
    </row>
    <row r="6512" spans="32:32" x14ac:dyDescent="0.2">
      <c r="AF6512" s="12"/>
    </row>
    <row r="6513" spans="32:32" x14ac:dyDescent="0.2">
      <c r="AF6513" s="12"/>
    </row>
    <row r="6514" spans="32:32" x14ac:dyDescent="0.2">
      <c r="AF6514" s="12"/>
    </row>
    <row r="6515" spans="32:32" x14ac:dyDescent="0.2">
      <c r="AF6515" s="12"/>
    </row>
    <row r="6516" spans="32:32" x14ac:dyDescent="0.2">
      <c r="AF6516" s="12"/>
    </row>
    <row r="6517" spans="32:32" x14ac:dyDescent="0.2">
      <c r="AF6517" s="12"/>
    </row>
    <row r="6518" spans="32:32" x14ac:dyDescent="0.2">
      <c r="AF6518" s="12"/>
    </row>
    <row r="6519" spans="32:32" x14ac:dyDescent="0.2">
      <c r="AF6519" s="12"/>
    </row>
    <row r="6520" spans="32:32" x14ac:dyDescent="0.2">
      <c r="AF6520" s="12"/>
    </row>
    <row r="6521" spans="32:32" x14ac:dyDescent="0.2">
      <c r="AF6521" s="12"/>
    </row>
    <row r="6522" spans="32:32" x14ac:dyDescent="0.2">
      <c r="AF6522" s="12"/>
    </row>
    <row r="6523" spans="32:32" x14ac:dyDescent="0.2">
      <c r="AF6523" s="12"/>
    </row>
    <row r="6524" spans="32:32" x14ac:dyDescent="0.2">
      <c r="AF6524" s="12"/>
    </row>
    <row r="6525" spans="32:32" x14ac:dyDescent="0.2">
      <c r="AF6525" s="12"/>
    </row>
    <row r="6526" spans="32:32" x14ac:dyDescent="0.2">
      <c r="AF6526" s="12"/>
    </row>
    <row r="6527" spans="32:32" x14ac:dyDescent="0.2">
      <c r="AF6527" s="12"/>
    </row>
    <row r="6528" spans="32:32" x14ac:dyDescent="0.2">
      <c r="AF6528" s="12"/>
    </row>
    <row r="6529" spans="32:32" x14ac:dyDescent="0.2">
      <c r="AF6529" s="12"/>
    </row>
    <row r="6530" spans="32:32" x14ac:dyDescent="0.2">
      <c r="AF6530" s="12"/>
    </row>
    <row r="6531" spans="32:32" x14ac:dyDescent="0.2">
      <c r="AF6531" s="12"/>
    </row>
    <row r="6532" spans="32:32" x14ac:dyDescent="0.2">
      <c r="AF6532" s="12"/>
    </row>
    <row r="6533" spans="32:32" x14ac:dyDescent="0.2">
      <c r="AF6533" s="12"/>
    </row>
    <row r="6534" spans="32:32" x14ac:dyDescent="0.2">
      <c r="AF6534" s="12"/>
    </row>
    <row r="6535" spans="32:32" x14ac:dyDescent="0.2">
      <c r="AF6535" s="12"/>
    </row>
    <row r="6536" spans="32:32" x14ac:dyDescent="0.2">
      <c r="AF6536" s="12"/>
    </row>
    <row r="6537" spans="32:32" x14ac:dyDescent="0.2">
      <c r="AF6537" s="12"/>
    </row>
    <row r="6538" spans="32:32" x14ac:dyDescent="0.2">
      <c r="AF6538" s="12"/>
    </row>
    <row r="6539" spans="32:32" x14ac:dyDescent="0.2">
      <c r="AF6539" s="12"/>
    </row>
    <row r="6540" spans="32:32" x14ac:dyDescent="0.2">
      <c r="AF6540" s="12"/>
    </row>
    <row r="6541" spans="32:32" x14ac:dyDescent="0.2">
      <c r="AF6541" s="12"/>
    </row>
    <row r="6542" spans="32:32" x14ac:dyDescent="0.2">
      <c r="AF6542" s="12"/>
    </row>
    <row r="6543" spans="32:32" x14ac:dyDescent="0.2">
      <c r="AF6543" s="12"/>
    </row>
    <row r="6544" spans="32:32" x14ac:dyDescent="0.2">
      <c r="AF6544" s="12"/>
    </row>
    <row r="6545" spans="32:32" x14ac:dyDescent="0.2">
      <c r="AF6545" s="12"/>
    </row>
    <row r="6546" spans="32:32" x14ac:dyDescent="0.2">
      <c r="AF6546" s="12"/>
    </row>
    <row r="6547" spans="32:32" x14ac:dyDescent="0.2">
      <c r="AF6547" s="12"/>
    </row>
    <row r="6548" spans="32:32" x14ac:dyDescent="0.2">
      <c r="AF6548" s="12"/>
    </row>
    <row r="6549" spans="32:32" x14ac:dyDescent="0.2">
      <c r="AF6549" s="12"/>
    </row>
    <row r="6550" spans="32:32" x14ac:dyDescent="0.2">
      <c r="AF6550" s="12"/>
    </row>
    <row r="6551" spans="32:32" x14ac:dyDescent="0.2">
      <c r="AF6551" s="12"/>
    </row>
    <row r="6552" spans="32:32" x14ac:dyDescent="0.2">
      <c r="AF6552" s="12"/>
    </row>
    <row r="6553" spans="32:32" x14ac:dyDescent="0.2">
      <c r="AF6553" s="12"/>
    </row>
    <row r="6554" spans="32:32" x14ac:dyDescent="0.2">
      <c r="AF6554" s="12"/>
    </row>
    <row r="6555" spans="32:32" x14ac:dyDescent="0.2">
      <c r="AF6555" s="12"/>
    </row>
    <row r="6556" spans="32:32" x14ac:dyDescent="0.2">
      <c r="AF6556" s="12"/>
    </row>
    <row r="6557" spans="32:32" x14ac:dyDescent="0.2">
      <c r="AF6557" s="12"/>
    </row>
    <row r="6558" spans="32:32" x14ac:dyDescent="0.2">
      <c r="AF6558" s="12"/>
    </row>
    <row r="6559" spans="32:32" x14ac:dyDescent="0.2">
      <c r="AF6559" s="12"/>
    </row>
    <row r="6560" spans="32:32" x14ac:dyDescent="0.2">
      <c r="AF6560" s="12"/>
    </row>
    <row r="6561" spans="32:32" x14ac:dyDescent="0.2">
      <c r="AF6561" s="12"/>
    </row>
    <row r="6562" spans="32:32" x14ac:dyDescent="0.2">
      <c r="AF6562" s="12"/>
    </row>
    <row r="6563" spans="32:32" x14ac:dyDescent="0.2">
      <c r="AF6563" s="12"/>
    </row>
    <row r="6564" spans="32:32" x14ac:dyDescent="0.2">
      <c r="AF6564" s="12"/>
    </row>
    <row r="6565" spans="32:32" x14ac:dyDescent="0.2">
      <c r="AF6565" s="12"/>
    </row>
    <row r="6566" spans="32:32" x14ac:dyDescent="0.2">
      <c r="AF6566" s="12"/>
    </row>
    <row r="6567" spans="32:32" x14ac:dyDescent="0.2">
      <c r="AF6567" s="12"/>
    </row>
    <row r="6568" spans="32:32" x14ac:dyDescent="0.2">
      <c r="AF6568" s="12"/>
    </row>
    <row r="6569" spans="32:32" x14ac:dyDescent="0.2">
      <c r="AF6569" s="12"/>
    </row>
    <row r="6570" spans="32:32" x14ac:dyDescent="0.2">
      <c r="AF6570" s="12"/>
    </row>
    <row r="6571" spans="32:32" x14ac:dyDescent="0.2">
      <c r="AF6571" s="12"/>
    </row>
    <row r="6572" spans="32:32" x14ac:dyDescent="0.2">
      <c r="AF6572" s="12"/>
    </row>
    <row r="6573" spans="32:32" x14ac:dyDescent="0.2">
      <c r="AF6573" s="12"/>
    </row>
    <row r="6574" spans="32:32" x14ac:dyDescent="0.2">
      <c r="AF6574" s="12"/>
    </row>
    <row r="6575" spans="32:32" x14ac:dyDescent="0.2">
      <c r="AF6575" s="12"/>
    </row>
    <row r="6576" spans="32:32" x14ac:dyDescent="0.2">
      <c r="AF6576" s="12"/>
    </row>
    <row r="6577" spans="32:32" x14ac:dyDescent="0.2">
      <c r="AF6577" s="12"/>
    </row>
    <row r="6578" spans="32:32" x14ac:dyDescent="0.2">
      <c r="AF6578" s="12"/>
    </row>
    <row r="6579" spans="32:32" x14ac:dyDescent="0.2">
      <c r="AF6579" s="12"/>
    </row>
    <row r="6580" spans="32:32" x14ac:dyDescent="0.2">
      <c r="AF6580" s="12"/>
    </row>
    <row r="6581" spans="32:32" x14ac:dyDescent="0.2">
      <c r="AF6581" s="12"/>
    </row>
    <row r="6582" spans="32:32" x14ac:dyDescent="0.2">
      <c r="AF6582" s="12"/>
    </row>
    <row r="6583" spans="32:32" x14ac:dyDescent="0.2">
      <c r="AF6583" s="12"/>
    </row>
    <row r="6584" spans="32:32" x14ac:dyDescent="0.2">
      <c r="AF6584" s="12"/>
    </row>
    <row r="6585" spans="32:32" x14ac:dyDescent="0.2">
      <c r="AF6585" s="12"/>
    </row>
    <row r="6586" spans="32:32" x14ac:dyDescent="0.2">
      <c r="AF6586" s="12"/>
    </row>
    <row r="6587" spans="32:32" x14ac:dyDescent="0.2">
      <c r="AF6587" s="12"/>
    </row>
    <row r="6588" spans="32:32" x14ac:dyDescent="0.2">
      <c r="AF6588" s="12"/>
    </row>
    <row r="6589" spans="32:32" x14ac:dyDescent="0.2">
      <c r="AF6589" s="12"/>
    </row>
    <row r="6590" spans="32:32" x14ac:dyDescent="0.2">
      <c r="AF6590" s="12"/>
    </row>
    <row r="6591" spans="32:32" x14ac:dyDescent="0.2">
      <c r="AF6591" s="12"/>
    </row>
    <row r="6592" spans="32:32" x14ac:dyDescent="0.2">
      <c r="AF6592" s="12"/>
    </row>
    <row r="6593" spans="32:32" x14ac:dyDescent="0.2">
      <c r="AF6593" s="12"/>
    </row>
    <row r="6594" spans="32:32" x14ac:dyDescent="0.2">
      <c r="AF6594" s="12"/>
    </row>
    <row r="6595" spans="32:32" x14ac:dyDescent="0.2">
      <c r="AF6595" s="12"/>
    </row>
    <row r="6596" spans="32:32" x14ac:dyDescent="0.2">
      <c r="AF6596" s="12"/>
    </row>
    <row r="6597" spans="32:32" x14ac:dyDescent="0.2">
      <c r="AF6597" s="12"/>
    </row>
    <row r="6598" spans="32:32" x14ac:dyDescent="0.2">
      <c r="AF6598" s="12"/>
    </row>
    <row r="6599" spans="32:32" x14ac:dyDescent="0.2">
      <c r="AF6599" s="12"/>
    </row>
    <row r="6600" spans="32:32" x14ac:dyDescent="0.2">
      <c r="AF6600" s="12"/>
    </row>
    <row r="6601" spans="32:32" x14ac:dyDescent="0.2">
      <c r="AF6601" s="12"/>
    </row>
    <row r="6602" spans="32:32" x14ac:dyDescent="0.2">
      <c r="AF6602" s="12"/>
    </row>
    <row r="6603" spans="32:32" x14ac:dyDescent="0.2">
      <c r="AF6603" s="12"/>
    </row>
    <row r="6604" spans="32:32" x14ac:dyDescent="0.2">
      <c r="AF6604" s="12"/>
    </row>
    <row r="6605" spans="32:32" x14ac:dyDescent="0.2">
      <c r="AF6605" s="12"/>
    </row>
    <row r="6606" spans="32:32" x14ac:dyDescent="0.2">
      <c r="AF6606" s="12"/>
    </row>
    <row r="6607" spans="32:32" x14ac:dyDescent="0.2">
      <c r="AF6607" s="12"/>
    </row>
    <row r="6608" spans="32:32" x14ac:dyDescent="0.2">
      <c r="AF6608" s="12"/>
    </row>
    <row r="6609" spans="32:32" x14ac:dyDescent="0.2">
      <c r="AF6609" s="12"/>
    </row>
    <row r="6610" spans="32:32" x14ac:dyDescent="0.2">
      <c r="AF6610" s="12"/>
    </row>
    <row r="6611" spans="32:32" x14ac:dyDescent="0.2">
      <c r="AF6611" s="12"/>
    </row>
    <row r="6612" spans="32:32" x14ac:dyDescent="0.2">
      <c r="AF6612" s="12"/>
    </row>
    <row r="6613" spans="32:32" x14ac:dyDescent="0.2">
      <c r="AF6613" s="12"/>
    </row>
    <row r="6614" spans="32:32" x14ac:dyDescent="0.2">
      <c r="AF6614" s="12"/>
    </row>
    <row r="6615" spans="32:32" x14ac:dyDescent="0.2">
      <c r="AF6615" s="12"/>
    </row>
    <row r="6616" spans="32:32" x14ac:dyDescent="0.2">
      <c r="AF6616" s="12"/>
    </row>
    <row r="6617" spans="32:32" x14ac:dyDescent="0.2">
      <c r="AF6617" s="12"/>
    </row>
    <row r="6618" spans="32:32" x14ac:dyDescent="0.2">
      <c r="AF6618" s="12"/>
    </row>
    <row r="6619" spans="32:32" x14ac:dyDescent="0.2">
      <c r="AF6619" s="12"/>
    </row>
    <row r="6620" spans="32:32" x14ac:dyDescent="0.2">
      <c r="AF6620" s="12"/>
    </row>
    <row r="6621" spans="32:32" x14ac:dyDescent="0.2">
      <c r="AF6621" s="12"/>
    </row>
    <row r="6622" spans="32:32" x14ac:dyDescent="0.2">
      <c r="AF6622" s="12"/>
    </row>
    <row r="6623" spans="32:32" x14ac:dyDescent="0.2">
      <c r="AF6623" s="12"/>
    </row>
    <row r="6624" spans="32:32" x14ac:dyDescent="0.2">
      <c r="AF6624" s="12"/>
    </row>
    <row r="6625" spans="32:32" x14ac:dyDescent="0.2">
      <c r="AF6625" s="12"/>
    </row>
    <row r="6626" spans="32:32" x14ac:dyDescent="0.2">
      <c r="AF6626" s="12"/>
    </row>
    <row r="6627" spans="32:32" x14ac:dyDescent="0.2">
      <c r="AF6627" s="12"/>
    </row>
    <row r="6628" spans="32:32" x14ac:dyDescent="0.2">
      <c r="AF6628" s="12"/>
    </row>
    <row r="6629" spans="32:32" x14ac:dyDescent="0.2">
      <c r="AF6629" s="12"/>
    </row>
    <row r="6630" spans="32:32" x14ac:dyDescent="0.2">
      <c r="AF6630" s="12"/>
    </row>
    <row r="6631" spans="32:32" x14ac:dyDescent="0.2">
      <c r="AF6631" s="12"/>
    </row>
    <row r="6632" spans="32:32" x14ac:dyDescent="0.2">
      <c r="AF6632" s="12"/>
    </row>
    <row r="6633" spans="32:32" x14ac:dyDescent="0.2">
      <c r="AF6633" s="12"/>
    </row>
    <row r="6634" spans="32:32" x14ac:dyDescent="0.2">
      <c r="AF6634" s="12"/>
    </row>
    <row r="6635" spans="32:32" x14ac:dyDescent="0.2">
      <c r="AF6635" s="12"/>
    </row>
    <row r="6636" spans="32:32" x14ac:dyDescent="0.2">
      <c r="AF6636" s="12"/>
    </row>
    <row r="6637" spans="32:32" x14ac:dyDescent="0.2">
      <c r="AF6637" s="12"/>
    </row>
    <row r="6638" spans="32:32" x14ac:dyDescent="0.2">
      <c r="AF6638" s="12"/>
    </row>
    <row r="6639" spans="32:32" x14ac:dyDescent="0.2">
      <c r="AF6639" s="12"/>
    </row>
    <row r="6640" spans="32:32" x14ac:dyDescent="0.2">
      <c r="AF6640" s="12"/>
    </row>
    <row r="6641" spans="32:32" x14ac:dyDescent="0.2">
      <c r="AF6641" s="12"/>
    </row>
    <row r="6642" spans="32:32" x14ac:dyDescent="0.2">
      <c r="AF6642" s="12"/>
    </row>
    <row r="6643" spans="32:32" x14ac:dyDescent="0.2">
      <c r="AF6643" s="12"/>
    </row>
    <row r="6644" spans="32:32" x14ac:dyDescent="0.2">
      <c r="AF6644" s="12"/>
    </row>
    <row r="6645" spans="32:32" x14ac:dyDescent="0.2">
      <c r="AF6645" s="12"/>
    </row>
    <row r="6646" spans="32:32" x14ac:dyDescent="0.2">
      <c r="AF6646" s="12"/>
    </row>
    <row r="6647" spans="32:32" x14ac:dyDescent="0.2">
      <c r="AF6647" s="12"/>
    </row>
    <row r="6648" spans="32:32" x14ac:dyDescent="0.2">
      <c r="AF6648" s="12"/>
    </row>
    <row r="6649" spans="32:32" x14ac:dyDescent="0.2">
      <c r="AF6649" s="12"/>
    </row>
    <row r="6650" spans="32:32" x14ac:dyDescent="0.2">
      <c r="AF6650" s="12"/>
    </row>
    <row r="6651" spans="32:32" x14ac:dyDescent="0.2">
      <c r="AF6651" s="12"/>
    </row>
    <row r="6652" spans="32:32" x14ac:dyDescent="0.2">
      <c r="AF6652" s="12"/>
    </row>
    <row r="6653" spans="32:32" x14ac:dyDescent="0.2">
      <c r="AF6653" s="12"/>
    </row>
    <row r="6654" spans="32:32" x14ac:dyDescent="0.2">
      <c r="AF6654" s="12"/>
    </row>
    <row r="6655" spans="32:32" x14ac:dyDescent="0.2">
      <c r="AF6655" s="12"/>
    </row>
    <row r="6656" spans="32:32" x14ac:dyDescent="0.2">
      <c r="AF6656" s="12"/>
    </row>
    <row r="6657" spans="32:32" x14ac:dyDescent="0.2">
      <c r="AF6657" s="12"/>
    </row>
    <row r="6658" spans="32:32" x14ac:dyDescent="0.2">
      <c r="AF6658" s="12"/>
    </row>
    <row r="6659" spans="32:32" x14ac:dyDescent="0.2">
      <c r="AF6659" s="12"/>
    </row>
    <row r="6660" spans="32:32" x14ac:dyDescent="0.2">
      <c r="AF6660" s="12"/>
    </row>
    <row r="6661" spans="32:32" x14ac:dyDescent="0.2">
      <c r="AF6661" s="12"/>
    </row>
    <row r="6662" spans="32:32" x14ac:dyDescent="0.2">
      <c r="AF6662" s="12"/>
    </row>
    <row r="6663" spans="32:32" x14ac:dyDescent="0.2">
      <c r="AF6663" s="12"/>
    </row>
    <row r="6664" spans="32:32" x14ac:dyDescent="0.2">
      <c r="AF6664" s="12"/>
    </row>
    <row r="6665" spans="32:32" x14ac:dyDescent="0.2">
      <c r="AF6665" s="12"/>
    </row>
    <row r="6666" spans="32:32" x14ac:dyDescent="0.2">
      <c r="AF6666" s="12"/>
    </row>
    <row r="6667" spans="32:32" x14ac:dyDescent="0.2">
      <c r="AF6667" s="12"/>
    </row>
    <row r="6668" spans="32:32" x14ac:dyDescent="0.2">
      <c r="AF6668" s="12"/>
    </row>
    <row r="6669" spans="32:32" x14ac:dyDescent="0.2">
      <c r="AF6669" s="12"/>
    </row>
    <row r="6670" spans="32:32" x14ac:dyDescent="0.2">
      <c r="AF6670" s="12"/>
    </row>
    <row r="6671" spans="32:32" x14ac:dyDescent="0.2">
      <c r="AF6671" s="12"/>
    </row>
    <row r="6672" spans="32:32" x14ac:dyDescent="0.2">
      <c r="AF6672" s="12"/>
    </row>
    <row r="6673" spans="32:32" x14ac:dyDescent="0.2">
      <c r="AF6673" s="12"/>
    </row>
    <row r="6674" spans="32:32" x14ac:dyDescent="0.2">
      <c r="AF6674" s="12"/>
    </row>
    <row r="6675" spans="32:32" x14ac:dyDescent="0.2">
      <c r="AF6675" s="12"/>
    </row>
    <row r="6676" spans="32:32" x14ac:dyDescent="0.2">
      <c r="AF6676" s="12"/>
    </row>
    <row r="6677" spans="32:32" x14ac:dyDescent="0.2">
      <c r="AF6677" s="12"/>
    </row>
    <row r="6678" spans="32:32" x14ac:dyDescent="0.2">
      <c r="AF6678" s="12"/>
    </row>
    <row r="6679" spans="32:32" x14ac:dyDescent="0.2">
      <c r="AF6679" s="12"/>
    </row>
    <row r="6680" spans="32:32" x14ac:dyDescent="0.2">
      <c r="AF6680" s="12"/>
    </row>
    <row r="6681" spans="32:32" x14ac:dyDescent="0.2">
      <c r="AF6681" s="12"/>
    </row>
    <row r="6682" spans="32:32" x14ac:dyDescent="0.2">
      <c r="AF6682" s="12"/>
    </row>
    <row r="6683" spans="32:32" x14ac:dyDescent="0.2">
      <c r="AF6683" s="12"/>
    </row>
    <row r="6684" spans="32:32" x14ac:dyDescent="0.2">
      <c r="AF6684" s="12"/>
    </row>
    <row r="6685" spans="32:32" x14ac:dyDescent="0.2">
      <c r="AF6685" s="12"/>
    </row>
    <row r="6686" spans="32:32" x14ac:dyDescent="0.2">
      <c r="AF6686" s="12"/>
    </row>
    <row r="6687" spans="32:32" x14ac:dyDescent="0.2">
      <c r="AF6687" s="12"/>
    </row>
    <row r="6688" spans="32:32" x14ac:dyDescent="0.2">
      <c r="AF6688" s="12"/>
    </row>
    <row r="6689" spans="32:32" x14ac:dyDescent="0.2">
      <c r="AF6689" s="12"/>
    </row>
    <row r="6690" spans="32:32" x14ac:dyDescent="0.2">
      <c r="AF6690" s="12"/>
    </row>
    <row r="6691" spans="32:32" x14ac:dyDescent="0.2">
      <c r="AF6691" s="12"/>
    </row>
    <row r="6692" spans="32:32" x14ac:dyDescent="0.2">
      <c r="AF6692" s="12"/>
    </row>
    <row r="6693" spans="32:32" x14ac:dyDescent="0.2">
      <c r="AF6693" s="12"/>
    </row>
    <row r="6694" spans="32:32" x14ac:dyDescent="0.2">
      <c r="AF6694" s="12"/>
    </row>
    <row r="6695" spans="32:32" x14ac:dyDescent="0.2">
      <c r="AF6695" s="12"/>
    </row>
    <row r="6696" spans="32:32" x14ac:dyDescent="0.2">
      <c r="AF6696" s="12"/>
    </row>
    <row r="6697" spans="32:32" x14ac:dyDescent="0.2">
      <c r="AF6697" s="12"/>
    </row>
    <row r="6698" spans="32:32" x14ac:dyDescent="0.2">
      <c r="AF6698" s="12"/>
    </row>
    <row r="6699" spans="32:32" x14ac:dyDescent="0.2">
      <c r="AF6699" s="12"/>
    </row>
    <row r="6700" spans="32:32" x14ac:dyDescent="0.2">
      <c r="AF6700" s="12"/>
    </row>
    <row r="6701" spans="32:32" x14ac:dyDescent="0.2">
      <c r="AF6701" s="12"/>
    </row>
    <row r="6702" spans="32:32" x14ac:dyDescent="0.2">
      <c r="AF6702" s="12"/>
    </row>
    <row r="6703" spans="32:32" x14ac:dyDescent="0.2">
      <c r="AF6703" s="12"/>
    </row>
    <row r="6704" spans="32:32" x14ac:dyDescent="0.2">
      <c r="AF6704" s="12"/>
    </row>
    <row r="6705" spans="32:32" x14ac:dyDescent="0.2">
      <c r="AF6705" s="12"/>
    </row>
    <row r="6706" spans="32:32" x14ac:dyDescent="0.2">
      <c r="AF6706" s="12"/>
    </row>
    <row r="6707" spans="32:32" x14ac:dyDescent="0.2">
      <c r="AF6707" s="12"/>
    </row>
    <row r="6708" spans="32:32" x14ac:dyDescent="0.2">
      <c r="AF6708" s="12"/>
    </row>
    <row r="6709" spans="32:32" x14ac:dyDescent="0.2">
      <c r="AF6709" s="12"/>
    </row>
    <row r="6710" spans="32:32" x14ac:dyDescent="0.2">
      <c r="AF6710" s="12"/>
    </row>
    <row r="6711" spans="32:32" x14ac:dyDescent="0.2">
      <c r="AF6711" s="12"/>
    </row>
    <row r="6712" spans="32:32" x14ac:dyDescent="0.2">
      <c r="AF6712" s="12"/>
    </row>
    <row r="6713" spans="32:32" x14ac:dyDescent="0.2">
      <c r="AF6713" s="12"/>
    </row>
    <row r="6714" spans="32:32" x14ac:dyDescent="0.2">
      <c r="AF6714" s="12"/>
    </row>
    <row r="6715" spans="32:32" x14ac:dyDescent="0.2">
      <c r="AF6715" s="12"/>
    </row>
    <row r="6716" spans="32:32" x14ac:dyDescent="0.2">
      <c r="AF6716" s="12"/>
    </row>
    <row r="6717" spans="32:32" x14ac:dyDescent="0.2">
      <c r="AF6717" s="12"/>
    </row>
    <row r="6718" spans="32:32" x14ac:dyDescent="0.2">
      <c r="AF6718" s="12"/>
    </row>
    <row r="6719" spans="32:32" x14ac:dyDescent="0.2">
      <c r="AF6719" s="12"/>
    </row>
    <row r="6720" spans="32:32" x14ac:dyDescent="0.2">
      <c r="AF6720" s="12"/>
    </row>
    <row r="6721" spans="32:32" x14ac:dyDescent="0.2">
      <c r="AF6721" s="12"/>
    </row>
    <row r="6722" spans="32:32" x14ac:dyDescent="0.2">
      <c r="AF6722" s="12"/>
    </row>
    <row r="6723" spans="32:32" x14ac:dyDescent="0.2">
      <c r="AF6723" s="12"/>
    </row>
    <row r="6724" spans="32:32" x14ac:dyDescent="0.2">
      <c r="AF6724" s="12"/>
    </row>
    <row r="6725" spans="32:32" x14ac:dyDescent="0.2">
      <c r="AF6725" s="12"/>
    </row>
    <row r="6726" spans="32:32" x14ac:dyDescent="0.2">
      <c r="AF6726" s="12"/>
    </row>
    <row r="6727" spans="32:32" x14ac:dyDescent="0.2">
      <c r="AF6727" s="12"/>
    </row>
    <row r="6728" spans="32:32" x14ac:dyDescent="0.2">
      <c r="AF6728" s="12"/>
    </row>
    <row r="6729" spans="32:32" x14ac:dyDescent="0.2">
      <c r="AF6729" s="12"/>
    </row>
    <row r="6730" spans="32:32" x14ac:dyDescent="0.2">
      <c r="AF6730" s="12"/>
    </row>
    <row r="6731" spans="32:32" x14ac:dyDescent="0.2">
      <c r="AF6731" s="12"/>
    </row>
    <row r="6732" spans="32:32" x14ac:dyDescent="0.2">
      <c r="AF6732" s="12"/>
    </row>
    <row r="6733" spans="32:32" x14ac:dyDescent="0.2">
      <c r="AF6733" s="12"/>
    </row>
    <row r="6734" spans="32:32" x14ac:dyDescent="0.2">
      <c r="AF6734" s="12"/>
    </row>
    <row r="6735" spans="32:32" x14ac:dyDescent="0.2">
      <c r="AF6735" s="12"/>
    </row>
    <row r="6736" spans="32:32" x14ac:dyDescent="0.2">
      <c r="AF6736" s="12"/>
    </row>
    <row r="6737" spans="32:32" x14ac:dyDescent="0.2">
      <c r="AF6737" s="12"/>
    </row>
    <row r="6738" spans="32:32" x14ac:dyDescent="0.2">
      <c r="AF6738" s="12"/>
    </row>
    <row r="6739" spans="32:32" x14ac:dyDescent="0.2">
      <c r="AF6739" s="12"/>
    </row>
    <row r="6740" spans="32:32" x14ac:dyDescent="0.2">
      <c r="AF6740" s="12"/>
    </row>
    <row r="6741" spans="32:32" x14ac:dyDescent="0.2">
      <c r="AF6741" s="12"/>
    </row>
    <row r="6742" spans="32:32" x14ac:dyDescent="0.2">
      <c r="AF6742" s="12"/>
    </row>
    <row r="6743" spans="32:32" x14ac:dyDescent="0.2">
      <c r="AF6743" s="12"/>
    </row>
    <row r="6744" spans="32:32" x14ac:dyDescent="0.2">
      <c r="AF6744" s="12"/>
    </row>
    <row r="6745" spans="32:32" x14ac:dyDescent="0.2">
      <c r="AF6745" s="12"/>
    </row>
    <row r="6746" spans="32:32" x14ac:dyDescent="0.2">
      <c r="AF6746" s="12"/>
    </row>
    <row r="6747" spans="32:32" x14ac:dyDescent="0.2">
      <c r="AF6747" s="12"/>
    </row>
    <row r="6748" spans="32:32" x14ac:dyDescent="0.2">
      <c r="AF6748" s="12"/>
    </row>
    <row r="6749" spans="32:32" x14ac:dyDescent="0.2">
      <c r="AF6749" s="12"/>
    </row>
    <row r="6750" spans="32:32" x14ac:dyDescent="0.2">
      <c r="AF6750" s="12"/>
    </row>
    <row r="6751" spans="32:32" x14ac:dyDescent="0.2">
      <c r="AF6751" s="12"/>
    </row>
    <row r="6752" spans="32:32" x14ac:dyDescent="0.2">
      <c r="AF6752" s="12"/>
    </row>
    <row r="6753" spans="32:32" x14ac:dyDescent="0.2">
      <c r="AF6753" s="12"/>
    </row>
    <row r="6754" spans="32:32" x14ac:dyDescent="0.2">
      <c r="AF6754" s="12"/>
    </row>
    <row r="6755" spans="32:32" x14ac:dyDescent="0.2">
      <c r="AF6755" s="12"/>
    </row>
    <row r="6756" spans="32:32" x14ac:dyDescent="0.2">
      <c r="AF6756" s="12"/>
    </row>
    <row r="6757" spans="32:32" x14ac:dyDescent="0.2">
      <c r="AF6757" s="12"/>
    </row>
    <row r="6758" spans="32:32" x14ac:dyDescent="0.2">
      <c r="AF6758" s="12"/>
    </row>
    <row r="6759" spans="32:32" x14ac:dyDescent="0.2">
      <c r="AF6759" s="12"/>
    </row>
    <row r="6760" spans="32:32" x14ac:dyDescent="0.2">
      <c r="AF6760" s="12"/>
    </row>
    <row r="6761" spans="32:32" x14ac:dyDescent="0.2">
      <c r="AF6761" s="12"/>
    </row>
    <row r="6762" spans="32:32" x14ac:dyDescent="0.2">
      <c r="AF6762" s="12"/>
    </row>
    <row r="6763" spans="32:32" x14ac:dyDescent="0.2">
      <c r="AF6763" s="12"/>
    </row>
    <row r="6764" spans="32:32" x14ac:dyDescent="0.2">
      <c r="AF6764" s="12"/>
    </row>
    <row r="6765" spans="32:32" x14ac:dyDescent="0.2">
      <c r="AF6765" s="12"/>
    </row>
    <row r="6766" spans="32:32" x14ac:dyDescent="0.2">
      <c r="AF6766" s="12"/>
    </row>
    <row r="6767" spans="32:32" x14ac:dyDescent="0.2">
      <c r="AF6767" s="12"/>
    </row>
    <row r="6768" spans="32:32" x14ac:dyDescent="0.2">
      <c r="AF6768" s="12"/>
    </row>
    <row r="6769" spans="32:32" x14ac:dyDescent="0.2">
      <c r="AF6769" s="12"/>
    </row>
    <row r="6770" spans="32:32" x14ac:dyDescent="0.2">
      <c r="AF6770" s="12"/>
    </row>
    <row r="6771" spans="32:32" x14ac:dyDescent="0.2">
      <c r="AF6771" s="12"/>
    </row>
    <row r="6772" spans="32:32" x14ac:dyDescent="0.2">
      <c r="AF6772" s="12"/>
    </row>
    <row r="6773" spans="32:32" x14ac:dyDescent="0.2">
      <c r="AF6773" s="12"/>
    </row>
    <row r="6774" spans="32:32" x14ac:dyDescent="0.2">
      <c r="AF6774" s="12"/>
    </row>
    <row r="6775" spans="32:32" x14ac:dyDescent="0.2">
      <c r="AF6775" s="12"/>
    </row>
    <row r="6776" spans="32:32" x14ac:dyDescent="0.2">
      <c r="AF6776" s="12"/>
    </row>
    <row r="6777" spans="32:32" x14ac:dyDescent="0.2">
      <c r="AF6777" s="12"/>
    </row>
    <row r="6778" spans="32:32" x14ac:dyDescent="0.2">
      <c r="AF6778" s="12"/>
    </row>
    <row r="6779" spans="32:32" x14ac:dyDescent="0.2">
      <c r="AF6779" s="12"/>
    </row>
    <row r="6780" spans="32:32" x14ac:dyDescent="0.2">
      <c r="AF6780" s="12"/>
    </row>
    <row r="6781" spans="32:32" x14ac:dyDescent="0.2">
      <c r="AF6781" s="12"/>
    </row>
    <row r="6782" spans="32:32" x14ac:dyDescent="0.2">
      <c r="AF6782" s="12"/>
    </row>
    <row r="6783" spans="32:32" x14ac:dyDescent="0.2">
      <c r="AF6783" s="12"/>
    </row>
    <row r="6784" spans="32:32" x14ac:dyDescent="0.2">
      <c r="AF6784" s="12"/>
    </row>
    <row r="6785" spans="32:32" x14ac:dyDescent="0.2">
      <c r="AF6785" s="12"/>
    </row>
    <row r="6786" spans="32:32" x14ac:dyDescent="0.2">
      <c r="AF6786" s="12"/>
    </row>
    <row r="6787" spans="32:32" x14ac:dyDescent="0.2">
      <c r="AF6787" s="12"/>
    </row>
    <row r="6788" spans="32:32" x14ac:dyDescent="0.2">
      <c r="AF6788" s="12"/>
    </row>
    <row r="6789" spans="32:32" x14ac:dyDescent="0.2">
      <c r="AF6789" s="12"/>
    </row>
    <row r="6790" spans="32:32" x14ac:dyDescent="0.2">
      <c r="AF6790" s="12"/>
    </row>
    <row r="6791" spans="32:32" x14ac:dyDescent="0.2">
      <c r="AF6791" s="12"/>
    </row>
    <row r="6792" spans="32:32" x14ac:dyDescent="0.2">
      <c r="AF6792" s="12"/>
    </row>
    <row r="6793" spans="32:32" x14ac:dyDescent="0.2">
      <c r="AF6793" s="12"/>
    </row>
    <row r="6794" spans="32:32" x14ac:dyDescent="0.2">
      <c r="AF6794" s="12"/>
    </row>
    <row r="6795" spans="32:32" x14ac:dyDescent="0.2">
      <c r="AF6795" s="12"/>
    </row>
    <row r="6796" spans="32:32" x14ac:dyDescent="0.2">
      <c r="AF6796" s="12"/>
    </row>
    <row r="6797" spans="32:32" x14ac:dyDescent="0.2">
      <c r="AF6797" s="12"/>
    </row>
    <row r="6798" spans="32:32" x14ac:dyDescent="0.2">
      <c r="AF6798" s="12"/>
    </row>
    <row r="6799" spans="32:32" x14ac:dyDescent="0.2">
      <c r="AF6799" s="12"/>
    </row>
    <row r="6800" spans="32:32" x14ac:dyDescent="0.2">
      <c r="AF6800" s="12"/>
    </row>
    <row r="6801" spans="32:32" x14ac:dyDescent="0.2">
      <c r="AF6801" s="12"/>
    </row>
    <row r="6802" spans="32:32" x14ac:dyDescent="0.2">
      <c r="AF6802" s="12"/>
    </row>
    <row r="6803" spans="32:32" x14ac:dyDescent="0.2">
      <c r="AF6803" s="12"/>
    </row>
    <row r="6804" spans="32:32" x14ac:dyDescent="0.2">
      <c r="AF6804" s="12"/>
    </row>
    <row r="6805" spans="32:32" x14ac:dyDescent="0.2">
      <c r="AF6805" s="12"/>
    </row>
    <row r="6806" spans="32:32" x14ac:dyDescent="0.2">
      <c r="AF6806" s="12"/>
    </row>
    <row r="6807" spans="32:32" x14ac:dyDescent="0.2">
      <c r="AF6807" s="12"/>
    </row>
    <row r="6808" spans="32:32" x14ac:dyDescent="0.2">
      <c r="AF6808" s="12"/>
    </row>
    <row r="6809" spans="32:32" x14ac:dyDescent="0.2">
      <c r="AF6809" s="12"/>
    </row>
    <row r="6810" spans="32:32" x14ac:dyDescent="0.2">
      <c r="AF6810" s="12"/>
    </row>
    <row r="6811" spans="32:32" x14ac:dyDescent="0.2">
      <c r="AF6811" s="12"/>
    </row>
    <row r="6812" spans="32:32" x14ac:dyDescent="0.2">
      <c r="AF6812" s="12"/>
    </row>
    <row r="6813" spans="32:32" x14ac:dyDescent="0.2">
      <c r="AF6813" s="12"/>
    </row>
    <row r="6814" spans="32:32" x14ac:dyDescent="0.2">
      <c r="AF6814" s="12"/>
    </row>
    <row r="6815" spans="32:32" x14ac:dyDescent="0.2">
      <c r="AF6815" s="12"/>
    </row>
    <row r="6816" spans="32:32" x14ac:dyDescent="0.2">
      <c r="AF6816" s="12"/>
    </row>
    <row r="6817" spans="32:32" x14ac:dyDescent="0.2">
      <c r="AF6817" s="12"/>
    </row>
    <row r="6818" spans="32:32" x14ac:dyDescent="0.2">
      <c r="AF6818" s="12"/>
    </row>
    <row r="6819" spans="32:32" x14ac:dyDescent="0.2">
      <c r="AF6819" s="12"/>
    </row>
    <row r="6820" spans="32:32" x14ac:dyDescent="0.2">
      <c r="AF6820" s="12"/>
    </row>
    <row r="6821" spans="32:32" x14ac:dyDescent="0.2">
      <c r="AF6821" s="12"/>
    </row>
    <row r="6822" spans="32:32" x14ac:dyDescent="0.2">
      <c r="AF6822" s="12"/>
    </row>
    <row r="6823" spans="32:32" x14ac:dyDescent="0.2">
      <c r="AF6823" s="12"/>
    </row>
    <row r="6824" spans="32:32" x14ac:dyDescent="0.2">
      <c r="AF6824" s="12"/>
    </row>
    <row r="6825" spans="32:32" x14ac:dyDescent="0.2">
      <c r="AF6825" s="12"/>
    </row>
    <row r="6826" spans="32:32" x14ac:dyDescent="0.2">
      <c r="AF6826" s="12"/>
    </row>
    <row r="6827" spans="32:32" x14ac:dyDescent="0.2">
      <c r="AF6827" s="12"/>
    </row>
    <row r="6828" spans="32:32" x14ac:dyDescent="0.2">
      <c r="AF6828" s="12"/>
    </row>
    <row r="6829" spans="32:32" x14ac:dyDescent="0.2">
      <c r="AF6829" s="12"/>
    </row>
    <row r="6830" spans="32:32" x14ac:dyDescent="0.2">
      <c r="AF6830" s="12"/>
    </row>
    <row r="6831" spans="32:32" x14ac:dyDescent="0.2">
      <c r="AF6831" s="12"/>
    </row>
    <row r="6832" spans="32:32" x14ac:dyDescent="0.2">
      <c r="AF6832" s="12"/>
    </row>
    <row r="6833" spans="32:32" x14ac:dyDescent="0.2">
      <c r="AF6833" s="12"/>
    </row>
    <row r="6834" spans="32:32" x14ac:dyDescent="0.2">
      <c r="AF6834" s="12"/>
    </row>
    <row r="6835" spans="32:32" x14ac:dyDescent="0.2">
      <c r="AF6835" s="12"/>
    </row>
    <row r="6836" spans="32:32" x14ac:dyDescent="0.2">
      <c r="AF6836" s="12"/>
    </row>
    <row r="6837" spans="32:32" x14ac:dyDescent="0.2">
      <c r="AF6837" s="12"/>
    </row>
    <row r="6838" spans="32:32" x14ac:dyDescent="0.2">
      <c r="AF6838" s="12"/>
    </row>
    <row r="6839" spans="32:32" x14ac:dyDescent="0.2">
      <c r="AF6839" s="12"/>
    </row>
    <row r="6840" spans="32:32" x14ac:dyDescent="0.2">
      <c r="AF6840" s="12"/>
    </row>
    <row r="6841" spans="32:32" x14ac:dyDescent="0.2">
      <c r="AF6841" s="12"/>
    </row>
    <row r="6842" spans="32:32" x14ac:dyDescent="0.2">
      <c r="AF6842" s="12"/>
    </row>
    <row r="6843" spans="32:32" x14ac:dyDescent="0.2">
      <c r="AF6843" s="12"/>
    </row>
    <row r="6844" spans="32:32" x14ac:dyDescent="0.2">
      <c r="AF6844" s="12"/>
    </row>
    <row r="6845" spans="32:32" x14ac:dyDescent="0.2">
      <c r="AF6845" s="12"/>
    </row>
    <row r="6846" spans="32:32" x14ac:dyDescent="0.2">
      <c r="AF6846" s="12"/>
    </row>
    <row r="6847" spans="32:32" x14ac:dyDescent="0.2">
      <c r="AF6847" s="12"/>
    </row>
    <row r="6848" spans="32:32" x14ac:dyDescent="0.2">
      <c r="AF6848" s="12"/>
    </row>
    <row r="6849" spans="32:32" x14ac:dyDescent="0.2">
      <c r="AF6849" s="12"/>
    </row>
    <row r="6850" spans="32:32" x14ac:dyDescent="0.2">
      <c r="AF6850" s="12"/>
    </row>
    <row r="6851" spans="32:32" x14ac:dyDescent="0.2">
      <c r="AF6851" s="12"/>
    </row>
    <row r="6852" spans="32:32" x14ac:dyDescent="0.2">
      <c r="AF6852" s="12"/>
    </row>
    <row r="6853" spans="32:32" x14ac:dyDescent="0.2">
      <c r="AF6853" s="12"/>
    </row>
    <row r="6854" spans="32:32" x14ac:dyDescent="0.2">
      <c r="AF6854" s="12"/>
    </row>
    <row r="6855" spans="32:32" x14ac:dyDescent="0.2">
      <c r="AF6855" s="12"/>
    </row>
    <row r="6856" spans="32:32" x14ac:dyDescent="0.2">
      <c r="AF6856" s="12"/>
    </row>
    <row r="6857" spans="32:32" x14ac:dyDescent="0.2">
      <c r="AF6857" s="12"/>
    </row>
    <row r="6858" spans="32:32" x14ac:dyDescent="0.2">
      <c r="AF6858" s="12"/>
    </row>
    <row r="6859" spans="32:32" x14ac:dyDescent="0.2">
      <c r="AF6859" s="12"/>
    </row>
    <row r="6860" spans="32:32" x14ac:dyDescent="0.2">
      <c r="AF6860" s="12"/>
    </row>
    <row r="6861" spans="32:32" x14ac:dyDescent="0.2">
      <c r="AF6861" s="12"/>
    </row>
    <row r="6862" spans="32:32" x14ac:dyDescent="0.2">
      <c r="AF6862" s="12"/>
    </row>
    <row r="6863" spans="32:32" x14ac:dyDescent="0.2">
      <c r="AF6863" s="12"/>
    </row>
    <row r="6864" spans="32:32" x14ac:dyDescent="0.2">
      <c r="AF6864" s="12"/>
    </row>
    <row r="6865" spans="32:32" x14ac:dyDescent="0.2">
      <c r="AF6865" s="12"/>
    </row>
    <row r="6866" spans="32:32" x14ac:dyDescent="0.2">
      <c r="AF6866" s="12"/>
    </row>
    <row r="6867" spans="32:32" x14ac:dyDescent="0.2">
      <c r="AF6867" s="12"/>
    </row>
    <row r="6868" spans="32:32" x14ac:dyDescent="0.2">
      <c r="AF6868" s="12"/>
    </row>
    <row r="6869" spans="32:32" x14ac:dyDescent="0.2">
      <c r="AF6869" s="12"/>
    </row>
    <row r="6870" spans="32:32" x14ac:dyDescent="0.2">
      <c r="AF6870" s="12"/>
    </row>
    <row r="6871" spans="32:32" x14ac:dyDescent="0.2">
      <c r="AF6871" s="12"/>
    </row>
    <row r="6872" spans="32:32" x14ac:dyDescent="0.2">
      <c r="AF6872" s="12"/>
    </row>
    <row r="6873" spans="32:32" x14ac:dyDescent="0.2">
      <c r="AF6873" s="12"/>
    </row>
    <row r="6874" spans="32:32" x14ac:dyDescent="0.2">
      <c r="AF6874" s="12"/>
    </row>
    <row r="6875" spans="32:32" x14ac:dyDescent="0.2">
      <c r="AF6875" s="12"/>
    </row>
    <row r="6876" spans="32:32" x14ac:dyDescent="0.2">
      <c r="AF6876" s="12"/>
    </row>
    <row r="6877" spans="32:32" x14ac:dyDescent="0.2">
      <c r="AF6877" s="12"/>
    </row>
    <row r="6878" spans="32:32" x14ac:dyDescent="0.2">
      <c r="AF6878" s="12"/>
    </row>
    <row r="6879" spans="32:32" x14ac:dyDescent="0.2">
      <c r="AF6879" s="12"/>
    </row>
    <row r="6880" spans="32:32" x14ac:dyDescent="0.2">
      <c r="AF6880" s="12"/>
    </row>
    <row r="6881" spans="32:32" x14ac:dyDescent="0.2">
      <c r="AF6881" s="12"/>
    </row>
    <row r="6882" spans="32:32" x14ac:dyDescent="0.2">
      <c r="AF6882" s="12"/>
    </row>
    <row r="6883" spans="32:32" x14ac:dyDescent="0.2">
      <c r="AF6883" s="12"/>
    </row>
    <row r="6884" spans="32:32" x14ac:dyDescent="0.2">
      <c r="AF6884" s="12"/>
    </row>
    <row r="6885" spans="32:32" x14ac:dyDescent="0.2">
      <c r="AF6885" s="12"/>
    </row>
    <row r="6886" spans="32:32" x14ac:dyDescent="0.2">
      <c r="AF6886" s="12"/>
    </row>
    <row r="6887" spans="32:32" x14ac:dyDescent="0.2">
      <c r="AF6887" s="12"/>
    </row>
    <row r="6888" spans="32:32" x14ac:dyDescent="0.2">
      <c r="AF6888" s="12"/>
    </row>
    <row r="6889" spans="32:32" x14ac:dyDescent="0.2">
      <c r="AF6889" s="12"/>
    </row>
    <row r="6890" spans="32:32" x14ac:dyDescent="0.2">
      <c r="AF6890" s="12"/>
    </row>
    <row r="6891" spans="32:32" x14ac:dyDescent="0.2">
      <c r="AF6891" s="12"/>
    </row>
    <row r="6892" spans="32:32" x14ac:dyDescent="0.2">
      <c r="AF6892" s="12"/>
    </row>
    <row r="6893" spans="32:32" x14ac:dyDescent="0.2">
      <c r="AF6893" s="12"/>
    </row>
    <row r="6894" spans="32:32" x14ac:dyDescent="0.2">
      <c r="AF6894" s="12"/>
    </row>
    <row r="6895" spans="32:32" x14ac:dyDescent="0.2">
      <c r="AF6895" s="12"/>
    </row>
    <row r="6896" spans="32:32" x14ac:dyDescent="0.2">
      <c r="AF6896" s="12"/>
    </row>
    <row r="6897" spans="32:32" x14ac:dyDescent="0.2">
      <c r="AF6897" s="12"/>
    </row>
    <row r="6898" spans="32:32" x14ac:dyDescent="0.2">
      <c r="AF6898" s="12"/>
    </row>
    <row r="6899" spans="32:32" x14ac:dyDescent="0.2">
      <c r="AF6899" s="12"/>
    </row>
    <row r="6900" spans="32:32" x14ac:dyDescent="0.2">
      <c r="AF6900" s="12"/>
    </row>
    <row r="6901" spans="32:32" x14ac:dyDescent="0.2">
      <c r="AF6901" s="12"/>
    </row>
    <row r="6902" spans="32:32" x14ac:dyDescent="0.2">
      <c r="AF6902" s="12"/>
    </row>
    <row r="6903" spans="32:32" x14ac:dyDescent="0.2">
      <c r="AF6903" s="12"/>
    </row>
    <row r="6904" spans="32:32" x14ac:dyDescent="0.2">
      <c r="AF6904" s="12"/>
    </row>
    <row r="6905" spans="32:32" x14ac:dyDescent="0.2">
      <c r="AF6905" s="12"/>
    </row>
    <row r="6906" spans="32:32" x14ac:dyDescent="0.2">
      <c r="AF6906" s="12"/>
    </row>
    <row r="6907" spans="32:32" x14ac:dyDescent="0.2">
      <c r="AF6907" s="12"/>
    </row>
    <row r="6908" spans="32:32" x14ac:dyDescent="0.2">
      <c r="AF6908" s="12"/>
    </row>
    <row r="6909" spans="32:32" x14ac:dyDescent="0.2">
      <c r="AF6909" s="12"/>
    </row>
    <row r="6910" spans="32:32" x14ac:dyDescent="0.2">
      <c r="AF6910" s="12"/>
    </row>
    <row r="6911" spans="32:32" x14ac:dyDescent="0.2">
      <c r="AF6911" s="12"/>
    </row>
    <row r="6912" spans="32:32" x14ac:dyDescent="0.2">
      <c r="AF6912" s="12"/>
    </row>
    <row r="6913" spans="32:32" x14ac:dyDescent="0.2">
      <c r="AF6913" s="12"/>
    </row>
    <row r="6914" spans="32:32" x14ac:dyDescent="0.2">
      <c r="AF6914" s="12"/>
    </row>
    <row r="6915" spans="32:32" x14ac:dyDescent="0.2">
      <c r="AF6915" s="12"/>
    </row>
    <row r="6916" spans="32:32" x14ac:dyDescent="0.2">
      <c r="AF6916" s="12"/>
    </row>
    <row r="6917" spans="32:32" x14ac:dyDescent="0.2">
      <c r="AF6917" s="12"/>
    </row>
    <row r="6918" spans="32:32" x14ac:dyDescent="0.2">
      <c r="AF6918" s="12"/>
    </row>
    <row r="6919" spans="32:32" x14ac:dyDescent="0.2">
      <c r="AF6919" s="12"/>
    </row>
    <row r="6920" spans="32:32" x14ac:dyDescent="0.2">
      <c r="AF6920" s="12"/>
    </row>
    <row r="6921" spans="32:32" x14ac:dyDescent="0.2">
      <c r="AF6921" s="12"/>
    </row>
    <row r="6922" spans="32:32" x14ac:dyDescent="0.2">
      <c r="AF6922" s="12"/>
    </row>
    <row r="6923" spans="32:32" x14ac:dyDescent="0.2">
      <c r="AF6923" s="12"/>
    </row>
    <row r="6924" spans="32:32" x14ac:dyDescent="0.2">
      <c r="AF6924" s="12"/>
    </row>
    <row r="6925" spans="32:32" x14ac:dyDescent="0.2">
      <c r="AF6925" s="12"/>
    </row>
    <row r="6926" spans="32:32" x14ac:dyDescent="0.2">
      <c r="AF6926" s="12"/>
    </row>
    <row r="6927" spans="32:32" x14ac:dyDescent="0.2">
      <c r="AF6927" s="12"/>
    </row>
    <row r="6928" spans="32:32" x14ac:dyDescent="0.2">
      <c r="AF6928" s="12"/>
    </row>
    <row r="6929" spans="32:32" x14ac:dyDescent="0.2">
      <c r="AF6929" s="12"/>
    </row>
    <row r="6930" spans="32:32" x14ac:dyDescent="0.2">
      <c r="AF6930" s="12"/>
    </row>
    <row r="6931" spans="32:32" x14ac:dyDescent="0.2">
      <c r="AF6931" s="12"/>
    </row>
    <row r="6932" spans="32:32" x14ac:dyDescent="0.2">
      <c r="AF6932" s="12"/>
    </row>
    <row r="6933" spans="32:32" x14ac:dyDescent="0.2">
      <c r="AF6933" s="12"/>
    </row>
    <row r="6934" spans="32:32" x14ac:dyDescent="0.2">
      <c r="AF6934" s="12"/>
    </row>
    <row r="6935" spans="32:32" x14ac:dyDescent="0.2">
      <c r="AF6935" s="12"/>
    </row>
    <row r="6936" spans="32:32" x14ac:dyDescent="0.2">
      <c r="AF6936" s="12"/>
    </row>
    <row r="6937" spans="32:32" x14ac:dyDescent="0.2">
      <c r="AF6937" s="12"/>
    </row>
    <row r="6938" spans="32:32" x14ac:dyDescent="0.2">
      <c r="AF6938" s="12"/>
    </row>
    <row r="6939" spans="32:32" x14ac:dyDescent="0.2">
      <c r="AF6939" s="12"/>
    </row>
    <row r="6940" spans="32:32" x14ac:dyDescent="0.2">
      <c r="AF6940" s="12"/>
    </row>
    <row r="6941" spans="32:32" x14ac:dyDescent="0.2">
      <c r="AF6941" s="12"/>
    </row>
    <row r="6942" spans="32:32" x14ac:dyDescent="0.2">
      <c r="AF6942" s="12"/>
    </row>
    <row r="6943" spans="32:32" x14ac:dyDescent="0.2">
      <c r="AF6943" s="12"/>
    </row>
    <row r="6944" spans="32:32" x14ac:dyDescent="0.2">
      <c r="AF6944" s="12"/>
    </row>
    <row r="6945" spans="32:32" x14ac:dyDescent="0.2">
      <c r="AF6945" s="12"/>
    </row>
    <row r="6946" spans="32:32" x14ac:dyDescent="0.2">
      <c r="AF6946" s="12"/>
    </row>
    <row r="6947" spans="32:32" x14ac:dyDescent="0.2">
      <c r="AF6947" s="12"/>
    </row>
    <row r="6948" spans="32:32" x14ac:dyDescent="0.2">
      <c r="AF6948" s="12"/>
    </row>
    <row r="6949" spans="32:32" x14ac:dyDescent="0.2">
      <c r="AF6949" s="12"/>
    </row>
    <row r="6950" spans="32:32" x14ac:dyDescent="0.2">
      <c r="AF6950" s="12"/>
    </row>
    <row r="6951" spans="32:32" x14ac:dyDescent="0.2">
      <c r="AF6951" s="12"/>
    </row>
    <row r="6952" spans="32:32" x14ac:dyDescent="0.2">
      <c r="AF6952" s="12"/>
    </row>
    <row r="6953" spans="32:32" x14ac:dyDescent="0.2">
      <c r="AF6953" s="12"/>
    </row>
    <row r="6954" spans="32:32" x14ac:dyDescent="0.2">
      <c r="AF6954" s="12"/>
    </row>
    <row r="6955" spans="32:32" x14ac:dyDescent="0.2">
      <c r="AF6955" s="12"/>
    </row>
    <row r="6956" spans="32:32" x14ac:dyDescent="0.2">
      <c r="AF6956" s="12"/>
    </row>
    <row r="6957" spans="32:32" x14ac:dyDescent="0.2">
      <c r="AF6957" s="12"/>
    </row>
    <row r="6958" spans="32:32" x14ac:dyDescent="0.2">
      <c r="AF6958" s="12"/>
    </row>
    <row r="6959" spans="32:32" x14ac:dyDescent="0.2">
      <c r="AF6959" s="12"/>
    </row>
    <row r="6960" spans="32:32" x14ac:dyDescent="0.2">
      <c r="AF6960" s="12"/>
    </row>
    <row r="6961" spans="32:32" x14ac:dyDescent="0.2">
      <c r="AF6961" s="12"/>
    </row>
    <row r="6962" spans="32:32" x14ac:dyDescent="0.2">
      <c r="AF6962" s="12"/>
    </row>
    <row r="6963" spans="32:32" x14ac:dyDescent="0.2">
      <c r="AF6963" s="12"/>
    </row>
    <row r="6964" spans="32:32" x14ac:dyDescent="0.2">
      <c r="AF6964" s="12"/>
    </row>
    <row r="6965" spans="32:32" x14ac:dyDescent="0.2">
      <c r="AF6965" s="12"/>
    </row>
    <row r="6966" spans="32:32" x14ac:dyDescent="0.2">
      <c r="AF6966" s="12"/>
    </row>
    <row r="6967" spans="32:32" x14ac:dyDescent="0.2">
      <c r="AF6967" s="12"/>
    </row>
    <row r="6968" spans="32:32" x14ac:dyDescent="0.2">
      <c r="AF6968" s="12"/>
    </row>
    <row r="6969" spans="32:32" x14ac:dyDescent="0.2">
      <c r="AF6969" s="12"/>
    </row>
    <row r="6970" spans="32:32" x14ac:dyDescent="0.2">
      <c r="AF6970" s="12"/>
    </row>
    <row r="6971" spans="32:32" x14ac:dyDescent="0.2">
      <c r="AF6971" s="12"/>
    </row>
    <row r="6972" spans="32:32" x14ac:dyDescent="0.2">
      <c r="AF6972" s="12"/>
    </row>
    <row r="6973" spans="32:32" x14ac:dyDescent="0.2">
      <c r="AF6973" s="12"/>
    </row>
    <row r="6974" spans="32:32" x14ac:dyDescent="0.2">
      <c r="AF6974" s="12"/>
    </row>
    <row r="6975" spans="32:32" x14ac:dyDescent="0.2">
      <c r="AF6975" s="12"/>
    </row>
    <row r="6976" spans="32:32" x14ac:dyDescent="0.2">
      <c r="AF6976" s="12"/>
    </row>
    <row r="6977" spans="32:32" x14ac:dyDescent="0.2">
      <c r="AF6977" s="12"/>
    </row>
    <row r="6978" spans="32:32" x14ac:dyDescent="0.2">
      <c r="AF6978" s="12"/>
    </row>
    <row r="6979" spans="32:32" x14ac:dyDescent="0.2">
      <c r="AF6979" s="12"/>
    </row>
    <row r="6980" spans="32:32" x14ac:dyDescent="0.2">
      <c r="AF6980" s="12"/>
    </row>
    <row r="6981" spans="32:32" x14ac:dyDescent="0.2">
      <c r="AF6981" s="12"/>
    </row>
    <row r="6982" spans="32:32" x14ac:dyDescent="0.2">
      <c r="AF6982" s="12"/>
    </row>
    <row r="6983" spans="32:32" x14ac:dyDescent="0.2">
      <c r="AF6983" s="12"/>
    </row>
    <row r="6984" spans="32:32" x14ac:dyDescent="0.2">
      <c r="AF6984" s="12"/>
    </row>
    <row r="6985" spans="32:32" x14ac:dyDescent="0.2">
      <c r="AF6985" s="12"/>
    </row>
    <row r="6986" spans="32:32" x14ac:dyDescent="0.2">
      <c r="AF6986" s="12"/>
    </row>
    <row r="6987" spans="32:32" x14ac:dyDescent="0.2">
      <c r="AF6987" s="12"/>
    </row>
    <row r="6988" spans="32:32" x14ac:dyDescent="0.2">
      <c r="AF6988" s="12"/>
    </row>
    <row r="6989" spans="32:32" x14ac:dyDescent="0.2">
      <c r="AF6989" s="12"/>
    </row>
    <row r="6990" spans="32:32" x14ac:dyDescent="0.2">
      <c r="AF6990" s="12"/>
    </row>
    <row r="6991" spans="32:32" x14ac:dyDescent="0.2">
      <c r="AF6991" s="12"/>
    </row>
    <row r="6992" spans="32:32" x14ac:dyDescent="0.2">
      <c r="AF6992" s="12"/>
    </row>
    <row r="6993" spans="32:32" x14ac:dyDescent="0.2">
      <c r="AF6993" s="12"/>
    </row>
    <row r="6994" spans="32:32" x14ac:dyDescent="0.2">
      <c r="AF6994" s="12"/>
    </row>
    <row r="6995" spans="32:32" x14ac:dyDescent="0.2">
      <c r="AF6995" s="12"/>
    </row>
    <row r="6996" spans="32:32" x14ac:dyDescent="0.2">
      <c r="AF6996" s="12"/>
    </row>
    <row r="6997" spans="32:32" x14ac:dyDescent="0.2">
      <c r="AF6997" s="12"/>
    </row>
    <row r="6998" spans="32:32" x14ac:dyDescent="0.2">
      <c r="AF6998" s="12"/>
    </row>
    <row r="6999" spans="32:32" x14ac:dyDescent="0.2">
      <c r="AF6999" s="12"/>
    </row>
    <row r="7000" spans="32:32" x14ac:dyDescent="0.2">
      <c r="AF7000" s="12"/>
    </row>
    <row r="7001" spans="32:32" x14ac:dyDescent="0.2">
      <c r="AF7001" s="12"/>
    </row>
    <row r="7002" spans="32:32" x14ac:dyDescent="0.2">
      <c r="AF7002" s="12"/>
    </row>
    <row r="7003" spans="32:32" x14ac:dyDescent="0.2">
      <c r="AF7003" s="12"/>
    </row>
    <row r="7004" spans="32:32" x14ac:dyDescent="0.2">
      <c r="AF7004" s="12"/>
    </row>
    <row r="7005" spans="32:32" x14ac:dyDescent="0.2">
      <c r="AF7005" s="12"/>
    </row>
    <row r="7006" spans="32:32" x14ac:dyDescent="0.2">
      <c r="AF7006" s="12"/>
    </row>
    <row r="7007" spans="32:32" x14ac:dyDescent="0.2">
      <c r="AF7007" s="12"/>
    </row>
    <row r="7008" spans="32:32" x14ac:dyDescent="0.2">
      <c r="AF7008" s="12"/>
    </row>
    <row r="7009" spans="32:32" x14ac:dyDescent="0.2">
      <c r="AF7009" s="12"/>
    </row>
    <row r="7010" spans="32:32" x14ac:dyDescent="0.2">
      <c r="AF7010" s="12"/>
    </row>
    <row r="7011" spans="32:32" x14ac:dyDescent="0.2">
      <c r="AF7011" s="12"/>
    </row>
    <row r="7012" spans="32:32" x14ac:dyDescent="0.2">
      <c r="AF7012" s="12"/>
    </row>
    <row r="7013" spans="32:32" x14ac:dyDescent="0.2">
      <c r="AF7013" s="12"/>
    </row>
    <row r="7014" spans="32:32" x14ac:dyDescent="0.2">
      <c r="AF7014" s="12"/>
    </row>
    <row r="7015" spans="32:32" x14ac:dyDescent="0.2">
      <c r="AF7015" s="12"/>
    </row>
    <row r="7016" spans="32:32" x14ac:dyDescent="0.2">
      <c r="AF7016" s="12"/>
    </row>
    <row r="7017" spans="32:32" x14ac:dyDescent="0.2">
      <c r="AF7017" s="12"/>
    </row>
    <row r="7018" spans="32:32" x14ac:dyDescent="0.2">
      <c r="AF7018" s="12"/>
    </row>
    <row r="7019" spans="32:32" x14ac:dyDescent="0.2">
      <c r="AF7019" s="12"/>
    </row>
    <row r="7020" spans="32:32" x14ac:dyDescent="0.2">
      <c r="AF7020" s="12"/>
    </row>
    <row r="7021" spans="32:32" x14ac:dyDescent="0.2">
      <c r="AF7021" s="12"/>
    </row>
    <row r="7022" spans="32:32" x14ac:dyDescent="0.2">
      <c r="AF7022" s="12"/>
    </row>
    <row r="7023" spans="32:32" x14ac:dyDescent="0.2">
      <c r="AF7023" s="12"/>
    </row>
    <row r="7024" spans="32:32" x14ac:dyDescent="0.2">
      <c r="AF7024" s="12"/>
    </row>
    <row r="7025" spans="32:32" x14ac:dyDescent="0.2">
      <c r="AF7025" s="12"/>
    </row>
    <row r="7026" spans="32:32" x14ac:dyDescent="0.2">
      <c r="AF7026" s="12"/>
    </row>
    <row r="7027" spans="32:32" x14ac:dyDescent="0.2">
      <c r="AF7027" s="12"/>
    </row>
    <row r="7028" spans="32:32" x14ac:dyDescent="0.2">
      <c r="AF7028" s="12"/>
    </row>
    <row r="7029" spans="32:32" x14ac:dyDescent="0.2">
      <c r="AF7029" s="12"/>
    </row>
    <row r="7030" spans="32:32" x14ac:dyDescent="0.2">
      <c r="AF7030" s="12"/>
    </row>
    <row r="7031" spans="32:32" x14ac:dyDescent="0.2">
      <c r="AF7031" s="12"/>
    </row>
    <row r="7032" spans="32:32" x14ac:dyDescent="0.2">
      <c r="AF7032" s="12"/>
    </row>
    <row r="7033" spans="32:32" x14ac:dyDescent="0.2">
      <c r="AF7033" s="12"/>
    </row>
    <row r="7034" spans="32:32" x14ac:dyDescent="0.2">
      <c r="AF7034" s="12"/>
    </row>
    <row r="7035" spans="32:32" x14ac:dyDescent="0.2">
      <c r="AF7035" s="12"/>
    </row>
    <row r="7036" spans="32:32" x14ac:dyDescent="0.2">
      <c r="AF7036" s="12"/>
    </row>
    <row r="7037" spans="32:32" x14ac:dyDescent="0.2">
      <c r="AF7037" s="12"/>
    </row>
    <row r="7038" spans="32:32" x14ac:dyDescent="0.2">
      <c r="AF7038" s="12"/>
    </row>
    <row r="7039" spans="32:32" x14ac:dyDescent="0.2">
      <c r="AF7039" s="12"/>
    </row>
    <row r="7040" spans="32:32" x14ac:dyDescent="0.2">
      <c r="AF7040" s="12"/>
    </row>
    <row r="7041" spans="32:32" x14ac:dyDescent="0.2">
      <c r="AF7041" s="12"/>
    </row>
    <row r="7042" spans="32:32" x14ac:dyDescent="0.2">
      <c r="AF7042" s="12"/>
    </row>
    <row r="7043" spans="32:32" x14ac:dyDescent="0.2">
      <c r="AF7043" s="12"/>
    </row>
    <row r="7044" spans="32:32" x14ac:dyDescent="0.2">
      <c r="AF7044" s="12"/>
    </row>
    <row r="7045" spans="32:32" x14ac:dyDescent="0.2">
      <c r="AF7045" s="12"/>
    </row>
    <row r="7046" spans="32:32" x14ac:dyDescent="0.2">
      <c r="AF7046" s="12"/>
    </row>
    <row r="7047" spans="32:32" x14ac:dyDescent="0.2">
      <c r="AF7047" s="12"/>
    </row>
    <row r="7048" spans="32:32" x14ac:dyDescent="0.2">
      <c r="AF7048" s="12"/>
    </row>
    <row r="7049" spans="32:32" x14ac:dyDescent="0.2">
      <c r="AF7049" s="12"/>
    </row>
    <row r="7050" spans="32:32" x14ac:dyDescent="0.2">
      <c r="AF7050" s="12"/>
    </row>
    <row r="7051" spans="32:32" x14ac:dyDescent="0.2">
      <c r="AF7051" s="12"/>
    </row>
    <row r="7052" spans="32:32" x14ac:dyDescent="0.2">
      <c r="AF7052" s="12"/>
    </row>
    <row r="7053" spans="32:32" x14ac:dyDescent="0.2">
      <c r="AF7053" s="12"/>
    </row>
    <row r="7054" spans="32:32" x14ac:dyDescent="0.2">
      <c r="AF7054" s="12"/>
    </row>
    <row r="7055" spans="32:32" x14ac:dyDescent="0.2">
      <c r="AF7055" s="12"/>
    </row>
    <row r="7056" spans="32:32" x14ac:dyDescent="0.2">
      <c r="AF7056" s="12"/>
    </row>
    <row r="7057" spans="32:32" x14ac:dyDescent="0.2">
      <c r="AF7057" s="12"/>
    </row>
    <row r="7058" spans="32:32" x14ac:dyDescent="0.2">
      <c r="AF7058" s="12"/>
    </row>
    <row r="7059" spans="32:32" x14ac:dyDescent="0.2">
      <c r="AF7059" s="12"/>
    </row>
    <row r="7060" spans="32:32" x14ac:dyDescent="0.2">
      <c r="AF7060" s="12"/>
    </row>
    <row r="7061" spans="32:32" x14ac:dyDescent="0.2">
      <c r="AF7061" s="12"/>
    </row>
    <row r="7062" spans="32:32" x14ac:dyDescent="0.2">
      <c r="AF7062" s="12"/>
    </row>
    <row r="7063" spans="32:32" x14ac:dyDescent="0.2">
      <c r="AF7063" s="12"/>
    </row>
    <row r="7064" spans="32:32" x14ac:dyDescent="0.2">
      <c r="AF7064" s="12"/>
    </row>
    <row r="7065" spans="32:32" x14ac:dyDescent="0.2">
      <c r="AF7065" s="12"/>
    </row>
    <row r="7066" spans="32:32" x14ac:dyDescent="0.2">
      <c r="AF7066" s="12"/>
    </row>
    <row r="7067" spans="32:32" x14ac:dyDescent="0.2">
      <c r="AF7067" s="12"/>
    </row>
    <row r="7068" spans="32:32" x14ac:dyDescent="0.2">
      <c r="AF7068" s="12"/>
    </row>
    <row r="7069" spans="32:32" x14ac:dyDescent="0.2">
      <c r="AF7069" s="12"/>
    </row>
    <row r="7070" spans="32:32" x14ac:dyDescent="0.2">
      <c r="AF7070" s="12"/>
    </row>
    <row r="7071" spans="32:32" x14ac:dyDescent="0.2">
      <c r="AF7071" s="12"/>
    </row>
    <row r="7072" spans="32:32" x14ac:dyDescent="0.2">
      <c r="AF7072" s="12"/>
    </row>
    <row r="7073" spans="32:32" x14ac:dyDescent="0.2">
      <c r="AF7073" s="12"/>
    </row>
    <row r="7074" spans="32:32" x14ac:dyDescent="0.2">
      <c r="AF7074" s="12"/>
    </row>
    <row r="7075" spans="32:32" x14ac:dyDescent="0.2">
      <c r="AF7075" s="12"/>
    </row>
    <row r="7076" spans="32:32" x14ac:dyDescent="0.2">
      <c r="AF7076" s="12"/>
    </row>
    <row r="7077" spans="32:32" x14ac:dyDescent="0.2">
      <c r="AF7077" s="12"/>
    </row>
    <row r="7078" spans="32:32" x14ac:dyDescent="0.2">
      <c r="AF7078" s="12"/>
    </row>
    <row r="7079" spans="32:32" x14ac:dyDescent="0.2">
      <c r="AF7079" s="12"/>
    </row>
    <row r="7080" spans="32:32" x14ac:dyDescent="0.2">
      <c r="AF7080" s="12"/>
    </row>
    <row r="7081" spans="32:32" x14ac:dyDescent="0.2">
      <c r="AF7081" s="12"/>
    </row>
    <row r="7082" spans="32:32" x14ac:dyDescent="0.2">
      <c r="AF7082" s="12"/>
    </row>
    <row r="7083" spans="32:32" x14ac:dyDescent="0.2">
      <c r="AF7083" s="12"/>
    </row>
    <row r="7084" spans="32:32" x14ac:dyDescent="0.2">
      <c r="AF7084" s="12"/>
    </row>
    <row r="7085" spans="32:32" x14ac:dyDescent="0.2">
      <c r="AF7085" s="12"/>
    </row>
    <row r="7086" spans="32:32" x14ac:dyDescent="0.2">
      <c r="AF7086" s="12"/>
    </row>
    <row r="7087" spans="32:32" x14ac:dyDescent="0.2">
      <c r="AF7087" s="12"/>
    </row>
    <row r="7088" spans="32:32" x14ac:dyDescent="0.2">
      <c r="AF7088" s="12"/>
    </row>
    <row r="7089" spans="32:32" x14ac:dyDescent="0.2">
      <c r="AF7089" s="12"/>
    </row>
    <row r="7090" spans="32:32" x14ac:dyDescent="0.2">
      <c r="AF7090" s="12"/>
    </row>
    <row r="7091" spans="32:32" x14ac:dyDescent="0.2">
      <c r="AF7091" s="12"/>
    </row>
    <row r="7092" spans="32:32" x14ac:dyDescent="0.2">
      <c r="AF7092" s="12"/>
    </row>
    <row r="7093" spans="32:32" x14ac:dyDescent="0.2">
      <c r="AF7093" s="12"/>
    </row>
    <row r="7094" spans="32:32" x14ac:dyDescent="0.2">
      <c r="AF7094" s="12"/>
    </row>
    <row r="7095" spans="32:32" x14ac:dyDescent="0.2">
      <c r="AF7095" s="12"/>
    </row>
    <row r="7096" spans="32:32" x14ac:dyDescent="0.2">
      <c r="AF7096" s="12"/>
    </row>
    <row r="7097" spans="32:32" x14ac:dyDescent="0.2">
      <c r="AF7097" s="12"/>
    </row>
    <row r="7098" spans="32:32" x14ac:dyDescent="0.2">
      <c r="AF7098" s="12"/>
    </row>
    <row r="7099" spans="32:32" x14ac:dyDescent="0.2">
      <c r="AF7099" s="12"/>
    </row>
    <row r="7100" spans="32:32" x14ac:dyDescent="0.2">
      <c r="AF7100" s="12"/>
    </row>
    <row r="7101" spans="32:32" x14ac:dyDescent="0.2">
      <c r="AF7101" s="12"/>
    </row>
    <row r="7102" spans="32:32" x14ac:dyDescent="0.2">
      <c r="AF7102" s="12"/>
    </row>
    <row r="7103" spans="32:32" x14ac:dyDescent="0.2">
      <c r="AF7103" s="12"/>
    </row>
    <row r="7104" spans="32:32" x14ac:dyDescent="0.2">
      <c r="AF7104" s="12"/>
    </row>
    <row r="7105" spans="32:32" x14ac:dyDescent="0.2">
      <c r="AF7105" s="12"/>
    </row>
    <row r="7106" spans="32:32" x14ac:dyDescent="0.2">
      <c r="AF7106" s="12"/>
    </row>
    <row r="7107" spans="32:32" x14ac:dyDescent="0.2">
      <c r="AF7107" s="12"/>
    </row>
    <row r="7108" spans="32:32" x14ac:dyDescent="0.2">
      <c r="AF7108" s="12"/>
    </row>
    <row r="7109" spans="32:32" x14ac:dyDescent="0.2">
      <c r="AF7109" s="12"/>
    </row>
    <row r="7110" spans="32:32" x14ac:dyDescent="0.2">
      <c r="AF7110" s="12"/>
    </row>
    <row r="7111" spans="32:32" x14ac:dyDescent="0.2">
      <c r="AF7111" s="12"/>
    </row>
    <row r="7112" spans="32:32" x14ac:dyDescent="0.2">
      <c r="AF7112" s="12"/>
    </row>
    <row r="7113" spans="32:32" x14ac:dyDescent="0.2">
      <c r="AF7113" s="12"/>
    </row>
    <row r="7114" spans="32:32" x14ac:dyDescent="0.2">
      <c r="AF7114" s="12"/>
    </row>
    <row r="7115" spans="32:32" x14ac:dyDescent="0.2">
      <c r="AF7115" s="12"/>
    </row>
    <row r="7116" spans="32:32" x14ac:dyDescent="0.2">
      <c r="AF7116" s="12"/>
    </row>
    <row r="7117" spans="32:32" x14ac:dyDescent="0.2">
      <c r="AF7117" s="12"/>
    </row>
    <row r="7118" spans="32:32" x14ac:dyDescent="0.2">
      <c r="AF7118" s="12"/>
    </row>
    <row r="7119" spans="32:32" x14ac:dyDescent="0.2">
      <c r="AF7119" s="12"/>
    </row>
    <row r="7120" spans="32:32" x14ac:dyDescent="0.2">
      <c r="AF7120" s="12"/>
    </row>
    <row r="7121" spans="32:32" x14ac:dyDescent="0.2">
      <c r="AF7121" s="12"/>
    </row>
    <row r="7122" spans="32:32" x14ac:dyDescent="0.2">
      <c r="AF7122" s="12"/>
    </row>
    <row r="7123" spans="32:32" x14ac:dyDescent="0.2">
      <c r="AF7123" s="12"/>
    </row>
    <row r="7124" spans="32:32" x14ac:dyDescent="0.2">
      <c r="AF7124" s="12"/>
    </row>
    <row r="7125" spans="32:32" x14ac:dyDescent="0.2">
      <c r="AF7125" s="12"/>
    </row>
    <row r="7126" spans="32:32" x14ac:dyDescent="0.2">
      <c r="AF7126" s="12"/>
    </row>
    <row r="7127" spans="32:32" x14ac:dyDescent="0.2">
      <c r="AF7127" s="12"/>
    </row>
    <row r="7128" spans="32:32" x14ac:dyDescent="0.2">
      <c r="AF7128" s="12"/>
    </row>
    <row r="7129" spans="32:32" x14ac:dyDescent="0.2">
      <c r="AF7129" s="12"/>
    </row>
    <row r="7130" spans="32:32" x14ac:dyDescent="0.2">
      <c r="AF7130" s="12"/>
    </row>
    <row r="7131" spans="32:32" x14ac:dyDescent="0.2">
      <c r="AF7131" s="12"/>
    </row>
    <row r="7132" spans="32:32" x14ac:dyDescent="0.2">
      <c r="AF7132" s="12"/>
    </row>
    <row r="7133" spans="32:32" x14ac:dyDescent="0.2">
      <c r="AF7133" s="12"/>
    </row>
    <row r="7134" spans="32:32" x14ac:dyDescent="0.2">
      <c r="AF7134" s="12"/>
    </row>
    <row r="7135" spans="32:32" x14ac:dyDescent="0.2">
      <c r="AF7135" s="12"/>
    </row>
    <row r="7136" spans="32:32" x14ac:dyDescent="0.2">
      <c r="AF7136" s="12"/>
    </row>
    <row r="7137" spans="32:32" x14ac:dyDescent="0.2">
      <c r="AF7137" s="12"/>
    </row>
    <row r="7138" spans="32:32" x14ac:dyDescent="0.2">
      <c r="AF7138" s="12"/>
    </row>
    <row r="7139" spans="32:32" x14ac:dyDescent="0.2">
      <c r="AF7139" s="12"/>
    </row>
    <row r="7140" spans="32:32" x14ac:dyDescent="0.2">
      <c r="AF7140" s="12"/>
    </row>
    <row r="7141" spans="32:32" x14ac:dyDescent="0.2">
      <c r="AF7141" s="12"/>
    </row>
    <row r="7142" spans="32:32" x14ac:dyDescent="0.2">
      <c r="AF7142" s="12"/>
    </row>
    <row r="7143" spans="32:32" x14ac:dyDescent="0.2">
      <c r="AF7143" s="12"/>
    </row>
    <row r="7144" spans="32:32" x14ac:dyDescent="0.2">
      <c r="AF7144" s="12"/>
    </row>
    <row r="7145" spans="32:32" x14ac:dyDescent="0.2">
      <c r="AF7145" s="12"/>
    </row>
    <row r="7146" spans="32:32" x14ac:dyDescent="0.2">
      <c r="AF7146" s="12"/>
    </row>
    <row r="7147" spans="32:32" x14ac:dyDescent="0.2">
      <c r="AF7147" s="12"/>
    </row>
    <row r="7148" spans="32:32" x14ac:dyDescent="0.2">
      <c r="AF7148" s="12"/>
    </row>
    <row r="7149" spans="32:32" x14ac:dyDescent="0.2">
      <c r="AF7149" s="12"/>
    </row>
    <row r="7150" spans="32:32" x14ac:dyDescent="0.2">
      <c r="AF7150" s="12"/>
    </row>
    <row r="7151" spans="32:32" x14ac:dyDescent="0.2">
      <c r="AF7151" s="12"/>
    </row>
    <row r="7152" spans="32:32" x14ac:dyDescent="0.2">
      <c r="AF7152" s="12"/>
    </row>
    <row r="7153" spans="32:32" x14ac:dyDescent="0.2">
      <c r="AF7153" s="12"/>
    </row>
    <row r="7154" spans="32:32" x14ac:dyDescent="0.2">
      <c r="AF7154" s="12"/>
    </row>
    <row r="7155" spans="32:32" x14ac:dyDescent="0.2">
      <c r="AF7155" s="12"/>
    </row>
    <row r="7156" spans="32:32" x14ac:dyDescent="0.2">
      <c r="AF7156" s="12"/>
    </row>
    <row r="7157" spans="32:32" x14ac:dyDescent="0.2">
      <c r="AF7157" s="12"/>
    </row>
    <row r="7158" spans="32:32" x14ac:dyDescent="0.2">
      <c r="AF7158" s="12"/>
    </row>
    <row r="7159" spans="32:32" x14ac:dyDescent="0.2">
      <c r="AF7159" s="12"/>
    </row>
    <row r="7160" spans="32:32" x14ac:dyDescent="0.2">
      <c r="AF7160" s="12"/>
    </row>
    <row r="7161" spans="32:32" x14ac:dyDescent="0.2">
      <c r="AF7161" s="12"/>
    </row>
    <row r="7162" spans="32:32" x14ac:dyDescent="0.2">
      <c r="AF7162" s="12"/>
    </row>
    <row r="7163" spans="32:32" x14ac:dyDescent="0.2">
      <c r="AF7163" s="12"/>
    </row>
    <row r="7164" spans="32:32" x14ac:dyDescent="0.2">
      <c r="AF7164" s="12"/>
    </row>
    <row r="7165" spans="32:32" x14ac:dyDescent="0.2">
      <c r="AF7165" s="12"/>
    </row>
    <row r="7166" spans="32:32" x14ac:dyDescent="0.2">
      <c r="AF7166" s="12"/>
    </row>
    <row r="7167" spans="32:32" x14ac:dyDescent="0.2">
      <c r="AF7167" s="12"/>
    </row>
    <row r="7168" spans="32:32" x14ac:dyDescent="0.2">
      <c r="AF7168" s="12"/>
    </row>
    <row r="7169" spans="32:32" x14ac:dyDescent="0.2">
      <c r="AF7169" s="12"/>
    </row>
    <row r="7170" spans="32:32" x14ac:dyDescent="0.2">
      <c r="AF7170" s="12"/>
    </row>
    <row r="7171" spans="32:32" x14ac:dyDescent="0.2">
      <c r="AF7171" s="12"/>
    </row>
    <row r="7172" spans="32:32" x14ac:dyDescent="0.2">
      <c r="AF7172" s="12"/>
    </row>
    <row r="7173" spans="32:32" x14ac:dyDescent="0.2">
      <c r="AF7173" s="12"/>
    </row>
    <row r="7174" spans="32:32" x14ac:dyDescent="0.2">
      <c r="AF7174" s="12"/>
    </row>
    <row r="7175" spans="32:32" x14ac:dyDescent="0.2">
      <c r="AF7175" s="12"/>
    </row>
    <row r="7176" spans="32:32" x14ac:dyDescent="0.2">
      <c r="AF7176" s="12"/>
    </row>
    <row r="7177" spans="32:32" x14ac:dyDescent="0.2">
      <c r="AF7177" s="12"/>
    </row>
    <row r="7178" spans="32:32" x14ac:dyDescent="0.2">
      <c r="AF7178" s="12"/>
    </row>
    <row r="7179" spans="32:32" x14ac:dyDescent="0.2">
      <c r="AF7179" s="12"/>
    </row>
    <row r="7180" spans="32:32" x14ac:dyDescent="0.2">
      <c r="AF7180" s="12"/>
    </row>
    <row r="7181" spans="32:32" x14ac:dyDescent="0.2">
      <c r="AF7181" s="12"/>
    </row>
    <row r="7182" spans="32:32" x14ac:dyDescent="0.2">
      <c r="AF7182" s="12"/>
    </row>
    <row r="7183" spans="32:32" x14ac:dyDescent="0.2">
      <c r="AF7183" s="12"/>
    </row>
    <row r="7184" spans="32:32" x14ac:dyDescent="0.2">
      <c r="AF7184" s="12"/>
    </row>
    <row r="7185" spans="32:32" x14ac:dyDescent="0.2">
      <c r="AF7185" s="12"/>
    </row>
    <row r="7186" spans="32:32" x14ac:dyDescent="0.2">
      <c r="AF7186" s="12"/>
    </row>
    <row r="7187" spans="32:32" x14ac:dyDescent="0.2">
      <c r="AF7187" s="12"/>
    </row>
    <row r="7188" spans="32:32" x14ac:dyDescent="0.2">
      <c r="AF7188" s="12"/>
    </row>
    <row r="7189" spans="32:32" x14ac:dyDescent="0.2">
      <c r="AF7189" s="12"/>
    </row>
    <row r="7190" spans="32:32" x14ac:dyDescent="0.2">
      <c r="AF7190" s="12"/>
    </row>
    <row r="7191" spans="32:32" x14ac:dyDescent="0.2">
      <c r="AF7191" s="12"/>
    </row>
    <row r="7192" spans="32:32" x14ac:dyDescent="0.2">
      <c r="AF7192" s="12"/>
    </row>
    <row r="7193" spans="32:32" x14ac:dyDescent="0.2">
      <c r="AF7193" s="12"/>
    </row>
    <row r="7194" spans="32:32" x14ac:dyDescent="0.2">
      <c r="AF7194" s="12"/>
    </row>
    <row r="7195" spans="32:32" x14ac:dyDescent="0.2">
      <c r="AF7195" s="12"/>
    </row>
    <row r="7196" spans="32:32" x14ac:dyDescent="0.2">
      <c r="AF7196" s="12"/>
    </row>
    <row r="7197" spans="32:32" x14ac:dyDescent="0.2">
      <c r="AF7197" s="12"/>
    </row>
    <row r="7198" spans="32:32" x14ac:dyDescent="0.2">
      <c r="AF7198" s="12"/>
    </row>
    <row r="7199" spans="32:32" x14ac:dyDescent="0.2">
      <c r="AF7199" s="12"/>
    </row>
    <row r="7200" spans="32:32" x14ac:dyDescent="0.2">
      <c r="AF7200" s="12"/>
    </row>
    <row r="7201" spans="32:32" x14ac:dyDescent="0.2">
      <c r="AF7201" s="12"/>
    </row>
    <row r="7202" spans="32:32" x14ac:dyDescent="0.2">
      <c r="AF7202" s="12"/>
    </row>
    <row r="7203" spans="32:32" x14ac:dyDescent="0.2">
      <c r="AF7203" s="12"/>
    </row>
    <row r="7204" spans="32:32" x14ac:dyDescent="0.2">
      <c r="AF7204" s="12"/>
    </row>
    <row r="7205" spans="32:32" x14ac:dyDescent="0.2">
      <c r="AF7205" s="12"/>
    </row>
    <row r="7206" spans="32:32" x14ac:dyDescent="0.2">
      <c r="AF7206" s="12"/>
    </row>
    <row r="7207" spans="32:32" x14ac:dyDescent="0.2">
      <c r="AF7207" s="12"/>
    </row>
    <row r="7208" spans="32:32" x14ac:dyDescent="0.2">
      <c r="AF7208" s="12"/>
    </row>
    <row r="7209" spans="32:32" x14ac:dyDescent="0.2">
      <c r="AF7209" s="12"/>
    </row>
    <row r="7210" spans="32:32" x14ac:dyDescent="0.2">
      <c r="AF7210" s="12"/>
    </row>
    <row r="7211" spans="32:32" x14ac:dyDescent="0.2">
      <c r="AF7211" s="12"/>
    </row>
    <row r="7212" spans="32:32" x14ac:dyDescent="0.2">
      <c r="AF7212" s="12"/>
    </row>
    <row r="7213" spans="32:32" x14ac:dyDescent="0.2">
      <c r="AF7213" s="12"/>
    </row>
    <row r="7214" spans="32:32" x14ac:dyDescent="0.2">
      <c r="AF7214" s="12"/>
    </row>
    <row r="7215" spans="32:32" x14ac:dyDescent="0.2">
      <c r="AF7215" s="12"/>
    </row>
    <row r="7216" spans="32:32" x14ac:dyDescent="0.2">
      <c r="AF7216" s="12"/>
    </row>
    <row r="7217" spans="32:32" x14ac:dyDescent="0.2">
      <c r="AF7217" s="12"/>
    </row>
    <row r="7218" spans="32:32" x14ac:dyDescent="0.2">
      <c r="AF7218" s="12"/>
    </row>
    <row r="7219" spans="32:32" x14ac:dyDescent="0.2">
      <c r="AF7219" s="12"/>
    </row>
    <row r="7220" spans="32:32" x14ac:dyDescent="0.2">
      <c r="AF7220" s="12"/>
    </row>
    <row r="7221" spans="32:32" x14ac:dyDescent="0.2">
      <c r="AF7221" s="12"/>
    </row>
    <row r="7222" spans="32:32" x14ac:dyDescent="0.2">
      <c r="AF7222" s="12"/>
    </row>
    <row r="7223" spans="32:32" x14ac:dyDescent="0.2">
      <c r="AF7223" s="12"/>
    </row>
    <row r="7224" spans="32:32" x14ac:dyDescent="0.2">
      <c r="AF7224" s="12"/>
    </row>
    <row r="7225" spans="32:32" x14ac:dyDescent="0.2">
      <c r="AF7225" s="12"/>
    </row>
    <row r="7226" spans="32:32" x14ac:dyDescent="0.2">
      <c r="AF7226" s="12"/>
    </row>
    <row r="7227" spans="32:32" x14ac:dyDescent="0.2">
      <c r="AF7227" s="12"/>
    </row>
    <row r="7228" spans="32:32" x14ac:dyDescent="0.2">
      <c r="AF7228" s="12"/>
    </row>
    <row r="7229" spans="32:32" x14ac:dyDescent="0.2">
      <c r="AF7229" s="12"/>
    </row>
    <row r="7230" spans="32:32" x14ac:dyDescent="0.2">
      <c r="AF7230" s="12"/>
    </row>
    <row r="7231" spans="32:32" x14ac:dyDescent="0.2">
      <c r="AF7231" s="12"/>
    </row>
    <row r="7232" spans="32:32" x14ac:dyDescent="0.2">
      <c r="AF7232" s="12"/>
    </row>
    <row r="7233" spans="32:32" x14ac:dyDescent="0.2">
      <c r="AF7233" s="12"/>
    </row>
    <row r="7234" spans="32:32" x14ac:dyDescent="0.2">
      <c r="AF7234" s="12"/>
    </row>
    <row r="7235" spans="32:32" x14ac:dyDescent="0.2">
      <c r="AF7235" s="12"/>
    </row>
    <row r="7236" spans="32:32" x14ac:dyDescent="0.2">
      <c r="AF7236" s="12"/>
    </row>
    <row r="7237" spans="32:32" x14ac:dyDescent="0.2">
      <c r="AF7237" s="12"/>
    </row>
    <row r="7238" spans="32:32" x14ac:dyDescent="0.2">
      <c r="AF7238" s="12"/>
    </row>
    <row r="7239" spans="32:32" x14ac:dyDescent="0.2">
      <c r="AF7239" s="12"/>
    </row>
    <row r="7240" spans="32:32" x14ac:dyDescent="0.2">
      <c r="AF7240" s="12"/>
    </row>
    <row r="7241" spans="32:32" x14ac:dyDescent="0.2">
      <c r="AF7241" s="12"/>
    </row>
    <row r="7242" spans="32:32" x14ac:dyDescent="0.2">
      <c r="AF7242" s="12"/>
    </row>
    <row r="7243" spans="32:32" x14ac:dyDescent="0.2">
      <c r="AF7243" s="12"/>
    </row>
    <row r="7244" spans="32:32" x14ac:dyDescent="0.2">
      <c r="AF7244" s="12"/>
    </row>
    <row r="7245" spans="32:32" x14ac:dyDescent="0.2">
      <c r="AF7245" s="12"/>
    </row>
    <row r="7246" spans="32:32" x14ac:dyDescent="0.2">
      <c r="AF7246" s="12"/>
    </row>
    <row r="7247" spans="32:32" x14ac:dyDescent="0.2">
      <c r="AF7247" s="12"/>
    </row>
    <row r="7248" spans="32:32" x14ac:dyDescent="0.2">
      <c r="AF7248" s="12"/>
    </row>
    <row r="7249" spans="32:32" x14ac:dyDescent="0.2">
      <c r="AF7249" s="12"/>
    </row>
    <row r="7250" spans="32:32" x14ac:dyDescent="0.2">
      <c r="AF7250" s="12"/>
    </row>
    <row r="7251" spans="32:32" x14ac:dyDescent="0.2">
      <c r="AF7251" s="12"/>
    </row>
    <row r="7252" spans="32:32" x14ac:dyDescent="0.2">
      <c r="AF7252" s="12"/>
    </row>
    <row r="7253" spans="32:32" x14ac:dyDescent="0.2">
      <c r="AF7253" s="12"/>
    </row>
    <row r="7254" spans="32:32" x14ac:dyDescent="0.2">
      <c r="AF7254" s="12"/>
    </row>
    <row r="7255" spans="32:32" x14ac:dyDescent="0.2">
      <c r="AF7255" s="12"/>
    </row>
    <row r="7256" spans="32:32" x14ac:dyDescent="0.2">
      <c r="AF7256" s="12"/>
    </row>
    <row r="7257" spans="32:32" x14ac:dyDescent="0.2">
      <c r="AF7257" s="12"/>
    </row>
    <row r="7258" spans="32:32" x14ac:dyDescent="0.2">
      <c r="AF7258" s="12"/>
    </row>
    <row r="7259" spans="32:32" x14ac:dyDescent="0.2">
      <c r="AF7259" s="12"/>
    </row>
    <row r="7260" spans="32:32" x14ac:dyDescent="0.2">
      <c r="AF7260" s="12"/>
    </row>
    <row r="7261" spans="32:32" x14ac:dyDescent="0.2">
      <c r="AF7261" s="12"/>
    </row>
    <row r="7262" spans="32:32" x14ac:dyDescent="0.2">
      <c r="AF7262" s="12"/>
    </row>
    <row r="7263" spans="32:32" x14ac:dyDescent="0.2">
      <c r="AF7263" s="12"/>
    </row>
    <row r="7264" spans="32:32" x14ac:dyDescent="0.2">
      <c r="AF7264" s="12"/>
    </row>
    <row r="7265" spans="32:32" x14ac:dyDescent="0.2">
      <c r="AF7265" s="12"/>
    </row>
    <row r="7266" spans="32:32" x14ac:dyDescent="0.2">
      <c r="AF7266" s="12"/>
    </row>
    <row r="7267" spans="32:32" x14ac:dyDescent="0.2">
      <c r="AF7267" s="12"/>
    </row>
    <row r="7268" spans="32:32" x14ac:dyDescent="0.2">
      <c r="AF7268" s="12"/>
    </row>
    <row r="7269" spans="32:32" x14ac:dyDescent="0.2">
      <c r="AF7269" s="12"/>
    </row>
    <row r="7270" spans="32:32" x14ac:dyDescent="0.2">
      <c r="AF7270" s="12"/>
    </row>
    <row r="7271" spans="32:32" x14ac:dyDescent="0.2">
      <c r="AF7271" s="12"/>
    </row>
    <row r="7272" spans="32:32" x14ac:dyDescent="0.2">
      <c r="AF7272" s="12"/>
    </row>
    <row r="7273" spans="32:32" x14ac:dyDescent="0.2">
      <c r="AF7273" s="12"/>
    </row>
    <row r="7274" spans="32:32" x14ac:dyDescent="0.2">
      <c r="AF7274" s="12"/>
    </row>
    <row r="7275" spans="32:32" x14ac:dyDescent="0.2">
      <c r="AF7275" s="12"/>
    </row>
    <row r="7276" spans="32:32" x14ac:dyDescent="0.2">
      <c r="AF7276" s="12"/>
    </row>
    <row r="7277" spans="32:32" x14ac:dyDescent="0.2">
      <c r="AF7277" s="12"/>
    </row>
    <row r="7278" spans="32:32" x14ac:dyDescent="0.2">
      <c r="AF7278" s="12"/>
    </row>
    <row r="7279" spans="32:32" x14ac:dyDescent="0.2">
      <c r="AF7279" s="12"/>
    </row>
    <row r="7280" spans="32:32" x14ac:dyDescent="0.2">
      <c r="AF7280" s="12"/>
    </row>
    <row r="7281" spans="32:32" x14ac:dyDescent="0.2">
      <c r="AF7281" s="12"/>
    </row>
    <row r="7282" spans="32:32" x14ac:dyDescent="0.2">
      <c r="AF7282" s="12"/>
    </row>
    <row r="7283" spans="32:32" x14ac:dyDescent="0.2">
      <c r="AF7283" s="12"/>
    </row>
    <row r="7284" spans="32:32" x14ac:dyDescent="0.2">
      <c r="AF7284" s="12"/>
    </row>
    <row r="7285" spans="32:32" x14ac:dyDescent="0.2">
      <c r="AF7285" s="12"/>
    </row>
    <row r="7286" spans="32:32" x14ac:dyDescent="0.2">
      <c r="AF7286" s="12"/>
    </row>
    <row r="7287" spans="32:32" x14ac:dyDescent="0.2">
      <c r="AF7287" s="12"/>
    </row>
    <row r="7288" spans="32:32" x14ac:dyDescent="0.2">
      <c r="AF7288" s="12"/>
    </row>
    <row r="7289" spans="32:32" x14ac:dyDescent="0.2">
      <c r="AF7289" s="12"/>
    </row>
    <row r="7290" spans="32:32" x14ac:dyDescent="0.2">
      <c r="AF7290" s="12"/>
    </row>
    <row r="7291" spans="32:32" x14ac:dyDescent="0.2">
      <c r="AF7291" s="12"/>
    </row>
    <row r="7292" spans="32:32" x14ac:dyDescent="0.2">
      <c r="AF7292" s="12"/>
    </row>
    <row r="7293" spans="32:32" x14ac:dyDescent="0.2">
      <c r="AF7293" s="12"/>
    </row>
    <row r="7294" spans="32:32" x14ac:dyDescent="0.2">
      <c r="AF7294" s="12"/>
    </row>
    <row r="7295" spans="32:32" x14ac:dyDescent="0.2">
      <c r="AF7295" s="12"/>
    </row>
    <row r="7296" spans="32:32" x14ac:dyDescent="0.2">
      <c r="AF7296" s="12"/>
    </row>
    <row r="7297" spans="32:32" x14ac:dyDescent="0.2">
      <c r="AF7297" s="12"/>
    </row>
    <row r="7298" spans="32:32" x14ac:dyDescent="0.2">
      <c r="AF7298" s="12"/>
    </row>
    <row r="7299" spans="32:32" x14ac:dyDescent="0.2">
      <c r="AF7299" s="12"/>
    </row>
    <row r="7300" spans="32:32" x14ac:dyDescent="0.2">
      <c r="AF7300" s="12"/>
    </row>
    <row r="7301" spans="32:32" x14ac:dyDescent="0.2">
      <c r="AF7301" s="12"/>
    </row>
    <row r="7302" spans="32:32" x14ac:dyDescent="0.2">
      <c r="AF7302" s="12"/>
    </row>
    <row r="7303" spans="32:32" x14ac:dyDescent="0.2">
      <c r="AF7303" s="12"/>
    </row>
    <row r="7304" spans="32:32" x14ac:dyDescent="0.2">
      <c r="AF7304" s="12"/>
    </row>
    <row r="7305" spans="32:32" x14ac:dyDescent="0.2">
      <c r="AF7305" s="12"/>
    </row>
    <row r="7306" spans="32:32" x14ac:dyDescent="0.2">
      <c r="AF7306" s="12"/>
    </row>
    <row r="7307" spans="32:32" x14ac:dyDescent="0.2">
      <c r="AF7307" s="12"/>
    </row>
    <row r="7308" spans="32:32" x14ac:dyDescent="0.2">
      <c r="AF7308" s="12"/>
    </row>
    <row r="7309" spans="32:32" x14ac:dyDescent="0.2">
      <c r="AF7309" s="12"/>
    </row>
    <row r="7310" spans="32:32" x14ac:dyDescent="0.2">
      <c r="AF7310" s="12"/>
    </row>
    <row r="7311" spans="32:32" x14ac:dyDescent="0.2">
      <c r="AF7311" s="12"/>
    </row>
    <row r="7312" spans="32:32" x14ac:dyDescent="0.2">
      <c r="AF7312" s="12"/>
    </row>
    <row r="7313" spans="32:32" x14ac:dyDescent="0.2">
      <c r="AF7313" s="12"/>
    </row>
    <row r="7314" spans="32:32" x14ac:dyDescent="0.2">
      <c r="AF7314" s="12"/>
    </row>
    <row r="7315" spans="32:32" x14ac:dyDescent="0.2">
      <c r="AF7315" s="12"/>
    </row>
    <row r="7316" spans="32:32" x14ac:dyDescent="0.2">
      <c r="AF7316" s="12"/>
    </row>
    <row r="7317" spans="32:32" x14ac:dyDescent="0.2">
      <c r="AF7317" s="12"/>
    </row>
    <row r="7318" spans="32:32" x14ac:dyDescent="0.2">
      <c r="AF7318" s="12"/>
    </row>
    <row r="7319" spans="32:32" x14ac:dyDescent="0.2">
      <c r="AF7319" s="12"/>
    </row>
    <row r="7320" spans="32:32" x14ac:dyDescent="0.2">
      <c r="AF7320" s="12"/>
    </row>
    <row r="7321" spans="32:32" x14ac:dyDescent="0.2">
      <c r="AF7321" s="12"/>
    </row>
    <row r="7322" spans="32:32" x14ac:dyDescent="0.2">
      <c r="AF7322" s="12"/>
    </row>
    <row r="7323" spans="32:32" x14ac:dyDescent="0.2">
      <c r="AF7323" s="12"/>
    </row>
    <row r="7324" spans="32:32" x14ac:dyDescent="0.2">
      <c r="AF7324" s="12"/>
    </row>
    <row r="7325" spans="32:32" x14ac:dyDescent="0.2">
      <c r="AF7325" s="12"/>
    </row>
    <row r="7326" spans="32:32" x14ac:dyDescent="0.2">
      <c r="AF7326" s="12"/>
    </row>
    <row r="7327" spans="32:32" x14ac:dyDescent="0.2">
      <c r="AF7327" s="12"/>
    </row>
    <row r="7328" spans="32:32" x14ac:dyDescent="0.2">
      <c r="AF7328" s="12"/>
    </row>
    <row r="7329" spans="32:32" x14ac:dyDescent="0.2">
      <c r="AF7329" s="12"/>
    </row>
    <row r="7330" spans="32:32" x14ac:dyDescent="0.2">
      <c r="AF7330" s="12"/>
    </row>
    <row r="7331" spans="32:32" x14ac:dyDescent="0.2">
      <c r="AF7331" s="12"/>
    </row>
    <row r="7332" spans="32:32" x14ac:dyDescent="0.2">
      <c r="AF7332" s="12"/>
    </row>
    <row r="7333" spans="32:32" x14ac:dyDescent="0.2">
      <c r="AF7333" s="12"/>
    </row>
    <row r="7334" spans="32:32" x14ac:dyDescent="0.2">
      <c r="AF7334" s="12"/>
    </row>
    <row r="7335" spans="32:32" x14ac:dyDescent="0.2">
      <c r="AF7335" s="12"/>
    </row>
    <row r="7336" spans="32:32" x14ac:dyDescent="0.2">
      <c r="AF7336" s="12"/>
    </row>
    <row r="7337" spans="32:32" x14ac:dyDescent="0.2">
      <c r="AF7337" s="12"/>
    </row>
    <row r="7338" spans="32:32" x14ac:dyDescent="0.2">
      <c r="AF7338" s="12"/>
    </row>
    <row r="7339" spans="32:32" x14ac:dyDescent="0.2">
      <c r="AF7339" s="12"/>
    </row>
    <row r="7340" spans="32:32" x14ac:dyDescent="0.2">
      <c r="AF7340" s="12"/>
    </row>
    <row r="7341" spans="32:32" x14ac:dyDescent="0.2">
      <c r="AF7341" s="12"/>
    </row>
    <row r="7342" spans="32:32" x14ac:dyDescent="0.2">
      <c r="AF7342" s="12"/>
    </row>
    <row r="7343" spans="32:32" x14ac:dyDescent="0.2">
      <c r="AF7343" s="12"/>
    </row>
    <row r="7344" spans="32:32" x14ac:dyDescent="0.2">
      <c r="AF7344" s="12"/>
    </row>
    <row r="7345" spans="32:32" x14ac:dyDescent="0.2">
      <c r="AF7345" s="12"/>
    </row>
    <row r="7346" spans="32:32" x14ac:dyDescent="0.2">
      <c r="AF7346" s="12"/>
    </row>
    <row r="7347" spans="32:32" x14ac:dyDescent="0.2">
      <c r="AF7347" s="12"/>
    </row>
    <row r="7348" spans="32:32" x14ac:dyDescent="0.2">
      <c r="AF7348" s="12"/>
    </row>
    <row r="7349" spans="32:32" x14ac:dyDescent="0.2">
      <c r="AF7349" s="12"/>
    </row>
    <row r="7350" spans="32:32" x14ac:dyDescent="0.2">
      <c r="AF7350" s="12"/>
    </row>
    <row r="7351" spans="32:32" x14ac:dyDescent="0.2">
      <c r="AF7351" s="12"/>
    </row>
    <row r="7352" spans="32:32" x14ac:dyDescent="0.2">
      <c r="AF7352" s="12"/>
    </row>
    <row r="7353" spans="32:32" x14ac:dyDescent="0.2">
      <c r="AF7353" s="12"/>
    </row>
    <row r="7354" spans="32:32" x14ac:dyDescent="0.2">
      <c r="AF7354" s="12"/>
    </row>
    <row r="7355" spans="32:32" x14ac:dyDescent="0.2">
      <c r="AF7355" s="12"/>
    </row>
    <row r="7356" spans="32:32" x14ac:dyDescent="0.2">
      <c r="AF7356" s="12"/>
    </row>
    <row r="7357" spans="32:32" x14ac:dyDescent="0.2">
      <c r="AF7357" s="12"/>
    </row>
    <row r="7358" spans="32:32" x14ac:dyDescent="0.2">
      <c r="AF7358" s="12"/>
    </row>
    <row r="7359" spans="32:32" x14ac:dyDescent="0.2">
      <c r="AF7359" s="12"/>
    </row>
    <row r="7360" spans="32:32" x14ac:dyDescent="0.2">
      <c r="AF7360" s="12"/>
    </row>
    <row r="7361" spans="32:32" x14ac:dyDescent="0.2">
      <c r="AF7361" s="12"/>
    </row>
    <row r="7362" spans="32:32" x14ac:dyDescent="0.2">
      <c r="AF7362" s="12"/>
    </row>
    <row r="7363" spans="32:32" x14ac:dyDescent="0.2">
      <c r="AF7363" s="12"/>
    </row>
    <row r="7364" spans="32:32" x14ac:dyDescent="0.2">
      <c r="AF7364" s="12"/>
    </row>
    <row r="7365" spans="32:32" x14ac:dyDescent="0.2">
      <c r="AF7365" s="12"/>
    </row>
    <row r="7366" spans="32:32" x14ac:dyDescent="0.2">
      <c r="AF7366" s="12"/>
    </row>
    <row r="7367" spans="32:32" x14ac:dyDescent="0.2">
      <c r="AF7367" s="12"/>
    </row>
    <row r="7368" spans="32:32" x14ac:dyDescent="0.2">
      <c r="AF7368" s="12"/>
    </row>
    <row r="7369" spans="32:32" x14ac:dyDescent="0.2">
      <c r="AF7369" s="12"/>
    </row>
    <row r="7370" spans="32:32" x14ac:dyDescent="0.2">
      <c r="AF7370" s="12"/>
    </row>
    <row r="7371" spans="32:32" x14ac:dyDescent="0.2">
      <c r="AF7371" s="12"/>
    </row>
    <row r="7372" spans="32:32" x14ac:dyDescent="0.2">
      <c r="AF7372" s="12"/>
    </row>
    <row r="7373" spans="32:32" x14ac:dyDescent="0.2">
      <c r="AF7373" s="12"/>
    </row>
    <row r="7374" spans="32:32" x14ac:dyDescent="0.2">
      <c r="AF7374" s="12"/>
    </row>
    <row r="7375" spans="32:32" x14ac:dyDescent="0.2">
      <c r="AF7375" s="12"/>
    </row>
    <row r="7376" spans="32:32" x14ac:dyDescent="0.2">
      <c r="AF7376" s="12"/>
    </row>
    <row r="7377" spans="32:32" x14ac:dyDescent="0.2">
      <c r="AF7377" s="12"/>
    </row>
    <row r="7378" spans="32:32" x14ac:dyDescent="0.2">
      <c r="AF7378" s="12"/>
    </row>
    <row r="7379" spans="32:32" x14ac:dyDescent="0.2">
      <c r="AF7379" s="12"/>
    </row>
    <row r="7380" spans="32:32" x14ac:dyDescent="0.2">
      <c r="AF7380" s="12"/>
    </row>
    <row r="7381" spans="32:32" x14ac:dyDescent="0.2">
      <c r="AF7381" s="12"/>
    </row>
    <row r="7382" spans="32:32" x14ac:dyDescent="0.2">
      <c r="AF7382" s="12"/>
    </row>
    <row r="7383" spans="32:32" x14ac:dyDescent="0.2">
      <c r="AF7383" s="12"/>
    </row>
    <row r="7384" spans="32:32" x14ac:dyDescent="0.2">
      <c r="AF7384" s="12"/>
    </row>
    <row r="7385" spans="32:32" x14ac:dyDescent="0.2">
      <c r="AF7385" s="12"/>
    </row>
    <row r="7386" spans="32:32" x14ac:dyDescent="0.2">
      <c r="AF7386" s="12"/>
    </row>
    <row r="7387" spans="32:32" x14ac:dyDescent="0.2">
      <c r="AF7387" s="12"/>
    </row>
    <row r="7388" spans="32:32" x14ac:dyDescent="0.2">
      <c r="AF7388" s="12"/>
    </row>
    <row r="7389" spans="32:32" x14ac:dyDescent="0.2">
      <c r="AF7389" s="12"/>
    </row>
    <row r="7390" spans="32:32" x14ac:dyDescent="0.2">
      <c r="AF7390" s="12"/>
    </row>
    <row r="7391" spans="32:32" x14ac:dyDescent="0.2">
      <c r="AF7391" s="12"/>
    </row>
    <row r="7392" spans="32:32" x14ac:dyDescent="0.2">
      <c r="AF7392" s="12"/>
    </row>
    <row r="7393" spans="32:32" x14ac:dyDescent="0.2">
      <c r="AF7393" s="12"/>
    </row>
    <row r="7394" spans="32:32" x14ac:dyDescent="0.2">
      <c r="AF7394" s="12"/>
    </row>
    <row r="7395" spans="32:32" x14ac:dyDescent="0.2">
      <c r="AF7395" s="12"/>
    </row>
    <row r="7396" spans="32:32" x14ac:dyDescent="0.2">
      <c r="AF7396" s="12"/>
    </row>
    <row r="7397" spans="32:32" x14ac:dyDescent="0.2">
      <c r="AF7397" s="12"/>
    </row>
    <row r="7398" spans="32:32" x14ac:dyDescent="0.2">
      <c r="AF7398" s="12"/>
    </row>
    <row r="7399" spans="32:32" x14ac:dyDescent="0.2">
      <c r="AF7399" s="12"/>
    </row>
    <row r="7400" spans="32:32" x14ac:dyDescent="0.2">
      <c r="AF7400" s="12"/>
    </row>
    <row r="7401" spans="32:32" x14ac:dyDescent="0.2">
      <c r="AF7401" s="12"/>
    </row>
    <row r="7402" spans="32:32" x14ac:dyDescent="0.2">
      <c r="AF7402" s="12"/>
    </row>
    <row r="7403" spans="32:32" x14ac:dyDescent="0.2">
      <c r="AF7403" s="12"/>
    </row>
    <row r="7404" spans="32:32" x14ac:dyDescent="0.2">
      <c r="AF7404" s="12"/>
    </row>
    <row r="7405" spans="32:32" x14ac:dyDescent="0.2">
      <c r="AF7405" s="12"/>
    </row>
    <row r="7406" spans="32:32" x14ac:dyDescent="0.2">
      <c r="AF7406" s="12"/>
    </row>
    <row r="7407" spans="32:32" x14ac:dyDescent="0.2">
      <c r="AF7407" s="12"/>
    </row>
    <row r="7408" spans="32:32" x14ac:dyDescent="0.2">
      <c r="AF7408" s="12"/>
    </row>
    <row r="7409" spans="32:32" x14ac:dyDescent="0.2">
      <c r="AF7409" s="12"/>
    </row>
    <row r="7410" spans="32:32" x14ac:dyDescent="0.2">
      <c r="AF7410" s="12"/>
    </row>
    <row r="7411" spans="32:32" x14ac:dyDescent="0.2">
      <c r="AF7411" s="12"/>
    </row>
    <row r="7412" spans="32:32" x14ac:dyDescent="0.2">
      <c r="AF7412" s="12"/>
    </row>
    <row r="7413" spans="32:32" x14ac:dyDescent="0.2">
      <c r="AF7413" s="12"/>
    </row>
    <row r="7414" spans="32:32" x14ac:dyDescent="0.2">
      <c r="AF7414" s="12"/>
    </row>
    <row r="7415" spans="32:32" x14ac:dyDescent="0.2">
      <c r="AF7415" s="12"/>
    </row>
    <row r="7416" spans="32:32" x14ac:dyDescent="0.2">
      <c r="AF7416" s="12"/>
    </row>
    <row r="7417" spans="32:32" x14ac:dyDescent="0.2">
      <c r="AF7417" s="12"/>
    </row>
    <row r="7418" spans="32:32" x14ac:dyDescent="0.2">
      <c r="AF7418" s="12"/>
    </row>
    <row r="7419" spans="32:32" x14ac:dyDescent="0.2">
      <c r="AF7419" s="12"/>
    </row>
    <row r="7420" spans="32:32" x14ac:dyDescent="0.2">
      <c r="AF7420" s="12"/>
    </row>
    <row r="7421" spans="32:32" x14ac:dyDescent="0.2">
      <c r="AF7421" s="12"/>
    </row>
    <row r="7422" spans="32:32" x14ac:dyDescent="0.2">
      <c r="AF7422" s="12"/>
    </row>
    <row r="7423" spans="32:32" x14ac:dyDescent="0.2">
      <c r="AF7423" s="12"/>
    </row>
    <row r="7424" spans="32:32" x14ac:dyDescent="0.2">
      <c r="AF7424" s="12"/>
    </row>
    <row r="7425" spans="32:32" x14ac:dyDescent="0.2">
      <c r="AF7425" s="12"/>
    </row>
    <row r="7426" spans="32:32" x14ac:dyDescent="0.2">
      <c r="AF7426" s="12"/>
    </row>
    <row r="7427" spans="32:32" x14ac:dyDescent="0.2">
      <c r="AF7427" s="12"/>
    </row>
    <row r="7428" spans="32:32" x14ac:dyDescent="0.2">
      <c r="AF7428" s="12"/>
    </row>
    <row r="7429" spans="32:32" x14ac:dyDescent="0.2">
      <c r="AF7429" s="12"/>
    </row>
    <row r="7430" spans="32:32" x14ac:dyDescent="0.2">
      <c r="AF7430" s="12"/>
    </row>
    <row r="7431" spans="32:32" x14ac:dyDescent="0.2">
      <c r="AF7431" s="12"/>
    </row>
    <row r="7432" spans="32:32" x14ac:dyDescent="0.2">
      <c r="AF7432" s="12"/>
    </row>
    <row r="7433" spans="32:32" x14ac:dyDescent="0.2">
      <c r="AF7433" s="12"/>
    </row>
    <row r="7434" spans="32:32" x14ac:dyDescent="0.2">
      <c r="AF7434" s="12"/>
    </row>
    <row r="7435" spans="32:32" x14ac:dyDescent="0.2">
      <c r="AF7435" s="12"/>
    </row>
    <row r="7436" spans="32:32" x14ac:dyDescent="0.2">
      <c r="AF7436" s="12"/>
    </row>
    <row r="7437" spans="32:32" x14ac:dyDescent="0.2">
      <c r="AF7437" s="12"/>
    </row>
    <row r="7438" spans="32:32" x14ac:dyDescent="0.2">
      <c r="AF7438" s="12"/>
    </row>
    <row r="7439" spans="32:32" x14ac:dyDescent="0.2">
      <c r="AF7439" s="12"/>
    </row>
    <row r="7440" spans="32:32" x14ac:dyDescent="0.2">
      <c r="AF7440" s="12"/>
    </row>
    <row r="7441" spans="32:32" x14ac:dyDescent="0.2">
      <c r="AF7441" s="12"/>
    </row>
    <row r="7442" spans="32:32" x14ac:dyDescent="0.2">
      <c r="AF7442" s="12"/>
    </row>
    <row r="7443" spans="32:32" x14ac:dyDescent="0.2">
      <c r="AF7443" s="12"/>
    </row>
    <row r="7444" spans="32:32" x14ac:dyDescent="0.2">
      <c r="AF7444" s="12"/>
    </row>
    <row r="7445" spans="32:32" x14ac:dyDescent="0.2">
      <c r="AF7445" s="12"/>
    </row>
    <row r="7446" spans="32:32" x14ac:dyDescent="0.2">
      <c r="AF7446" s="12"/>
    </row>
    <row r="7447" spans="32:32" x14ac:dyDescent="0.2">
      <c r="AF7447" s="12"/>
    </row>
    <row r="7448" spans="32:32" x14ac:dyDescent="0.2">
      <c r="AF7448" s="12"/>
    </row>
    <row r="7449" spans="32:32" x14ac:dyDescent="0.2">
      <c r="AF7449" s="12"/>
    </row>
    <row r="7450" spans="32:32" x14ac:dyDescent="0.2">
      <c r="AF7450" s="12"/>
    </row>
    <row r="7451" spans="32:32" x14ac:dyDescent="0.2">
      <c r="AF7451" s="12"/>
    </row>
    <row r="7452" spans="32:32" x14ac:dyDescent="0.2">
      <c r="AF7452" s="12"/>
    </row>
    <row r="7453" spans="32:32" x14ac:dyDescent="0.2">
      <c r="AF7453" s="12"/>
    </row>
    <row r="7454" spans="32:32" x14ac:dyDescent="0.2">
      <c r="AF7454" s="12"/>
    </row>
    <row r="7455" spans="32:32" x14ac:dyDescent="0.2">
      <c r="AF7455" s="12"/>
    </row>
    <row r="7456" spans="32:32" x14ac:dyDescent="0.2">
      <c r="AF7456" s="12"/>
    </row>
    <row r="7457" spans="32:32" x14ac:dyDescent="0.2">
      <c r="AF7457" s="12"/>
    </row>
    <row r="7458" spans="32:32" x14ac:dyDescent="0.2">
      <c r="AF7458" s="12"/>
    </row>
    <row r="7459" spans="32:32" x14ac:dyDescent="0.2">
      <c r="AF7459" s="12"/>
    </row>
    <row r="7460" spans="32:32" x14ac:dyDescent="0.2">
      <c r="AF7460" s="12"/>
    </row>
    <row r="7461" spans="32:32" x14ac:dyDescent="0.2">
      <c r="AF7461" s="12"/>
    </row>
    <row r="7462" spans="32:32" x14ac:dyDescent="0.2">
      <c r="AF7462" s="12"/>
    </row>
    <row r="7463" spans="32:32" x14ac:dyDescent="0.2">
      <c r="AF7463" s="12"/>
    </row>
    <row r="7464" spans="32:32" x14ac:dyDescent="0.2">
      <c r="AF7464" s="12"/>
    </row>
    <row r="7465" spans="32:32" x14ac:dyDescent="0.2">
      <c r="AF7465" s="12"/>
    </row>
    <row r="7466" spans="32:32" x14ac:dyDescent="0.2">
      <c r="AF7466" s="12"/>
    </row>
    <row r="7467" spans="32:32" x14ac:dyDescent="0.2">
      <c r="AF7467" s="12"/>
    </row>
    <row r="7468" spans="32:32" x14ac:dyDescent="0.2">
      <c r="AF7468" s="12"/>
    </row>
    <row r="7469" spans="32:32" x14ac:dyDescent="0.2">
      <c r="AF7469" s="12"/>
    </row>
    <row r="7470" spans="32:32" x14ac:dyDescent="0.2">
      <c r="AF7470" s="12"/>
    </row>
    <row r="7471" spans="32:32" x14ac:dyDescent="0.2">
      <c r="AF7471" s="12"/>
    </row>
    <row r="7472" spans="32:32" x14ac:dyDescent="0.2">
      <c r="AF7472" s="12"/>
    </row>
    <row r="7473" spans="32:32" x14ac:dyDescent="0.2">
      <c r="AF7473" s="12"/>
    </row>
    <row r="7474" spans="32:32" x14ac:dyDescent="0.2">
      <c r="AF7474" s="12"/>
    </row>
    <row r="7475" spans="32:32" x14ac:dyDescent="0.2">
      <c r="AF7475" s="12"/>
    </row>
    <row r="7476" spans="32:32" x14ac:dyDescent="0.2">
      <c r="AF7476" s="12"/>
    </row>
    <row r="7477" spans="32:32" x14ac:dyDescent="0.2">
      <c r="AF7477" s="12"/>
    </row>
    <row r="7478" spans="32:32" x14ac:dyDescent="0.2">
      <c r="AF7478" s="12"/>
    </row>
    <row r="7479" spans="32:32" x14ac:dyDescent="0.2">
      <c r="AF7479" s="12"/>
    </row>
    <row r="7480" spans="32:32" x14ac:dyDescent="0.2">
      <c r="AF7480" s="12"/>
    </row>
    <row r="7481" spans="32:32" x14ac:dyDescent="0.2">
      <c r="AF7481" s="12"/>
    </row>
    <row r="7482" spans="32:32" x14ac:dyDescent="0.2">
      <c r="AF7482" s="12"/>
    </row>
    <row r="7483" spans="32:32" x14ac:dyDescent="0.2">
      <c r="AF7483" s="12"/>
    </row>
    <row r="7484" spans="32:32" x14ac:dyDescent="0.2">
      <c r="AF7484" s="12"/>
    </row>
    <row r="7485" spans="32:32" x14ac:dyDescent="0.2">
      <c r="AF7485" s="12"/>
    </row>
    <row r="7486" spans="32:32" x14ac:dyDescent="0.2">
      <c r="AF7486" s="12"/>
    </row>
    <row r="7487" spans="32:32" x14ac:dyDescent="0.2">
      <c r="AF7487" s="12"/>
    </row>
    <row r="7488" spans="32:32" x14ac:dyDescent="0.2">
      <c r="AF7488" s="12"/>
    </row>
    <row r="7489" spans="32:32" x14ac:dyDescent="0.2">
      <c r="AF7489" s="12"/>
    </row>
    <row r="7490" spans="32:32" x14ac:dyDescent="0.2">
      <c r="AF7490" s="12"/>
    </row>
    <row r="7491" spans="32:32" x14ac:dyDescent="0.2">
      <c r="AF7491" s="12"/>
    </row>
    <row r="7492" spans="32:32" x14ac:dyDescent="0.2">
      <c r="AF7492" s="12"/>
    </row>
    <row r="7493" spans="32:32" x14ac:dyDescent="0.2">
      <c r="AF7493" s="12"/>
    </row>
    <row r="7494" spans="32:32" x14ac:dyDescent="0.2">
      <c r="AF7494" s="12"/>
    </row>
    <row r="7495" spans="32:32" x14ac:dyDescent="0.2">
      <c r="AF7495" s="12"/>
    </row>
    <row r="7496" spans="32:32" x14ac:dyDescent="0.2">
      <c r="AF7496" s="12"/>
    </row>
    <row r="7497" spans="32:32" x14ac:dyDescent="0.2">
      <c r="AF7497" s="12"/>
    </row>
    <row r="7498" spans="32:32" x14ac:dyDescent="0.2">
      <c r="AF7498" s="12"/>
    </row>
    <row r="7499" spans="32:32" x14ac:dyDescent="0.2">
      <c r="AF7499" s="12"/>
    </row>
    <row r="7500" spans="32:32" x14ac:dyDescent="0.2">
      <c r="AF7500" s="12"/>
    </row>
    <row r="7501" spans="32:32" x14ac:dyDescent="0.2">
      <c r="AF7501" s="12"/>
    </row>
    <row r="7502" spans="32:32" x14ac:dyDescent="0.2">
      <c r="AF7502" s="12"/>
    </row>
    <row r="7503" spans="32:32" x14ac:dyDescent="0.2">
      <c r="AF7503" s="12"/>
    </row>
    <row r="7504" spans="32:32" x14ac:dyDescent="0.2">
      <c r="AF7504" s="12"/>
    </row>
    <row r="7505" spans="32:32" x14ac:dyDescent="0.2">
      <c r="AF7505" s="12"/>
    </row>
    <row r="7506" spans="32:32" x14ac:dyDescent="0.2">
      <c r="AF7506" s="12"/>
    </row>
    <row r="7507" spans="32:32" x14ac:dyDescent="0.2">
      <c r="AF7507" s="12"/>
    </row>
    <row r="7508" spans="32:32" x14ac:dyDescent="0.2">
      <c r="AF7508" s="12"/>
    </row>
    <row r="7509" spans="32:32" x14ac:dyDescent="0.2">
      <c r="AF7509" s="12"/>
    </row>
    <row r="7510" spans="32:32" x14ac:dyDescent="0.2">
      <c r="AF7510" s="12"/>
    </row>
    <row r="7511" spans="32:32" x14ac:dyDescent="0.2">
      <c r="AF7511" s="12"/>
    </row>
    <row r="7512" spans="32:32" x14ac:dyDescent="0.2">
      <c r="AF7512" s="12"/>
    </row>
    <row r="7513" spans="32:32" x14ac:dyDescent="0.2">
      <c r="AF7513" s="12"/>
    </row>
    <row r="7514" spans="32:32" x14ac:dyDescent="0.2">
      <c r="AF7514" s="12"/>
    </row>
    <row r="7515" spans="32:32" x14ac:dyDescent="0.2">
      <c r="AF7515" s="12"/>
    </row>
    <row r="7516" spans="32:32" x14ac:dyDescent="0.2">
      <c r="AF7516" s="12"/>
    </row>
    <row r="7517" spans="32:32" x14ac:dyDescent="0.2">
      <c r="AF7517" s="12"/>
    </row>
    <row r="7518" spans="32:32" x14ac:dyDescent="0.2">
      <c r="AF7518" s="12"/>
    </row>
    <row r="7519" spans="32:32" x14ac:dyDescent="0.2">
      <c r="AF7519" s="12"/>
    </row>
    <row r="7520" spans="32:32" x14ac:dyDescent="0.2">
      <c r="AF7520" s="12"/>
    </row>
    <row r="7521" spans="32:32" x14ac:dyDescent="0.2">
      <c r="AF7521" s="12"/>
    </row>
    <row r="7522" spans="32:32" x14ac:dyDescent="0.2">
      <c r="AF7522" s="12"/>
    </row>
    <row r="7523" spans="32:32" x14ac:dyDescent="0.2">
      <c r="AF7523" s="12"/>
    </row>
    <row r="7524" spans="32:32" x14ac:dyDescent="0.2">
      <c r="AF7524" s="12"/>
    </row>
    <row r="7525" spans="32:32" x14ac:dyDescent="0.2">
      <c r="AF7525" s="12"/>
    </row>
    <row r="7526" spans="32:32" x14ac:dyDescent="0.2">
      <c r="AF7526" s="12"/>
    </row>
    <row r="7527" spans="32:32" x14ac:dyDescent="0.2">
      <c r="AF7527" s="12"/>
    </row>
    <row r="7528" spans="32:32" x14ac:dyDescent="0.2">
      <c r="AF7528" s="12"/>
    </row>
    <row r="7529" spans="32:32" x14ac:dyDescent="0.2">
      <c r="AF7529" s="12"/>
    </row>
    <row r="7530" spans="32:32" x14ac:dyDescent="0.2">
      <c r="AF7530" s="12"/>
    </row>
    <row r="7531" spans="32:32" x14ac:dyDescent="0.2">
      <c r="AF7531" s="12"/>
    </row>
    <row r="7532" spans="32:32" x14ac:dyDescent="0.2">
      <c r="AF7532" s="12"/>
    </row>
    <row r="7533" spans="32:32" x14ac:dyDescent="0.2">
      <c r="AF7533" s="12"/>
    </row>
    <row r="7534" spans="32:32" x14ac:dyDescent="0.2">
      <c r="AF7534" s="12"/>
    </row>
    <row r="7535" spans="32:32" x14ac:dyDescent="0.2">
      <c r="AF7535" s="12"/>
    </row>
    <row r="7536" spans="32:32" x14ac:dyDescent="0.2">
      <c r="AF7536" s="12"/>
    </row>
    <row r="7537" spans="32:32" x14ac:dyDescent="0.2">
      <c r="AF7537" s="12"/>
    </row>
    <row r="7538" spans="32:32" x14ac:dyDescent="0.2">
      <c r="AF7538" s="12"/>
    </row>
    <row r="7539" spans="32:32" x14ac:dyDescent="0.2">
      <c r="AF7539" s="12"/>
    </row>
    <row r="7540" spans="32:32" x14ac:dyDescent="0.2">
      <c r="AF7540" s="12"/>
    </row>
    <row r="7541" spans="32:32" x14ac:dyDescent="0.2">
      <c r="AF7541" s="12"/>
    </row>
    <row r="7542" spans="32:32" x14ac:dyDescent="0.2">
      <c r="AF7542" s="12"/>
    </row>
    <row r="7543" spans="32:32" x14ac:dyDescent="0.2">
      <c r="AF7543" s="12"/>
    </row>
    <row r="7544" spans="32:32" x14ac:dyDescent="0.2">
      <c r="AF7544" s="12"/>
    </row>
    <row r="7545" spans="32:32" x14ac:dyDescent="0.2">
      <c r="AF7545" s="12"/>
    </row>
    <row r="7546" spans="32:32" x14ac:dyDescent="0.2">
      <c r="AF7546" s="12"/>
    </row>
    <row r="7547" spans="32:32" x14ac:dyDescent="0.2">
      <c r="AF7547" s="12"/>
    </row>
    <row r="7548" spans="32:32" x14ac:dyDescent="0.2">
      <c r="AF7548" s="12"/>
    </row>
    <row r="7549" spans="32:32" x14ac:dyDescent="0.2">
      <c r="AF7549" s="12"/>
    </row>
    <row r="7550" spans="32:32" x14ac:dyDescent="0.2">
      <c r="AF7550" s="12"/>
    </row>
    <row r="7551" spans="32:32" x14ac:dyDescent="0.2">
      <c r="AF7551" s="12"/>
    </row>
    <row r="7552" spans="32:32" x14ac:dyDescent="0.2">
      <c r="AF7552" s="12"/>
    </row>
    <row r="7553" spans="32:32" x14ac:dyDescent="0.2">
      <c r="AF7553" s="12"/>
    </row>
    <row r="7554" spans="32:32" x14ac:dyDescent="0.2">
      <c r="AF7554" s="12"/>
    </row>
    <row r="7555" spans="32:32" x14ac:dyDescent="0.2">
      <c r="AF7555" s="12"/>
    </row>
    <row r="7556" spans="32:32" x14ac:dyDescent="0.2">
      <c r="AF7556" s="12"/>
    </row>
    <row r="7557" spans="32:32" x14ac:dyDescent="0.2">
      <c r="AF7557" s="12"/>
    </row>
    <row r="7558" spans="32:32" x14ac:dyDescent="0.2">
      <c r="AF7558" s="12"/>
    </row>
    <row r="7559" spans="32:32" x14ac:dyDescent="0.2">
      <c r="AF7559" s="12"/>
    </row>
    <row r="7560" spans="32:32" x14ac:dyDescent="0.2">
      <c r="AF7560" s="12"/>
    </row>
    <row r="7561" spans="32:32" x14ac:dyDescent="0.2">
      <c r="AF7561" s="12"/>
    </row>
    <row r="7562" spans="32:32" x14ac:dyDescent="0.2">
      <c r="AF7562" s="12"/>
    </row>
    <row r="7563" spans="32:32" x14ac:dyDescent="0.2">
      <c r="AF7563" s="12"/>
    </row>
    <row r="7564" spans="32:32" x14ac:dyDescent="0.2">
      <c r="AF7564" s="12"/>
    </row>
    <row r="7565" spans="32:32" x14ac:dyDescent="0.2">
      <c r="AF7565" s="12"/>
    </row>
    <row r="7566" spans="32:32" x14ac:dyDescent="0.2">
      <c r="AF7566" s="12"/>
    </row>
    <row r="7567" spans="32:32" x14ac:dyDescent="0.2">
      <c r="AF7567" s="12"/>
    </row>
    <row r="7568" spans="32:32" x14ac:dyDescent="0.2">
      <c r="AF7568" s="12"/>
    </row>
    <row r="7569" spans="32:32" x14ac:dyDescent="0.2">
      <c r="AF7569" s="12"/>
    </row>
    <row r="7570" spans="32:32" x14ac:dyDescent="0.2">
      <c r="AF7570" s="12"/>
    </row>
    <row r="7571" spans="32:32" x14ac:dyDescent="0.2">
      <c r="AF7571" s="12"/>
    </row>
    <row r="7572" spans="32:32" x14ac:dyDescent="0.2">
      <c r="AF7572" s="12"/>
    </row>
    <row r="7573" spans="32:32" x14ac:dyDescent="0.2">
      <c r="AF7573" s="12"/>
    </row>
    <row r="7574" spans="32:32" x14ac:dyDescent="0.2">
      <c r="AF7574" s="12"/>
    </row>
    <row r="7575" spans="32:32" x14ac:dyDescent="0.2">
      <c r="AF7575" s="12"/>
    </row>
    <row r="7576" spans="32:32" x14ac:dyDescent="0.2">
      <c r="AF7576" s="12"/>
    </row>
    <row r="7577" spans="32:32" x14ac:dyDescent="0.2">
      <c r="AF7577" s="12"/>
    </row>
    <row r="7578" spans="32:32" x14ac:dyDescent="0.2">
      <c r="AF7578" s="12"/>
    </row>
    <row r="7579" spans="32:32" x14ac:dyDescent="0.2">
      <c r="AF7579" s="12"/>
    </row>
    <row r="7580" spans="32:32" x14ac:dyDescent="0.2">
      <c r="AF7580" s="12"/>
    </row>
    <row r="7581" spans="32:32" x14ac:dyDescent="0.2">
      <c r="AF7581" s="12"/>
    </row>
    <row r="7582" spans="32:32" x14ac:dyDescent="0.2">
      <c r="AF7582" s="12"/>
    </row>
    <row r="7583" spans="32:32" x14ac:dyDescent="0.2">
      <c r="AF7583" s="12"/>
    </row>
    <row r="7584" spans="32:32" x14ac:dyDescent="0.2">
      <c r="AF7584" s="12"/>
    </row>
    <row r="7585" spans="32:32" x14ac:dyDescent="0.2">
      <c r="AF7585" s="12"/>
    </row>
    <row r="7586" spans="32:32" x14ac:dyDescent="0.2">
      <c r="AF7586" s="12"/>
    </row>
    <row r="7587" spans="32:32" x14ac:dyDescent="0.2">
      <c r="AF7587" s="12"/>
    </row>
    <row r="7588" spans="32:32" x14ac:dyDescent="0.2">
      <c r="AF7588" s="12"/>
    </row>
    <row r="7589" spans="32:32" x14ac:dyDescent="0.2">
      <c r="AF7589" s="12"/>
    </row>
    <row r="7590" spans="32:32" x14ac:dyDescent="0.2">
      <c r="AF7590" s="12"/>
    </row>
    <row r="7591" spans="32:32" x14ac:dyDescent="0.2">
      <c r="AF7591" s="12"/>
    </row>
    <row r="7592" spans="32:32" x14ac:dyDescent="0.2">
      <c r="AF7592" s="12"/>
    </row>
    <row r="7593" spans="32:32" x14ac:dyDescent="0.2">
      <c r="AF7593" s="12"/>
    </row>
    <row r="7594" spans="32:32" x14ac:dyDescent="0.2">
      <c r="AF7594" s="12"/>
    </row>
    <row r="7595" spans="32:32" x14ac:dyDescent="0.2">
      <c r="AF7595" s="12"/>
    </row>
    <row r="7596" spans="32:32" x14ac:dyDescent="0.2">
      <c r="AF7596" s="12"/>
    </row>
    <row r="7597" spans="32:32" x14ac:dyDescent="0.2">
      <c r="AF7597" s="12"/>
    </row>
    <row r="7598" spans="32:32" x14ac:dyDescent="0.2">
      <c r="AF7598" s="12"/>
    </row>
    <row r="7599" spans="32:32" x14ac:dyDescent="0.2">
      <c r="AF7599" s="12"/>
    </row>
    <row r="7600" spans="32:32" x14ac:dyDescent="0.2">
      <c r="AF7600" s="12"/>
    </row>
    <row r="7601" spans="32:32" x14ac:dyDescent="0.2">
      <c r="AF7601" s="12"/>
    </row>
    <row r="7602" spans="32:32" x14ac:dyDescent="0.2">
      <c r="AF7602" s="12"/>
    </row>
    <row r="7603" spans="32:32" x14ac:dyDescent="0.2">
      <c r="AF7603" s="12"/>
    </row>
    <row r="7604" spans="32:32" x14ac:dyDescent="0.2">
      <c r="AF7604" s="12"/>
    </row>
    <row r="7605" spans="32:32" x14ac:dyDescent="0.2">
      <c r="AF7605" s="12"/>
    </row>
    <row r="7606" spans="32:32" x14ac:dyDescent="0.2">
      <c r="AF7606" s="12"/>
    </row>
    <row r="7607" spans="32:32" x14ac:dyDescent="0.2">
      <c r="AF7607" s="12"/>
    </row>
    <row r="7608" spans="32:32" x14ac:dyDescent="0.2">
      <c r="AF7608" s="12"/>
    </row>
    <row r="7609" spans="32:32" x14ac:dyDescent="0.2">
      <c r="AF7609" s="12"/>
    </row>
    <row r="7610" spans="32:32" x14ac:dyDescent="0.2">
      <c r="AF7610" s="12"/>
    </row>
    <row r="7611" spans="32:32" x14ac:dyDescent="0.2">
      <c r="AF7611" s="12"/>
    </row>
    <row r="7612" spans="32:32" x14ac:dyDescent="0.2">
      <c r="AF7612" s="12"/>
    </row>
    <row r="7613" spans="32:32" x14ac:dyDescent="0.2">
      <c r="AF7613" s="12"/>
    </row>
    <row r="7614" spans="32:32" x14ac:dyDescent="0.2">
      <c r="AF7614" s="12"/>
    </row>
    <row r="7615" spans="32:32" x14ac:dyDescent="0.2">
      <c r="AF7615" s="12"/>
    </row>
    <row r="7616" spans="32:32" x14ac:dyDescent="0.2">
      <c r="AF7616" s="12"/>
    </row>
    <row r="7617" spans="32:32" x14ac:dyDescent="0.2">
      <c r="AF7617" s="12"/>
    </row>
    <row r="7618" spans="32:32" x14ac:dyDescent="0.2">
      <c r="AF7618" s="12"/>
    </row>
    <row r="7619" spans="32:32" x14ac:dyDescent="0.2">
      <c r="AF7619" s="12"/>
    </row>
    <row r="7620" spans="32:32" x14ac:dyDescent="0.2">
      <c r="AF7620" s="12"/>
    </row>
    <row r="7621" spans="32:32" x14ac:dyDescent="0.2">
      <c r="AF7621" s="12"/>
    </row>
    <row r="7622" spans="32:32" x14ac:dyDescent="0.2">
      <c r="AF7622" s="12"/>
    </row>
    <row r="7623" spans="32:32" x14ac:dyDescent="0.2">
      <c r="AF7623" s="12"/>
    </row>
    <row r="7624" spans="32:32" x14ac:dyDescent="0.2">
      <c r="AF7624" s="12"/>
    </row>
    <row r="7625" spans="32:32" x14ac:dyDescent="0.2">
      <c r="AF7625" s="12"/>
    </row>
    <row r="7626" spans="32:32" x14ac:dyDescent="0.2">
      <c r="AF7626" s="12"/>
    </row>
    <row r="7627" spans="32:32" x14ac:dyDescent="0.2">
      <c r="AF7627" s="12"/>
    </row>
    <row r="7628" spans="32:32" x14ac:dyDescent="0.2">
      <c r="AF7628" s="12"/>
    </row>
    <row r="7629" spans="32:32" x14ac:dyDescent="0.2">
      <c r="AF7629" s="12"/>
    </row>
    <row r="7630" spans="32:32" x14ac:dyDescent="0.2">
      <c r="AF7630" s="12"/>
    </row>
    <row r="7631" spans="32:32" x14ac:dyDescent="0.2">
      <c r="AF7631" s="12"/>
    </row>
    <row r="7632" spans="32:32" x14ac:dyDescent="0.2">
      <c r="AF7632" s="12"/>
    </row>
    <row r="7633" spans="32:32" x14ac:dyDescent="0.2">
      <c r="AF7633" s="12"/>
    </row>
    <row r="7634" spans="32:32" x14ac:dyDescent="0.2">
      <c r="AF7634" s="12"/>
    </row>
    <row r="7635" spans="32:32" x14ac:dyDescent="0.2">
      <c r="AF7635" s="12"/>
    </row>
    <row r="7636" spans="32:32" x14ac:dyDescent="0.2">
      <c r="AF7636" s="12"/>
    </row>
    <row r="7637" spans="32:32" x14ac:dyDescent="0.2">
      <c r="AF7637" s="12"/>
    </row>
    <row r="7638" spans="32:32" x14ac:dyDescent="0.2">
      <c r="AF7638" s="12"/>
    </row>
    <row r="7639" spans="32:32" x14ac:dyDescent="0.2">
      <c r="AF7639" s="12"/>
    </row>
    <row r="7640" spans="32:32" x14ac:dyDescent="0.2">
      <c r="AF7640" s="12"/>
    </row>
    <row r="7641" spans="32:32" x14ac:dyDescent="0.2">
      <c r="AF7641" s="12"/>
    </row>
    <row r="7642" spans="32:32" x14ac:dyDescent="0.2">
      <c r="AF7642" s="12"/>
    </row>
    <row r="7643" spans="32:32" x14ac:dyDescent="0.2">
      <c r="AF7643" s="12"/>
    </row>
    <row r="7644" spans="32:32" x14ac:dyDescent="0.2">
      <c r="AF7644" s="12"/>
    </row>
    <row r="7645" spans="32:32" x14ac:dyDescent="0.2">
      <c r="AF7645" s="12"/>
    </row>
    <row r="7646" spans="32:32" x14ac:dyDescent="0.2">
      <c r="AF7646" s="12"/>
    </row>
    <row r="7647" spans="32:32" x14ac:dyDescent="0.2">
      <c r="AF7647" s="12"/>
    </row>
    <row r="7648" spans="32:32" x14ac:dyDescent="0.2">
      <c r="AF7648" s="12"/>
    </row>
    <row r="7649" spans="32:32" x14ac:dyDescent="0.2">
      <c r="AF7649" s="12"/>
    </row>
    <row r="7650" spans="32:32" x14ac:dyDescent="0.2">
      <c r="AF7650" s="12"/>
    </row>
    <row r="7651" spans="32:32" x14ac:dyDescent="0.2">
      <c r="AF7651" s="12"/>
    </row>
    <row r="7652" spans="32:32" x14ac:dyDescent="0.2">
      <c r="AF7652" s="12"/>
    </row>
    <row r="7653" spans="32:32" x14ac:dyDescent="0.2">
      <c r="AF7653" s="12"/>
    </row>
    <row r="7654" spans="32:32" x14ac:dyDescent="0.2">
      <c r="AF7654" s="12"/>
    </row>
    <row r="7655" spans="32:32" x14ac:dyDescent="0.2">
      <c r="AF7655" s="12"/>
    </row>
    <row r="7656" spans="32:32" x14ac:dyDescent="0.2">
      <c r="AF7656" s="12"/>
    </row>
    <row r="7657" spans="32:32" x14ac:dyDescent="0.2">
      <c r="AF7657" s="12"/>
    </row>
    <row r="7658" spans="32:32" x14ac:dyDescent="0.2">
      <c r="AF7658" s="12"/>
    </row>
    <row r="7659" spans="32:32" x14ac:dyDescent="0.2">
      <c r="AF7659" s="12"/>
    </row>
    <row r="7660" spans="32:32" x14ac:dyDescent="0.2">
      <c r="AF7660" s="12"/>
    </row>
    <row r="7661" spans="32:32" x14ac:dyDescent="0.2">
      <c r="AF7661" s="12"/>
    </row>
    <row r="7662" spans="32:32" x14ac:dyDescent="0.2">
      <c r="AF7662" s="12"/>
    </row>
    <row r="7663" spans="32:32" x14ac:dyDescent="0.2">
      <c r="AF7663" s="12"/>
    </row>
    <row r="7664" spans="32:32" x14ac:dyDescent="0.2">
      <c r="AF7664" s="12"/>
    </row>
    <row r="7665" spans="32:32" x14ac:dyDescent="0.2">
      <c r="AF7665" s="12"/>
    </row>
    <row r="7666" spans="32:32" x14ac:dyDescent="0.2">
      <c r="AF7666" s="12"/>
    </row>
    <row r="7667" spans="32:32" x14ac:dyDescent="0.2">
      <c r="AF7667" s="12"/>
    </row>
    <row r="7668" spans="32:32" x14ac:dyDescent="0.2">
      <c r="AF7668" s="12"/>
    </row>
    <row r="7669" spans="32:32" x14ac:dyDescent="0.2">
      <c r="AF7669" s="12"/>
    </row>
    <row r="7670" spans="32:32" x14ac:dyDescent="0.2">
      <c r="AF7670" s="12"/>
    </row>
    <row r="7671" spans="32:32" x14ac:dyDescent="0.2">
      <c r="AF7671" s="12"/>
    </row>
    <row r="7672" spans="32:32" x14ac:dyDescent="0.2">
      <c r="AF7672" s="12"/>
    </row>
    <row r="7673" spans="32:32" x14ac:dyDescent="0.2">
      <c r="AF7673" s="12"/>
    </row>
    <row r="7674" spans="32:32" x14ac:dyDescent="0.2">
      <c r="AF7674" s="12"/>
    </row>
    <row r="7675" spans="32:32" x14ac:dyDescent="0.2">
      <c r="AF7675" s="12"/>
    </row>
    <row r="7676" spans="32:32" x14ac:dyDescent="0.2">
      <c r="AF7676" s="12"/>
    </row>
    <row r="7677" spans="32:32" x14ac:dyDescent="0.2">
      <c r="AF7677" s="12"/>
    </row>
    <row r="7678" spans="32:32" x14ac:dyDescent="0.2">
      <c r="AF7678" s="12"/>
    </row>
    <row r="7679" spans="32:32" x14ac:dyDescent="0.2">
      <c r="AF7679" s="12"/>
    </row>
    <row r="7680" spans="32:32" x14ac:dyDescent="0.2">
      <c r="AF7680" s="12"/>
    </row>
    <row r="7681" spans="32:32" x14ac:dyDescent="0.2">
      <c r="AF7681" s="12"/>
    </row>
    <row r="7682" spans="32:32" x14ac:dyDescent="0.2">
      <c r="AF7682" s="12"/>
    </row>
    <row r="7683" spans="32:32" x14ac:dyDescent="0.2">
      <c r="AF7683" s="12"/>
    </row>
    <row r="7684" spans="32:32" x14ac:dyDescent="0.2">
      <c r="AF7684" s="12"/>
    </row>
    <row r="7685" spans="32:32" x14ac:dyDescent="0.2">
      <c r="AF7685" s="12"/>
    </row>
    <row r="7686" spans="32:32" x14ac:dyDescent="0.2">
      <c r="AF7686" s="12"/>
    </row>
    <row r="7687" spans="32:32" x14ac:dyDescent="0.2">
      <c r="AF7687" s="12"/>
    </row>
    <row r="7688" spans="32:32" x14ac:dyDescent="0.2">
      <c r="AF7688" s="12"/>
    </row>
    <row r="7689" spans="32:32" x14ac:dyDescent="0.2">
      <c r="AF7689" s="12"/>
    </row>
    <row r="7690" spans="32:32" x14ac:dyDescent="0.2">
      <c r="AF7690" s="12"/>
    </row>
    <row r="7691" spans="32:32" x14ac:dyDescent="0.2">
      <c r="AF7691" s="12"/>
    </row>
    <row r="7692" spans="32:32" x14ac:dyDescent="0.2">
      <c r="AF7692" s="12"/>
    </row>
    <row r="7693" spans="32:32" x14ac:dyDescent="0.2">
      <c r="AF7693" s="12"/>
    </row>
    <row r="7694" spans="32:32" x14ac:dyDescent="0.2">
      <c r="AF7694" s="12"/>
    </row>
    <row r="7695" spans="32:32" x14ac:dyDescent="0.2">
      <c r="AF7695" s="12"/>
    </row>
    <row r="7696" spans="32:32" x14ac:dyDescent="0.2">
      <c r="AF7696" s="12"/>
    </row>
    <row r="7697" spans="32:32" x14ac:dyDescent="0.2">
      <c r="AF7697" s="12"/>
    </row>
    <row r="7698" spans="32:32" x14ac:dyDescent="0.2">
      <c r="AF7698" s="12"/>
    </row>
    <row r="7699" spans="32:32" x14ac:dyDescent="0.2">
      <c r="AF7699" s="12"/>
    </row>
    <row r="7700" spans="32:32" x14ac:dyDescent="0.2">
      <c r="AF7700" s="12"/>
    </row>
    <row r="7701" spans="32:32" x14ac:dyDescent="0.2">
      <c r="AF7701" s="12"/>
    </row>
    <row r="7702" spans="32:32" x14ac:dyDescent="0.2">
      <c r="AF7702" s="12"/>
    </row>
    <row r="7703" spans="32:32" x14ac:dyDescent="0.2">
      <c r="AF7703" s="12"/>
    </row>
    <row r="7704" spans="32:32" x14ac:dyDescent="0.2">
      <c r="AF7704" s="12"/>
    </row>
    <row r="7705" spans="32:32" x14ac:dyDescent="0.2">
      <c r="AF7705" s="12"/>
    </row>
    <row r="7706" spans="32:32" x14ac:dyDescent="0.2">
      <c r="AF7706" s="12"/>
    </row>
    <row r="7707" spans="32:32" x14ac:dyDescent="0.2">
      <c r="AF7707" s="12"/>
    </row>
    <row r="7708" spans="32:32" x14ac:dyDescent="0.2">
      <c r="AF7708" s="12"/>
    </row>
    <row r="7709" spans="32:32" x14ac:dyDescent="0.2">
      <c r="AF7709" s="12"/>
    </row>
    <row r="7710" spans="32:32" x14ac:dyDescent="0.2">
      <c r="AF7710" s="12"/>
    </row>
    <row r="7711" spans="32:32" x14ac:dyDescent="0.2">
      <c r="AF7711" s="12"/>
    </row>
    <row r="7712" spans="32:32" x14ac:dyDescent="0.2">
      <c r="AF7712" s="12"/>
    </row>
    <row r="7713" spans="32:32" x14ac:dyDescent="0.2">
      <c r="AF7713" s="12"/>
    </row>
    <row r="7714" spans="32:32" x14ac:dyDescent="0.2">
      <c r="AF7714" s="12"/>
    </row>
    <row r="7715" spans="32:32" x14ac:dyDescent="0.2">
      <c r="AF7715" s="12"/>
    </row>
    <row r="7716" spans="32:32" x14ac:dyDescent="0.2">
      <c r="AF7716" s="12"/>
    </row>
    <row r="7717" spans="32:32" x14ac:dyDescent="0.2">
      <c r="AF7717" s="12"/>
    </row>
    <row r="7718" spans="32:32" x14ac:dyDescent="0.2">
      <c r="AF7718" s="12"/>
    </row>
    <row r="7719" spans="32:32" x14ac:dyDescent="0.2">
      <c r="AF7719" s="12"/>
    </row>
    <row r="7720" spans="32:32" x14ac:dyDescent="0.2">
      <c r="AF7720" s="12"/>
    </row>
    <row r="7721" spans="32:32" x14ac:dyDescent="0.2">
      <c r="AF7721" s="12"/>
    </row>
    <row r="7722" spans="32:32" x14ac:dyDescent="0.2">
      <c r="AF7722" s="12"/>
    </row>
    <row r="7723" spans="32:32" x14ac:dyDescent="0.2">
      <c r="AF7723" s="12"/>
    </row>
    <row r="7724" spans="32:32" x14ac:dyDescent="0.2">
      <c r="AF7724" s="12"/>
    </row>
    <row r="7725" spans="32:32" x14ac:dyDescent="0.2">
      <c r="AF7725" s="12"/>
    </row>
    <row r="7726" spans="32:32" x14ac:dyDescent="0.2">
      <c r="AF7726" s="12"/>
    </row>
    <row r="7727" spans="32:32" x14ac:dyDescent="0.2">
      <c r="AF7727" s="12"/>
    </row>
    <row r="7728" spans="32:32" x14ac:dyDescent="0.2">
      <c r="AF7728" s="12"/>
    </row>
    <row r="7729" spans="32:32" x14ac:dyDescent="0.2">
      <c r="AF7729" s="12"/>
    </row>
    <row r="7730" spans="32:32" x14ac:dyDescent="0.2">
      <c r="AF7730" s="12"/>
    </row>
    <row r="7731" spans="32:32" x14ac:dyDescent="0.2">
      <c r="AF7731" s="12"/>
    </row>
    <row r="7732" spans="32:32" x14ac:dyDescent="0.2">
      <c r="AF7732" s="12"/>
    </row>
    <row r="7733" spans="32:32" x14ac:dyDescent="0.2">
      <c r="AF7733" s="12"/>
    </row>
    <row r="7734" spans="32:32" x14ac:dyDescent="0.2">
      <c r="AF7734" s="12"/>
    </row>
    <row r="7735" spans="32:32" x14ac:dyDescent="0.2">
      <c r="AF7735" s="12"/>
    </row>
    <row r="7736" spans="32:32" x14ac:dyDescent="0.2">
      <c r="AF7736" s="12"/>
    </row>
    <row r="7737" spans="32:32" x14ac:dyDescent="0.2">
      <c r="AF7737" s="12"/>
    </row>
    <row r="7738" spans="32:32" x14ac:dyDescent="0.2">
      <c r="AF7738" s="12"/>
    </row>
    <row r="7739" spans="32:32" x14ac:dyDescent="0.2">
      <c r="AF7739" s="12"/>
    </row>
    <row r="7740" spans="32:32" x14ac:dyDescent="0.2">
      <c r="AF7740" s="12"/>
    </row>
    <row r="7741" spans="32:32" x14ac:dyDescent="0.2">
      <c r="AF7741" s="12"/>
    </row>
    <row r="7742" spans="32:32" x14ac:dyDescent="0.2">
      <c r="AF7742" s="12"/>
    </row>
    <row r="7743" spans="32:32" x14ac:dyDescent="0.2">
      <c r="AF7743" s="12"/>
    </row>
    <row r="7744" spans="32:32" x14ac:dyDescent="0.2">
      <c r="AF7744" s="12"/>
    </row>
    <row r="7745" spans="32:32" x14ac:dyDescent="0.2">
      <c r="AF7745" s="12"/>
    </row>
    <row r="7746" spans="32:32" x14ac:dyDescent="0.2">
      <c r="AF7746" s="12"/>
    </row>
    <row r="7747" spans="32:32" x14ac:dyDescent="0.2">
      <c r="AF7747" s="12"/>
    </row>
    <row r="7748" spans="32:32" x14ac:dyDescent="0.2">
      <c r="AF7748" s="12"/>
    </row>
    <row r="7749" spans="32:32" x14ac:dyDescent="0.2">
      <c r="AF7749" s="12"/>
    </row>
    <row r="7750" spans="32:32" x14ac:dyDescent="0.2">
      <c r="AF7750" s="12"/>
    </row>
    <row r="7751" spans="32:32" x14ac:dyDescent="0.2">
      <c r="AF7751" s="12"/>
    </row>
    <row r="7752" spans="32:32" x14ac:dyDescent="0.2">
      <c r="AF7752" s="12"/>
    </row>
    <row r="7753" spans="32:32" x14ac:dyDescent="0.2">
      <c r="AF7753" s="12"/>
    </row>
    <row r="7754" spans="32:32" x14ac:dyDescent="0.2">
      <c r="AF7754" s="12"/>
    </row>
    <row r="7755" spans="32:32" x14ac:dyDescent="0.2">
      <c r="AF7755" s="12"/>
    </row>
    <row r="7756" spans="32:32" x14ac:dyDescent="0.2">
      <c r="AF7756" s="12"/>
    </row>
    <row r="7757" spans="32:32" x14ac:dyDescent="0.2">
      <c r="AF7757" s="12"/>
    </row>
    <row r="7758" spans="32:32" x14ac:dyDescent="0.2">
      <c r="AF7758" s="12"/>
    </row>
    <row r="7759" spans="32:32" x14ac:dyDescent="0.2">
      <c r="AF7759" s="12"/>
    </row>
    <row r="7760" spans="32:32" x14ac:dyDescent="0.2">
      <c r="AF7760" s="12"/>
    </row>
    <row r="7761" spans="32:32" x14ac:dyDescent="0.2">
      <c r="AF7761" s="12"/>
    </row>
    <row r="7762" spans="32:32" x14ac:dyDescent="0.2">
      <c r="AF7762" s="12"/>
    </row>
    <row r="7763" spans="32:32" x14ac:dyDescent="0.2">
      <c r="AF7763" s="12"/>
    </row>
    <row r="7764" spans="32:32" x14ac:dyDescent="0.2">
      <c r="AF7764" s="12"/>
    </row>
    <row r="7765" spans="32:32" x14ac:dyDescent="0.2">
      <c r="AF7765" s="12"/>
    </row>
    <row r="7766" spans="32:32" x14ac:dyDescent="0.2">
      <c r="AF7766" s="12"/>
    </row>
    <row r="7767" spans="32:32" x14ac:dyDescent="0.2">
      <c r="AF7767" s="12"/>
    </row>
    <row r="7768" spans="32:32" x14ac:dyDescent="0.2">
      <c r="AF7768" s="12"/>
    </row>
    <row r="7769" spans="32:32" x14ac:dyDescent="0.2">
      <c r="AF7769" s="12"/>
    </row>
    <row r="7770" spans="32:32" x14ac:dyDescent="0.2">
      <c r="AF7770" s="12"/>
    </row>
    <row r="7771" spans="32:32" x14ac:dyDescent="0.2">
      <c r="AF7771" s="12"/>
    </row>
    <row r="7772" spans="32:32" x14ac:dyDescent="0.2">
      <c r="AF7772" s="12"/>
    </row>
    <row r="7773" spans="32:32" x14ac:dyDescent="0.2">
      <c r="AF7773" s="12"/>
    </row>
    <row r="7774" spans="32:32" x14ac:dyDescent="0.2">
      <c r="AF7774" s="12"/>
    </row>
    <row r="7775" spans="32:32" x14ac:dyDescent="0.2">
      <c r="AF7775" s="12"/>
    </row>
    <row r="7776" spans="32:32" x14ac:dyDescent="0.2">
      <c r="AF7776" s="12"/>
    </row>
    <row r="7777" spans="32:32" x14ac:dyDescent="0.2">
      <c r="AF7777" s="12"/>
    </row>
    <row r="7778" spans="32:32" x14ac:dyDescent="0.2">
      <c r="AF7778" s="12"/>
    </row>
    <row r="7779" spans="32:32" x14ac:dyDescent="0.2">
      <c r="AF7779" s="12"/>
    </row>
    <row r="7780" spans="32:32" x14ac:dyDescent="0.2">
      <c r="AF7780" s="12"/>
    </row>
    <row r="7781" spans="32:32" x14ac:dyDescent="0.2">
      <c r="AF7781" s="12"/>
    </row>
    <row r="7782" spans="32:32" x14ac:dyDescent="0.2">
      <c r="AF7782" s="12"/>
    </row>
    <row r="7783" spans="32:32" x14ac:dyDescent="0.2">
      <c r="AF7783" s="12"/>
    </row>
    <row r="7784" spans="32:32" x14ac:dyDescent="0.2">
      <c r="AF7784" s="12"/>
    </row>
    <row r="7785" spans="32:32" x14ac:dyDescent="0.2">
      <c r="AF7785" s="12"/>
    </row>
    <row r="7786" spans="32:32" x14ac:dyDescent="0.2">
      <c r="AF7786" s="12"/>
    </row>
    <row r="7787" spans="32:32" x14ac:dyDescent="0.2">
      <c r="AF7787" s="12"/>
    </row>
    <row r="7788" spans="32:32" x14ac:dyDescent="0.2">
      <c r="AF7788" s="12"/>
    </row>
    <row r="7789" spans="32:32" x14ac:dyDescent="0.2">
      <c r="AF7789" s="12"/>
    </row>
    <row r="7790" spans="32:32" x14ac:dyDescent="0.2">
      <c r="AF7790" s="12"/>
    </row>
    <row r="7791" spans="32:32" x14ac:dyDescent="0.2">
      <c r="AF7791" s="12"/>
    </row>
    <row r="7792" spans="32:32" x14ac:dyDescent="0.2">
      <c r="AF7792" s="12"/>
    </row>
    <row r="7793" spans="32:32" x14ac:dyDescent="0.2">
      <c r="AF7793" s="12"/>
    </row>
    <row r="7794" spans="32:32" x14ac:dyDescent="0.2">
      <c r="AF7794" s="12"/>
    </row>
    <row r="7795" spans="32:32" x14ac:dyDescent="0.2">
      <c r="AF7795" s="12"/>
    </row>
    <row r="7796" spans="32:32" x14ac:dyDescent="0.2">
      <c r="AF7796" s="12"/>
    </row>
    <row r="7797" spans="32:32" x14ac:dyDescent="0.2">
      <c r="AF7797" s="12"/>
    </row>
    <row r="7798" spans="32:32" x14ac:dyDescent="0.2">
      <c r="AF7798" s="12"/>
    </row>
    <row r="7799" spans="32:32" x14ac:dyDescent="0.2">
      <c r="AF7799" s="12"/>
    </row>
    <row r="7800" spans="32:32" x14ac:dyDescent="0.2">
      <c r="AF7800" s="12"/>
    </row>
    <row r="7801" spans="32:32" x14ac:dyDescent="0.2">
      <c r="AF7801" s="12"/>
    </row>
    <row r="7802" spans="32:32" x14ac:dyDescent="0.2">
      <c r="AF7802" s="12"/>
    </row>
    <row r="7803" spans="32:32" x14ac:dyDescent="0.2">
      <c r="AF7803" s="12"/>
    </row>
    <row r="7804" spans="32:32" x14ac:dyDescent="0.2">
      <c r="AF7804" s="12"/>
    </row>
    <row r="7805" spans="32:32" x14ac:dyDescent="0.2">
      <c r="AF7805" s="12"/>
    </row>
    <row r="7806" spans="32:32" x14ac:dyDescent="0.2">
      <c r="AF7806" s="12"/>
    </row>
    <row r="7807" spans="32:32" x14ac:dyDescent="0.2">
      <c r="AF7807" s="12"/>
    </row>
    <row r="7808" spans="32:32" x14ac:dyDescent="0.2">
      <c r="AF7808" s="12"/>
    </row>
    <row r="7809" spans="32:32" x14ac:dyDescent="0.2">
      <c r="AF7809" s="12"/>
    </row>
    <row r="7810" spans="32:32" x14ac:dyDescent="0.2">
      <c r="AF7810" s="12"/>
    </row>
    <row r="7811" spans="32:32" x14ac:dyDescent="0.2">
      <c r="AF7811" s="12"/>
    </row>
    <row r="7812" spans="32:32" x14ac:dyDescent="0.2">
      <c r="AF7812" s="12"/>
    </row>
    <row r="7813" spans="32:32" x14ac:dyDescent="0.2">
      <c r="AF7813" s="12"/>
    </row>
    <row r="7814" spans="32:32" x14ac:dyDescent="0.2">
      <c r="AF7814" s="12"/>
    </row>
    <row r="7815" spans="32:32" x14ac:dyDescent="0.2">
      <c r="AF7815" s="12"/>
    </row>
    <row r="7816" spans="32:32" x14ac:dyDescent="0.2">
      <c r="AF7816" s="12"/>
    </row>
    <row r="7817" spans="32:32" x14ac:dyDescent="0.2">
      <c r="AF7817" s="12"/>
    </row>
    <row r="7818" spans="32:32" x14ac:dyDescent="0.2">
      <c r="AF7818" s="12"/>
    </row>
    <row r="7819" spans="32:32" x14ac:dyDescent="0.2">
      <c r="AF7819" s="12"/>
    </row>
    <row r="7820" spans="32:32" x14ac:dyDescent="0.2">
      <c r="AF7820" s="12"/>
    </row>
    <row r="7821" spans="32:32" x14ac:dyDescent="0.2">
      <c r="AF7821" s="12"/>
    </row>
    <row r="7822" spans="32:32" x14ac:dyDescent="0.2">
      <c r="AF7822" s="12"/>
    </row>
    <row r="7823" spans="32:32" x14ac:dyDescent="0.2">
      <c r="AF7823" s="12"/>
    </row>
    <row r="7824" spans="32:32" x14ac:dyDescent="0.2">
      <c r="AF7824" s="12"/>
    </row>
    <row r="7825" spans="32:32" x14ac:dyDescent="0.2">
      <c r="AF7825" s="12"/>
    </row>
    <row r="7826" spans="32:32" x14ac:dyDescent="0.2">
      <c r="AF7826" s="12"/>
    </row>
    <row r="7827" spans="32:32" x14ac:dyDescent="0.2">
      <c r="AF7827" s="12"/>
    </row>
    <row r="7828" spans="32:32" x14ac:dyDescent="0.2">
      <c r="AF7828" s="12"/>
    </row>
    <row r="7829" spans="32:32" x14ac:dyDescent="0.2">
      <c r="AF7829" s="12"/>
    </row>
    <row r="7830" spans="32:32" x14ac:dyDescent="0.2">
      <c r="AF7830" s="12"/>
    </row>
    <row r="7831" spans="32:32" x14ac:dyDescent="0.2">
      <c r="AF7831" s="12"/>
    </row>
    <row r="7832" spans="32:32" x14ac:dyDescent="0.2">
      <c r="AF7832" s="12"/>
    </row>
    <row r="7833" spans="32:32" x14ac:dyDescent="0.2">
      <c r="AF7833" s="12"/>
    </row>
    <row r="7834" spans="32:32" x14ac:dyDescent="0.2">
      <c r="AF7834" s="12"/>
    </row>
    <row r="7835" spans="32:32" x14ac:dyDescent="0.2">
      <c r="AF7835" s="12"/>
    </row>
    <row r="7836" spans="32:32" x14ac:dyDescent="0.2">
      <c r="AF7836" s="12"/>
    </row>
    <row r="7837" spans="32:32" x14ac:dyDescent="0.2">
      <c r="AF7837" s="12"/>
    </row>
    <row r="7838" spans="32:32" x14ac:dyDescent="0.2">
      <c r="AF7838" s="12"/>
    </row>
    <row r="7839" spans="32:32" x14ac:dyDescent="0.2">
      <c r="AF7839" s="12"/>
    </row>
    <row r="7840" spans="32:32" x14ac:dyDescent="0.2">
      <c r="AF7840" s="12"/>
    </row>
    <row r="7841" spans="32:32" x14ac:dyDescent="0.2">
      <c r="AF7841" s="12"/>
    </row>
    <row r="7842" spans="32:32" x14ac:dyDescent="0.2">
      <c r="AF7842" s="12"/>
    </row>
    <row r="7843" spans="32:32" x14ac:dyDescent="0.2">
      <c r="AF7843" s="12"/>
    </row>
    <row r="7844" spans="32:32" x14ac:dyDescent="0.2">
      <c r="AF7844" s="12"/>
    </row>
    <row r="7845" spans="32:32" x14ac:dyDescent="0.2">
      <c r="AF7845" s="12"/>
    </row>
    <row r="7846" spans="32:32" x14ac:dyDescent="0.2">
      <c r="AF7846" s="12"/>
    </row>
    <row r="7847" spans="32:32" x14ac:dyDescent="0.2">
      <c r="AF7847" s="12"/>
    </row>
    <row r="7848" spans="32:32" x14ac:dyDescent="0.2">
      <c r="AF7848" s="12"/>
    </row>
    <row r="7849" spans="32:32" x14ac:dyDescent="0.2">
      <c r="AF7849" s="12"/>
    </row>
    <row r="7850" spans="32:32" x14ac:dyDescent="0.2">
      <c r="AF7850" s="12"/>
    </row>
    <row r="7851" spans="32:32" x14ac:dyDescent="0.2">
      <c r="AF7851" s="12"/>
    </row>
    <row r="7852" spans="32:32" x14ac:dyDescent="0.2">
      <c r="AF7852" s="12"/>
    </row>
    <row r="7853" spans="32:32" x14ac:dyDescent="0.2">
      <c r="AF7853" s="12"/>
    </row>
    <row r="7854" spans="32:32" x14ac:dyDescent="0.2">
      <c r="AF7854" s="12"/>
    </row>
    <row r="7855" spans="32:32" x14ac:dyDescent="0.2">
      <c r="AF7855" s="12"/>
    </row>
    <row r="7856" spans="32:32" x14ac:dyDescent="0.2">
      <c r="AF7856" s="12"/>
    </row>
    <row r="7857" spans="32:32" x14ac:dyDescent="0.2">
      <c r="AF7857" s="12"/>
    </row>
    <row r="7858" spans="32:32" x14ac:dyDescent="0.2">
      <c r="AF7858" s="12"/>
    </row>
    <row r="7859" spans="32:32" x14ac:dyDescent="0.2">
      <c r="AF7859" s="12"/>
    </row>
    <row r="7860" spans="32:32" x14ac:dyDescent="0.2">
      <c r="AF7860" s="12"/>
    </row>
    <row r="7861" spans="32:32" x14ac:dyDescent="0.2">
      <c r="AF7861" s="12"/>
    </row>
    <row r="7862" spans="32:32" x14ac:dyDescent="0.2">
      <c r="AF7862" s="12"/>
    </row>
    <row r="7863" spans="32:32" x14ac:dyDescent="0.2">
      <c r="AF7863" s="12"/>
    </row>
    <row r="7864" spans="32:32" x14ac:dyDescent="0.2">
      <c r="AF7864" s="12"/>
    </row>
    <row r="7865" spans="32:32" x14ac:dyDescent="0.2">
      <c r="AF7865" s="12"/>
    </row>
    <row r="7866" spans="32:32" x14ac:dyDescent="0.2">
      <c r="AF7866" s="12"/>
    </row>
    <row r="7867" spans="32:32" x14ac:dyDescent="0.2">
      <c r="AF7867" s="12"/>
    </row>
    <row r="7868" spans="32:32" x14ac:dyDescent="0.2">
      <c r="AF7868" s="12"/>
    </row>
    <row r="7869" spans="32:32" x14ac:dyDescent="0.2">
      <c r="AF7869" s="12"/>
    </row>
    <row r="7870" spans="32:32" x14ac:dyDescent="0.2">
      <c r="AF7870" s="12"/>
    </row>
    <row r="7871" spans="32:32" x14ac:dyDescent="0.2">
      <c r="AF7871" s="12"/>
    </row>
    <row r="7872" spans="32:32" x14ac:dyDescent="0.2">
      <c r="AF7872" s="12"/>
    </row>
    <row r="7873" spans="32:32" x14ac:dyDescent="0.2">
      <c r="AF7873" s="12"/>
    </row>
    <row r="7874" spans="32:32" x14ac:dyDescent="0.2">
      <c r="AF7874" s="12"/>
    </row>
    <row r="7875" spans="32:32" x14ac:dyDescent="0.2">
      <c r="AF7875" s="12"/>
    </row>
    <row r="7876" spans="32:32" x14ac:dyDescent="0.2">
      <c r="AF7876" s="12"/>
    </row>
    <row r="7877" spans="32:32" x14ac:dyDescent="0.2">
      <c r="AF7877" s="12"/>
    </row>
    <row r="7878" spans="32:32" x14ac:dyDescent="0.2">
      <c r="AF7878" s="12"/>
    </row>
    <row r="7879" spans="32:32" x14ac:dyDescent="0.2">
      <c r="AF7879" s="12"/>
    </row>
    <row r="7880" spans="32:32" x14ac:dyDescent="0.2">
      <c r="AF7880" s="12"/>
    </row>
    <row r="7881" spans="32:32" x14ac:dyDescent="0.2">
      <c r="AF7881" s="12"/>
    </row>
    <row r="7882" spans="32:32" x14ac:dyDescent="0.2">
      <c r="AF7882" s="12"/>
    </row>
    <row r="7883" spans="32:32" x14ac:dyDescent="0.2">
      <c r="AF7883" s="12"/>
    </row>
    <row r="7884" spans="32:32" x14ac:dyDescent="0.2">
      <c r="AF7884" s="12"/>
    </row>
    <row r="7885" spans="32:32" x14ac:dyDescent="0.2">
      <c r="AF7885" s="12"/>
    </row>
    <row r="7886" spans="32:32" x14ac:dyDescent="0.2">
      <c r="AF7886" s="12"/>
    </row>
    <row r="7887" spans="32:32" x14ac:dyDescent="0.2">
      <c r="AF7887" s="12"/>
    </row>
    <row r="7888" spans="32:32" x14ac:dyDescent="0.2">
      <c r="AF7888" s="12"/>
    </row>
    <row r="7889" spans="32:32" x14ac:dyDescent="0.2">
      <c r="AF7889" s="12"/>
    </row>
    <row r="7890" spans="32:32" x14ac:dyDescent="0.2">
      <c r="AF7890" s="12"/>
    </row>
    <row r="7891" spans="32:32" x14ac:dyDescent="0.2">
      <c r="AF7891" s="12"/>
    </row>
    <row r="7892" spans="32:32" x14ac:dyDescent="0.2">
      <c r="AF7892" s="12"/>
    </row>
    <row r="7893" spans="32:32" x14ac:dyDescent="0.2">
      <c r="AF7893" s="12"/>
    </row>
    <row r="7894" spans="32:32" x14ac:dyDescent="0.2">
      <c r="AF7894" s="12"/>
    </row>
    <row r="7895" spans="32:32" x14ac:dyDescent="0.2">
      <c r="AF7895" s="12"/>
    </row>
    <row r="7896" spans="32:32" x14ac:dyDescent="0.2">
      <c r="AF7896" s="12"/>
    </row>
    <row r="7897" spans="32:32" x14ac:dyDescent="0.2">
      <c r="AF7897" s="12"/>
    </row>
    <row r="7898" spans="32:32" x14ac:dyDescent="0.2">
      <c r="AF7898" s="12"/>
    </row>
    <row r="7899" spans="32:32" x14ac:dyDescent="0.2">
      <c r="AF7899" s="12"/>
    </row>
    <row r="7900" spans="32:32" x14ac:dyDescent="0.2">
      <c r="AF7900" s="12"/>
    </row>
    <row r="7901" spans="32:32" x14ac:dyDescent="0.2">
      <c r="AF7901" s="12"/>
    </row>
    <row r="7902" spans="32:32" x14ac:dyDescent="0.2">
      <c r="AF7902" s="12"/>
    </row>
    <row r="7903" spans="32:32" x14ac:dyDescent="0.2">
      <c r="AF7903" s="12"/>
    </row>
    <row r="7904" spans="32:32" x14ac:dyDescent="0.2">
      <c r="AF7904" s="12"/>
    </row>
    <row r="7905" spans="32:32" x14ac:dyDescent="0.2">
      <c r="AF7905" s="12"/>
    </row>
    <row r="7906" spans="32:32" x14ac:dyDescent="0.2">
      <c r="AF7906" s="12"/>
    </row>
    <row r="7907" spans="32:32" x14ac:dyDescent="0.2">
      <c r="AF7907" s="12"/>
    </row>
    <row r="7908" spans="32:32" x14ac:dyDescent="0.2">
      <c r="AF7908" s="12"/>
    </row>
    <row r="7909" spans="32:32" x14ac:dyDescent="0.2">
      <c r="AF7909" s="12"/>
    </row>
    <row r="7910" spans="32:32" x14ac:dyDescent="0.2">
      <c r="AF7910" s="12"/>
    </row>
    <row r="7911" spans="32:32" x14ac:dyDescent="0.2">
      <c r="AF7911" s="12"/>
    </row>
    <row r="7912" spans="32:32" x14ac:dyDescent="0.2">
      <c r="AF7912" s="12"/>
    </row>
    <row r="7913" spans="32:32" x14ac:dyDescent="0.2">
      <c r="AF7913" s="12"/>
    </row>
    <row r="7914" spans="32:32" x14ac:dyDescent="0.2">
      <c r="AF7914" s="12"/>
    </row>
    <row r="7915" spans="32:32" x14ac:dyDescent="0.2">
      <c r="AF7915" s="12"/>
    </row>
    <row r="7916" spans="32:32" x14ac:dyDescent="0.2">
      <c r="AF7916" s="12"/>
    </row>
    <row r="7917" spans="32:32" x14ac:dyDescent="0.2">
      <c r="AF7917" s="12"/>
    </row>
    <row r="7918" spans="32:32" x14ac:dyDescent="0.2">
      <c r="AF7918" s="12"/>
    </row>
    <row r="7919" spans="32:32" x14ac:dyDescent="0.2">
      <c r="AF7919" s="12"/>
    </row>
    <row r="7920" spans="32:32" x14ac:dyDescent="0.2">
      <c r="AF7920" s="12"/>
    </row>
    <row r="7921" spans="32:32" x14ac:dyDescent="0.2">
      <c r="AF7921" s="12"/>
    </row>
    <row r="7922" spans="32:32" x14ac:dyDescent="0.2">
      <c r="AF7922" s="12"/>
    </row>
    <row r="7923" spans="32:32" x14ac:dyDescent="0.2">
      <c r="AF7923" s="12"/>
    </row>
    <row r="7924" spans="32:32" x14ac:dyDescent="0.2">
      <c r="AF7924" s="12"/>
    </row>
    <row r="7925" spans="32:32" x14ac:dyDescent="0.2">
      <c r="AF7925" s="12"/>
    </row>
    <row r="7926" spans="32:32" x14ac:dyDescent="0.2">
      <c r="AF7926" s="12"/>
    </row>
    <row r="7927" spans="32:32" x14ac:dyDescent="0.2">
      <c r="AF7927" s="12"/>
    </row>
    <row r="7928" spans="32:32" x14ac:dyDescent="0.2">
      <c r="AF7928" s="12"/>
    </row>
    <row r="7929" spans="32:32" x14ac:dyDescent="0.2">
      <c r="AF7929" s="12"/>
    </row>
    <row r="7930" spans="32:32" x14ac:dyDescent="0.2">
      <c r="AF7930" s="12"/>
    </row>
    <row r="7931" spans="32:32" x14ac:dyDescent="0.2">
      <c r="AF7931" s="12"/>
    </row>
    <row r="7932" spans="32:32" x14ac:dyDescent="0.2">
      <c r="AF7932" s="12"/>
    </row>
    <row r="7933" spans="32:32" x14ac:dyDescent="0.2">
      <c r="AF7933" s="12"/>
    </row>
    <row r="7934" spans="32:32" x14ac:dyDescent="0.2">
      <c r="AF7934" s="12"/>
    </row>
    <row r="7935" spans="32:32" x14ac:dyDescent="0.2">
      <c r="AF7935" s="12"/>
    </row>
    <row r="7936" spans="32:32" x14ac:dyDescent="0.2">
      <c r="AF7936" s="12"/>
    </row>
    <row r="7937" spans="32:32" x14ac:dyDescent="0.2">
      <c r="AF7937" s="12"/>
    </row>
    <row r="7938" spans="32:32" x14ac:dyDescent="0.2">
      <c r="AF7938" s="12"/>
    </row>
    <row r="7939" spans="32:32" x14ac:dyDescent="0.2">
      <c r="AF7939" s="12"/>
    </row>
    <row r="7940" spans="32:32" x14ac:dyDescent="0.2">
      <c r="AF7940" s="12"/>
    </row>
    <row r="7941" spans="32:32" x14ac:dyDescent="0.2">
      <c r="AF7941" s="12"/>
    </row>
    <row r="7942" spans="32:32" x14ac:dyDescent="0.2">
      <c r="AF7942" s="12"/>
    </row>
    <row r="7943" spans="32:32" x14ac:dyDescent="0.2">
      <c r="AF7943" s="12"/>
    </row>
    <row r="7944" spans="32:32" x14ac:dyDescent="0.2">
      <c r="AF7944" s="12"/>
    </row>
    <row r="7945" spans="32:32" x14ac:dyDescent="0.2">
      <c r="AF7945" s="12"/>
    </row>
    <row r="7946" spans="32:32" x14ac:dyDescent="0.2">
      <c r="AF7946" s="12"/>
    </row>
    <row r="7947" spans="32:32" x14ac:dyDescent="0.2">
      <c r="AF7947" s="12"/>
    </row>
    <row r="7948" spans="32:32" x14ac:dyDescent="0.2">
      <c r="AF7948" s="12"/>
    </row>
    <row r="7949" spans="32:32" x14ac:dyDescent="0.2">
      <c r="AF7949" s="12"/>
    </row>
    <row r="7950" spans="32:32" x14ac:dyDescent="0.2">
      <c r="AF7950" s="12"/>
    </row>
    <row r="7951" spans="32:32" x14ac:dyDescent="0.2">
      <c r="AF7951" s="12"/>
    </row>
    <row r="7952" spans="32:32" x14ac:dyDescent="0.2">
      <c r="AF7952" s="12"/>
    </row>
    <row r="7953" spans="32:32" x14ac:dyDescent="0.2">
      <c r="AF7953" s="12"/>
    </row>
    <row r="7954" spans="32:32" x14ac:dyDescent="0.2">
      <c r="AF7954" s="12"/>
    </row>
    <row r="7955" spans="32:32" x14ac:dyDescent="0.2">
      <c r="AF7955" s="12"/>
    </row>
    <row r="7956" spans="32:32" x14ac:dyDescent="0.2">
      <c r="AF7956" s="12"/>
    </row>
    <row r="7957" spans="32:32" x14ac:dyDescent="0.2">
      <c r="AF7957" s="12"/>
    </row>
    <row r="7958" spans="32:32" x14ac:dyDescent="0.2">
      <c r="AF7958" s="12"/>
    </row>
    <row r="7959" spans="32:32" x14ac:dyDescent="0.2">
      <c r="AF7959" s="12"/>
    </row>
    <row r="7960" spans="32:32" x14ac:dyDescent="0.2">
      <c r="AF7960" s="12"/>
    </row>
    <row r="7961" spans="32:32" x14ac:dyDescent="0.2">
      <c r="AF7961" s="12"/>
    </row>
    <row r="7962" spans="32:32" x14ac:dyDescent="0.2">
      <c r="AF7962" s="12"/>
    </row>
    <row r="7963" spans="32:32" x14ac:dyDescent="0.2">
      <c r="AF7963" s="12"/>
    </row>
    <row r="7964" spans="32:32" x14ac:dyDescent="0.2">
      <c r="AF7964" s="12"/>
    </row>
    <row r="7965" spans="32:32" x14ac:dyDescent="0.2">
      <c r="AF7965" s="12"/>
    </row>
    <row r="7966" spans="32:32" x14ac:dyDescent="0.2">
      <c r="AF7966" s="12"/>
    </row>
    <row r="7967" spans="32:32" x14ac:dyDescent="0.2">
      <c r="AF7967" s="12"/>
    </row>
    <row r="7968" spans="32:32" x14ac:dyDescent="0.2">
      <c r="AF7968" s="12"/>
    </row>
    <row r="7969" spans="32:32" x14ac:dyDescent="0.2">
      <c r="AF7969" s="12"/>
    </row>
    <row r="7970" spans="32:32" x14ac:dyDescent="0.2">
      <c r="AF7970" s="12"/>
    </row>
    <row r="7971" spans="32:32" x14ac:dyDescent="0.2">
      <c r="AF7971" s="12"/>
    </row>
    <row r="7972" spans="32:32" x14ac:dyDescent="0.2">
      <c r="AF7972" s="12"/>
    </row>
    <row r="7973" spans="32:32" x14ac:dyDescent="0.2">
      <c r="AF7973" s="12"/>
    </row>
    <row r="7974" spans="32:32" x14ac:dyDescent="0.2">
      <c r="AF7974" s="12"/>
    </row>
    <row r="7975" spans="32:32" x14ac:dyDescent="0.2">
      <c r="AF7975" s="12"/>
    </row>
    <row r="7976" spans="32:32" x14ac:dyDescent="0.2">
      <c r="AF7976" s="12"/>
    </row>
    <row r="7977" spans="32:32" x14ac:dyDescent="0.2">
      <c r="AF7977" s="12"/>
    </row>
    <row r="7978" spans="32:32" x14ac:dyDescent="0.2">
      <c r="AF7978" s="12"/>
    </row>
    <row r="7979" spans="32:32" x14ac:dyDescent="0.2">
      <c r="AF7979" s="12"/>
    </row>
    <row r="7980" spans="32:32" x14ac:dyDescent="0.2">
      <c r="AF7980" s="12"/>
    </row>
    <row r="7981" spans="32:32" x14ac:dyDescent="0.2">
      <c r="AF7981" s="12"/>
    </row>
    <row r="7982" spans="32:32" x14ac:dyDescent="0.2">
      <c r="AF7982" s="12"/>
    </row>
    <row r="7983" spans="32:32" x14ac:dyDescent="0.2">
      <c r="AF7983" s="12"/>
    </row>
    <row r="7984" spans="32:32" x14ac:dyDescent="0.2">
      <c r="AF7984" s="12"/>
    </row>
    <row r="7985" spans="32:32" x14ac:dyDescent="0.2">
      <c r="AF7985" s="12"/>
    </row>
    <row r="7986" spans="32:32" x14ac:dyDescent="0.2">
      <c r="AF7986" s="12"/>
    </row>
    <row r="7987" spans="32:32" x14ac:dyDescent="0.2">
      <c r="AF7987" s="12"/>
    </row>
    <row r="7988" spans="32:32" x14ac:dyDescent="0.2">
      <c r="AF7988" s="12"/>
    </row>
    <row r="7989" spans="32:32" x14ac:dyDescent="0.2">
      <c r="AF7989" s="12"/>
    </row>
    <row r="7990" spans="32:32" x14ac:dyDescent="0.2">
      <c r="AF7990" s="12"/>
    </row>
    <row r="7991" spans="32:32" x14ac:dyDescent="0.2">
      <c r="AF7991" s="12"/>
    </row>
    <row r="7992" spans="32:32" x14ac:dyDescent="0.2">
      <c r="AF7992" s="12"/>
    </row>
    <row r="7993" spans="32:32" x14ac:dyDescent="0.2">
      <c r="AF7993" s="12"/>
    </row>
    <row r="7994" spans="32:32" x14ac:dyDescent="0.2">
      <c r="AF7994" s="12"/>
    </row>
    <row r="7995" spans="32:32" x14ac:dyDescent="0.2">
      <c r="AF7995" s="12"/>
    </row>
    <row r="7996" spans="32:32" x14ac:dyDescent="0.2">
      <c r="AF7996" s="12"/>
    </row>
    <row r="7997" spans="32:32" x14ac:dyDescent="0.2">
      <c r="AF7997" s="12"/>
    </row>
    <row r="7998" spans="32:32" x14ac:dyDescent="0.2">
      <c r="AF7998" s="12"/>
    </row>
    <row r="7999" spans="32:32" x14ac:dyDescent="0.2">
      <c r="AF7999" s="12"/>
    </row>
    <row r="8000" spans="32:32" x14ac:dyDescent="0.2">
      <c r="AF8000" s="12"/>
    </row>
    <row r="8001" spans="32:32" x14ac:dyDescent="0.2">
      <c r="AF8001" s="12"/>
    </row>
    <row r="8002" spans="32:32" x14ac:dyDescent="0.2">
      <c r="AF8002" s="12"/>
    </row>
    <row r="8003" spans="32:32" x14ac:dyDescent="0.2">
      <c r="AF8003" s="12"/>
    </row>
    <row r="8004" spans="32:32" x14ac:dyDescent="0.2">
      <c r="AF8004" s="12"/>
    </row>
    <row r="8005" spans="32:32" x14ac:dyDescent="0.2">
      <c r="AF8005" s="12"/>
    </row>
    <row r="8006" spans="32:32" x14ac:dyDescent="0.2">
      <c r="AF8006" s="12"/>
    </row>
    <row r="8007" spans="32:32" x14ac:dyDescent="0.2">
      <c r="AF8007" s="12"/>
    </row>
    <row r="8008" spans="32:32" x14ac:dyDescent="0.2">
      <c r="AF8008" s="12"/>
    </row>
    <row r="8009" spans="32:32" x14ac:dyDescent="0.2">
      <c r="AF8009" s="12"/>
    </row>
    <row r="8010" spans="32:32" x14ac:dyDescent="0.2">
      <c r="AF8010" s="12"/>
    </row>
    <row r="8011" spans="32:32" x14ac:dyDescent="0.2">
      <c r="AF8011" s="12"/>
    </row>
    <row r="8012" spans="32:32" x14ac:dyDescent="0.2">
      <c r="AF8012" s="12"/>
    </row>
    <row r="8013" spans="32:32" x14ac:dyDescent="0.2">
      <c r="AF8013" s="12"/>
    </row>
    <row r="8014" spans="32:32" x14ac:dyDescent="0.2">
      <c r="AF8014" s="12"/>
    </row>
    <row r="8015" spans="32:32" x14ac:dyDescent="0.2">
      <c r="AF8015" s="12"/>
    </row>
    <row r="8016" spans="32:32" x14ac:dyDescent="0.2">
      <c r="AF8016" s="12"/>
    </row>
    <row r="8017" spans="32:32" x14ac:dyDescent="0.2">
      <c r="AF8017" s="12"/>
    </row>
    <row r="8018" spans="32:32" x14ac:dyDescent="0.2">
      <c r="AF8018" s="12"/>
    </row>
    <row r="8019" spans="32:32" x14ac:dyDescent="0.2">
      <c r="AF8019" s="12"/>
    </row>
    <row r="8020" spans="32:32" x14ac:dyDescent="0.2">
      <c r="AF8020" s="12"/>
    </row>
    <row r="8021" spans="32:32" x14ac:dyDescent="0.2">
      <c r="AF8021" s="12"/>
    </row>
    <row r="8022" spans="32:32" x14ac:dyDescent="0.2">
      <c r="AF8022" s="12"/>
    </row>
    <row r="8023" spans="32:32" x14ac:dyDescent="0.2">
      <c r="AF8023" s="12"/>
    </row>
    <row r="8024" spans="32:32" x14ac:dyDescent="0.2">
      <c r="AF8024" s="12"/>
    </row>
    <row r="8025" spans="32:32" x14ac:dyDescent="0.2">
      <c r="AF8025" s="12"/>
    </row>
    <row r="8026" spans="32:32" x14ac:dyDescent="0.2">
      <c r="AF8026" s="12"/>
    </row>
    <row r="8027" spans="32:32" x14ac:dyDescent="0.2">
      <c r="AF8027" s="12"/>
    </row>
    <row r="8028" spans="32:32" x14ac:dyDescent="0.2">
      <c r="AF8028" s="12"/>
    </row>
    <row r="8029" spans="32:32" x14ac:dyDescent="0.2">
      <c r="AF8029" s="12"/>
    </row>
    <row r="8030" spans="32:32" x14ac:dyDescent="0.2">
      <c r="AF8030" s="12"/>
    </row>
    <row r="8031" spans="32:32" x14ac:dyDescent="0.2">
      <c r="AF8031" s="12"/>
    </row>
    <row r="8032" spans="32:32" x14ac:dyDescent="0.2">
      <c r="AF8032" s="12"/>
    </row>
    <row r="8033" spans="32:32" x14ac:dyDescent="0.2">
      <c r="AF8033" s="12"/>
    </row>
    <row r="8034" spans="32:32" x14ac:dyDescent="0.2">
      <c r="AF8034" s="12"/>
    </row>
    <row r="8035" spans="32:32" x14ac:dyDescent="0.2">
      <c r="AF8035" s="12"/>
    </row>
    <row r="8036" spans="32:32" x14ac:dyDescent="0.2">
      <c r="AF8036" s="12"/>
    </row>
    <row r="8037" spans="32:32" x14ac:dyDescent="0.2">
      <c r="AF8037" s="12"/>
    </row>
    <row r="8038" spans="32:32" x14ac:dyDescent="0.2">
      <c r="AF8038" s="12"/>
    </row>
    <row r="8039" spans="32:32" x14ac:dyDescent="0.2">
      <c r="AF8039" s="12"/>
    </row>
    <row r="8040" spans="32:32" x14ac:dyDescent="0.2">
      <c r="AF8040" s="12"/>
    </row>
    <row r="8041" spans="32:32" x14ac:dyDescent="0.2">
      <c r="AF8041" s="12"/>
    </row>
    <row r="8042" spans="32:32" x14ac:dyDescent="0.2">
      <c r="AF8042" s="12"/>
    </row>
    <row r="8043" spans="32:32" x14ac:dyDescent="0.2">
      <c r="AF8043" s="12"/>
    </row>
    <row r="8044" spans="32:32" x14ac:dyDescent="0.2">
      <c r="AF8044" s="12"/>
    </row>
    <row r="8045" spans="32:32" x14ac:dyDescent="0.2">
      <c r="AF8045" s="12"/>
    </row>
    <row r="8046" spans="32:32" x14ac:dyDescent="0.2">
      <c r="AF8046" s="12"/>
    </row>
    <row r="8047" spans="32:32" x14ac:dyDescent="0.2">
      <c r="AF8047" s="12"/>
    </row>
    <row r="8048" spans="32:32" x14ac:dyDescent="0.2">
      <c r="AF8048" s="12"/>
    </row>
    <row r="8049" spans="32:32" x14ac:dyDescent="0.2">
      <c r="AF8049" s="12"/>
    </row>
    <row r="8050" spans="32:32" x14ac:dyDescent="0.2">
      <c r="AF8050" s="12"/>
    </row>
    <row r="8051" spans="32:32" x14ac:dyDescent="0.2">
      <c r="AF8051" s="12"/>
    </row>
    <row r="8052" spans="32:32" x14ac:dyDescent="0.2">
      <c r="AF8052" s="12"/>
    </row>
    <row r="8053" spans="32:32" x14ac:dyDescent="0.2">
      <c r="AF8053" s="12"/>
    </row>
    <row r="8054" spans="32:32" x14ac:dyDescent="0.2">
      <c r="AF8054" s="12"/>
    </row>
    <row r="8055" spans="32:32" x14ac:dyDescent="0.2">
      <c r="AF8055" s="12"/>
    </row>
    <row r="8056" spans="32:32" x14ac:dyDescent="0.2">
      <c r="AF8056" s="12"/>
    </row>
    <row r="8057" spans="32:32" x14ac:dyDescent="0.2">
      <c r="AF8057" s="12"/>
    </row>
    <row r="8058" spans="32:32" x14ac:dyDescent="0.2">
      <c r="AF8058" s="12"/>
    </row>
    <row r="8059" spans="32:32" x14ac:dyDescent="0.2">
      <c r="AF8059" s="12"/>
    </row>
    <row r="8060" spans="32:32" x14ac:dyDescent="0.2">
      <c r="AF8060" s="12"/>
    </row>
    <row r="8061" spans="32:32" x14ac:dyDescent="0.2">
      <c r="AF8061" s="12"/>
    </row>
    <row r="8062" spans="32:32" x14ac:dyDescent="0.2">
      <c r="AF8062" s="12"/>
    </row>
    <row r="8063" spans="32:32" x14ac:dyDescent="0.2">
      <c r="AF8063" s="12"/>
    </row>
    <row r="8064" spans="32:32" x14ac:dyDescent="0.2">
      <c r="AF8064" s="12"/>
    </row>
    <row r="8065" spans="32:32" x14ac:dyDescent="0.2">
      <c r="AF8065" s="12"/>
    </row>
    <row r="8066" spans="32:32" x14ac:dyDescent="0.2">
      <c r="AF8066" s="12"/>
    </row>
    <row r="8067" spans="32:32" x14ac:dyDescent="0.2">
      <c r="AF8067" s="12"/>
    </row>
    <row r="8068" spans="32:32" x14ac:dyDescent="0.2">
      <c r="AF8068" s="12"/>
    </row>
    <row r="8069" spans="32:32" x14ac:dyDescent="0.2">
      <c r="AF8069" s="12"/>
    </row>
    <row r="8070" spans="32:32" x14ac:dyDescent="0.2">
      <c r="AF8070" s="12"/>
    </row>
    <row r="8071" spans="32:32" x14ac:dyDescent="0.2">
      <c r="AF8071" s="12"/>
    </row>
    <row r="8072" spans="32:32" x14ac:dyDescent="0.2">
      <c r="AF8072" s="12"/>
    </row>
    <row r="8073" spans="32:32" x14ac:dyDescent="0.2">
      <c r="AF8073" s="12"/>
    </row>
    <row r="8074" spans="32:32" x14ac:dyDescent="0.2">
      <c r="AF8074" s="12"/>
    </row>
    <row r="8075" spans="32:32" x14ac:dyDescent="0.2">
      <c r="AF8075" s="12"/>
    </row>
    <row r="8076" spans="32:32" x14ac:dyDescent="0.2">
      <c r="AF8076" s="12"/>
    </row>
    <row r="8077" spans="32:32" x14ac:dyDescent="0.2">
      <c r="AF8077" s="12"/>
    </row>
    <row r="8078" spans="32:32" x14ac:dyDescent="0.2">
      <c r="AF8078" s="12"/>
    </row>
    <row r="8079" spans="32:32" x14ac:dyDescent="0.2">
      <c r="AF8079" s="12"/>
    </row>
    <row r="8080" spans="32:32" x14ac:dyDescent="0.2">
      <c r="AF8080" s="12"/>
    </row>
    <row r="8081" spans="32:32" x14ac:dyDescent="0.2">
      <c r="AF8081" s="12"/>
    </row>
    <row r="8082" spans="32:32" x14ac:dyDescent="0.2">
      <c r="AF8082" s="12"/>
    </row>
    <row r="8083" spans="32:32" x14ac:dyDescent="0.2">
      <c r="AF8083" s="12"/>
    </row>
    <row r="8084" spans="32:32" x14ac:dyDescent="0.2">
      <c r="AF8084" s="12"/>
    </row>
    <row r="8085" spans="32:32" x14ac:dyDescent="0.2">
      <c r="AF8085" s="12"/>
    </row>
    <row r="8086" spans="32:32" x14ac:dyDescent="0.2">
      <c r="AF8086" s="12"/>
    </row>
    <row r="8087" spans="32:32" x14ac:dyDescent="0.2">
      <c r="AF8087" s="12"/>
    </row>
    <row r="8088" spans="32:32" x14ac:dyDescent="0.2">
      <c r="AF8088" s="12"/>
    </row>
    <row r="8089" spans="32:32" x14ac:dyDescent="0.2">
      <c r="AF8089" s="12"/>
    </row>
    <row r="8090" spans="32:32" x14ac:dyDescent="0.2">
      <c r="AF8090" s="12"/>
    </row>
    <row r="8091" spans="32:32" x14ac:dyDescent="0.2">
      <c r="AF8091" s="12"/>
    </row>
    <row r="8092" spans="32:32" x14ac:dyDescent="0.2">
      <c r="AF8092" s="12"/>
    </row>
    <row r="8093" spans="32:32" x14ac:dyDescent="0.2">
      <c r="AF8093" s="12"/>
    </row>
    <row r="8094" spans="32:32" x14ac:dyDescent="0.2">
      <c r="AF8094" s="12"/>
    </row>
    <row r="8095" spans="32:32" x14ac:dyDescent="0.2">
      <c r="AF8095" s="12"/>
    </row>
    <row r="8096" spans="32:32" x14ac:dyDescent="0.2">
      <c r="AF8096" s="12"/>
    </row>
    <row r="8097" spans="32:32" x14ac:dyDescent="0.2">
      <c r="AF8097" s="12"/>
    </row>
    <row r="8098" spans="32:32" x14ac:dyDescent="0.2">
      <c r="AF8098" s="12"/>
    </row>
    <row r="8099" spans="32:32" x14ac:dyDescent="0.2">
      <c r="AF8099" s="12"/>
    </row>
    <row r="8100" spans="32:32" x14ac:dyDescent="0.2">
      <c r="AF8100" s="12"/>
    </row>
    <row r="8101" spans="32:32" x14ac:dyDescent="0.2">
      <c r="AF8101" s="12"/>
    </row>
    <row r="8102" spans="32:32" x14ac:dyDescent="0.2">
      <c r="AF8102" s="12"/>
    </row>
    <row r="8103" spans="32:32" x14ac:dyDescent="0.2">
      <c r="AF8103" s="12"/>
    </row>
    <row r="8104" spans="32:32" x14ac:dyDescent="0.2">
      <c r="AF8104" s="12"/>
    </row>
    <row r="8105" spans="32:32" x14ac:dyDescent="0.2">
      <c r="AF8105" s="12"/>
    </row>
    <row r="8106" spans="32:32" x14ac:dyDescent="0.2">
      <c r="AF8106" s="12"/>
    </row>
    <row r="8107" spans="32:32" x14ac:dyDescent="0.2">
      <c r="AF8107" s="12"/>
    </row>
    <row r="8108" spans="32:32" x14ac:dyDescent="0.2">
      <c r="AF8108" s="12"/>
    </row>
    <row r="8109" spans="32:32" x14ac:dyDescent="0.2">
      <c r="AF8109" s="12"/>
    </row>
    <row r="8110" spans="32:32" x14ac:dyDescent="0.2">
      <c r="AF8110" s="12"/>
    </row>
    <row r="8111" spans="32:32" x14ac:dyDescent="0.2">
      <c r="AF8111" s="12"/>
    </row>
    <row r="8112" spans="32:32" x14ac:dyDescent="0.2">
      <c r="AF8112" s="12"/>
    </row>
    <row r="8113" spans="32:32" x14ac:dyDescent="0.2">
      <c r="AF8113" s="12"/>
    </row>
    <row r="8114" spans="32:32" x14ac:dyDescent="0.2">
      <c r="AF8114" s="12"/>
    </row>
    <row r="8115" spans="32:32" x14ac:dyDescent="0.2">
      <c r="AF8115" s="12"/>
    </row>
    <row r="8116" spans="32:32" x14ac:dyDescent="0.2">
      <c r="AF8116" s="12"/>
    </row>
    <row r="8117" spans="32:32" x14ac:dyDescent="0.2">
      <c r="AF8117" s="12"/>
    </row>
    <row r="8118" spans="32:32" x14ac:dyDescent="0.2">
      <c r="AF8118" s="12"/>
    </row>
    <row r="8119" spans="32:32" x14ac:dyDescent="0.2">
      <c r="AF8119" s="12"/>
    </row>
    <row r="8120" spans="32:32" x14ac:dyDescent="0.2">
      <c r="AF8120" s="12"/>
    </row>
    <row r="8121" spans="32:32" x14ac:dyDescent="0.2">
      <c r="AF8121" s="12"/>
    </row>
    <row r="8122" spans="32:32" x14ac:dyDescent="0.2">
      <c r="AF8122" s="12"/>
    </row>
    <row r="8123" spans="32:32" x14ac:dyDescent="0.2">
      <c r="AF8123" s="12"/>
    </row>
    <row r="8124" spans="32:32" x14ac:dyDescent="0.2">
      <c r="AF8124" s="12"/>
    </row>
    <row r="8125" spans="32:32" x14ac:dyDescent="0.2">
      <c r="AF8125" s="12"/>
    </row>
    <row r="8126" spans="32:32" x14ac:dyDescent="0.2">
      <c r="AF8126" s="12"/>
    </row>
    <row r="8127" spans="32:32" x14ac:dyDescent="0.2">
      <c r="AF8127" s="12"/>
    </row>
    <row r="8128" spans="32:32" x14ac:dyDescent="0.2">
      <c r="AF8128" s="12"/>
    </row>
    <row r="8129" spans="32:32" x14ac:dyDescent="0.2">
      <c r="AF8129" s="12"/>
    </row>
    <row r="8130" spans="32:32" x14ac:dyDescent="0.2">
      <c r="AF8130" s="12"/>
    </row>
    <row r="8131" spans="32:32" x14ac:dyDescent="0.2">
      <c r="AF8131" s="12"/>
    </row>
    <row r="8132" spans="32:32" x14ac:dyDescent="0.2">
      <c r="AF8132" s="12"/>
    </row>
    <row r="8133" spans="32:32" x14ac:dyDescent="0.2">
      <c r="AF8133" s="12"/>
    </row>
    <row r="8134" spans="32:32" x14ac:dyDescent="0.2">
      <c r="AF8134" s="12"/>
    </row>
    <row r="8135" spans="32:32" x14ac:dyDescent="0.2">
      <c r="AF8135" s="12"/>
    </row>
    <row r="8136" spans="32:32" x14ac:dyDescent="0.2">
      <c r="AF8136" s="12"/>
    </row>
    <row r="8137" spans="32:32" x14ac:dyDescent="0.2">
      <c r="AF8137" s="12"/>
    </row>
    <row r="8138" spans="32:32" x14ac:dyDescent="0.2">
      <c r="AF8138" s="12"/>
    </row>
    <row r="8139" spans="32:32" x14ac:dyDescent="0.2">
      <c r="AF8139" s="12"/>
    </row>
    <row r="8140" spans="32:32" x14ac:dyDescent="0.2">
      <c r="AF8140" s="12"/>
    </row>
    <row r="8141" spans="32:32" x14ac:dyDescent="0.2">
      <c r="AF8141" s="12"/>
    </row>
    <row r="8142" spans="32:32" x14ac:dyDescent="0.2">
      <c r="AF8142" s="12"/>
    </row>
    <row r="8143" spans="32:32" x14ac:dyDescent="0.2">
      <c r="AF8143" s="12"/>
    </row>
    <row r="8144" spans="32:32" x14ac:dyDescent="0.2">
      <c r="AF8144" s="12"/>
    </row>
    <row r="8145" spans="32:32" x14ac:dyDescent="0.2">
      <c r="AF8145" s="12"/>
    </row>
    <row r="8146" spans="32:32" x14ac:dyDescent="0.2">
      <c r="AF8146" s="12"/>
    </row>
    <row r="8147" spans="32:32" x14ac:dyDescent="0.2">
      <c r="AF8147" s="12"/>
    </row>
    <row r="8148" spans="32:32" x14ac:dyDescent="0.2">
      <c r="AF8148" s="12"/>
    </row>
    <row r="8149" spans="32:32" x14ac:dyDescent="0.2">
      <c r="AF8149" s="12"/>
    </row>
    <row r="8150" spans="32:32" x14ac:dyDescent="0.2">
      <c r="AF8150" s="12"/>
    </row>
    <row r="8151" spans="32:32" x14ac:dyDescent="0.2">
      <c r="AF8151" s="12"/>
    </row>
    <row r="8152" spans="32:32" x14ac:dyDescent="0.2">
      <c r="AF8152" s="12"/>
    </row>
    <row r="8153" spans="32:32" x14ac:dyDescent="0.2">
      <c r="AF8153" s="12"/>
    </row>
    <row r="8154" spans="32:32" x14ac:dyDescent="0.2">
      <c r="AF8154" s="12"/>
    </row>
    <row r="8155" spans="32:32" x14ac:dyDescent="0.2">
      <c r="AF8155" s="12"/>
    </row>
    <row r="8156" spans="32:32" x14ac:dyDescent="0.2">
      <c r="AF8156" s="12"/>
    </row>
    <row r="8157" spans="32:32" x14ac:dyDescent="0.2">
      <c r="AF8157" s="12"/>
    </row>
    <row r="8158" spans="32:32" x14ac:dyDescent="0.2">
      <c r="AF8158" s="12"/>
    </row>
    <row r="8159" spans="32:32" x14ac:dyDescent="0.2">
      <c r="AF8159" s="12"/>
    </row>
    <row r="8160" spans="32:32" x14ac:dyDescent="0.2">
      <c r="AF8160" s="12"/>
    </row>
    <row r="8161" spans="32:32" x14ac:dyDescent="0.2">
      <c r="AF8161" s="12"/>
    </row>
    <row r="8162" spans="32:32" x14ac:dyDescent="0.2">
      <c r="AF8162" s="12"/>
    </row>
    <row r="8163" spans="32:32" x14ac:dyDescent="0.2">
      <c r="AF8163" s="12"/>
    </row>
    <row r="8164" spans="32:32" x14ac:dyDescent="0.2">
      <c r="AF8164" s="12"/>
    </row>
    <row r="8165" spans="32:32" x14ac:dyDescent="0.2">
      <c r="AF8165" s="12"/>
    </row>
    <row r="8166" spans="32:32" x14ac:dyDescent="0.2">
      <c r="AF8166" s="12"/>
    </row>
    <row r="8167" spans="32:32" x14ac:dyDescent="0.2">
      <c r="AF8167" s="12"/>
    </row>
    <row r="8168" spans="32:32" x14ac:dyDescent="0.2">
      <c r="AF8168" s="12"/>
    </row>
    <row r="8169" spans="32:32" x14ac:dyDescent="0.2">
      <c r="AF8169" s="12"/>
    </row>
    <row r="8170" spans="32:32" x14ac:dyDescent="0.2">
      <c r="AF8170" s="12"/>
    </row>
    <row r="8171" spans="32:32" x14ac:dyDescent="0.2">
      <c r="AF8171" s="12"/>
    </row>
    <row r="8172" spans="32:32" x14ac:dyDescent="0.2">
      <c r="AF8172" s="12"/>
    </row>
    <row r="8173" spans="32:32" x14ac:dyDescent="0.2">
      <c r="AF8173" s="12"/>
    </row>
    <row r="8174" spans="32:32" x14ac:dyDescent="0.2">
      <c r="AF8174" s="12"/>
    </row>
    <row r="8175" spans="32:32" x14ac:dyDescent="0.2">
      <c r="AF8175" s="12"/>
    </row>
    <row r="8176" spans="32:32" x14ac:dyDescent="0.2">
      <c r="AF8176" s="12"/>
    </row>
    <row r="8177" spans="32:32" x14ac:dyDescent="0.2">
      <c r="AF8177" s="12"/>
    </row>
    <row r="8178" spans="32:32" x14ac:dyDescent="0.2">
      <c r="AF8178" s="12"/>
    </row>
    <row r="8179" spans="32:32" x14ac:dyDescent="0.2">
      <c r="AF8179" s="12"/>
    </row>
    <row r="8180" spans="32:32" x14ac:dyDescent="0.2">
      <c r="AF8180" s="12"/>
    </row>
    <row r="8181" spans="32:32" x14ac:dyDescent="0.2">
      <c r="AF8181" s="12"/>
    </row>
    <row r="8182" spans="32:32" x14ac:dyDescent="0.2">
      <c r="AF8182" s="12"/>
    </row>
    <row r="8183" spans="32:32" x14ac:dyDescent="0.2">
      <c r="AF8183" s="12"/>
    </row>
    <row r="8184" spans="32:32" x14ac:dyDescent="0.2">
      <c r="AF8184" s="12"/>
    </row>
    <row r="8185" spans="32:32" x14ac:dyDescent="0.2">
      <c r="AF8185" s="12"/>
    </row>
    <row r="8186" spans="32:32" x14ac:dyDescent="0.2">
      <c r="AF8186" s="12"/>
    </row>
    <row r="8187" spans="32:32" x14ac:dyDescent="0.2">
      <c r="AF8187" s="12"/>
    </row>
    <row r="8188" spans="32:32" x14ac:dyDescent="0.2">
      <c r="AF8188" s="12"/>
    </row>
    <row r="8189" spans="32:32" x14ac:dyDescent="0.2">
      <c r="AF8189" s="12"/>
    </row>
    <row r="8190" spans="32:32" x14ac:dyDescent="0.2">
      <c r="AF8190" s="12"/>
    </row>
    <row r="8191" spans="32:32" x14ac:dyDescent="0.2">
      <c r="AF8191" s="12"/>
    </row>
    <row r="8192" spans="32:32" x14ac:dyDescent="0.2">
      <c r="AF8192" s="12"/>
    </row>
    <row r="8193" spans="32:32" x14ac:dyDescent="0.2">
      <c r="AF8193" s="12"/>
    </row>
    <row r="8194" spans="32:32" x14ac:dyDescent="0.2">
      <c r="AF8194" s="12"/>
    </row>
    <row r="8195" spans="32:32" x14ac:dyDescent="0.2">
      <c r="AF8195" s="12"/>
    </row>
    <row r="8196" spans="32:32" x14ac:dyDescent="0.2">
      <c r="AF8196" s="12"/>
    </row>
    <row r="8197" spans="32:32" x14ac:dyDescent="0.2">
      <c r="AF8197" s="12"/>
    </row>
    <row r="8198" spans="32:32" x14ac:dyDescent="0.2">
      <c r="AF8198" s="12"/>
    </row>
    <row r="8199" spans="32:32" x14ac:dyDescent="0.2">
      <c r="AF8199" s="12"/>
    </row>
    <row r="8200" spans="32:32" x14ac:dyDescent="0.2">
      <c r="AF8200" s="12"/>
    </row>
    <row r="8201" spans="32:32" x14ac:dyDescent="0.2">
      <c r="AF8201" s="12"/>
    </row>
    <row r="8202" spans="32:32" x14ac:dyDescent="0.2">
      <c r="AF8202" s="12"/>
    </row>
    <row r="8203" spans="32:32" x14ac:dyDescent="0.2">
      <c r="AF8203" s="12"/>
    </row>
    <row r="8204" spans="32:32" x14ac:dyDescent="0.2">
      <c r="AF8204" s="12"/>
    </row>
    <row r="8205" spans="32:32" x14ac:dyDescent="0.2">
      <c r="AF8205" s="12"/>
    </row>
    <row r="8206" spans="32:32" x14ac:dyDescent="0.2">
      <c r="AF8206" s="12"/>
    </row>
    <row r="8207" spans="32:32" x14ac:dyDescent="0.2">
      <c r="AF8207" s="12"/>
    </row>
    <row r="8208" spans="32:32" x14ac:dyDescent="0.2">
      <c r="AF8208" s="12"/>
    </row>
    <row r="8209" spans="32:32" x14ac:dyDescent="0.2">
      <c r="AF8209" s="12"/>
    </row>
    <row r="8210" spans="32:32" x14ac:dyDescent="0.2">
      <c r="AF8210" s="12"/>
    </row>
    <row r="8211" spans="32:32" x14ac:dyDescent="0.2">
      <c r="AF8211" s="12"/>
    </row>
    <row r="8212" spans="32:32" x14ac:dyDescent="0.2">
      <c r="AF8212" s="12"/>
    </row>
    <row r="8213" spans="32:32" x14ac:dyDescent="0.2">
      <c r="AF8213" s="12"/>
    </row>
    <row r="8214" spans="32:32" x14ac:dyDescent="0.2">
      <c r="AF8214" s="12"/>
    </row>
    <row r="8215" spans="32:32" x14ac:dyDescent="0.2">
      <c r="AF8215" s="12"/>
    </row>
    <row r="8216" spans="32:32" x14ac:dyDescent="0.2">
      <c r="AF8216" s="12"/>
    </row>
    <row r="8217" spans="32:32" x14ac:dyDescent="0.2">
      <c r="AF8217" s="12"/>
    </row>
    <row r="8218" spans="32:32" x14ac:dyDescent="0.2">
      <c r="AF8218" s="12"/>
    </row>
    <row r="8219" spans="32:32" x14ac:dyDescent="0.2">
      <c r="AF8219" s="12"/>
    </row>
    <row r="8220" spans="32:32" x14ac:dyDescent="0.2">
      <c r="AF8220" s="12"/>
    </row>
    <row r="8221" spans="32:32" x14ac:dyDescent="0.2">
      <c r="AF8221" s="12"/>
    </row>
    <row r="8222" spans="32:32" x14ac:dyDescent="0.2">
      <c r="AF8222" s="12"/>
    </row>
    <row r="8223" spans="32:32" x14ac:dyDescent="0.2">
      <c r="AF8223" s="12"/>
    </row>
    <row r="8224" spans="32:32" x14ac:dyDescent="0.2">
      <c r="AF8224" s="12"/>
    </row>
    <row r="8225" spans="32:32" x14ac:dyDescent="0.2">
      <c r="AF8225" s="12"/>
    </row>
    <row r="8226" spans="32:32" x14ac:dyDescent="0.2">
      <c r="AF8226" s="12"/>
    </row>
    <row r="8227" spans="32:32" x14ac:dyDescent="0.2">
      <c r="AF8227" s="12"/>
    </row>
    <row r="8228" spans="32:32" x14ac:dyDescent="0.2">
      <c r="AF8228" s="12"/>
    </row>
    <row r="8229" spans="32:32" x14ac:dyDescent="0.2">
      <c r="AF8229" s="12"/>
    </row>
    <row r="8230" spans="32:32" x14ac:dyDescent="0.2">
      <c r="AF8230" s="12"/>
    </row>
    <row r="8231" spans="32:32" x14ac:dyDescent="0.2">
      <c r="AF8231" s="12"/>
    </row>
    <row r="8232" spans="32:32" x14ac:dyDescent="0.2">
      <c r="AF8232" s="12"/>
    </row>
    <row r="8233" spans="32:32" x14ac:dyDescent="0.2">
      <c r="AF8233" s="12"/>
    </row>
    <row r="8234" spans="32:32" x14ac:dyDescent="0.2">
      <c r="AF8234" s="12"/>
    </row>
    <row r="8235" spans="32:32" x14ac:dyDescent="0.2">
      <c r="AF8235" s="12"/>
    </row>
    <row r="8236" spans="32:32" x14ac:dyDescent="0.2">
      <c r="AF8236" s="12"/>
    </row>
    <row r="8237" spans="32:32" x14ac:dyDescent="0.2">
      <c r="AF8237" s="12"/>
    </row>
    <row r="8238" spans="32:32" x14ac:dyDescent="0.2">
      <c r="AF8238" s="12"/>
    </row>
    <row r="8239" spans="32:32" x14ac:dyDescent="0.2">
      <c r="AF8239" s="12"/>
    </row>
    <row r="8240" spans="32:32" x14ac:dyDescent="0.2">
      <c r="AF8240" s="12"/>
    </row>
    <row r="8241" spans="32:32" x14ac:dyDescent="0.2">
      <c r="AF8241" s="12"/>
    </row>
    <row r="8242" spans="32:32" x14ac:dyDescent="0.2">
      <c r="AF8242" s="12"/>
    </row>
    <row r="8243" spans="32:32" x14ac:dyDescent="0.2">
      <c r="AF8243" s="12"/>
    </row>
    <row r="8244" spans="32:32" x14ac:dyDescent="0.2">
      <c r="AF8244" s="12"/>
    </row>
    <row r="8245" spans="32:32" x14ac:dyDescent="0.2">
      <c r="AF8245" s="12"/>
    </row>
    <row r="8246" spans="32:32" x14ac:dyDescent="0.2">
      <c r="AF8246" s="12"/>
    </row>
    <row r="8247" spans="32:32" x14ac:dyDescent="0.2">
      <c r="AF8247" s="12"/>
    </row>
    <row r="8248" spans="32:32" x14ac:dyDescent="0.2">
      <c r="AF8248" s="12"/>
    </row>
    <row r="8249" spans="32:32" x14ac:dyDescent="0.2">
      <c r="AF8249" s="12"/>
    </row>
    <row r="8250" spans="32:32" x14ac:dyDescent="0.2">
      <c r="AF8250" s="12"/>
    </row>
    <row r="8251" spans="32:32" x14ac:dyDescent="0.2">
      <c r="AF8251" s="12"/>
    </row>
    <row r="8252" spans="32:32" x14ac:dyDescent="0.2">
      <c r="AF8252" s="12"/>
    </row>
    <row r="8253" spans="32:32" x14ac:dyDescent="0.2">
      <c r="AF8253" s="12"/>
    </row>
    <row r="8254" spans="32:32" x14ac:dyDescent="0.2">
      <c r="AF8254" s="12"/>
    </row>
    <row r="8255" spans="32:32" x14ac:dyDescent="0.2">
      <c r="AF8255" s="12"/>
    </row>
    <row r="8256" spans="32:32" x14ac:dyDescent="0.2">
      <c r="AF8256" s="12"/>
    </row>
    <row r="8257" spans="32:32" x14ac:dyDescent="0.2">
      <c r="AF8257" s="12"/>
    </row>
    <row r="8258" spans="32:32" x14ac:dyDescent="0.2">
      <c r="AF8258" s="12"/>
    </row>
    <row r="8259" spans="32:32" x14ac:dyDescent="0.2">
      <c r="AF8259" s="12"/>
    </row>
    <row r="8260" spans="32:32" x14ac:dyDescent="0.2">
      <c r="AF8260" s="12"/>
    </row>
    <row r="8261" spans="32:32" x14ac:dyDescent="0.2">
      <c r="AF8261" s="12"/>
    </row>
    <row r="8262" spans="32:32" x14ac:dyDescent="0.2">
      <c r="AF8262" s="12"/>
    </row>
    <row r="8263" spans="32:32" x14ac:dyDescent="0.2">
      <c r="AF8263" s="12"/>
    </row>
    <row r="8264" spans="32:32" x14ac:dyDescent="0.2">
      <c r="AF8264" s="12"/>
    </row>
    <row r="8265" spans="32:32" x14ac:dyDescent="0.2">
      <c r="AF8265" s="12"/>
    </row>
    <row r="8266" spans="32:32" x14ac:dyDescent="0.2">
      <c r="AF8266" s="12"/>
    </row>
    <row r="8267" spans="32:32" x14ac:dyDescent="0.2">
      <c r="AF8267" s="12"/>
    </row>
    <row r="8268" spans="32:32" x14ac:dyDescent="0.2">
      <c r="AF8268" s="12"/>
    </row>
    <row r="8269" spans="32:32" x14ac:dyDescent="0.2">
      <c r="AF8269" s="12"/>
    </row>
    <row r="8270" spans="32:32" x14ac:dyDescent="0.2">
      <c r="AF8270" s="12"/>
    </row>
    <row r="8271" spans="32:32" x14ac:dyDescent="0.2">
      <c r="AF8271" s="12"/>
    </row>
    <row r="8272" spans="32:32" x14ac:dyDescent="0.2">
      <c r="AF8272" s="12"/>
    </row>
    <row r="8273" spans="32:32" x14ac:dyDescent="0.2">
      <c r="AF8273" s="12"/>
    </row>
    <row r="8274" spans="32:32" x14ac:dyDescent="0.2">
      <c r="AF8274" s="12"/>
    </row>
    <row r="8275" spans="32:32" x14ac:dyDescent="0.2">
      <c r="AF8275" s="12"/>
    </row>
    <row r="8276" spans="32:32" x14ac:dyDescent="0.2">
      <c r="AF8276" s="12"/>
    </row>
    <row r="8277" spans="32:32" x14ac:dyDescent="0.2">
      <c r="AF8277" s="12"/>
    </row>
    <row r="8278" spans="32:32" x14ac:dyDescent="0.2">
      <c r="AF8278" s="12"/>
    </row>
    <row r="8279" spans="32:32" x14ac:dyDescent="0.2">
      <c r="AF8279" s="12"/>
    </row>
    <row r="8280" spans="32:32" x14ac:dyDescent="0.2">
      <c r="AF8280" s="12"/>
    </row>
    <row r="8281" spans="32:32" x14ac:dyDescent="0.2">
      <c r="AF8281" s="12"/>
    </row>
    <row r="8282" spans="32:32" x14ac:dyDescent="0.2">
      <c r="AF8282" s="12"/>
    </row>
    <row r="8283" spans="32:32" x14ac:dyDescent="0.2">
      <c r="AF8283" s="12"/>
    </row>
    <row r="8284" spans="32:32" x14ac:dyDescent="0.2">
      <c r="AF8284" s="12"/>
    </row>
    <row r="8285" spans="32:32" x14ac:dyDescent="0.2">
      <c r="AF8285" s="12"/>
    </row>
    <row r="8286" spans="32:32" x14ac:dyDescent="0.2">
      <c r="AF8286" s="12"/>
    </row>
    <row r="8287" spans="32:32" x14ac:dyDescent="0.2">
      <c r="AF8287" s="12"/>
    </row>
    <row r="8288" spans="32:32" x14ac:dyDescent="0.2">
      <c r="AF8288" s="12"/>
    </row>
    <row r="8289" spans="32:32" x14ac:dyDescent="0.2">
      <c r="AF8289" s="12"/>
    </row>
    <row r="8290" spans="32:32" x14ac:dyDescent="0.2">
      <c r="AF8290" s="12"/>
    </row>
    <row r="8291" spans="32:32" x14ac:dyDescent="0.2">
      <c r="AF8291" s="12"/>
    </row>
    <row r="8292" spans="32:32" x14ac:dyDescent="0.2">
      <c r="AF8292" s="12"/>
    </row>
    <row r="8293" spans="32:32" x14ac:dyDescent="0.2">
      <c r="AF8293" s="12"/>
    </row>
    <row r="8294" spans="32:32" x14ac:dyDescent="0.2">
      <c r="AF8294" s="12"/>
    </row>
    <row r="8295" spans="32:32" x14ac:dyDescent="0.2">
      <c r="AF8295" s="12"/>
    </row>
    <row r="8296" spans="32:32" x14ac:dyDescent="0.2">
      <c r="AF8296" s="12"/>
    </row>
    <row r="8297" spans="32:32" x14ac:dyDescent="0.2">
      <c r="AF8297" s="12"/>
    </row>
    <row r="8298" spans="32:32" x14ac:dyDescent="0.2">
      <c r="AF8298" s="12"/>
    </row>
    <row r="8299" spans="32:32" x14ac:dyDescent="0.2">
      <c r="AF8299" s="12"/>
    </row>
    <row r="8300" spans="32:32" x14ac:dyDescent="0.2">
      <c r="AF8300" s="12"/>
    </row>
    <row r="8301" spans="32:32" x14ac:dyDescent="0.2">
      <c r="AF8301" s="12"/>
    </row>
    <row r="8302" spans="32:32" x14ac:dyDescent="0.2">
      <c r="AF8302" s="12"/>
    </row>
    <row r="8303" spans="32:32" x14ac:dyDescent="0.2">
      <c r="AF8303" s="12"/>
    </row>
    <row r="8304" spans="32:32" x14ac:dyDescent="0.2">
      <c r="AF8304" s="12"/>
    </row>
    <row r="8305" spans="32:32" x14ac:dyDescent="0.2">
      <c r="AF8305" s="12"/>
    </row>
    <row r="8306" spans="32:32" x14ac:dyDescent="0.2">
      <c r="AF8306" s="12"/>
    </row>
    <row r="8307" spans="32:32" x14ac:dyDescent="0.2">
      <c r="AF8307" s="12"/>
    </row>
    <row r="8308" spans="32:32" x14ac:dyDescent="0.2">
      <c r="AF8308" s="12"/>
    </row>
    <row r="8309" spans="32:32" x14ac:dyDescent="0.2">
      <c r="AF8309" s="12"/>
    </row>
    <row r="8310" spans="32:32" x14ac:dyDescent="0.2">
      <c r="AF8310" s="12"/>
    </row>
    <row r="8311" spans="32:32" x14ac:dyDescent="0.2">
      <c r="AF8311" s="12"/>
    </row>
    <row r="8312" spans="32:32" x14ac:dyDescent="0.2">
      <c r="AF8312" s="12"/>
    </row>
    <row r="8313" spans="32:32" x14ac:dyDescent="0.2">
      <c r="AF8313" s="12"/>
    </row>
    <row r="8314" spans="32:32" x14ac:dyDescent="0.2">
      <c r="AF8314" s="12"/>
    </row>
    <row r="8315" spans="32:32" x14ac:dyDescent="0.2">
      <c r="AF8315" s="12"/>
    </row>
    <row r="8316" spans="32:32" x14ac:dyDescent="0.2">
      <c r="AF8316" s="12"/>
    </row>
    <row r="8317" spans="32:32" x14ac:dyDescent="0.2">
      <c r="AF8317" s="12"/>
    </row>
    <row r="8318" spans="32:32" x14ac:dyDescent="0.2">
      <c r="AF8318" s="12"/>
    </row>
    <row r="8319" spans="32:32" x14ac:dyDescent="0.2">
      <c r="AF8319" s="12"/>
    </row>
    <row r="8320" spans="32:32" x14ac:dyDescent="0.2">
      <c r="AF8320" s="12"/>
    </row>
    <row r="8321" spans="32:32" x14ac:dyDescent="0.2">
      <c r="AF8321" s="12"/>
    </row>
    <row r="8322" spans="32:32" x14ac:dyDescent="0.2">
      <c r="AF8322" s="12"/>
    </row>
    <row r="8323" spans="32:32" x14ac:dyDescent="0.2">
      <c r="AF8323" s="12"/>
    </row>
    <row r="8324" spans="32:32" x14ac:dyDescent="0.2">
      <c r="AF8324" s="12"/>
    </row>
    <row r="8325" spans="32:32" x14ac:dyDescent="0.2">
      <c r="AF8325" s="12"/>
    </row>
    <row r="8326" spans="32:32" x14ac:dyDescent="0.2">
      <c r="AF8326" s="12"/>
    </row>
    <row r="8327" spans="32:32" x14ac:dyDescent="0.2">
      <c r="AF8327" s="12"/>
    </row>
    <row r="8328" spans="32:32" x14ac:dyDescent="0.2">
      <c r="AF8328" s="12"/>
    </row>
    <row r="8329" spans="32:32" x14ac:dyDescent="0.2">
      <c r="AF8329" s="12"/>
    </row>
    <row r="8330" spans="32:32" x14ac:dyDescent="0.2">
      <c r="AF8330" s="12"/>
    </row>
    <row r="8331" spans="32:32" x14ac:dyDescent="0.2">
      <c r="AF8331" s="12"/>
    </row>
    <row r="8332" spans="32:32" x14ac:dyDescent="0.2">
      <c r="AF8332" s="12"/>
    </row>
    <row r="8333" spans="32:32" x14ac:dyDescent="0.2">
      <c r="AF8333" s="12"/>
    </row>
    <row r="8334" spans="32:32" x14ac:dyDescent="0.2">
      <c r="AF8334" s="12"/>
    </row>
    <row r="8335" spans="32:32" x14ac:dyDescent="0.2">
      <c r="AF8335" s="12"/>
    </row>
    <row r="8336" spans="32:32" x14ac:dyDescent="0.2">
      <c r="AF8336" s="12"/>
    </row>
    <row r="8337" spans="32:32" x14ac:dyDescent="0.2">
      <c r="AF8337" s="12"/>
    </row>
    <row r="8338" spans="32:32" x14ac:dyDescent="0.2">
      <c r="AF8338" s="12"/>
    </row>
    <row r="8339" spans="32:32" x14ac:dyDescent="0.2">
      <c r="AF8339" s="12"/>
    </row>
    <row r="8340" spans="32:32" x14ac:dyDescent="0.2">
      <c r="AF8340" s="12"/>
    </row>
    <row r="8341" spans="32:32" x14ac:dyDescent="0.2">
      <c r="AF8341" s="12"/>
    </row>
    <row r="8342" spans="32:32" x14ac:dyDescent="0.2">
      <c r="AF8342" s="12"/>
    </row>
    <row r="8343" spans="32:32" x14ac:dyDescent="0.2">
      <c r="AF8343" s="12"/>
    </row>
    <row r="8344" spans="32:32" x14ac:dyDescent="0.2">
      <c r="AF8344" s="12"/>
    </row>
    <row r="8345" spans="32:32" x14ac:dyDescent="0.2">
      <c r="AF8345" s="12"/>
    </row>
    <row r="8346" spans="32:32" x14ac:dyDescent="0.2">
      <c r="AF8346" s="12"/>
    </row>
    <row r="8347" spans="32:32" x14ac:dyDescent="0.2">
      <c r="AF8347" s="12"/>
    </row>
    <row r="8348" spans="32:32" x14ac:dyDescent="0.2">
      <c r="AF8348" s="12"/>
    </row>
    <row r="8349" spans="32:32" x14ac:dyDescent="0.2">
      <c r="AF8349" s="12"/>
    </row>
    <row r="8350" spans="32:32" x14ac:dyDescent="0.2">
      <c r="AF8350" s="12"/>
    </row>
    <row r="8351" spans="32:32" x14ac:dyDescent="0.2">
      <c r="AF8351" s="12"/>
    </row>
    <row r="8352" spans="32:32" x14ac:dyDescent="0.2">
      <c r="AF8352" s="12"/>
    </row>
    <row r="8353" spans="32:32" x14ac:dyDescent="0.2">
      <c r="AF8353" s="12"/>
    </row>
    <row r="8354" spans="32:32" x14ac:dyDescent="0.2">
      <c r="AF8354" s="12"/>
    </row>
    <row r="8355" spans="32:32" x14ac:dyDescent="0.2">
      <c r="AF8355" s="12"/>
    </row>
    <row r="8356" spans="32:32" x14ac:dyDescent="0.2">
      <c r="AF8356" s="12"/>
    </row>
    <row r="8357" spans="32:32" x14ac:dyDescent="0.2">
      <c r="AF8357" s="12"/>
    </row>
    <row r="8358" spans="32:32" x14ac:dyDescent="0.2">
      <c r="AF8358" s="12"/>
    </row>
    <row r="8359" spans="32:32" x14ac:dyDescent="0.2">
      <c r="AF8359" s="12"/>
    </row>
    <row r="8360" spans="32:32" x14ac:dyDescent="0.2">
      <c r="AF8360" s="12"/>
    </row>
    <row r="8361" spans="32:32" x14ac:dyDescent="0.2">
      <c r="AF8361" s="12"/>
    </row>
    <row r="8362" spans="32:32" x14ac:dyDescent="0.2">
      <c r="AF8362" s="12"/>
    </row>
    <row r="8363" spans="32:32" x14ac:dyDescent="0.2">
      <c r="AF8363" s="12"/>
    </row>
    <row r="8364" spans="32:32" x14ac:dyDescent="0.2">
      <c r="AF8364" s="12"/>
    </row>
    <row r="8365" spans="32:32" x14ac:dyDescent="0.2">
      <c r="AF8365" s="12"/>
    </row>
    <row r="8366" spans="32:32" x14ac:dyDescent="0.2">
      <c r="AF8366" s="12"/>
    </row>
    <row r="8367" spans="32:32" x14ac:dyDescent="0.2">
      <c r="AF8367" s="12"/>
    </row>
    <row r="8368" spans="32:32" x14ac:dyDescent="0.2">
      <c r="AF8368" s="12"/>
    </row>
    <row r="8369" spans="32:32" x14ac:dyDescent="0.2">
      <c r="AF8369" s="12"/>
    </row>
    <row r="8370" spans="32:32" x14ac:dyDescent="0.2">
      <c r="AF8370" s="12"/>
    </row>
    <row r="8371" spans="32:32" x14ac:dyDescent="0.2">
      <c r="AF8371" s="12"/>
    </row>
    <row r="8372" spans="32:32" x14ac:dyDescent="0.2">
      <c r="AF8372" s="12"/>
    </row>
    <row r="8373" spans="32:32" x14ac:dyDescent="0.2">
      <c r="AF8373" s="12"/>
    </row>
    <row r="8374" spans="32:32" x14ac:dyDescent="0.2">
      <c r="AF8374" s="12"/>
    </row>
    <row r="8375" spans="32:32" x14ac:dyDescent="0.2">
      <c r="AF8375" s="12"/>
    </row>
    <row r="8376" spans="32:32" x14ac:dyDescent="0.2">
      <c r="AF8376" s="12"/>
    </row>
    <row r="8377" spans="32:32" x14ac:dyDescent="0.2">
      <c r="AF8377" s="12"/>
    </row>
    <row r="8378" spans="32:32" x14ac:dyDescent="0.2">
      <c r="AF8378" s="12"/>
    </row>
    <row r="8379" spans="32:32" x14ac:dyDescent="0.2">
      <c r="AF8379" s="12"/>
    </row>
    <row r="8380" spans="32:32" x14ac:dyDescent="0.2">
      <c r="AF8380" s="12"/>
    </row>
    <row r="8381" spans="32:32" x14ac:dyDescent="0.2">
      <c r="AF8381" s="12"/>
    </row>
    <row r="8382" spans="32:32" x14ac:dyDescent="0.2">
      <c r="AF8382" s="12"/>
    </row>
    <row r="8383" spans="32:32" x14ac:dyDescent="0.2">
      <c r="AF8383" s="12"/>
    </row>
    <row r="8384" spans="32:32" x14ac:dyDescent="0.2">
      <c r="AF8384" s="12"/>
    </row>
    <row r="8385" spans="32:32" x14ac:dyDescent="0.2">
      <c r="AF8385" s="12"/>
    </row>
    <row r="8386" spans="32:32" x14ac:dyDescent="0.2">
      <c r="AF8386" s="12"/>
    </row>
    <row r="8387" spans="32:32" x14ac:dyDescent="0.2">
      <c r="AF8387" s="12"/>
    </row>
    <row r="8388" spans="32:32" x14ac:dyDescent="0.2">
      <c r="AF8388" s="12"/>
    </row>
    <row r="8389" spans="32:32" x14ac:dyDescent="0.2">
      <c r="AF8389" s="12"/>
    </row>
    <row r="8390" spans="32:32" x14ac:dyDescent="0.2">
      <c r="AF8390" s="12"/>
    </row>
    <row r="8391" spans="32:32" x14ac:dyDescent="0.2">
      <c r="AF8391" s="12"/>
    </row>
    <row r="8392" spans="32:32" x14ac:dyDescent="0.2">
      <c r="AF8392" s="12"/>
    </row>
    <row r="8393" spans="32:32" x14ac:dyDescent="0.2">
      <c r="AF8393" s="12"/>
    </row>
    <row r="8394" spans="32:32" x14ac:dyDescent="0.2">
      <c r="AF8394" s="12"/>
    </row>
    <row r="8395" spans="32:32" x14ac:dyDescent="0.2">
      <c r="AF8395" s="12"/>
    </row>
    <row r="8396" spans="32:32" x14ac:dyDescent="0.2">
      <c r="AF8396" s="12"/>
    </row>
    <row r="8397" spans="32:32" x14ac:dyDescent="0.2">
      <c r="AF8397" s="12"/>
    </row>
    <row r="8398" spans="32:32" x14ac:dyDescent="0.2">
      <c r="AF8398" s="12"/>
    </row>
    <row r="8399" spans="32:32" x14ac:dyDescent="0.2">
      <c r="AF8399" s="12"/>
    </row>
    <row r="8400" spans="32:32" x14ac:dyDescent="0.2">
      <c r="AF8400" s="12"/>
    </row>
    <row r="8401" spans="32:32" x14ac:dyDescent="0.2">
      <c r="AF8401" s="12"/>
    </row>
    <row r="8402" spans="32:32" x14ac:dyDescent="0.2">
      <c r="AF8402" s="12"/>
    </row>
    <row r="8403" spans="32:32" x14ac:dyDescent="0.2">
      <c r="AF8403" s="12"/>
    </row>
    <row r="8404" spans="32:32" x14ac:dyDescent="0.2">
      <c r="AF8404" s="12"/>
    </row>
    <row r="8405" spans="32:32" x14ac:dyDescent="0.2">
      <c r="AF8405" s="12"/>
    </row>
    <row r="8406" spans="32:32" x14ac:dyDescent="0.2">
      <c r="AF8406" s="12"/>
    </row>
    <row r="8407" spans="32:32" x14ac:dyDescent="0.2">
      <c r="AF8407" s="12"/>
    </row>
    <row r="8408" spans="32:32" x14ac:dyDescent="0.2">
      <c r="AF8408" s="12"/>
    </row>
    <row r="8409" spans="32:32" x14ac:dyDescent="0.2">
      <c r="AF8409" s="12"/>
    </row>
    <row r="8410" spans="32:32" x14ac:dyDescent="0.2">
      <c r="AF8410" s="12"/>
    </row>
    <row r="8411" spans="32:32" x14ac:dyDescent="0.2">
      <c r="AF8411" s="12"/>
    </row>
    <row r="8412" spans="32:32" x14ac:dyDescent="0.2">
      <c r="AF8412" s="12"/>
    </row>
    <row r="8413" spans="32:32" x14ac:dyDescent="0.2">
      <c r="AF8413" s="12"/>
    </row>
    <row r="8414" spans="32:32" x14ac:dyDescent="0.2">
      <c r="AF8414" s="12"/>
    </row>
    <row r="8415" spans="32:32" x14ac:dyDescent="0.2">
      <c r="AF8415" s="12"/>
    </row>
    <row r="8416" spans="32:32" x14ac:dyDescent="0.2">
      <c r="AF8416" s="12"/>
    </row>
    <row r="8417" spans="32:32" x14ac:dyDescent="0.2">
      <c r="AF8417" s="12"/>
    </row>
    <row r="8418" spans="32:32" x14ac:dyDescent="0.2">
      <c r="AF8418" s="12"/>
    </row>
    <row r="8419" spans="32:32" x14ac:dyDescent="0.2">
      <c r="AF8419" s="12"/>
    </row>
    <row r="8420" spans="32:32" x14ac:dyDescent="0.2">
      <c r="AF8420" s="12"/>
    </row>
    <row r="8421" spans="32:32" x14ac:dyDescent="0.2">
      <c r="AF8421" s="12"/>
    </row>
    <row r="8422" spans="32:32" x14ac:dyDescent="0.2">
      <c r="AF8422" s="12"/>
    </row>
    <row r="8423" spans="32:32" x14ac:dyDescent="0.2">
      <c r="AF8423" s="12"/>
    </row>
    <row r="8424" spans="32:32" x14ac:dyDescent="0.2">
      <c r="AF8424" s="12"/>
    </row>
    <row r="8425" spans="32:32" x14ac:dyDescent="0.2">
      <c r="AF8425" s="12"/>
    </row>
    <row r="8426" spans="32:32" x14ac:dyDescent="0.2">
      <c r="AF8426" s="12"/>
    </row>
    <row r="8427" spans="32:32" x14ac:dyDescent="0.2">
      <c r="AF8427" s="12"/>
    </row>
    <row r="8428" spans="32:32" x14ac:dyDescent="0.2">
      <c r="AF8428" s="12"/>
    </row>
    <row r="8429" spans="32:32" x14ac:dyDescent="0.2">
      <c r="AF8429" s="12"/>
    </row>
    <row r="8430" spans="32:32" x14ac:dyDescent="0.2">
      <c r="AF8430" s="12"/>
    </row>
    <row r="8431" spans="32:32" x14ac:dyDescent="0.2">
      <c r="AF8431" s="12"/>
    </row>
    <row r="8432" spans="32:32" x14ac:dyDescent="0.2">
      <c r="AF8432" s="12"/>
    </row>
    <row r="8433" spans="32:32" x14ac:dyDescent="0.2">
      <c r="AF8433" s="12"/>
    </row>
    <row r="8434" spans="32:32" x14ac:dyDescent="0.2">
      <c r="AF8434" s="12"/>
    </row>
    <row r="8435" spans="32:32" x14ac:dyDescent="0.2">
      <c r="AF8435" s="12"/>
    </row>
    <row r="8436" spans="32:32" x14ac:dyDescent="0.2">
      <c r="AF8436" s="12"/>
    </row>
    <row r="8437" spans="32:32" x14ac:dyDescent="0.2">
      <c r="AF8437" s="12"/>
    </row>
    <row r="8438" spans="32:32" x14ac:dyDescent="0.2">
      <c r="AF8438" s="12"/>
    </row>
    <row r="8439" spans="32:32" x14ac:dyDescent="0.2">
      <c r="AF8439" s="12"/>
    </row>
    <row r="8440" spans="32:32" x14ac:dyDescent="0.2">
      <c r="AF8440" s="12"/>
    </row>
    <row r="8441" spans="32:32" x14ac:dyDescent="0.2">
      <c r="AF8441" s="12"/>
    </row>
    <row r="8442" spans="32:32" x14ac:dyDescent="0.2">
      <c r="AF8442" s="12"/>
    </row>
    <row r="8443" spans="32:32" x14ac:dyDescent="0.2">
      <c r="AF8443" s="12"/>
    </row>
    <row r="8444" spans="32:32" x14ac:dyDescent="0.2">
      <c r="AF8444" s="12"/>
    </row>
    <row r="8445" spans="32:32" x14ac:dyDescent="0.2">
      <c r="AF8445" s="12"/>
    </row>
    <row r="8446" spans="32:32" x14ac:dyDescent="0.2">
      <c r="AF8446" s="12"/>
    </row>
    <row r="8447" spans="32:32" x14ac:dyDescent="0.2">
      <c r="AF8447" s="12"/>
    </row>
    <row r="8448" spans="32:32" x14ac:dyDescent="0.2">
      <c r="AF8448" s="12"/>
    </row>
    <row r="8449" spans="32:32" x14ac:dyDescent="0.2">
      <c r="AF8449" s="12"/>
    </row>
    <row r="8450" spans="32:32" x14ac:dyDescent="0.2">
      <c r="AF8450" s="12"/>
    </row>
    <row r="8451" spans="32:32" x14ac:dyDescent="0.2">
      <c r="AF8451" s="12"/>
    </row>
    <row r="8452" spans="32:32" x14ac:dyDescent="0.2">
      <c r="AF8452" s="12"/>
    </row>
    <row r="8453" spans="32:32" x14ac:dyDescent="0.2">
      <c r="AF8453" s="12"/>
    </row>
    <row r="8454" spans="32:32" x14ac:dyDescent="0.2">
      <c r="AF8454" s="12"/>
    </row>
    <row r="8455" spans="32:32" x14ac:dyDescent="0.2">
      <c r="AF8455" s="12"/>
    </row>
    <row r="8456" spans="32:32" x14ac:dyDescent="0.2">
      <c r="AF8456" s="12"/>
    </row>
    <row r="8457" spans="32:32" x14ac:dyDescent="0.2">
      <c r="AF8457" s="12"/>
    </row>
    <row r="8458" spans="32:32" x14ac:dyDescent="0.2">
      <c r="AF8458" s="12"/>
    </row>
    <row r="8459" spans="32:32" x14ac:dyDescent="0.2">
      <c r="AF8459" s="12"/>
    </row>
    <row r="8460" spans="32:32" x14ac:dyDescent="0.2">
      <c r="AF8460" s="12"/>
    </row>
    <row r="8461" spans="32:32" x14ac:dyDescent="0.2">
      <c r="AF8461" s="12"/>
    </row>
    <row r="8462" spans="32:32" x14ac:dyDescent="0.2">
      <c r="AF8462" s="12"/>
    </row>
    <row r="8463" spans="32:32" x14ac:dyDescent="0.2">
      <c r="AF8463" s="12"/>
    </row>
    <row r="8464" spans="32:32" x14ac:dyDescent="0.2">
      <c r="AF8464" s="12"/>
    </row>
    <row r="8465" spans="32:32" x14ac:dyDescent="0.2">
      <c r="AF8465" s="12"/>
    </row>
    <row r="8466" spans="32:32" x14ac:dyDescent="0.2">
      <c r="AF8466" s="12"/>
    </row>
    <row r="8467" spans="32:32" x14ac:dyDescent="0.2">
      <c r="AF8467" s="12"/>
    </row>
    <row r="8468" spans="32:32" x14ac:dyDescent="0.2">
      <c r="AF8468" s="12"/>
    </row>
    <row r="8469" spans="32:32" x14ac:dyDescent="0.2">
      <c r="AF8469" s="12"/>
    </row>
    <row r="8470" spans="32:32" x14ac:dyDescent="0.2">
      <c r="AF8470" s="12"/>
    </row>
    <row r="8471" spans="32:32" x14ac:dyDescent="0.2">
      <c r="AF8471" s="12"/>
    </row>
    <row r="8472" spans="32:32" x14ac:dyDescent="0.2">
      <c r="AF8472" s="12"/>
    </row>
    <row r="8473" spans="32:32" x14ac:dyDescent="0.2">
      <c r="AF8473" s="12"/>
    </row>
    <row r="8474" spans="32:32" x14ac:dyDescent="0.2">
      <c r="AF8474" s="12"/>
    </row>
    <row r="8475" spans="32:32" x14ac:dyDescent="0.2">
      <c r="AF8475" s="12"/>
    </row>
    <row r="8476" spans="32:32" x14ac:dyDescent="0.2">
      <c r="AF8476" s="12"/>
    </row>
    <row r="8477" spans="32:32" x14ac:dyDescent="0.2">
      <c r="AF8477" s="12"/>
    </row>
    <row r="8478" spans="32:32" x14ac:dyDescent="0.2">
      <c r="AF8478" s="12"/>
    </row>
    <row r="8479" spans="32:32" x14ac:dyDescent="0.2">
      <c r="AF8479" s="12"/>
    </row>
    <row r="8480" spans="32:32" x14ac:dyDescent="0.2">
      <c r="AF8480" s="12"/>
    </row>
    <row r="8481" spans="32:32" x14ac:dyDescent="0.2">
      <c r="AF8481" s="12"/>
    </row>
    <row r="8482" spans="32:32" x14ac:dyDescent="0.2">
      <c r="AF8482" s="12"/>
    </row>
    <row r="8483" spans="32:32" x14ac:dyDescent="0.2">
      <c r="AF8483" s="12"/>
    </row>
    <row r="8484" spans="32:32" x14ac:dyDescent="0.2">
      <c r="AF8484" s="12"/>
    </row>
    <row r="8485" spans="32:32" x14ac:dyDescent="0.2">
      <c r="AF8485" s="12"/>
    </row>
    <row r="8486" spans="32:32" x14ac:dyDescent="0.2">
      <c r="AF8486" s="12"/>
    </row>
    <row r="8487" spans="32:32" x14ac:dyDescent="0.2">
      <c r="AF8487" s="12"/>
    </row>
    <row r="8488" spans="32:32" x14ac:dyDescent="0.2">
      <c r="AF8488" s="12"/>
    </row>
    <row r="8489" spans="32:32" x14ac:dyDescent="0.2">
      <c r="AF8489" s="12"/>
    </row>
    <row r="8490" spans="32:32" x14ac:dyDescent="0.2">
      <c r="AF8490" s="12"/>
    </row>
    <row r="8491" spans="32:32" x14ac:dyDescent="0.2">
      <c r="AF8491" s="12"/>
    </row>
    <row r="8492" spans="32:32" x14ac:dyDescent="0.2">
      <c r="AF8492" s="12"/>
    </row>
    <row r="8493" spans="32:32" x14ac:dyDescent="0.2">
      <c r="AF8493" s="12"/>
    </row>
    <row r="8494" spans="32:32" x14ac:dyDescent="0.2">
      <c r="AF8494" s="12"/>
    </row>
    <row r="8495" spans="32:32" x14ac:dyDescent="0.2">
      <c r="AF8495" s="12"/>
    </row>
    <row r="8496" spans="32:32" x14ac:dyDescent="0.2">
      <c r="AF8496" s="12"/>
    </row>
    <row r="8497" spans="32:32" x14ac:dyDescent="0.2">
      <c r="AF8497" s="12"/>
    </row>
    <row r="8498" spans="32:32" x14ac:dyDescent="0.2">
      <c r="AF8498" s="12"/>
    </row>
    <row r="8499" spans="32:32" x14ac:dyDescent="0.2">
      <c r="AF8499" s="12"/>
    </row>
    <row r="8500" spans="32:32" x14ac:dyDescent="0.2">
      <c r="AF8500" s="12"/>
    </row>
    <row r="8501" spans="32:32" x14ac:dyDescent="0.2">
      <c r="AF8501" s="12"/>
    </row>
    <row r="8502" spans="32:32" x14ac:dyDescent="0.2">
      <c r="AF8502" s="12"/>
    </row>
    <row r="8503" spans="32:32" x14ac:dyDescent="0.2">
      <c r="AF8503" s="12"/>
    </row>
    <row r="8504" spans="32:32" x14ac:dyDescent="0.2">
      <c r="AF8504" s="12"/>
    </row>
    <row r="8505" spans="32:32" x14ac:dyDescent="0.2">
      <c r="AF8505" s="12"/>
    </row>
    <row r="8506" spans="32:32" x14ac:dyDescent="0.2">
      <c r="AF8506" s="12"/>
    </row>
    <row r="8507" spans="32:32" x14ac:dyDescent="0.2">
      <c r="AF8507" s="12"/>
    </row>
    <row r="8508" spans="32:32" x14ac:dyDescent="0.2">
      <c r="AF8508" s="12"/>
    </row>
    <row r="8509" spans="32:32" x14ac:dyDescent="0.2">
      <c r="AF8509" s="12"/>
    </row>
    <row r="8510" spans="32:32" x14ac:dyDescent="0.2">
      <c r="AF8510" s="12"/>
    </row>
    <row r="8511" spans="32:32" x14ac:dyDescent="0.2">
      <c r="AF8511" s="12"/>
    </row>
    <row r="8512" spans="32:32" x14ac:dyDescent="0.2">
      <c r="AF8512" s="12"/>
    </row>
    <row r="8513" spans="32:32" x14ac:dyDescent="0.2">
      <c r="AF8513" s="12"/>
    </row>
    <row r="8514" spans="32:32" x14ac:dyDescent="0.2">
      <c r="AF8514" s="12"/>
    </row>
    <row r="8515" spans="32:32" x14ac:dyDescent="0.2">
      <c r="AF8515" s="12"/>
    </row>
    <row r="8516" spans="32:32" x14ac:dyDescent="0.2">
      <c r="AF8516" s="12"/>
    </row>
    <row r="8517" spans="32:32" x14ac:dyDescent="0.2">
      <c r="AF8517" s="12"/>
    </row>
    <row r="8518" spans="32:32" x14ac:dyDescent="0.2">
      <c r="AF8518" s="12"/>
    </row>
    <row r="8519" spans="32:32" x14ac:dyDescent="0.2">
      <c r="AF8519" s="12"/>
    </row>
    <row r="8520" spans="32:32" x14ac:dyDescent="0.2">
      <c r="AF8520" s="12"/>
    </row>
    <row r="8521" spans="32:32" x14ac:dyDescent="0.2">
      <c r="AF8521" s="12"/>
    </row>
    <row r="8522" spans="32:32" x14ac:dyDescent="0.2">
      <c r="AF8522" s="12"/>
    </row>
    <row r="8523" spans="32:32" x14ac:dyDescent="0.2">
      <c r="AF8523" s="12"/>
    </row>
    <row r="8524" spans="32:32" x14ac:dyDescent="0.2">
      <c r="AF8524" s="12"/>
    </row>
    <row r="8525" spans="32:32" x14ac:dyDescent="0.2">
      <c r="AF8525" s="12"/>
    </row>
    <row r="8526" spans="32:32" x14ac:dyDescent="0.2">
      <c r="AF8526" s="12"/>
    </row>
    <row r="8527" spans="32:32" x14ac:dyDescent="0.2">
      <c r="AF8527" s="12"/>
    </row>
    <row r="8528" spans="32:32" x14ac:dyDescent="0.2">
      <c r="AF8528" s="12"/>
    </row>
    <row r="8529" spans="32:32" x14ac:dyDescent="0.2">
      <c r="AF8529" s="12"/>
    </row>
    <row r="8530" spans="32:32" x14ac:dyDescent="0.2">
      <c r="AF8530" s="12"/>
    </row>
    <row r="8531" spans="32:32" x14ac:dyDescent="0.2">
      <c r="AF8531" s="12"/>
    </row>
    <row r="8532" spans="32:32" x14ac:dyDescent="0.2">
      <c r="AF8532" s="12"/>
    </row>
    <row r="8533" spans="32:32" x14ac:dyDescent="0.2">
      <c r="AF8533" s="12"/>
    </row>
    <row r="8534" spans="32:32" x14ac:dyDescent="0.2">
      <c r="AF8534" s="12"/>
    </row>
    <row r="8535" spans="32:32" x14ac:dyDescent="0.2">
      <c r="AF8535" s="12"/>
    </row>
    <row r="8536" spans="32:32" x14ac:dyDescent="0.2">
      <c r="AF8536" s="12"/>
    </row>
    <row r="8537" spans="32:32" x14ac:dyDescent="0.2">
      <c r="AF8537" s="12"/>
    </row>
    <row r="8538" spans="32:32" x14ac:dyDescent="0.2">
      <c r="AF8538" s="12"/>
    </row>
    <row r="8539" spans="32:32" x14ac:dyDescent="0.2">
      <c r="AF8539" s="12"/>
    </row>
    <row r="8540" spans="32:32" x14ac:dyDescent="0.2">
      <c r="AF8540" s="12"/>
    </row>
    <row r="8541" spans="32:32" x14ac:dyDescent="0.2">
      <c r="AF8541" s="12"/>
    </row>
    <row r="8542" spans="32:32" x14ac:dyDescent="0.2">
      <c r="AF8542" s="12"/>
    </row>
    <row r="8543" spans="32:32" x14ac:dyDescent="0.2">
      <c r="AF8543" s="12"/>
    </row>
    <row r="8544" spans="32:32" x14ac:dyDescent="0.2">
      <c r="AF8544" s="12"/>
    </row>
    <row r="8545" spans="32:32" x14ac:dyDescent="0.2">
      <c r="AF8545" s="12"/>
    </row>
    <row r="8546" spans="32:32" x14ac:dyDescent="0.2">
      <c r="AF8546" s="12"/>
    </row>
    <row r="8547" spans="32:32" x14ac:dyDescent="0.2">
      <c r="AF8547" s="12"/>
    </row>
    <row r="8548" spans="32:32" x14ac:dyDescent="0.2">
      <c r="AF8548" s="12"/>
    </row>
    <row r="8549" spans="32:32" x14ac:dyDescent="0.2">
      <c r="AF8549" s="12"/>
    </row>
    <row r="8550" spans="32:32" x14ac:dyDescent="0.2">
      <c r="AF8550" s="12"/>
    </row>
    <row r="8551" spans="32:32" x14ac:dyDescent="0.2">
      <c r="AF8551" s="12"/>
    </row>
    <row r="8552" spans="32:32" x14ac:dyDescent="0.2">
      <c r="AF8552" s="12"/>
    </row>
    <row r="8553" spans="32:32" x14ac:dyDescent="0.2">
      <c r="AF8553" s="12"/>
    </row>
    <row r="8554" spans="32:32" x14ac:dyDescent="0.2">
      <c r="AF8554" s="12"/>
    </row>
    <row r="8555" spans="32:32" x14ac:dyDescent="0.2">
      <c r="AF8555" s="12"/>
    </row>
    <row r="8556" spans="32:32" x14ac:dyDescent="0.2">
      <c r="AF8556" s="12"/>
    </row>
    <row r="8557" spans="32:32" x14ac:dyDescent="0.2">
      <c r="AF8557" s="12"/>
    </row>
    <row r="8558" spans="32:32" x14ac:dyDescent="0.2">
      <c r="AF8558" s="12"/>
    </row>
    <row r="8559" spans="32:32" x14ac:dyDescent="0.2">
      <c r="AF8559" s="12"/>
    </row>
    <row r="8560" spans="32:32" x14ac:dyDescent="0.2">
      <c r="AF8560" s="12"/>
    </row>
    <row r="8561" spans="32:32" x14ac:dyDescent="0.2">
      <c r="AF8561" s="12"/>
    </row>
    <row r="8562" spans="32:32" x14ac:dyDescent="0.2">
      <c r="AF8562" s="12"/>
    </row>
    <row r="8563" spans="32:32" x14ac:dyDescent="0.2">
      <c r="AF8563" s="12"/>
    </row>
    <row r="8564" spans="32:32" x14ac:dyDescent="0.2">
      <c r="AF8564" s="12"/>
    </row>
    <row r="8565" spans="32:32" x14ac:dyDescent="0.2">
      <c r="AF8565" s="12"/>
    </row>
    <row r="8566" spans="32:32" x14ac:dyDescent="0.2">
      <c r="AF8566" s="12"/>
    </row>
    <row r="8567" spans="32:32" x14ac:dyDescent="0.2">
      <c r="AF8567" s="12"/>
    </row>
    <row r="8568" spans="32:32" x14ac:dyDescent="0.2">
      <c r="AF8568" s="12"/>
    </row>
    <row r="8569" spans="32:32" x14ac:dyDescent="0.2">
      <c r="AF8569" s="12"/>
    </row>
    <row r="8570" spans="32:32" x14ac:dyDescent="0.2">
      <c r="AF8570" s="12"/>
    </row>
    <row r="8571" spans="32:32" x14ac:dyDescent="0.2">
      <c r="AF8571" s="12"/>
    </row>
    <row r="8572" spans="32:32" x14ac:dyDescent="0.2">
      <c r="AF8572" s="12"/>
    </row>
    <row r="8573" spans="32:32" x14ac:dyDescent="0.2">
      <c r="AF8573" s="12"/>
    </row>
    <row r="8574" spans="32:32" x14ac:dyDescent="0.2">
      <c r="AF8574" s="12"/>
    </row>
    <row r="8575" spans="32:32" x14ac:dyDescent="0.2">
      <c r="AF8575" s="12"/>
    </row>
    <row r="8576" spans="32:32" x14ac:dyDescent="0.2">
      <c r="AF8576" s="12"/>
    </row>
    <row r="8577" spans="32:32" x14ac:dyDescent="0.2">
      <c r="AF8577" s="12"/>
    </row>
    <row r="8578" spans="32:32" x14ac:dyDescent="0.2">
      <c r="AF8578" s="12"/>
    </row>
    <row r="8579" spans="32:32" x14ac:dyDescent="0.2">
      <c r="AF8579" s="12"/>
    </row>
    <row r="8580" spans="32:32" x14ac:dyDescent="0.2">
      <c r="AF8580" s="12"/>
    </row>
    <row r="8581" spans="32:32" x14ac:dyDescent="0.2">
      <c r="AF8581" s="12"/>
    </row>
    <row r="8582" spans="32:32" x14ac:dyDescent="0.2">
      <c r="AF8582" s="12"/>
    </row>
    <row r="8583" spans="32:32" x14ac:dyDescent="0.2">
      <c r="AF8583" s="12"/>
    </row>
    <row r="8584" spans="32:32" x14ac:dyDescent="0.2">
      <c r="AF8584" s="12"/>
    </row>
    <row r="8585" spans="32:32" x14ac:dyDescent="0.2">
      <c r="AF8585" s="12"/>
    </row>
    <row r="8586" spans="32:32" x14ac:dyDescent="0.2">
      <c r="AF8586" s="12"/>
    </row>
    <row r="8587" spans="32:32" x14ac:dyDescent="0.2">
      <c r="AF8587" s="12"/>
    </row>
    <row r="8588" spans="32:32" x14ac:dyDescent="0.2">
      <c r="AF8588" s="12"/>
    </row>
    <row r="8589" spans="32:32" x14ac:dyDescent="0.2">
      <c r="AF8589" s="12"/>
    </row>
    <row r="8590" spans="32:32" x14ac:dyDescent="0.2">
      <c r="AF8590" s="12"/>
    </row>
    <row r="8591" spans="32:32" x14ac:dyDescent="0.2">
      <c r="AF8591" s="12"/>
    </row>
    <row r="8592" spans="32:32" x14ac:dyDescent="0.2">
      <c r="AF8592" s="12"/>
    </row>
    <row r="8593" spans="32:32" x14ac:dyDescent="0.2">
      <c r="AF8593" s="12"/>
    </row>
    <row r="8594" spans="32:32" x14ac:dyDescent="0.2">
      <c r="AF8594" s="12"/>
    </row>
    <row r="8595" spans="32:32" x14ac:dyDescent="0.2">
      <c r="AF8595" s="12"/>
    </row>
    <row r="8596" spans="32:32" x14ac:dyDescent="0.2">
      <c r="AF8596" s="12"/>
    </row>
    <row r="8597" spans="32:32" x14ac:dyDescent="0.2">
      <c r="AF8597" s="12"/>
    </row>
    <row r="8598" spans="32:32" x14ac:dyDescent="0.2">
      <c r="AF8598" s="12"/>
    </row>
    <row r="8599" spans="32:32" x14ac:dyDescent="0.2">
      <c r="AF8599" s="12"/>
    </row>
    <row r="8600" spans="32:32" x14ac:dyDescent="0.2">
      <c r="AF8600" s="12"/>
    </row>
    <row r="8601" spans="32:32" x14ac:dyDescent="0.2">
      <c r="AF8601" s="12"/>
    </row>
    <row r="8602" spans="32:32" x14ac:dyDescent="0.2">
      <c r="AF8602" s="12"/>
    </row>
    <row r="8603" spans="32:32" x14ac:dyDescent="0.2">
      <c r="AF8603" s="12"/>
    </row>
    <row r="8604" spans="32:32" x14ac:dyDescent="0.2">
      <c r="AF8604" s="12"/>
    </row>
    <row r="8605" spans="32:32" x14ac:dyDescent="0.2">
      <c r="AF8605" s="12"/>
    </row>
    <row r="8606" spans="32:32" x14ac:dyDescent="0.2">
      <c r="AF8606" s="12"/>
    </row>
    <row r="8607" spans="32:32" x14ac:dyDescent="0.2">
      <c r="AF8607" s="12"/>
    </row>
    <row r="8608" spans="32:32" x14ac:dyDescent="0.2">
      <c r="AF8608" s="12"/>
    </row>
    <row r="8609" spans="32:32" x14ac:dyDescent="0.2">
      <c r="AF8609" s="12"/>
    </row>
    <row r="8610" spans="32:32" x14ac:dyDescent="0.2">
      <c r="AF8610" s="12"/>
    </row>
    <row r="8611" spans="32:32" x14ac:dyDescent="0.2">
      <c r="AF8611" s="12"/>
    </row>
    <row r="8612" spans="32:32" x14ac:dyDescent="0.2">
      <c r="AF8612" s="12"/>
    </row>
    <row r="8613" spans="32:32" x14ac:dyDescent="0.2">
      <c r="AF8613" s="12"/>
    </row>
    <row r="8614" spans="32:32" x14ac:dyDescent="0.2">
      <c r="AF8614" s="12"/>
    </row>
    <row r="8615" spans="32:32" x14ac:dyDescent="0.2">
      <c r="AF8615" s="12"/>
    </row>
    <row r="8616" spans="32:32" x14ac:dyDescent="0.2">
      <c r="AF8616" s="12"/>
    </row>
    <row r="8617" spans="32:32" x14ac:dyDescent="0.2">
      <c r="AF8617" s="12"/>
    </row>
    <row r="8618" spans="32:32" x14ac:dyDescent="0.2">
      <c r="AF8618" s="12"/>
    </row>
    <row r="8619" spans="32:32" x14ac:dyDescent="0.2">
      <c r="AF8619" s="12"/>
    </row>
    <row r="8620" spans="32:32" x14ac:dyDescent="0.2">
      <c r="AF8620" s="12"/>
    </row>
    <row r="8621" spans="32:32" x14ac:dyDescent="0.2">
      <c r="AF8621" s="12"/>
    </row>
    <row r="8622" spans="32:32" x14ac:dyDescent="0.2">
      <c r="AF8622" s="12"/>
    </row>
    <row r="8623" spans="32:32" x14ac:dyDescent="0.2">
      <c r="AF8623" s="12"/>
    </row>
    <row r="8624" spans="32:32" x14ac:dyDescent="0.2">
      <c r="AF8624" s="12"/>
    </row>
    <row r="8625" spans="32:32" x14ac:dyDescent="0.2">
      <c r="AF8625" s="12"/>
    </row>
    <row r="8626" spans="32:32" x14ac:dyDescent="0.2">
      <c r="AF8626" s="12"/>
    </row>
    <row r="8627" spans="32:32" x14ac:dyDescent="0.2">
      <c r="AF8627" s="12"/>
    </row>
    <row r="8628" spans="32:32" x14ac:dyDescent="0.2">
      <c r="AF8628" s="12"/>
    </row>
    <row r="8629" spans="32:32" x14ac:dyDescent="0.2">
      <c r="AF8629" s="12"/>
    </row>
    <row r="8630" spans="32:32" x14ac:dyDescent="0.2">
      <c r="AF8630" s="12"/>
    </row>
    <row r="8631" spans="32:32" x14ac:dyDescent="0.2">
      <c r="AF8631" s="12"/>
    </row>
    <row r="8632" spans="32:32" x14ac:dyDescent="0.2">
      <c r="AF8632" s="12"/>
    </row>
    <row r="8633" spans="32:32" x14ac:dyDescent="0.2">
      <c r="AF8633" s="12"/>
    </row>
    <row r="8634" spans="32:32" x14ac:dyDescent="0.2">
      <c r="AF8634" s="12"/>
    </row>
    <row r="8635" spans="32:32" x14ac:dyDescent="0.2">
      <c r="AF8635" s="12"/>
    </row>
    <row r="8636" spans="32:32" x14ac:dyDescent="0.2">
      <c r="AF8636" s="12"/>
    </row>
    <row r="8637" spans="32:32" x14ac:dyDescent="0.2">
      <c r="AF8637" s="12"/>
    </row>
    <row r="8638" spans="32:32" x14ac:dyDescent="0.2">
      <c r="AF8638" s="12"/>
    </row>
    <row r="8639" spans="32:32" x14ac:dyDescent="0.2">
      <c r="AF8639" s="12"/>
    </row>
    <row r="8640" spans="32:32" x14ac:dyDescent="0.2">
      <c r="AF8640" s="12"/>
    </row>
    <row r="8641" spans="32:32" x14ac:dyDescent="0.2">
      <c r="AF8641" s="12"/>
    </row>
    <row r="8642" spans="32:32" x14ac:dyDescent="0.2">
      <c r="AF8642" s="12"/>
    </row>
    <row r="8643" spans="32:32" x14ac:dyDescent="0.2">
      <c r="AF8643" s="12"/>
    </row>
    <row r="8644" spans="32:32" x14ac:dyDescent="0.2">
      <c r="AF8644" s="12"/>
    </row>
    <row r="8645" spans="32:32" x14ac:dyDescent="0.2">
      <c r="AF8645" s="12"/>
    </row>
    <row r="8646" spans="32:32" x14ac:dyDescent="0.2">
      <c r="AF8646" s="12"/>
    </row>
    <row r="8647" spans="32:32" x14ac:dyDescent="0.2">
      <c r="AF8647" s="12"/>
    </row>
    <row r="8648" spans="32:32" x14ac:dyDescent="0.2">
      <c r="AF8648" s="12"/>
    </row>
    <row r="8649" spans="32:32" x14ac:dyDescent="0.2">
      <c r="AF8649" s="12"/>
    </row>
    <row r="8650" spans="32:32" x14ac:dyDescent="0.2">
      <c r="AF8650" s="12"/>
    </row>
    <row r="8651" spans="32:32" x14ac:dyDescent="0.2">
      <c r="AF8651" s="12"/>
    </row>
    <row r="8652" spans="32:32" x14ac:dyDescent="0.2">
      <c r="AF8652" s="12"/>
    </row>
    <row r="8653" spans="32:32" x14ac:dyDescent="0.2">
      <c r="AF8653" s="12"/>
    </row>
    <row r="8654" spans="32:32" x14ac:dyDescent="0.2">
      <c r="AF8654" s="12"/>
    </row>
    <row r="8655" spans="32:32" x14ac:dyDescent="0.2">
      <c r="AF8655" s="12"/>
    </row>
    <row r="8656" spans="32:32" x14ac:dyDescent="0.2">
      <c r="AF8656" s="12"/>
    </row>
    <row r="8657" spans="32:32" x14ac:dyDescent="0.2">
      <c r="AF8657" s="12"/>
    </row>
    <row r="8658" spans="32:32" x14ac:dyDescent="0.2">
      <c r="AF8658" s="12"/>
    </row>
    <row r="8659" spans="32:32" x14ac:dyDescent="0.2">
      <c r="AF8659" s="12"/>
    </row>
    <row r="8660" spans="32:32" x14ac:dyDescent="0.2">
      <c r="AF8660" s="12"/>
    </row>
    <row r="8661" spans="32:32" x14ac:dyDescent="0.2">
      <c r="AF8661" s="12"/>
    </row>
    <row r="8662" spans="32:32" x14ac:dyDescent="0.2">
      <c r="AF8662" s="12"/>
    </row>
    <row r="8663" spans="32:32" x14ac:dyDescent="0.2">
      <c r="AF8663" s="12"/>
    </row>
    <row r="8664" spans="32:32" x14ac:dyDescent="0.2">
      <c r="AF8664" s="12"/>
    </row>
    <row r="8665" spans="32:32" x14ac:dyDescent="0.2">
      <c r="AF8665" s="12"/>
    </row>
    <row r="8666" spans="32:32" x14ac:dyDescent="0.2">
      <c r="AF8666" s="12"/>
    </row>
    <row r="8667" spans="32:32" x14ac:dyDescent="0.2">
      <c r="AF8667" s="12"/>
    </row>
    <row r="8668" spans="32:32" x14ac:dyDescent="0.2">
      <c r="AF8668" s="12"/>
    </row>
    <row r="8669" spans="32:32" x14ac:dyDescent="0.2">
      <c r="AF8669" s="12"/>
    </row>
    <row r="8670" spans="32:32" x14ac:dyDescent="0.2">
      <c r="AF8670" s="12"/>
    </row>
    <row r="8671" spans="32:32" x14ac:dyDescent="0.2">
      <c r="AF8671" s="12"/>
    </row>
    <row r="8672" spans="32:32" x14ac:dyDescent="0.2">
      <c r="AF8672" s="12"/>
    </row>
    <row r="8673" spans="32:32" x14ac:dyDescent="0.2">
      <c r="AF8673" s="12"/>
    </row>
    <row r="8674" spans="32:32" x14ac:dyDescent="0.2">
      <c r="AF8674" s="12"/>
    </row>
    <row r="8675" spans="32:32" x14ac:dyDescent="0.2">
      <c r="AF8675" s="12"/>
    </row>
    <row r="8676" spans="32:32" x14ac:dyDescent="0.2">
      <c r="AF8676" s="12"/>
    </row>
    <row r="8677" spans="32:32" x14ac:dyDescent="0.2">
      <c r="AF8677" s="12"/>
    </row>
    <row r="8678" spans="32:32" x14ac:dyDescent="0.2">
      <c r="AF8678" s="12"/>
    </row>
    <row r="8679" spans="32:32" x14ac:dyDescent="0.2">
      <c r="AF8679" s="12"/>
    </row>
    <row r="8680" spans="32:32" x14ac:dyDescent="0.2">
      <c r="AF8680" s="12"/>
    </row>
    <row r="8681" spans="32:32" x14ac:dyDescent="0.2">
      <c r="AF8681" s="12"/>
    </row>
    <row r="8682" spans="32:32" x14ac:dyDescent="0.2">
      <c r="AF8682" s="12"/>
    </row>
    <row r="8683" spans="32:32" x14ac:dyDescent="0.2">
      <c r="AF8683" s="12"/>
    </row>
    <row r="8684" spans="32:32" x14ac:dyDescent="0.2">
      <c r="AF8684" s="12"/>
    </row>
    <row r="8685" spans="32:32" x14ac:dyDescent="0.2">
      <c r="AF8685" s="12"/>
    </row>
    <row r="8686" spans="32:32" x14ac:dyDescent="0.2">
      <c r="AF8686" s="12"/>
    </row>
    <row r="8687" spans="32:32" x14ac:dyDescent="0.2">
      <c r="AF8687" s="12"/>
    </row>
    <row r="8688" spans="32:32" x14ac:dyDescent="0.2">
      <c r="AF8688" s="12"/>
    </row>
    <row r="8689" spans="32:32" x14ac:dyDescent="0.2">
      <c r="AF8689" s="12"/>
    </row>
    <row r="8690" spans="32:32" x14ac:dyDescent="0.2">
      <c r="AF8690" s="12"/>
    </row>
    <row r="8691" spans="32:32" x14ac:dyDescent="0.2">
      <c r="AF8691" s="12"/>
    </row>
    <row r="8692" spans="32:32" x14ac:dyDescent="0.2">
      <c r="AF8692" s="12"/>
    </row>
    <row r="8693" spans="32:32" x14ac:dyDescent="0.2">
      <c r="AF8693" s="12"/>
    </row>
    <row r="8694" spans="32:32" x14ac:dyDescent="0.2">
      <c r="AF8694" s="12"/>
    </row>
    <row r="8695" spans="32:32" x14ac:dyDescent="0.2">
      <c r="AF8695" s="12"/>
    </row>
    <row r="8696" spans="32:32" x14ac:dyDescent="0.2">
      <c r="AF8696" s="12"/>
    </row>
    <row r="8697" spans="32:32" x14ac:dyDescent="0.2">
      <c r="AF8697" s="12"/>
    </row>
    <row r="8698" spans="32:32" x14ac:dyDescent="0.2">
      <c r="AF8698" s="12"/>
    </row>
    <row r="8699" spans="32:32" x14ac:dyDescent="0.2">
      <c r="AF8699" s="12"/>
    </row>
    <row r="8700" spans="32:32" x14ac:dyDescent="0.2">
      <c r="AF8700" s="12"/>
    </row>
    <row r="8701" spans="32:32" x14ac:dyDescent="0.2">
      <c r="AF8701" s="12"/>
    </row>
    <row r="8702" spans="32:32" x14ac:dyDescent="0.2">
      <c r="AF8702" s="12"/>
    </row>
    <row r="8703" spans="32:32" x14ac:dyDescent="0.2">
      <c r="AF8703" s="12"/>
    </row>
    <row r="8704" spans="32:32" x14ac:dyDescent="0.2">
      <c r="AF8704" s="12"/>
    </row>
    <row r="8705" spans="32:32" x14ac:dyDescent="0.2">
      <c r="AF8705" s="12"/>
    </row>
    <row r="8706" spans="32:32" x14ac:dyDescent="0.2">
      <c r="AF8706" s="12"/>
    </row>
    <row r="8707" spans="32:32" x14ac:dyDescent="0.2">
      <c r="AF8707" s="12"/>
    </row>
    <row r="8708" spans="32:32" x14ac:dyDescent="0.2">
      <c r="AF8708" s="12"/>
    </row>
    <row r="8709" spans="32:32" x14ac:dyDescent="0.2">
      <c r="AF8709" s="12"/>
    </row>
    <row r="8710" spans="32:32" x14ac:dyDescent="0.2">
      <c r="AF8710" s="12"/>
    </row>
    <row r="8711" spans="32:32" x14ac:dyDescent="0.2">
      <c r="AF8711" s="12"/>
    </row>
    <row r="8712" spans="32:32" x14ac:dyDescent="0.2">
      <c r="AF8712" s="12"/>
    </row>
    <row r="8713" spans="32:32" x14ac:dyDescent="0.2">
      <c r="AF8713" s="12"/>
    </row>
    <row r="8714" spans="32:32" x14ac:dyDescent="0.2">
      <c r="AF8714" s="12"/>
    </row>
    <row r="8715" spans="32:32" x14ac:dyDescent="0.2">
      <c r="AF8715" s="12"/>
    </row>
    <row r="8716" spans="32:32" x14ac:dyDescent="0.2">
      <c r="AF8716" s="12"/>
    </row>
    <row r="8717" spans="32:32" x14ac:dyDescent="0.2">
      <c r="AF8717" s="12"/>
    </row>
    <row r="8718" spans="32:32" x14ac:dyDescent="0.2">
      <c r="AF8718" s="12"/>
    </row>
    <row r="8719" spans="32:32" x14ac:dyDescent="0.2">
      <c r="AF8719" s="12"/>
    </row>
    <row r="8720" spans="32:32" x14ac:dyDescent="0.2">
      <c r="AF8720" s="12"/>
    </row>
    <row r="8721" spans="32:32" x14ac:dyDescent="0.2">
      <c r="AF8721" s="12"/>
    </row>
    <row r="8722" spans="32:32" x14ac:dyDescent="0.2">
      <c r="AF8722" s="12"/>
    </row>
    <row r="8723" spans="32:32" x14ac:dyDescent="0.2">
      <c r="AF8723" s="12"/>
    </row>
    <row r="8724" spans="32:32" x14ac:dyDescent="0.2">
      <c r="AF8724" s="12"/>
    </row>
    <row r="8725" spans="32:32" x14ac:dyDescent="0.2">
      <c r="AF8725" s="12"/>
    </row>
    <row r="8726" spans="32:32" x14ac:dyDescent="0.2">
      <c r="AF8726" s="12"/>
    </row>
    <row r="8727" spans="32:32" x14ac:dyDescent="0.2">
      <c r="AF8727" s="12"/>
    </row>
    <row r="8728" spans="32:32" x14ac:dyDescent="0.2">
      <c r="AF8728" s="12"/>
    </row>
    <row r="8729" spans="32:32" x14ac:dyDescent="0.2">
      <c r="AF8729" s="12"/>
    </row>
    <row r="8730" spans="32:32" x14ac:dyDescent="0.2">
      <c r="AF8730" s="12"/>
    </row>
    <row r="8731" spans="32:32" x14ac:dyDescent="0.2">
      <c r="AF8731" s="12"/>
    </row>
    <row r="8732" spans="32:32" x14ac:dyDescent="0.2">
      <c r="AF8732" s="12"/>
    </row>
    <row r="8733" spans="32:32" x14ac:dyDescent="0.2">
      <c r="AF8733" s="12"/>
    </row>
    <row r="8734" spans="32:32" x14ac:dyDescent="0.2">
      <c r="AF8734" s="12"/>
    </row>
    <row r="8735" spans="32:32" x14ac:dyDescent="0.2">
      <c r="AF8735" s="12"/>
    </row>
    <row r="8736" spans="32:32" x14ac:dyDescent="0.2">
      <c r="AF8736" s="12"/>
    </row>
    <row r="8737" spans="32:32" x14ac:dyDescent="0.2">
      <c r="AF8737" s="12"/>
    </row>
    <row r="8738" spans="32:32" x14ac:dyDescent="0.2">
      <c r="AF8738" s="12"/>
    </row>
    <row r="8739" spans="32:32" x14ac:dyDescent="0.2">
      <c r="AF8739" s="12"/>
    </row>
    <row r="8740" spans="32:32" x14ac:dyDescent="0.2">
      <c r="AF8740" s="12"/>
    </row>
    <row r="8741" spans="32:32" x14ac:dyDescent="0.2">
      <c r="AF8741" s="12"/>
    </row>
    <row r="8742" spans="32:32" x14ac:dyDescent="0.2">
      <c r="AF8742" s="12"/>
    </row>
    <row r="8743" spans="32:32" x14ac:dyDescent="0.2">
      <c r="AF8743" s="12"/>
    </row>
    <row r="8744" spans="32:32" x14ac:dyDescent="0.2">
      <c r="AF8744" s="12"/>
    </row>
    <row r="8745" spans="32:32" x14ac:dyDescent="0.2">
      <c r="AF8745" s="12"/>
    </row>
    <row r="8746" spans="32:32" x14ac:dyDescent="0.2">
      <c r="AF8746" s="12"/>
    </row>
    <row r="8747" spans="32:32" x14ac:dyDescent="0.2">
      <c r="AF8747" s="12"/>
    </row>
    <row r="8748" spans="32:32" x14ac:dyDescent="0.2">
      <c r="AF8748" s="12"/>
    </row>
    <row r="8749" spans="32:32" x14ac:dyDescent="0.2">
      <c r="AF8749" s="12"/>
    </row>
    <row r="8750" spans="32:32" x14ac:dyDescent="0.2">
      <c r="AF8750" s="12"/>
    </row>
    <row r="8751" spans="32:32" x14ac:dyDescent="0.2">
      <c r="AF8751" s="12"/>
    </row>
    <row r="8752" spans="32:32" x14ac:dyDescent="0.2">
      <c r="AF8752" s="12"/>
    </row>
    <row r="8753" spans="32:32" x14ac:dyDescent="0.2">
      <c r="AF8753" s="12"/>
    </row>
    <row r="8754" spans="32:32" x14ac:dyDescent="0.2">
      <c r="AF8754" s="12"/>
    </row>
    <row r="8755" spans="32:32" x14ac:dyDescent="0.2">
      <c r="AF8755" s="12"/>
    </row>
    <row r="8756" spans="32:32" x14ac:dyDescent="0.2">
      <c r="AF8756" s="12"/>
    </row>
    <row r="8757" spans="32:32" x14ac:dyDescent="0.2">
      <c r="AF8757" s="12"/>
    </row>
    <row r="8758" spans="32:32" x14ac:dyDescent="0.2">
      <c r="AF8758" s="12"/>
    </row>
    <row r="8759" spans="32:32" x14ac:dyDescent="0.2">
      <c r="AF8759" s="12"/>
    </row>
    <row r="8760" spans="32:32" x14ac:dyDescent="0.2">
      <c r="AF8760" s="12"/>
    </row>
    <row r="8761" spans="32:32" x14ac:dyDescent="0.2">
      <c r="AF8761" s="12"/>
    </row>
    <row r="8762" spans="32:32" x14ac:dyDescent="0.2">
      <c r="AF8762" s="12"/>
    </row>
    <row r="8763" spans="32:32" x14ac:dyDescent="0.2">
      <c r="AF8763" s="12"/>
    </row>
    <row r="8764" spans="32:32" x14ac:dyDescent="0.2">
      <c r="AF8764" s="12"/>
    </row>
    <row r="8765" spans="32:32" x14ac:dyDescent="0.2">
      <c r="AF8765" s="12"/>
    </row>
    <row r="8766" spans="32:32" x14ac:dyDescent="0.2">
      <c r="AF8766" s="12"/>
    </row>
    <row r="8767" spans="32:32" x14ac:dyDescent="0.2">
      <c r="AF8767" s="12"/>
    </row>
    <row r="8768" spans="32:32" x14ac:dyDescent="0.2">
      <c r="AF8768" s="12"/>
    </row>
    <row r="8769" spans="32:32" x14ac:dyDescent="0.2">
      <c r="AF8769" s="12"/>
    </row>
    <row r="8770" spans="32:32" x14ac:dyDescent="0.2">
      <c r="AF8770" s="12"/>
    </row>
    <row r="8771" spans="32:32" x14ac:dyDescent="0.2">
      <c r="AF8771" s="12"/>
    </row>
    <row r="8772" spans="32:32" x14ac:dyDescent="0.2">
      <c r="AF8772" s="12"/>
    </row>
    <row r="8773" spans="32:32" x14ac:dyDescent="0.2">
      <c r="AF8773" s="12"/>
    </row>
    <row r="8774" spans="32:32" x14ac:dyDescent="0.2">
      <c r="AF8774" s="12"/>
    </row>
    <row r="8775" spans="32:32" x14ac:dyDescent="0.2">
      <c r="AF8775" s="12"/>
    </row>
    <row r="8776" spans="32:32" x14ac:dyDescent="0.2">
      <c r="AF8776" s="12"/>
    </row>
    <row r="8777" spans="32:32" x14ac:dyDescent="0.2">
      <c r="AF8777" s="12"/>
    </row>
    <row r="8778" spans="32:32" x14ac:dyDescent="0.2">
      <c r="AF8778" s="12"/>
    </row>
    <row r="8779" spans="32:32" x14ac:dyDescent="0.2">
      <c r="AF8779" s="12"/>
    </row>
    <row r="8780" spans="32:32" x14ac:dyDescent="0.2">
      <c r="AF8780" s="12"/>
    </row>
    <row r="8781" spans="32:32" x14ac:dyDescent="0.2">
      <c r="AF8781" s="12"/>
    </row>
    <row r="8782" spans="32:32" x14ac:dyDescent="0.2">
      <c r="AF8782" s="12"/>
    </row>
    <row r="8783" spans="32:32" x14ac:dyDescent="0.2">
      <c r="AF8783" s="12"/>
    </row>
    <row r="8784" spans="32:32" x14ac:dyDescent="0.2">
      <c r="AF8784" s="12"/>
    </row>
    <row r="8785" spans="32:32" x14ac:dyDescent="0.2">
      <c r="AF8785" s="12"/>
    </row>
    <row r="8786" spans="32:32" x14ac:dyDescent="0.2">
      <c r="AF8786" s="12"/>
    </row>
    <row r="8787" spans="32:32" x14ac:dyDescent="0.2">
      <c r="AF8787" s="12"/>
    </row>
    <row r="8788" spans="32:32" x14ac:dyDescent="0.2">
      <c r="AF8788" s="12"/>
    </row>
    <row r="8789" spans="32:32" x14ac:dyDescent="0.2">
      <c r="AF8789" s="12"/>
    </row>
    <row r="8790" spans="32:32" x14ac:dyDescent="0.2">
      <c r="AF8790" s="12"/>
    </row>
    <row r="8791" spans="32:32" x14ac:dyDescent="0.2">
      <c r="AF8791" s="12"/>
    </row>
    <row r="8792" spans="32:32" x14ac:dyDescent="0.2">
      <c r="AF8792" s="12"/>
    </row>
    <row r="8793" spans="32:32" x14ac:dyDescent="0.2">
      <c r="AF8793" s="12"/>
    </row>
    <row r="8794" spans="32:32" x14ac:dyDescent="0.2">
      <c r="AF8794" s="12"/>
    </row>
    <row r="8795" spans="32:32" x14ac:dyDescent="0.2">
      <c r="AF8795" s="12"/>
    </row>
    <row r="8796" spans="32:32" x14ac:dyDescent="0.2">
      <c r="AF8796" s="12"/>
    </row>
    <row r="8797" spans="32:32" x14ac:dyDescent="0.2">
      <c r="AF8797" s="12"/>
    </row>
    <row r="8798" spans="32:32" x14ac:dyDescent="0.2">
      <c r="AF8798" s="12"/>
    </row>
    <row r="8799" spans="32:32" x14ac:dyDescent="0.2">
      <c r="AF8799" s="12"/>
    </row>
    <row r="8800" spans="32:32" x14ac:dyDescent="0.2">
      <c r="AF8800" s="12"/>
    </row>
    <row r="8801" spans="32:32" x14ac:dyDescent="0.2">
      <c r="AF8801" s="12"/>
    </row>
    <row r="8802" spans="32:32" x14ac:dyDescent="0.2">
      <c r="AF8802" s="12"/>
    </row>
    <row r="8803" spans="32:32" x14ac:dyDescent="0.2">
      <c r="AF8803" s="12"/>
    </row>
    <row r="8804" spans="32:32" x14ac:dyDescent="0.2">
      <c r="AF8804" s="12"/>
    </row>
    <row r="8805" spans="32:32" x14ac:dyDescent="0.2">
      <c r="AF8805" s="12"/>
    </row>
    <row r="8806" spans="32:32" x14ac:dyDescent="0.2">
      <c r="AF8806" s="12"/>
    </row>
    <row r="8807" spans="32:32" x14ac:dyDescent="0.2">
      <c r="AF8807" s="12"/>
    </row>
    <row r="8808" spans="32:32" x14ac:dyDescent="0.2">
      <c r="AF8808" s="12"/>
    </row>
    <row r="8809" spans="32:32" x14ac:dyDescent="0.2">
      <c r="AF8809" s="12"/>
    </row>
    <row r="8810" spans="32:32" x14ac:dyDescent="0.2">
      <c r="AF8810" s="12"/>
    </row>
    <row r="8811" spans="32:32" x14ac:dyDescent="0.2">
      <c r="AF8811" s="12"/>
    </row>
    <row r="8812" spans="32:32" x14ac:dyDescent="0.2">
      <c r="AF8812" s="12"/>
    </row>
    <row r="8813" spans="32:32" x14ac:dyDescent="0.2">
      <c r="AF8813" s="12"/>
    </row>
    <row r="8814" spans="32:32" x14ac:dyDescent="0.2">
      <c r="AF8814" s="12"/>
    </row>
    <row r="8815" spans="32:32" x14ac:dyDescent="0.2">
      <c r="AF8815" s="12"/>
    </row>
    <row r="8816" spans="32:32" x14ac:dyDescent="0.2">
      <c r="AF8816" s="12"/>
    </row>
    <row r="8817" spans="32:32" x14ac:dyDescent="0.2">
      <c r="AF8817" s="12"/>
    </row>
    <row r="8818" spans="32:32" x14ac:dyDescent="0.2">
      <c r="AF8818" s="12"/>
    </row>
    <row r="8819" spans="32:32" x14ac:dyDescent="0.2">
      <c r="AF8819" s="12"/>
    </row>
    <row r="8820" spans="32:32" x14ac:dyDescent="0.2">
      <c r="AF8820" s="12"/>
    </row>
    <row r="8821" spans="32:32" x14ac:dyDescent="0.2">
      <c r="AF8821" s="12"/>
    </row>
    <row r="8822" spans="32:32" x14ac:dyDescent="0.2">
      <c r="AF8822" s="12"/>
    </row>
    <row r="8823" spans="32:32" x14ac:dyDescent="0.2">
      <c r="AF8823" s="12"/>
    </row>
    <row r="8824" spans="32:32" x14ac:dyDescent="0.2">
      <c r="AF8824" s="12"/>
    </row>
    <row r="8825" spans="32:32" x14ac:dyDescent="0.2">
      <c r="AF8825" s="12"/>
    </row>
    <row r="8826" spans="32:32" x14ac:dyDescent="0.2">
      <c r="AF8826" s="12"/>
    </row>
    <row r="8827" spans="32:32" x14ac:dyDescent="0.2">
      <c r="AF8827" s="12"/>
    </row>
    <row r="8828" spans="32:32" x14ac:dyDescent="0.2">
      <c r="AF8828" s="12"/>
    </row>
    <row r="8829" spans="32:32" x14ac:dyDescent="0.2">
      <c r="AF8829" s="12"/>
    </row>
    <row r="8830" spans="32:32" x14ac:dyDescent="0.2">
      <c r="AF8830" s="12"/>
    </row>
    <row r="8831" spans="32:32" x14ac:dyDescent="0.2">
      <c r="AF8831" s="12"/>
    </row>
    <row r="8832" spans="32:32" x14ac:dyDescent="0.2">
      <c r="AF8832" s="12"/>
    </row>
    <row r="8833" spans="32:32" x14ac:dyDescent="0.2">
      <c r="AF8833" s="12"/>
    </row>
    <row r="8834" spans="32:32" x14ac:dyDescent="0.2">
      <c r="AF8834" s="12"/>
    </row>
    <row r="8835" spans="32:32" x14ac:dyDescent="0.2">
      <c r="AF8835" s="12"/>
    </row>
    <row r="8836" spans="32:32" x14ac:dyDescent="0.2">
      <c r="AF8836" s="12"/>
    </row>
    <row r="8837" spans="32:32" x14ac:dyDescent="0.2">
      <c r="AF8837" s="12"/>
    </row>
    <row r="8838" spans="32:32" x14ac:dyDescent="0.2">
      <c r="AF8838" s="12"/>
    </row>
    <row r="8839" spans="32:32" x14ac:dyDescent="0.2">
      <c r="AF8839" s="12"/>
    </row>
    <row r="8840" spans="32:32" x14ac:dyDescent="0.2">
      <c r="AF8840" s="12"/>
    </row>
    <row r="8841" spans="32:32" x14ac:dyDescent="0.2">
      <c r="AF8841" s="12"/>
    </row>
    <row r="8842" spans="32:32" x14ac:dyDescent="0.2">
      <c r="AF8842" s="12"/>
    </row>
    <row r="8843" spans="32:32" x14ac:dyDescent="0.2">
      <c r="AF8843" s="12"/>
    </row>
    <row r="8844" spans="32:32" x14ac:dyDescent="0.2">
      <c r="AF8844" s="12"/>
    </row>
    <row r="8845" spans="32:32" x14ac:dyDescent="0.2">
      <c r="AF8845" s="12"/>
    </row>
    <row r="8846" spans="32:32" x14ac:dyDescent="0.2">
      <c r="AF8846" s="12"/>
    </row>
    <row r="8847" spans="32:32" x14ac:dyDescent="0.2">
      <c r="AF8847" s="12"/>
    </row>
    <row r="8848" spans="32:32" x14ac:dyDescent="0.2">
      <c r="AF8848" s="12"/>
    </row>
    <row r="8849" spans="32:32" x14ac:dyDescent="0.2">
      <c r="AF8849" s="12"/>
    </row>
    <row r="8850" spans="32:32" x14ac:dyDescent="0.2">
      <c r="AF8850" s="12"/>
    </row>
    <row r="8851" spans="32:32" x14ac:dyDescent="0.2">
      <c r="AF8851" s="12"/>
    </row>
    <row r="8852" spans="32:32" x14ac:dyDescent="0.2">
      <c r="AF8852" s="12"/>
    </row>
    <row r="8853" spans="32:32" x14ac:dyDescent="0.2">
      <c r="AF8853" s="12"/>
    </row>
    <row r="8854" spans="32:32" x14ac:dyDescent="0.2">
      <c r="AF8854" s="12"/>
    </row>
    <row r="8855" spans="32:32" x14ac:dyDescent="0.2">
      <c r="AF8855" s="12"/>
    </row>
    <row r="8856" spans="32:32" x14ac:dyDescent="0.2">
      <c r="AF8856" s="12"/>
    </row>
    <row r="8857" spans="32:32" x14ac:dyDescent="0.2">
      <c r="AF8857" s="12"/>
    </row>
    <row r="8858" spans="32:32" x14ac:dyDescent="0.2">
      <c r="AF8858" s="12"/>
    </row>
    <row r="8859" spans="32:32" x14ac:dyDescent="0.2">
      <c r="AF8859" s="12"/>
    </row>
    <row r="8860" spans="32:32" x14ac:dyDescent="0.2">
      <c r="AF8860" s="12"/>
    </row>
    <row r="8861" spans="32:32" x14ac:dyDescent="0.2">
      <c r="AF8861" s="12"/>
    </row>
    <row r="8862" spans="32:32" x14ac:dyDescent="0.2">
      <c r="AF8862" s="12"/>
    </row>
    <row r="8863" spans="32:32" x14ac:dyDescent="0.2">
      <c r="AF8863" s="12"/>
    </row>
    <row r="8864" spans="32:32" x14ac:dyDescent="0.2">
      <c r="AF8864" s="12"/>
    </row>
    <row r="8865" spans="32:32" x14ac:dyDescent="0.2">
      <c r="AF8865" s="12"/>
    </row>
    <row r="8866" spans="32:32" x14ac:dyDescent="0.2">
      <c r="AF8866" s="12"/>
    </row>
    <row r="8867" spans="32:32" x14ac:dyDescent="0.2">
      <c r="AF8867" s="12"/>
    </row>
    <row r="8868" spans="32:32" x14ac:dyDescent="0.2">
      <c r="AF8868" s="12"/>
    </row>
    <row r="8869" spans="32:32" x14ac:dyDescent="0.2">
      <c r="AF8869" s="12"/>
    </row>
    <row r="8870" spans="32:32" x14ac:dyDescent="0.2">
      <c r="AF8870" s="12"/>
    </row>
    <row r="8871" spans="32:32" x14ac:dyDescent="0.2">
      <c r="AF8871" s="12"/>
    </row>
    <row r="8872" spans="32:32" x14ac:dyDescent="0.2">
      <c r="AF8872" s="12"/>
    </row>
    <row r="8873" spans="32:32" x14ac:dyDescent="0.2">
      <c r="AF8873" s="12"/>
    </row>
    <row r="8874" spans="32:32" x14ac:dyDescent="0.2">
      <c r="AF8874" s="12"/>
    </row>
    <row r="8875" spans="32:32" x14ac:dyDescent="0.2">
      <c r="AF8875" s="12"/>
    </row>
    <row r="8876" spans="32:32" x14ac:dyDescent="0.2">
      <c r="AF8876" s="12"/>
    </row>
    <row r="8877" spans="32:32" x14ac:dyDescent="0.2">
      <c r="AF8877" s="12"/>
    </row>
    <row r="8878" spans="32:32" x14ac:dyDescent="0.2">
      <c r="AF8878" s="12"/>
    </row>
    <row r="8879" spans="32:32" x14ac:dyDescent="0.2">
      <c r="AF8879" s="12"/>
    </row>
    <row r="8880" spans="32:32" x14ac:dyDescent="0.2">
      <c r="AF8880" s="12"/>
    </row>
    <row r="8881" spans="32:32" x14ac:dyDescent="0.2">
      <c r="AF8881" s="12"/>
    </row>
    <row r="8882" spans="32:32" x14ac:dyDescent="0.2">
      <c r="AF8882" s="12"/>
    </row>
    <row r="8883" spans="32:32" x14ac:dyDescent="0.2">
      <c r="AF8883" s="12"/>
    </row>
    <row r="8884" spans="32:32" x14ac:dyDescent="0.2">
      <c r="AF8884" s="12"/>
    </row>
    <row r="8885" spans="32:32" x14ac:dyDescent="0.2">
      <c r="AF8885" s="12"/>
    </row>
    <row r="8886" spans="32:32" x14ac:dyDescent="0.2">
      <c r="AF8886" s="12"/>
    </row>
    <row r="8887" spans="32:32" x14ac:dyDescent="0.2">
      <c r="AF8887" s="12"/>
    </row>
    <row r="8888" spans="32:32" x14ac:dyDescent="0.2">
      <c r="AF8888" s="12"/>
    </row>
    <row r="8889" spans="32:32" x14ac:dyDescent="0.2">
      <c r="AF8889" s="12"/>
    </row>
    <row r="8890" spans="32:32" x14ac:dyDescent="0.2">
      <c r="AF8890" s="12"/>
    </row>
    <row r="8891" spans="32:32" x14ac:dyDescent="0.2">
      <c r="AF8891" s="12"/>
    </row>
    <row r="8892" spans="32:32" x14ac:dyDescent="0.2">
      <c r="AF8892" s="12"/>
    </row>
    <row r="8893" spans="32:32" x14ac:dyDescent="0.2">
      <c r="AF8893" s="12"/>
    </row>
    <row r="8894" spans="32:32" x14ac:dyDescent="0.2">
      <c r="AF8894" s="12"/>
    </row>
    <row r="8895" spans="32:32" x14ac:dyDescent="0.2">
      <c r="AF8895" s="12"/>
    </row>
    <row r="8896" spans="32:32" x14ac:dyDescent="0.2">
      <c r="AF8896" s="12"/>
    </row>
    <row r="8897" spans="32:32" x14ac:dyDescent="0.2">
      <c r="AF8897" s="12"/>
    </row>
    <row r="8898" spans="32:32" x14ac:dyDescent="0.2">
      <c r="AF8898" s="12"/>
    </row>
    <row r="8899" spans="32:32" x14ac:dyDescent="0.2">
      <c r="AF8899" s="12"/>
    </row>
    <row r="8900" spans="32:32" x14ac:dyDescent="0.2">
      <c r="AF8900" s="12"/>
    </row>
    <row r="8901" spans="32:32" x14ac:dyDescent="0.2">
      <c r="AF8901" s="12"/>
    </row>
    <row r="8902" spans="32:32" x14ac:dyDescent="0.2">
      <c r="AF8902" s="12"/>
    </row>
    <row r="8903" spans="32:32" x14ac:dyDescent="0.2">
      <c r="AF8903" s="12"/>
    </row>
    <row r="8904" spans="32:32" x14ac:dyDescent="0.2">
      <c r="AF8904" s="12"/>
    </row>
    <row r="8905" spans="32:32" x14ac:dyDescent="0.2">
      <c r="AF8905" s="12"/>
    </row>
    <row r="8906" spans="32:32" x14ac:dyDescent="0.2">
      <c r="AF8906" s="12"/>
    </row>
    <row r="8907" spans="32:32" x14ac:dyDescent="0.2">
      <c r="AF8907" s="12"/>
    </row>
    <row r="8908" spans="32:32" x14ac:dyDescent="0.2">
      <c r="AF8908" s="12"/>
    </row>
    <row r="8909" spans="32:32" x14ac:dyDescent="0.2">
      <c r="AF8909" s="12"/>
    </row>
    <row r="8910" spans="32:32" x14ac:dyDescent="0.2">
      <c r="AF8910" s="12"/>
    </row>
    <row r="8911" spans="32:32" x14ac:dyDescent="0.2">
      <c r="AF8911" s="12"/>
    </row>
    <row r="8912" spans="32:32" x14ac:dyDescent="0.2">
      <c r="AF8912" s="12"/>
    </row>
    <row r="8913" spans="32:32" x14ac:dyDescent="0.2">
      <c r="AF8913" s="12"/>
    </row>
    <row r="8914" spans="32:32" x14ac:dyDescent="0.2">
      <c r="AF8914" s="12"/>
    </row>
    <row r="8915" spans="32:32" x14ac:dyDescent="0.2">
      <c r="AF8915" s="12"/>
    </row>
    <row r="8916" spans="32:32" x14ac:dyDescent="0.2">
      <c r="AF8916" s="12"/>
    </row>
    <row r="8917" spans="32:32" x14ac:dyDescent="0.2">
      <c r="AF8917" s="12"/>
    </row>
    <row r="8918" spans="32:32" x14ac:dyDescent="0.2">
      <c r="AF8918" s="12"/>
    </row>
    <row r="8919" spans="32:32" x14ac:dyDescent="0.2">
      <c r="AF8919" s="12"/>
    </row>
    <row r="8920" spans="32:32" x14ac:dyDescent="0.2">
      <c r="AF8920" s="12"/>
    </row>
    <row r="8921" spans="32:32" x14ac:dyDescent="0.2">
      <c r="AF8921" s="12"/>
    </row>
    <row r="8922" spans="32:32" x14ac:dyDescent="0.2">
      <c r="AF8922" s="12"/>
    </row>
    <row r="8923" spans="32:32" x14ac:dyDescent="0.2">
      <c r="AF8923" s="12"/>
    </row>
    <row r="8924" spans="32:32" x14ac:dyDescent="0.2">
      <c r="AF8924" s="12"/>
    </row>
    <row r="8925" spans="32:32" x14ac:dyDescent="0.2">
      <c r="AF8925" s="12"/>
    </row>
    <row r="8926" spans="32:32" x14ac:dyDescent="0.2">
      <c r="AF8926" s="12"/>
    </row>
    <row r="8927" spans="32:32" x14ac:dyDescent="0.2">
      <c r="AF8927" s="12"/>
    </row>
    <row r="8928" spans="32:32" x14ac:dyDescent="0.2">
      <c r="AF8928" s="12"/>
    </row>
    <row r="8929" spans="32:32" x14ac:dyDescent="0.2">
      <c r="AF8929" s="12"/>
    </row>
    <row r="8930" spans="32:32" x14ac:dyDescent="0.2">
      <c r="AF8930" s="12"/>
    </row>
    <row r="8931" spans="32:32" x14ac:dyDescent="0.2">
      <c r="AF8931" s="12"/>
    </row>
    <row r="8932" spans="32:32" x14ac:dyDescent="0.2">
      <c r="AF8932" s="12"/>
    </row>
    <row r="8933" spans="32:32" x14ac:dyDescent="0.2">
      <c r="AF8933" s="12"/>
    </row>
    <row r="8934" spans="32:32" x14ac:dyDescent="0.2">
      <c r="AF8934" s="12"/>
    </row>
    <row r="8935" spans="32:32" x14ac:dyDescent="0.2">
      <c r="AF8935" s="12"/>
    </row>
    <row r="8936" spans="32:32" x14ac:dyDescent="0.2">
      <c r="AF8936" s="12"/>
    </row>
    <row r="8937" spans="32:32" x14ac:dyDescent="0.2">
      <c r="AF8937" s="12"/>
    </row>
    <row r="8938" spans="32:32" x14ac:dyDescent="0.2">
      <c r="AF8938" s="12"/>
    </row>
    <row r="8939" spans="32:32" x14ac:dyDescent="0.2">
      <c r="AF8939" s="12"/>
    </row>
    <row r="8940" spans="32:32" x14ac:dyDescent="0.2">
      <c r="AF8940" s="12"/>
    </row>
    <row r="8941" spans="32:32" x14ac:dyDescent="0.2">
      <c r="AF8941" s="12"/>
    </row>
    <row r="8942" spans="32:32" x14ac:dyDescent="0.2">
      <c r="AF8942" s="12"/>
    </row>
    <row r="8943" spans="32:32" x14ac:dyDescent="0.2">
      <c r="AF8943" s="12"/>
    </row>
    <row r="8944" spans="32:32" x14ac:dyDescent="0.2">
      <c r="AF8944" s="12"/>
    </row>
    <row r="8945" spans="32:32" x14ac:dyDescent="0.2">
      <c r="AF8945" s="12"/>
    </row>
    <row r="8946" spans="32:32" x14ac:dyDescent="0.2">
      <c r="AF8946" s="12"/>
    </row>
    <row r="8947" spans="32:32" x14ac:dyDescent="0.2">
      <c r="AF8947" s="12"/>
    </row>
    <row r="8948" spans="32:32" x14ac:dyDescent="0.2">
      <c r="AF8948" s="12"/>
    </row>
    <row r="8949" spans="32:32" x14ac:dyDescent="0.2">
      <c r="AF8949" s="12"/>
    </row>
    <row r="8950" spans="32:32" x14ac:dyDescent="0.2">
      <c r="AF8950" s="12"/>
    </row>
    <row r="8951" spans="32:32" x14ac:dyDescent="0.2">
      <c r="AF8951" s="12"/>
    </row>
    <row r="8952" spans="32:32" x14ac:dyDescent="0.2">
      <c r="AF8952" s="12"/>
    </row>
    <row r="8953" spans="32:32" x14ac:dyDescent="0.2">
      <c r="AF8953" s="12"/>
    </row>
    <row r="8954" spans="32:32" x14ac:dyDescent="0.2">
      <c r="AF8954" s="12"/>
    </row>
    <row r="8955" spans="32:32" x14ac:dyDescent="0.2">
      <c r="AF8955" s="12"/>
    </row>
    <row r="8956" spans="32:32" x14ac:dyDescent="0.2">
      <c r="AF8956" s="12"/>
    </row>
    <row r="8957" spans="32:32" x14ac:dyDescent="0.2">
      <c r="AF8957" s="12"/>
    </row>
    <row r="8958" spans="32:32" x14ac:dyDescent="0.2">
      <c r="AF8958" s="12"/>
    </row>
    <row r="8959" spans="32:32" x14ac:dyDescent="0.2">
      <c r="AF8959" s="12"/>
    </row>
    <row r="8960" spans="32:32" x14ac:dyDescent="0.2">
      <c r="AF8960" s="12"/>
    </row>
    <row r="8961" spans="32:32" x14ac:dyDescent="0.2">
      <c r="AF8961" s="12"/>
    </row>
    <row r="8962" spans="32:32" x14ac:dyDescent="0.2">
      <c r="AF8962" s="12"/>
    </row>
    <row r="8963" spans="32:32" x14ac:dyDescent="0.2">
      <c r="AF8963" s="12"/>
    </row>
    <row r="8964" spans="32:32" x14ac:dyDescent="0.2">
      <c r="AF8964" s="12"/>
    </row>
    <row r="8965" spans="32:32" x14ac:dyDescent="0.2">
      <c r="AF8965" s="12"/>
    </row>
    <row r="8966" spans="32:32" x14ac:dyDescent="0.2">
      <c r="AF8966" s="12"/>
    </row>
    <row r="8967" spans="32:32" x14ac:dyDescent="0.2">
      <c r="AF8967" s="12"/>
    </row>
    <row r="8968" spans="32:32" x14ac:dyDescent="0.2">
      <c r="AF8968" s="12"/>
    </row>
    <row r="8969" spans="32:32" x14ac:dyDescent="0.2">
      <c r="AF8969" s="12"/>
    </row>
    <row r="8970" spans="32:32" x14ac:dyDescent="0.2">
      <c r="AF8970" s="12"/>
    </row>
    <row r="8971" spans="32:32" x14ac:dyDescent="0.2">
      <c r="AF8971" s="12"/>
    </row>
    <row r="8972" spans="32:32" x14ac:dyDescent="0.2">
      <c r="AF8972" s="12"/>
    </row>
    <row r="8973" spans="32:32" x14ac:dyDescent="0.2">
      <c r="AF8973" s="12"/>
    </row>
    <row r="8974" spans="32:32" x14ac:dyDescent="0.2">
      <c r="AF8974" s="12"/>
    </row>
    <row r="8975" spans="32:32" x14ac:dyDescent="0.2">
      <c r="AF8975" s="12"/>
    </row>
    <row r="8976" spans="32:32" x14ac:dyDescent="0.2">
      <c r="AF8976" s="12"/>
    </row>
    <row r="8977" spans="32:32" x14ac:dyDescent="0.2">
      <c r="AF8977" s="12"/>
    </row>
    <row r="8978" spans="32:32" x14ac:dyDescent="0.2">
      <c r="AF8978" s="12"/>
    </row>
    <row r="8979" spans="32:32" x14ac:dyDescent="0.2">
      <c r="AF8979" s="12"/>
    </row>
    <row r="8980" spans="32:32" x14ac:dyDescent="0.2">
      <c r="AF8980" s="12"/>
    </row>
    <row r="8981" spans="32:32" x14ac:dyDescent="0.2">
      <c r="AF8981" s="12"/>
    </row>
    <row r="8982" spans="32:32" x14ac:dyDescent="0.2">
      <c r="AF8982" s="12"/>
    </row>
    <row r="8983" spans="32:32" x14ac:dyDescent="0.2">
      <c r="AF8983" s="12"/>
    </row>
    <row r="8984" spans="32:32" x14ac:dyDescent="0.2">
      <c r="AF8984" s="12"/>
    </row>
    <row r="8985" spans="32:32" x14ac:dyDescent="0.2">
      <c r="AF8985" s="12"/>
    </row>
    <row r="8986" spans="32:32" x14ac:dyDescent="0.2">
      <c r="AF8986" s="12"/>
    </row>
    <row r="8987" spans="32:32" x14ac:dyDescent="0.2">
      <c r="AF8987" s="12"/>
    </row>
    <row r="8988" spans="32:32" x14ac:dyDescent="0.2">
      <c r="AF8988" s="12"/>
    </row>
    <row r="8989" spans="32:32" x14ac:dyDescent="0.2">
      <c r="AF8989" s="12"/>
    </row>
    <row r="8990" spans="32:32" x14ac:dyDescent="0.2">
      <c r="AF8990" s="12"/>
    </row>
    <row r="8991" spans="32:32" x14ac:dyDescent="0.2">
      <c r="AF8991" s="12"/>
    </row>
    <row r="8992" spans="32:32" x14ac:dyDescent="0.2">
      <c r="AF8992" s="12"/>
    </row>
    <row r="8993" spans="32:32" x14ac:dyDescent="0.2">
      <c r="AF8993" s="12"/>
    </row>
    <row r="8994" spans="32:32" x14ac:dyDescent="0.2">
      <c r="AF8994" s="12"/>
    </row>
    <row r="8995" spans="32:32" x14ac:dyDescent="0.2">
      <c r="AF8995" s="12"/>
    </row>
    <row r="8996" spans="32:32" x14ac:dyDescent="0.2">
      <c r="AF8996" s="12"/>
    </row>
    <row r="8997" spans="32:32" x14ac:dyDescent="0.2">
      <c r="AF8997" s="12"/>
    </row>
    <row r="8998" spans="32:32" x14ac:dyDescent="0.2">
      <c r="AF8998" s="12"/>
    </row>
    <row r="8999" spans="32:32" x14ac:dyDescent="0.2">
      <c r="AF8999" s="12"/>
    </row>
    <row r="9000" spans="32:32" x14ac:dyDescent="0.2">
      <c r="AF9000" s="12"/>
    </row>
    <row r="9001" spans="32:32" x14ac:dyDescent="0.2">
      <c r="AF9001" s="12"/>
    </row>
    <row r="9002" spans="32:32" x14ac:dyDescent="0.2">
      <c r="AF9002" s="12"/>
    </row>
    <row r="9003" spans="32:32" x14ac:dyDescent="0.2">
      <c r="AF9003" s="12"/>
    </row>
    <row r="9004" spans="32:32" x14ac:dyDescent="0.2">
      <c r="AF9004" s="12"/>
    </row>
    <row r="9005" spans="32:32" x14ac:dyDescent="0.2">
      <c r="AF9005" s="12"/>
    </row>
    <row r="9006" spans="32:32" x14ac:dyDescent="0.2">
      <c r="AF9006" s="12"/>
    </row>
    <row r="9007" spans="32:32" x14ac:dyDescent="0.2">
      <c r="AF9007" s="12"/>
    </row>
    <row r="9008" spans="32:32" x14ac:dyDescent="0.2">
      <c r="AF9008" s="12"/>
    </row>
    <row r="9009" spans="32:32" x14ac:dyDescent="0.2">
      <c r="AF9009" s="12"/>
    </row>
    <row r="9010" spans="32:32" x14ac:dyDescent="0.2">
      <c r="AF9010" s="12"/>
    </row>
    <row r="9011" spans="32:32" x14ac:dyDescent="0.2">
      <c r="AF9011" s="12"/>
    </row>
    <row r="9012" spans="32:32" x14ac:dyDescent="0.2">
      <c r="AF9012" s="12"/>
    </row>
    <row r="9013" spans="32:32" x14ac:dyDescent="0.2">
      <c r="AF9013" s="12"/>
    </row>
    <row r="9014" spans="32:32" x14ac:dyDescent="0.2">
      <c r="AF9014" s="12"/>
    </row>
    <row r="9015" spans="32:32" x14ac:dyDescent="0.2">
      <c r="AF9015" s="12"/>
    </row>
    <row r="9016" spans="32:32" x14ac:dyDescent="0.2">
      <c r="AF9016" s="12"/>
    </row>
    <row r="9017" spans="32:32" x14ac:dyDescent="0.2">
      <c r="AF9017" s="12"/>
    </row>
    <row r="9018" spans="32:32" x14ac:dyDescent="0.2">
      <c r="AF9018" s="12"/>
    </row>
    <row r="9019" spans="32:32" x14ac:dyDescent="0.2">
      <c r="AF9019" s="12"/>
    </row>
    <row r="9020" spans="32:32" x14ac:dyDescent="0.2">
      <c r="AF9020" s="12"/>
    </row>
    <row r="9021" spans="32:32" x14ac:dyDescent="0.2">
      <c r="AF9021" s="12"/>
    </row>
    <row r="9022" spans="32:32" x14ac:dyDescent="0.2">
      <c r="AF9022" s="12"/>
    </row>
    <row r="9023" spans="32:32" x14ac:dyDescent="0.2">
      <c r="AF9023" s="12"/>
    </row>
    <row r="9024" spans="32:32" x14ac:dyDescent="0.2">
      <c r="AF9024" s="12"/>
    </row>
    <row r="9025" spans="32:32" x14ac:dyDescent="0.2">
      <c r="AF9025" s="12"/>
    </row>
    <row r="9026" spans="32:32" x14ac:dyDescent="0.2">
      <c r="AF9026" s="12"/>
    </row>
    <row r="9027" spans="32:32" x14ac:dyDescent="0.2">
      <c r="AF9027" s="12"/>
    </row>
    <row r="9028" spans="32:32" x14ac:dyDescent="0.2">
      <c r="AF9028" s="12"/>
    </row>
    <row r="9029" spans="32:32" x14ac:dyDescent="0.2">
      <c r="AF9029" s="12"/>
    </row>
    <row r="9030" spans="32:32" x14ac:dyDescent="0.2">
      <c r="AF9030" s="12"/>
    </row>
    <row r="9031" spans="32:32" x14ac:dyDescent="0.2">
      <c r="AF9031" s="12"/>
    </row>
    <row r="9032" spans="32:32" x14ac:dyDescent="0.2">
      <c r="AF9032" s="12"/>
    </row>
    <row r="9033" spans="32:32" x14ac:dyDescent="0.2">
      <c r="AF9033" s="12"/>
    </row>
    <row r="9034" spans="32:32" x14ac:dyDescent="0.2">
      <c r="AF9034" s="12"/>
    </row>
    <row r="9035" spans="32:32" x14ac:dyDescent="0.2">
      <c r="AF9035" s="12"/>
    </row>
    <row r="9036" spans="32:32" x14ac:dyDescent="0.2">
      <c r="AF9036" s="12"/>
    </row>
    <row r="9037" spans="32:32" x14ac:dyDescent="0.2">
      <c r="AF9037" s="12"/>
    </row>
    <row r="9038" spans="32:32" x14ac:dyDescent="0.2">
      <c r="AF9038" s="12"/>
    </row>
    <row r="9039" spans="32:32" x14ac:dyDescent="0.2">
      <c r="AF9039" s="12"/>
    </row>
    <row r="9040" spans="32:32" x14ac:dyDescent="0.2">
      <c r="AF9040" s="12"/>
    </row>
    <row r="9041" spans="32:32" x14ac:dyDescent="0.2">
      <c r="AF9041" s="12"/>
    </row>
    <row r="9042" spans="32:32" x14ac:dyDescent="0.2">
      <c r="AF9042" s="12"/>
    </row>
    <row r="9043" spans="32:32" x14ac:dyDescent="0.2">
      <c r="AF9043" s="12"/>
    </row>
    <row r="9044" spans="32:32" x14ac:dyDescent="0.2">
      <c r="AF9044" s="12"/>
    </row>
    <row r="9045" spans="32:32" x14ac:dyDescent="0.2">
      <c r="AF9045" s="12"/>
    </row>
    <row r="9046" spans="32:32" x14ac:dyDescent="0.2">
      <c r="AF9046" s="12"/>
    </row>
    <row r="9047" spans="32:32" x14ac:dyDescent="0.2">
      <c r="AF9047" s="12"/>
    </row>
    <row r="9048" spans="32:32" x14ac:dyDescent="0.2">
      <c r="AF9048" s="12"/>
    </row>
    <row r="9049" spans="32:32" x14ac:dyDescent="0.2">
      <c r="AF9049" s="12"/>
    </row>
    <row r="9050" spans="32:32" x14ac:dyDescent="0.2">
      <c r="AF9050" s="12"/>
    </row>
    <row r="9051" spans="32:32" x14ac:dyDescent="0.2">
      <c r="AF9051" s="12"/>
    </row>
    <row r="9052" spans="32:32" x14ac:dyDescent="0.2">
      <c r="AF9052" s="12"/>
    </row>
    <row r="9053" spans="32:32" x14ac:dyDescent="0.2">
      <c r="AF9053" s="12"/>
    </row>
    <row r="9054" spans="32:32" x14ac:dyDescent="0.2">
      <c r="AF9054" s="12"/>
    </row>
    <row r="9055" spans="32:32" x14ac:dyDescent="0.2">
      <c r="AF9055" s="12"/>
    </row>
    <row r="9056" spans="32:32" x14ac:dyDescent="0.2">
      <c r="AF9056" s="12"/>
    </row>
    <row r="9057" spans="32:32" x14ac:dyDescent="0.2">
      <c r="AF9057" s="12"/>
    </row>
    <row r="9058" spans="32:32" x14ac:dyDescent="0.2">
      <c r="AF9058" s="12"/>
    </row>
    <row r="9059" spans="32:32" x14ac:dyDescent="0.2">
      <c r="AF9059" s="12"/>
    </row>
    <row r="9060" spans="32:32" x14ac:dyDescent="0.2">
      <c r="AF9060" s="12"/>
    </row>
    <row r="9061" spans="32:32" x14ac:dyDescent="0.2">
      <c r="AF9061" s="12"/>
    </row>
    <row r="9062" spans="32:32" x14ac:dyDescent="0.2">
      <c r="AF9062" s="12"/>
    </row>
    <row r="9063" spans="32:32" x14ac:dyDescent="0.2">
      <c r="AF9063" s="12"/>
    </row>
    <row r="9064" spans="32:32" x14ac:dyDescent="0.2">
      <c r="AF9064" s="12"/>
    </row>
    <row r="9065" spans="32:32" x14ac:dyDescent="0.2">
      <c r="AF9065" s="12"/>
    </row>
    <row r="9066" spans="32:32" x14ac:dyDescent="0.2">
      <c r="AF9066" s="12"/>
    </row>
    <row r="9067" spans="32:32" x14ac:dyDescent="0.2">
      <c r="AF9067" s="12"/>
    </row>
    <row r="9068" spans="32:32" x14ac:dyDescent="0.2">
      <c r="AF9068" s="12"/>
    </row>
    <row r="9069" spans="32:32" x14ac:dyDescent="0.2">
      <c r="AF9069" s="12"/>
    </row>
    <row r="9070" spans="32:32" x14ac:dyDescent="0.2">
      <c r="AF9070" s="12"/>
    </row>
    <row r="9071" spans="32:32" x14ac:dyDescent="0.2">
      <c r="AF9071" s="12"/>
    </row>
    <row r="9072" spans="32:32" x14ac:dyDescent="0.2">
      <c r="AF9072" s="12"/>
    </row>
    <row r="9073" spans="32:32" x14ac:dyDescent="0.2">
      <c r="AF9073" s="12"/>
    </row>
    <row r="9074" spans="32:32" x14ac:dyDescent="0.2">
      <c r="AF9074" s="12"/>
    </row>
    <row r="9075" spans="32:32" x14ac:dyDescent="0.2">
      <c r="AF9075" s="12"/>
    </row>
    <row r="9076" spans="32:32" x14ac:dyDescent="0.2">
      <c r="AF9076" s="12"/>
    </row>
    <row r="9077" spans="32:32" x14ac:dyDescent="0.2">
      <c r="AF9077" s="12"/>
    </row>
    <row r="9078" spans="32:32" x14ac:dyDescent="0.2">
      <c r="AF9078" s="12"/>
    </row>
    <row r="9079" spans="32:32" x14ac:dyDescent="0.2">
      <c r="AF9079" s="12"/>
    </row>
    <row r="9080" spans="32:32" x14ac:dyDescent="0.2">
      <c r="AF9080" s="12"/>
    </row>
    <row r="9081" spans="32:32" x14ac:dyDescent="0.2">
      <c r="AF9081" s="12"/>
    </row>
    <row r="9082" spans="32:32" x14ac:dyDescent="0.2">
      <c r="AF9082" s="12"/>
    </row>
    <row r="9083" spans="32:32" x14ac:dyDescent="0.2">
      <c r="AF9083" s="12"/>
    </row>
    <row r="9084" spans="32:32" x14ac:dyDescent="0.2">
      <c r="AF9084" s="12"/>
    </row>
    <row r="9085" spans="32:32" x14ac:dyDescent="0.2">
      <c r="AF9085" s="12"/>
    </row>
    <row r="9086" spans="32:32" x14ac:dyDescent="0.2">
      <c r="AF9086" s="12"/>
    </row>
    <row r="9087" spans="32:32" x14ac:dyDescent="0.2">
      <c r="AF9087" s="12"/>
    </row>
    <row r="9088" spans="32:32" x14ac:dyDescent="0.2">
      <c r="AF9088" s="12"/>
    </row>
    <row r="9089" spans="32:32" x14ac:dyDescent="0.2">
      <c r="AF9089" s="12"/>
    </row>
    <row r="9090" spans="32:32" x14ac:dyDescent="0.2">
      <c r="AF9090" s="12"/>
    </row>
    <row r="9091" spans="32:32" x14ac:dyDescent="0.2">
      <c r="AF9091" s="12"/>
    </row>
    <row r="9092" spans="32:32" x14ac:dyDescent="0.2">
      <c r="AF9092" s="12"/>
    </row>
    <row r="9093" spans="32:32" x14ac:dyDescent="0.2">
      <c r="AF9093" s="12"/>
    </row>
    <row r="9094" spans="32:32" x14ac:dyDescent="0.2">
      <c r="AF9094" s="12"/>
    </row>
    <row r="9095" spans="32:32" x14ac:dyDescent="0.2">
      <c r="AF9095" s="12"/>
    </row>
    <row r="9096" spans="32:32" x14ac:dyDescent="0.2">
      <c r="AF9096" s="12"/>
    </row>
    <row r="9097" spans="32:32" x14ac:dyDescent="0.2">
      <c r="AF9097" s="12"/>
    </row>
    <row r="9098" spans="32:32" x14ac:dyDescent="0.2">
      <c r="AF9098" s="12"/>
    </row>
    <row r="9099" spans="32:32" x14ac:dyDescent="0.2">
      <c r="AF9099" s="12"/>
    </row>
    <row r="9100" spans="32:32" x14ac:dyDescent="0.2">
      <c r="AF9100" s="12"/>
    </row>
    <row r="9101" spans="32:32" x14ac:dyDescent="0.2">
      <c r="AF9101" s="12"/>
    </row>
    <row r="9102" spans="32:32" x14ac:dyDescent="0.2">
      <c r="AF9102" s="12"/>
    </row>
    <row r="9103" spans="32:32" x14ac:dyDescent="0.2">
      <c r="AF9103" s="12"/>
    </row>
    <row r="9104" spans="32:32" x14ac:dyDescent="0.2">
      <c r="AF9104" s="12"/>
    </row>
    <row r="9105" spans="32:32" x14ac:dyDescent="0.2">
      <c r="AF9105" s="12"/>
    </row>
    <row r="9106" spans="32:32" x14ac:dyDescent="0.2">
      <c r="AF9106" s="12"/>
    </row>
    <row r="9107" spans="32:32" x14ac:dyDescent="0.2">
      <c r="AF9107" s="12"/>
    </row>
    <row r="9108" spans="32:32" x14ac:dyDescent="0.2">
      <c r="AF9108" s="12"/>
    </row>
    <row r="9109" spans="32:32" x14ac:dyDescent="0.2">
      <c r="AF9109" s="12"/>
    </row>
    <row r="9110" spans="32:32" x14ac:dyDescent="0.2">
      <c r="AF9110" s="12"/>
    </row>
    <row r="9111" spans="32:32" x14ac:dyDescent="0.2">
      <c r="AF9111" s="12"/>
    </row>
    <row r="9112" spans="32:32" x14ac:dyDescent="0.2">
      <c r="AF9112" s="12"/>
    </row>
    <row r="9113" spans="32:32" x14ac:dyDescent="0.2">
      <c r="AF9113" s="12"/>
    </row>
    <row r="9114" spans="32:32" x14ac:dyDescent="0.2">
      <c r="AF9114" s="12"/>
    </row>
    <row r="9115" spans="32:32" x14ac:dyDescent="0.2">
      <c r="AF9115" s="12"/>
    </row>
    <row r="9116" spans="32:32" x14ac:dyDescent="0.2">
      <c r="AF9116" s="12"/>
    </row>
    <row r="9117" spans="32:32" x14ac:dyDescent="0.2">
      <c r="AF9117" s="12"/>
    </row>
    <row r="9118" spans="32:32" x14ac:dyDescent="0.2">
      <c r="AF9118" s="12"/>
    </row>
    <row r="9119" spans="32:32" x14ac:dyDescent="0.2">
      <c r="AF9119" s="12"/>
    </row>
    <row r="9120" spans="32:32" x14ac:dyDescent="0.2">
      <c r="AF9120" s="12"/>
    </row>
    <row r="9121" spans="32:32" x14ac:dyDescent="0.2">
      <c r="AF9121" s="12"/>
    </row>
    <row r="9122" spans="32:32" x14ac:dyDescent="0.2">
      <c r="AF9122" s="12"/>
    </row>
    <row r="9123" spans="32:32" x14ac:dyDescent="0.2">
      <c r="AF9123" s="12"/>
    </row>
    <row r="9124" spans="32:32" x14ac:dyDescent="0.2">
      <c r="AF9124" s="12"/>
    </row>
    <row r="9125" spans="32:32" x14ac:dyDescent="0.2">
      <c r="AF9125" s="12"/>
    </row>
    <row r="9126" spans="32:32" x14ac:dyDescent="0.2">
      <c r="AF9126" s="12"/>
    </row>
    <row r="9127" spans="32:32" x14ac:dyDescent="0.2">
      <c r="AF9127" s="12"/>
    </row>
    <row r="9128" spans="32:32" x14ac:dyDescent="0.2">
      <c r="AF9128" s="12"/>
    </row>
    <row r="9129" spans="32:32" x14ac:dyDescent="0.2">
      <c r="AF9129" s="12"/>
    </row>
    <row r="9130" spans="32:32" x14ac:dyDescent="0.2">
      <c r="AF9130" s="12"/>
    </row>
    <row r="9131" spans="32:32" x14ac:dyDescent="0.2">
      <c r="AF9131" s="12"/>
    </row>
    <row r="9132" spans="32:32" x14ac:dyDescent="0.2">
      <c r="AF9132" s="12"/>
    </row>
    <row r="9133" spans="32:32" x14ac:dyDescent="0.2">
      <c r="AF9133" s="12"/>
    </row>
    <row r="9134" spans="32:32" x14ac:dyDescent="0.2">
      <c r="AF9134" s="12"/>
    </row>
    <row r="9135" spans="32:32" x14ac:dyDescent="0.2">
      <c r="AF9135" s="12"/>
    </row>
    <row r="9136" spans="32:32" x14ac:dyDescent="0.2">
      <c r="AF9136" s="12"/>
    </row>
    <row r="9137" spans="32:32" x14ac:dyDescent="0.2">
      <c r="AF9137" s="12"/>
    </row>
    <row r="9138" spans="32:32" x14ac:dyDescent="0.2">
      <c r="AF9138" s="12"/>
    </row>
    <row r="9139" spans="32:32" x14ac:dyDescent="0.2">
      <c r="AF9139" s="12"/>
    </row>
    <row r="9140" spans="32:32" x14ac:dyDescent="0.2">
      <c r="AF9140" s="12"/>
    </row>
    <row r="9141" spans="32:32" x14ac:dyDescent="0.2">
      <c r="AF9141" s="12"/>
    </row>
    <row r="9142" spans="32:32" x14ac:dyDescent="0.2">
      <c r="AF9142" s="12"/>
    </row>
    <row r="9143" spans="32:32" x14ac:dyDescent="0.2">
      <c r="AF9143" s="12"/>
    </row>
    <row r="9144" spans="32:32" x14ac:dyDescent="0.2">
      <c r="AF9144" s="12"/>
    </row>
    <row r="9145" spans="32:32" x14ac:dyDescent="0.2">
      <c r="AF9145" s="12"/>
    </row>
    <row r="9146" spans="32:32" x14ac:dyDescent="0.2">
      <c r="AF9146" s="12"/>
    </row>
    <row r="9147" spans="32:32" x14ac:dyDescent="0.2">
      <c r="AF9147" s="12"/>
    </row>
    <row r="9148" spans="32:32" x14ac:dyDescent="0.2">
      <c r="AF9148" s="12"/>
    </row>
    <row r="9149" spans="32:32" x14ac:dyDescent="0.2">
      <c r="AF9149" s="12"/>
    </row>
    <row r="9150" spans="32:32" x14ac:dyDescent="0.2">
      <c r="AF9150" s="12"/>
    </row>
    <row r="9151" spans="32:32" x14ac:dyDescent="0.2">
      <c r="AF9151" s="12"/>
    </row>
    <row r="9152" spans="32:32" x14ac:dyDescent="0.2">
      <c r="AF9152" s="12"/>
    </row>
    <row r="9153" spans="32:32" x14ac:dyDescent="0.2">
      <c r="AF9153" s="12"/>
    </row>
    <row r="9154" spans="32:32" x14ac:dyDescent="0.2">
      <c r="AF9154" s="12"/>
    </row>
    <row r="9155" spans="32:32" x14ac:dyDescent="0.2">
      <c r="AF9155" s="12"/>
    </row>
    <row r="9156" spans="32:32" x14ac:dyDescent="0.2">
      <c r="AF9156" s="12"/>
    </row>
    <row r="9157" spans="32:32" x14ac:dyDescent="0.2">
      <c r="AF9157" s="12"/>
    </row>
    <row r="9158" spans="32:32" x14ac:dyDescent="0.2">
      <c r="AF9158" s="12"/>
    </row>
    <row r="9159" spans="32:32" x14ac:dyDescent="0.2">
      <c r="AF9159" s="12"/>
    </row>
    <row r="9160" spans="32:32" x14ac:dyDescent="0.2">
      <c r="AF9160" s="12"/>
    </row>
    <row r="9161" spans="32:32" x14ac:dyDescent="0.2">
      <c r="AF9161" s="12"/>
    </row>
    <row r="9162" spans="32:32" x14ac:dyDescent="0.2">
      <c r="AF9162" s="12"/>
    </row>
    <row r="9163" spans="32:32" x14ac:dyDescent="0.2">
      <c r="AF9163" s="12"/>
    </row>
    <row r="9164" spans="32:32" x14ac:dyDescent="0.2">
      <c r="AF9164" s="12"/>
    </row>
    <row r="9165" spans="32:32" x14ac:dyDescent="0.2">
      <c r="AF9165" s="12"/>
    </row>
    <row r="9166" spans="32:32" x14ac:dyDescent="0.2">
      <c r="AF9166" s="12"/>
    </row>
    <row r="9167" spans="32:32" x14ac:dyDescent="0.2">
      <c r="AF9167" s="12"/>
    </row>
    <row r="9168" spans="32:32" x14ac:dyDescent="0.2">
      <c r="AF9168" s="12"/>
    </row>
    <row r="9169" spans="32:32" x14ac:dyDescent="0.2">
      <c r="AF9169" s="12"/>
    </row>
    <row r="9170" spans="32:32" x14ac:dyDescent="0.2">
      <c r="AF9170" s="12"/>
    </row>
    <row r="9171" spans="32:32" x14ac:dyDescent="0.2">
      <c r="AF9171" s="12"/>
    </row>
    <row r="9172" spans="32:32" x14ac:dyDescent="0.2">
      <c r="AF9172" s="12"/>
    </row>
    <row r="9173" spans="32:32" x14ac:dyDescent="0.2">
      <c r="AF9173" s="12"/>
    </row>
    <row r="9174" spans="32:32" x14ac:dyDescent="0.2">
      <c r="AF9174" s="12"/>
    </row>
    <row r="9175" spans="32:32" x14ac:dyDescent="0.2">
      <c r="AF9175" s="12"/>
    </row>
    <row r="9176" spans="32:32" x14ac:dyDescent="0.2">
      <c r="AF9176" s="12"/>
    </row>
    <row r="9177" spans="32:32" x14ac:dyDescent="0.2">
      <c r="AF9177" s="12"/>
    </row>
    <row r="9178" spans="32:32" x14ac:dyDescent="0.2">
      <c r="AF9178" s="12"/>
    </row>
    <row r="9179" spans="32:32" x14ac:dyDescent="0.2">
      <c r="AF9179" s="12"/>
    </row>
    <row r="9180" spans="32:32" x14ac:dyDescent="0.2">
      <c r="AF9180" s="12"/>
    </row>
    <row r="9181" spans="32:32" x14ac:dyDescent="0.2">
      <c r="AF9181" s="12"/>
    </row>
    <row r="9182" spans="32:32" x14ac:dyDescent="0.2">
      <c r="AF9182" s="12"/>
    </row>
    <row r="9183" spans="32:32" x14ac:dyDescent="0.2">
      <c r="AF9183" s="12"/>
    </row>
    <row r="9184" spans="32:32" x14ac:dyDescent="0.2">
      <c r="AF9184" s="12"/>
    </row>
    <row r="9185" spans="32:32" x14ac:dyDescent="0.2">
      <c r="AF9185" s="12"/>
    </row>
    <row r="9186" spans="32:32" x14ac:dyDescent="0.2">
      <c r="AF9186" s="12"/>
    </row>
    <row r="9187" spans="32:32" x14ac:dyDescent="0.2">
      <c r="AF9187" s="12"/>
    </row>
    <row r="9188" spans="32:32" x14ac:dyDescent="0.2">
      <c r="AF9188" s="12"/>
    </row>
    <row r="9189" spans="32:32" x14ac:dyDescent="0.2">
      <c r="AF9189" s="12"/>
    </row>
    <row r="9190" spans="32:32" x14ac:dyDescent="0.2">
      <c r="AF9190" s="12"/>
    </row>
    <row r="9191" spans="32:32" x14ac:dyDescent="0.2">
      <c r="AF9191" s="12"/>
    </row>
    <row r="9192" spans="32:32" x14ac:dyDescent="0.2">
      <c r="AF9192" s="12"/>
    </row>
    <row r="9193" spans="32:32" x14ac:dyDescent="0.2">
      <c r="AF9193" s="12"/>
    </row>
    <row r="9194" spans="32:32" x14ac:dyDescent="0.2">
      <c r="AF9194" s="12"/>
    </row>
    <row r="9195" spans="32:32" x14ac:dyDescent="0.2">
      <c r="AF9195" s="12"/>
    </row>
    <row r="9196" spans="32:32" x14ac:dyDescent="0.2">
      <c r="AF9196" s="12"/>
    </row>
    <row r="9197" spans="32:32" x14ac:dyDescent="0.2">
      <c r="AF9197" s="12"/>
    </row>
    <row r="9198" spans="32:32" x14ac:dyDescent="0.2">
      <c r="AF9198" s="12"/>
    </row>
    <row r="9199" spans="32:32" x14ac:dyDescent="0.2">
      <c r="AF9199" s="12"/>
    </row>
    <row r="9200" spans="32:32" x14ac:dyDescent="0.2">
      <c r="AF9200" s="12"/>
    </row>
    <row r="9201" spans="32:32" x14ac:dyDescent="0.2">
      <c r="AF9201" s="12"/>
    </row>
    <row r="9202" spans="32:32" x14ac:dyDescent="0.2">
      <c r="AF9202" s="12"/>
    </row>
    <row r="9203" spans="32:32" x14ac:dyDescent="0.2">
      <c r="AF9203" s="12"/>
    </row>
    <row r="9204" spans="32:32" x14ac:dyDescent="0.2">
      <c r="AF9204" s="12"/>
    </row>
    <row r="9205" spans="32:32" x14ac:dyDescent="0.2">
      <c r="AF9205" s="12"/>
    </row>
    <row r="9206" spans="32:32" x14ac:dyDescent="0.2">
      <c r="AF9206" s="12"/>
    </row>
    <row r="9207" spans="32:32" x14ac:dyDescent="0.2">
      <c r="AF9207" s="12"/>
    </row>
    <row r="9208" spans="32:32" x14ac:dyDescent="0.2">
      <c r="AF9208" s="12"/>
    </row>
    <row r="9209" spans="32:32" x14ac:dyDescent="0.2">
      <c r="AF9209" s="12"/>
    </row>
    <row r="9210" spans="32:32" x14ac:dyDescent="0.2">
      <c r="AF9210" s="12"/>
    </row>
    <row r="9211" spans="32:32" x14ac:dyDescent="0.2">
      <c r="AF9211" s="12"/>
    </row>
    <row r="9212" spans="32:32" x14ac:dyDescent="0.2">
      <c r="AF9212" s="12"/>
    </row>
    <row r="9213" spans="32:32" x14ac:dyDescent="0.2">
      <c r="AF9213" s="12"/>
    </row>
    <row r="9214" spans="32:32" x14ac:dyDescent="0.2">
      <c r="AF9214" s="12"/>
    </row>
    <row r="9215" spans="32:32" x14ac:dyDescent="0.2">
      <c r="AF9215" s="12"/>
    </row>
    <row r="9216" spans="32:32" x14ac:dyDescent="0.2">
      <c r="AF9216" s="12"/>
    </row>
    <row r="9217" spans="32:32" x14ac:dyDescent="0.2">
      <c r="AF9217" s="12"/>
    </row>
    <row r="9218" spans="32:32" x14ac:dyDescent="0.2">
      <c r="AF9218" s="12"/>
    </row>
    <row r="9219" spans="32:32" x14ac:dyDescent="0.2">
      <c r="AF9219" s="12"/>
    </row>
    <row r="9220" spans="32:32" x14ac:dyDescent="0.2">
      <c r="AF9220" s="12"/>
    </row>
    <row r="9221" spans="32:32" x14ac:dyDescent="0.2">
      <c r="AF9221" s="12"/>
    </row>
    <row r="9222" spans="32:32" x14ac:dyDescent="0.2">
      <c r="AF9222" s="12"/>
    </row>
    <row r="9223" spans="32:32" x14ac:dyDescent="0.2">
      <c r="AF9223" s="12"/>
    </row>
    <row r="9224" spans="32:32" x14ac:dyDescent="0.2">
      <c r="AF9224" s="12"/>
    </row>
    <row r="9225" spans="32:32" x14ac:dyDescent="0.2">
      <c r="AF9225" s="12"/>
    </row>
    <row r="9226" spans="32:32" x14ac:dyDescent="0.2">
      <c r="AF9226" s="12"/>
    </row>
    <row r="9227" spans="32:32" x14ac:dyDescent="0.2">
      <c r="AF9227" s="12"/>
    </row>
    <row r="9228" spans="32:32" x14ac:dyDescent="0.2">
      <c r="AF9228" s="12"/>
    </row>
    <row r="9229" spans="32:32" x14ac:dyDescent="0.2">
      <c r="AF9229" s="12"/>
    </row>
    <row r="9230" spans="32:32" x14ac:dyDescent="0.2">
      <c r="AF9230" s="12"/>
    </row>
    <row r="9231" spans="32:32" x14ac:dyDescent="0.2">
      <c r="AF9231" s="12"/>
    </row>
    <row r="9232" spans="32:32" x14ac:dyDescent="0.2">
      <c r="AF9232" s="12"/>
    </row>
    <row r="9233" spans="32:32" x14ac:dyDescent="0.2">
      <c r="AF9233" s="12"/>
    </row>
    <row r="9234" spans="32:32" x14ac:dyDescent="0.2">
      <c r="AF9234" s="12"/>
    </row>
    <row r="9235" spans="32:32" x14ac:dyDescent="0.2">
      <c r="AF9235" s="12"/>
    </row>
    <row r="9236" spans="32:32" x14ac:dyDescent="0.2">
      <c r="AF9236" s="12"/>
    </row>
    <row r="9237" spans="32:32" x14ac:dyDescent="0.2">
      <c r="AF9237" s="12"/>
    </row>
    <row r="9238" spans="32:32" x14ac:dyDescent="0.2">
      <c r="AF9238" s="12"/>
    </row>
    <row r="9239" spans="32:32" x14ac:dyDescent="0.2">
      <c r="AF9239" s="12"/>
    </row>
    <row r="9240" spans="32:32" x14ac:dyDescent="0.2">
      <c r="AF9240" s="12"/>
    </row>
    <row r="9241" spans="32:32" x14ac:dyDescent="0.2">
      <c r="AF9241" s="12"/>
    </row>
    <row r="9242" spans="32:32" x14ac:dyDescent="0.2">
      <c r="AF9242" s="12"/>
    </row>
    <row r="9243" spans="32:32" x14ac:dyDescent="0.2">
      <c r="AF9243" s="12"/>
    </row>
    <row r="9244" spans="32:32" x14ac:dyDescent="0.2">
      <c r="AF9244" s="12"/>
    </row>
    <row r="9245" spans="32:32" x14ac:dyDescent="0.2">
      <c r="AF9245" s="12"/>
    </row>
    <row r="9246" spans="32:32" x14ac:dyDescent="0.2">
      <c r="AF9246" s="12"/>
    </row>
    <row r="9247" spans="32:32" x14ac:dyDescent="0.2">
      <c r="AF9247" s="12"/>
    </row>
    <row r="9248" spans="32:32" x14ac:dyDescent="0.2">
      <c r="AF9248" s="12"/>
    </row>
    <row r="9249" spans="32:32" x14ac:dyDescent="0.2">
      <c r="AF9249" s="12"/>
    </row>
    <row r="9250" spans="32:32" x14ac:dyDescent="0.2">
      <c r="AF9250" s="12"/>
    </row>
    <row r="9251" spans="32:32" x14ac:dyDescent="0.2">
      <c r="AF9251" s="12"/>
    </row>
    <row r="9252" spans="32:32" x14ac:dyDescent="0.2">
      <c r="AF9252" s="12"/>
    </row>
    <row r="9253" spans="32:32" x14ac:dyDescent="0.2">
      <c r="AF9253" s="12"/>
    </row>
    <row r="9254" spans="32:32" x14ac:dyDescent="0.2">
      <c r="AF9254" s="12"/>
    </row>
    <row r="9255" spans="32:32" x14ac:dyDescent="0.2">
      <c r="AF9255" s="12"/>
    </row>
    <row r="9256" spans="32:32" x14ac:dyDescent="0.2">
      <c r="AF9256" s="12"/>
    </row>
    <row r="9257" spans="32:32" x14ac:dyDescent="0.2">
      <c r="AF9257" s="12"/>
    </row>
    <row r="9258" spans="32:32" x14ac:dyDescent="0.2">
      <c r="AF9258" s="12"/>
    </row>
    <row r="9259" spans="32:32" x14ac:dyDescent="0.2">
      <c r="AF9259" s="12"/>
    </row>
    <row r="9260" spans="32:32" x14ac:dyDescent="0.2">
      <c r="AF9260" s="12"/>
    </row>
    <row r="9261" spans="32:32" x14ac:dyDescent="0.2">
      <c r="AF9261" s="12"/>
    </row>
    <row r="9262" spans="32:32" x14ac:dyDescent="0.2">
      <c r="AF9262" s="12"/>
    </row>
    <row r="9263" spans="32:32" x14ac:dyDescent="0.2">
      <c r="AF9263" s="12"/>
    </row>
    <row r="9264" spans="32:32" x14ac:dyDescent="0.2">
      <c r="AF9264" s="12"/>
    </row>
    <row r="9265" spans="32:32" x14ac:dyDescent="0.2">
      <c r="AF9265" s="12"/>
    </row>
    <row r="9266" spans="32:32" x14ac:dyDescent="0.2">
      <c r="AF9266" s="12"/>
    </row>
    <row r="9267" spans="32:32" x14ac:dyDescent="0.2">
      <c r="AF9267" s="12"/>
    </row>
    <row r="9268" spans="32:32" x14ac:dyDescent="0.2">
      <c r="AF9268" s="12"/>
    </row>
    <row r="9269" spans="32:32" x14ac:dyDescent="0.2">
      <c r="AF9269" s="12"/>
    </row>
    <row r="9270" spans="32:32" x14ac:dyDescent="0.2">
      <c r="AF9270" s="12"/>
    </row>
    <row r="9271" spans="32:32" x14ac:dyDescent="0.2">
      <c r="AF9271" s="12"/>
    </row>
    <row r="9272" spans="32:32" x14ac:dyDescent="0.2">
      <c r="AF9272" s="12"/>
    </row>
    <row r="9273" spans="32:32" x14ac:dyDescent="0.2">
      <c r="AF9273" s="12"/>
    </row>
    <row r="9274" spans="32:32" x14ac:dyDescent="0.2">
      <c r="AF9274" s="12"/>
    </row>
    <row r="9275" spans="32:32" x14ac:dyDescent="0.2">
      <c r="AF9275" s="12"/>
    </row>
    <row r="9276" spans="32:32" x14ac:dyDescent="0.2">
      <c r="AF9276" s="12"/>
    </row>
    <row r="9277" spans="32:32" x14ac:dyDescent="0.2">
      <c r="AF9277" s="12"/>
    </row>
    <row r="9278" spans="32:32" x14ac:dyDescent="0.2">
      <c r="AF9278" s="12"/>
    </row>
    <row r="9279" spans="32:32" x14ac:dyDescent="0.2">
      <c r="AF9279" s="12"/>
    </row>
    <row r="9280" spans="32:32" x14ac:dyDescent="0.2">
      <c r="AF9280" s="12"/>
    </row>
    <row r="9281" spans="32:32" x14ac:dyDescent="0.2">
      <c r="AF9281" s="12"/>
    </row>
    <row r="9282" spans="32:32" x14ac:dyDescent="0.2">
      <c r="AF9282" s="12"/>
    </row>
    <row r="9283" spans="32:32" x14ac:dyDescent="0.2">
      <c r="AF9283" s="12"/>
    </row>
    <row r="9284" spans="32:32" x14ac:dyDescent="0.2">
      <c r="AF9284" s="12"/>
    </row>
    <row r="9285" spans="32:32" x14ac:dyDescent="0.2">
      <c r="AF9285" s="12"/>
    </row>
    <row r="9286" spans="32:32" x14ac:dyDescent="0.2">
      <c r="AF9286" s="12"/>
    </row>
    <row r="9287" spans="32:32" x14ac:dyDescent="0.2">
      <c r="AF9287" s="12"/>
    </row>
    <row r="9288" spans="32:32" x14ac:dyDescent="0.2">
      <c r="AF9288" s="12"/>
    </row>
    <row r="9289" spans="32:32" x14ac:dyDescent="0.2">
      <c r="AF9289" s="12"/>
    </row>
    <row r="9290" spans="32:32" x14ac:dyDescent="0.2">
      <c r="AF9290" s="12"/>
    </row>
    <row r="9291" spans="32:32" x14ac:dyDescent="0.2">
      <c r="AF9291" s="12"/>
    </row>
    <row r="9292" spans="32:32" x14ac:dyDescent="0.2">
      <c r="AF9292" s="12"/>
    </row>
    <row r="9293" spans="32:32" x14ac:dyDescent="0.2">
      <c r="AF9293" s="12"/>
    </row>
    <row r="9294" spans="32:32" x14ac:dyDescent="0.2">
      <c r="AF9294" s="12"/>
    </row>
    <row r="9295" spans="32:32" x14ac:dyDescent="0.2">
      <c r="AF9295" s="12"/>
    </row>
    <row r="9296" spans="32:32" x14ac:dyDescent="0.2">
      <c r="AF9296" s="12"/>
    </row>
    <row r="9297" spans="32:32" x14ac:dyDescent="0.2">
      <c r="AF9297" s="12"/>
    </row>
    <row r="9298" spans="32:32" x14ac:dyDescent="0.2">
      <c r="AF9298" s="12"/>
    </row>
    <row r="9299" spans="32:32" x14ac:dyDescent="0.2">
      <c r="AF9299" s="12"/>
    </row>
    <row r="9300" spans="32:32" x14ac:dyDescent="0.2">
      <c r="AF9300" s="12"/>
    </row>
    <row r="9301" spans="32:32" x14ac:dyDescent="0.2">
      <c r="AF9301" s="12"/>
    </row>
    <row r="9302" spans="32:32" x14ac:dyDescent="0.2">
      <c r="AF9302" s="12"/>
    </row>
    <row r="9303" spans="32:32" x14ac:dyDescent="0.2">
      <c r="AF9303" s="12"/>
    </row>
    <row r="9304" spans="32:32" x14ac:dyDescent="0.2">
      <c r="AF9304" s="12"/>
    </row>
    <row r="9305" spans="32:32" x14ac:dyDescent="0.2">
      <c r="AF9305" s="12"/>
    </row>
    <row r="9306" spans="32:32" x14ac:dyDescent="0.2">
      <c r="AF9306" s="12"/>
    </row>
    <row r="9307" spans="32:32" x14ac:dyDescent="0.2">
      <c r="AF9307" s="12"/>
    </row>
    <row r="9308" spans="32:32" x14ac:dyDescent="0.2">
      <c r="AF9308" s="12"/>
    </row>
    <row r="9309" spans="32:32" x14ac:dyDescent="0.2">
      <c r="AF9309" s="12"/>
    </row>
    <row r="9310" spans="32:32" x14ac:dyDescent="0.2">
      <c r="AF9310" s="12"/>
    </row>
    <row r="9311" spans="32:32" x14ac:dyDescent="0.2">
      <c r="AF9311" s="12"/>
    </row>
    <row r="9312" spans="32:32" x14ac:dyDescent="0.2">
      <c r="AF9312" s="12"/>
    </row>
    <row r="9313" spans="32:32" x14ac:dyDescent="0.2">
      <c r="AF9313" s="12"/>
    </row>
    <row r="9314" spans="32:32" x14ac:dyDescent="0.2">
      <c r="AF9314" s="12"/>
    </row>
    <row r="9315" spans="32:32" x14ac:dyDescent="0.2">
      <c r="AF9315" s="12"/>
    </row>
    <row r="9316" spans="32:32" x14ac:dyDescent="0.2">
      <c r="AF9316" s="12"/>
    </row>
    <row r="9317" spans="32:32" x14ac:dyDescent="0.2">
      <c r="AF9317" s="12"/>
    </row>
    <row r="9318" spans="32:32" x14ac:dyDescent="0.2">
      <c r="AF9318" s="12"/>
    </row>
    <row r="9319" spans="32:32" x14ac:dyDescent="0.2">
      <c r="AF9319" s="12"/>
    </row>
    <row r="9320" spans="32:32" x14ac:dyDescent="0.2">
      <c r="AF9320" s="12"/>
    </row>
    <row r="9321" spans="32:32" x14ac:dyDescent="0.2">
      <c r="AF9321" s="12"/>
    </row>
    <row r="9322" spans="32:32" x14ac:dyDescent="0.2">
      <c r="AF9322" s="12"/>
    </row>
    <row r="9323" spans="32:32" x14ac:dyDescent="0.2">
      <c r="AF9323" s="12"/>
    </row>
    <row r="9324" spans="32:32" x14ac:dyDescent="0.2">
      <c r="AF9324" s="12"/>
    </row>
    <row r="9325" spans="32:32" x14ac:dyDescent="0.2">
      <c r="AF9325" s="12"/>
    </row>
    <row r="9326" spans="32:32" x14ac:dyDescent="0.2">
      <c r="AF9326" s="12"/>
    </row>
    <row r="9327" spans="32:32" x14ac:dyDescent="0.2">
      <c r="AF9327" s="12"/>
    </row>
    <row r="9328" spans="32:32" x14ac:dyDescent="0.2">
      <c r="AF9328" s="12"/>
    </row>
    <row r="9329" spans="32:32" x14ac:dyDescent="0.2">
      <c r="AF9329" s="12"/>
    </row>
    <row r="9330" spans="32:32" x14ac:dyDescent="0.2">
      <c r="AF9330" s="12"/>
    </row>
    <row r="9331" spans="32:32" x14ac:dyDescent="0.2">
      <c r="AF9331" s="12"/>
    </row>
    <row r="9332" spans="32:32" x14ac:dyDescent="0.2">
      <c r="AF9332" s="12"/>
    </row>
    <row r="9333" spans="32:32" x14ac:dyDescent="0.2">
      <c r="AF9333" s="12"/>
    </row>
    <row r="9334" spans="32:32" x14ac:dyDescent="0.2">
      <c r="AF9334" s="12"/>
    </row>
    <row r="9335" spans="32:32" x14ac:dyDescent="0.2">
      <c r="AF9335" s="12"/>
    </row>
    <row r="9336" spans="32:32" x14ac:dyDescent="0.2">
      <c r="AF9336" s="12"/>
    </row>
    <row r="9337" spans="32:32" x14ac:dyDescent="0.2">
      <c r="AF9337" s="12"/>
    </row>
    <row r="9338" spans="32:32" x14ac:dyDescent="0.2">
      <c r="AF9338" s="12"/>
    </row>
    <row r="9339" spans="32:32" x14ac:dyDescent="0.2">
      <c r="AF9339" s="12"/>
    </row>
    <row r="9340" spans="32:32" x14ac:dyDescent="0.2">
      <c r="AF9340" s="12"/>
    </row>
    <row r="9341" spans="32:32" x14ac:dyDescent="0.2">
      <c r="AF9341" s="12"/>
    </row>
    <row r="9342" spans="32:32" x14ac:dyDescent="0.2">
      <c r="AF9342" s="12"/>
    </row>
    <row r="9343" spans="32:32" x14ac:dyDescent="0.2">
      <c r="AF9343" s="12"/>
    </row>
    <row r="9344" spans="32:32" x14ac:dyDescent="0.2">
      <c r="AF9344" s="12"/>
    </row>
    <row r="9345" spans="32:32" x14ac:dyDescent="0.2">
      <c r="AF9345" s="12"/>
    </row>
    <row r="9346" spans="32:32" x14ac:dyDescent="0.2">
      <c r="AF9346" s="12"/>
    </row>
    <row r="9347" spans="32:32" x14ac:dyDescent="0.2">
      <c r="AF9347" s="12"/>
    </row>
    <row r="9348" spans="32:32" x14ac:dyDescent="0.2">
      <c r="AF9348" s="12"/>
    </row>
    <row r="9349" spans="32:32" x14ac:dyDescent="0.2">
      <c r="AF9349" s="12"/>
    </row>
    <row r="9350" spans="32:32" x14ac:dyDescent="0.2">
      <c r="AF9350" s="12"/>
    </row>
    <row r="9351" spans="32:32" x14ac:dyDescent="0.2">
      <c r="AF9351" s="12"/>
    </row>
    <row r="9352" spans="32:32" x14ac:dyDescent="0.2">
      <c r="AF9352" s="12"/>
    </row>
    <row r="9353" spans="32:32" x14ac:dyDescent="0.2">
      <c r="AF9353" s="12"/>
    </row>
    <row r="9354" spans="32:32" x14ac:dyDescent="0.2">
      <c r="AF9354" s="12"/>
    </row>
    <row r="9355" spans="32:32" x14ac:dyDescent="0.2">
      <c r="AF9355" s="12"/>
    </row>
    <row r="9356" spans="32:32" x14ac:dyDescent="0.2">
      <c r="AF9356" s="12"/>
    </row>
    <row r="9357" spans="32:32" x14ac:dyDescent="0.2">
      <c r="AF9357" s="12"/>
    </row>
    <row r="9358" spans="32:32" x14ac:dyDescent="0.2">
      <c r="AF9358" s="12"/>
    </row>
    <row r="9359" spans="32:32" x14ac:dyDescent="0.2">
      <c r="AF9359" s="12"/>
    </row>
    <row r="9360" spans="32:32" x14ac:dyDescent="0.2">
      <c r="AF9360" s="12"/>
    </row>
    <row r="9361" spans="32:32" x14ac:dyDescent="0.2">
      <c r="AF9361" s="12"/>
    </row>
    <row r="9362" spans="32:32" x14ac:dyDescent="0.2">
      <c r="AF9362" s="12"/>
    </row>
    <row r="9363" spans="32:32" x14ac:dyDescent="0.2">
      <c r="AF9363" s="12"/>
    </row>
    <row r="9364" spans="32:32" x14ac:dyDescent="0.2">
      <c r="AF9364" s="12"/>
    </row>
    <row r="9365" spans="32:32" x14ac:dyDescent="0.2">
      <c r="AF9365" s="12"/>
    </row>
    <row r="9366" spans="32:32" x14ac:dyDescent="0.2">
      <c r="AF9366" s="12"/>
    </row>
    <row r="9367" spans="32:32" x14ac:dyDescent="0.2">
      <c r="AF9367" s="12"/>
    </row>
    <row r="9368" spans="32:32" x14ac:dyDescent="0.2">
      <c r="AF9368" s="12"/>
    </row>
    <row r="9369" spans="32:32" x14ac:dyDescent="0.2">
      <c r="AF9369" s="12"/>
    </row>
    <row r="9370" spans="32:32" x14ac:dyDescent="0.2">
      <c r="AF9370" s="12"/>
    </row>
    <row r="9371" spans="32:32" x14ac:dyDescent="0.2">
      <c r="AF9371" s="12"/>
    </row>
    <row r="9372" spans="32:32" x14ac:dyDescent="0.2">
      <c r="AF9372" s="12"/>
    </row>
    <row r="9373" spans="32:32" x14ac:dyDescent="0.2">
      <c r="AF9373" s="12"/>
    </row>
    <row r="9374" spans="32:32" x14ac:dyDescent="0.2">
      <c r="AF9374" s="12"/>
    </row>
    <row r="9375" spans="32:32" x14ac:dyDescent="0.2">
      <c r="AF9375" s="12"/>
    </row>
    <row r="9376" spans="32:32" x14ac:dyDescent="0.2">
      <c r="AF9376" s="12"/>
    </row>
    <row r="9377" spans="32:32" x14ac:dyDescent="0.2">
      <c r="AF9377" s="12"/>
    </row>
    <row r="9378" spans="32:32" x14ac:dyDescent="0.2">
      <c r="AF9378" s="12"/>
    </row>
    <row r="9379" spans="32:32" x14ac:dyDescent="0.2">
      <c r="AF9379" s="12"/>
    </row>
    <row r="9380" spans="32:32" x14ac:dyDescent="0.2">
      <c r="AF9380" s="12"/>
    </row>
    <row r="9381" spans="32:32" x14ac:dyDescent="0.2">
      <c r="AF9381" s="12"/>
    </row>
    <row r="9382" spans="32:32" x14ac:dyDescent="0.2">
      <c r="AF9382" s="12"/>
    </row>
    <row r="9383" spans="32:32" x14ac:dyDescent="0.2">
      <c r="AF9383" s="12"/>
    </row>
    <row r="9384" spans="32:32" x14ac:dyDescent="0.2">
      <c r="AF9384" s="12"/>
    </row>
    <row r="9385" spans="32:32" x14ac:dyDescent="0.2">
      <c r="AF9385" s="12"/>
    </row>
    <row r="9386" spans="32:32" x14ac:dyDescent="0.2">
      <c r="AF9386" s="12"/>
    </row>
    <row r="9387" spans="32:32" x14ac:dyDescent="0.2">
      <c r="AF9387" s="12"/>
    </row>
    <row r="9388" spans="32:32" x14ac:dyDescent="0.2">
      <c r="AF9388" s="12"/>
    </row>
    <row r="9389" spans="32:32" x14ac:dyDescent="0.2">
      <c r="AF9389" s="12"/>
    </row>
    <row r="9390" spans="32:32" x14ac:dyDescent="0.2">
      <c r="AF9390" s="12"/>
    </row>
    <row r="9391" spans="32:32" x14ac:dyDescent="0.2">
      <c r="AF9391" s="12"/>
    </row>
    <row r="9392" spans="32:32" x14ac:dyDescent="0.2">
      <c r="AF9392" s="12"/>
    </row>
    <row r="9393" spans="32:32" x14ac:dyDescent="0.2">
      <c r="AF9393" s="12"/>
    </row>
    <row r="9394" spans="32:32" x14ac:dyDescent="0.2">
      <c r="AF9394" s="12"/>
    </row>
    <row r="9395" spans="32:32" x14ac:dyDescent="0.2">
      <c r="AF9395" s="12"/>
    </row>
    <row r="9396" spans="32:32" x14ac:dyDescent="0.2">
      <c r="AF9396" s="12"/>
    </row>
    <row r="9397" spans="32:32" x14ac:dyDescent="0.2">
      <c r="AF9397" s="12"/>
    </row>
    <row r="9398" spans="32:32" x14ac:dyDescent="0.2">
      <c r="AF9398" s="12"/>
    </row>
    <row r="9399" spans="32:32" x14ac:dyDescent="0.2">
      <c r="AF9399" s="12"/>
    </row>
    <row r="9400" spans="32:32" x14ac:dyDescent="0.2">
      <c r="AF9400" s="12"/>
    </row>
    <row r="9401" spans="32:32" x14ac:dyDescent="0.2">
      <c r="AF9401" s="12"/>
    </row>
    <row r="9402" spans="32:32" x14ac:dyDescent="0.2">
      <c r="AF9402" s="12"/>
    </row>
    <row r="9403" spans="32:32" x14ac:dyDescent="0.2">
      <c r="AF9403" s="12"/>
    </row>
    <row r="9404" spans="32:32" x14ac:dyDescent="0.2">
      <c r="AF9404" s="12"/>
    </row>
    <row r="9405" spans="32:32" x14ac:dyDescent="0.2">
      <c r="AF9405" s="12"/>
    </row>
    <row r="9406" spans="32:32" x14ac:dyDescent="0.2">
      <c r="AF9406" s="12"/>
    </row>
    <row r="9407" spans="32:32" x14ac:dyDescent="0.2">
      <c r="AF9407" s="12"/>
    </row>
    <row r="9408" spans="32:32" x14ac:dyDescent="0.2">
      <c r="AF9408" s="12"/>
    </row>
    <row r="9409" spans="32:32" x14ac:dyDescent="0.2">
      <c r="AF9409" s="12"/>
    </row>
    <row r="9410" spans="32:32" x14ac:dyDescent="0.2">
      <c r="AF9410" s="12"/>
    </row>
    <row r="9411" spans="32:32" x14ac:dyDescent="0.2">
      <c r="AF9411" s="12"/>
    </row>
    <row r="9412" spans="32:32" x14ac:dyDescent="0.2">
      <c r="AF9412" s="12"/>
    </row>
    <row r="9413" spans="32:32" x14ac:dyDescent="0.2">
      <c r="AF9413" s="12"/>
    </row>
    <row r="9414" spans="32:32" x14ac:dyDescent="0.2">
      <c r="AF9414" s="12"/>
    </row>
    <row r="9415" spans="32:32" x14ac:dyDescent="0.2">
      <c r="AF9415" s="12"/>
    </row>
    <row r="9416" spans="32:32" x14ac:dyDescent="0.2">
      <c r="AF9416" s="12"/>
    </row>
    <row r="9417" spans="32:32" x14ac:dyDescent="0.2">
      <c r="AF9417" s="12"/>
    </row>
    <row r="9418" spans="32:32" x14ac:dyDescent="0.2">
      <c r="AF9418" s="12"/>
    </row>
    <row r="9419" spans="32:32" x14ac:dyDescent="0.2">
      <c r="AF9419" s="12"/>
    </row>
    <row r="9420" spans="32:32" x14ac:dyDescent="0.2">
      <c r="AF9420" s="12"/>
    </row>
    <row r="9421" spans="32:32" x14ac:dyDescent="0.2">
      <c r="AF9421" s="12"/>
    </row>
    <row r="9422" spans="32:32" x14ac:dyDescent="0.2">
      <c r="AF9422" s="12"/>
    </row>
    <row r="9423" spans="32:32" x14ac:dyDescent="0.2">
      <c r="AF9423" s="12"/>
    </row>
    <row r="9424" spans="32:32" x14ac:dyDescent="0.2">
      <c r="AF9424" s="12"/>
    </row>
    <row r="9425" spans="32:32" x14ac:dyDescent="0.2">
      <c r="AF9425" s="12"/>
    </row>
    <row r="9426" spans="32:32" x14ac:dyDescent="0.2">
      <c r="AF9426" s="12"/>
    </row>
    <row r="9427" spans="32:32" x14ac:dyDescent="0.2">
      <c r="AF9427" s="12"/>
    </row>
    <row r="9428" spans="32:32" x14ac:dyDescent="0.2">
      <c r="AF9428" s="12"/>
    </row>
    <row r="9429" spans="32:32" x14ac:dyDescent="0.2">
      <c r="AF9429" s="12"/>
    </row>
    <row r="9430" spans="32:32" x14ac:dyDescent="0.2">
      <c r="AF9430" s="12"/>
    </row>
    <row r="9431" spans="32:32" x14ac:dyDescent="0.2">
      <c r="AF9431" s="12"/>
    </row>
    <row r="9432" spans="32:32" x14ac:dyDescent="0.2">
      <c r="AF9432" s="12"/>
    </row>
    <row r="9433" spans="32:32" x14ac:dyDescent="0.2">
      <c r="AF9433" s="12"/>
    </row>
    <row r="9434" spans="32:32" x14ac:dyDescent="0.2">
      <c r="AF9434" s="12"/>
    </row>
    <row r="9435" spans="32:32" x14ac:dyDescent="0.2">
      <c r="AF9435" s="12"/>
    </row>
    <row r="9436" spans="32:32" x14ac:dyDescent="0.2">
      <c r="AF9436" s="12"/>
    </row>
    <row r="9437" spans="32:32" x14ac:dyDescent="0.2">
      <c r="AF9437" s="12"/>
    </row>
    <row r="9438" spans="32:32" x14ac:dyDescent="0.2">
      <c r="AF9438" s="12"/>
    </row>
    <row r="9439" spans="32:32" x14ac:dyDescent="0.2">
      <c r="AF9439" s="12"/>
    </row>
    <row r="9440" spans="32:32" x14ac:dyDescent="0.2">
      <c r="AF9440" s="12"/>
    </row>
    <row r="9441" spans="32:32" x14ac:dyDescent="0.2">
      <c r="AF9441" s="12"/>
    </row>
    <row r="9442" spans="32:32" x14ac:dyDescent="0.2">
      <c r="AF9442" s="12"/>
    </row>
    <row r="9443" spans="32:32" x14ac:dyDescent="0.2">
      <c r="AF9443" s="12"/>
    </row>
    <row r="9444" spans="32:32" x14ac:dyDescent="0.2">
      <c r="AF9444" s="12"/>
    </row>
    <row r="9445" spans="32:32" x14ac:dyDescent="0.2">
      <c r="AF9445" s="12"/>
    </row>
    <row r="9446" spans="32:32" x14ac:dyDescent="0.2">
      <c r="AF9446" s="12"/>
    </row>
    <row r="9447" spans="32:32" x14ac:dyDescent="0.2">
      <c r="AF9447" s="12"/>
    </row>
    <row r="9448" spans="32:32" x14ac:dyDescent="0.2">
      <c r="AF9448" s="12"/>
    </row>
    <row r="9449" spans="32:32" x14ac:dyDescent="0.2">
      <c r="AF9449" s="12"/>
    </row>
    <row r="9450" spans="32:32" x14ac:dyDescent="0.2">
      <c r="AF9450" s="12"/>
    </row>
    <row r="9451" spans="32:32" x14ac:dyDescent="0.2">
      <c r="AF9451" s="12"/>
    </row>
    <row r="9452" spans="32:32" x14ac:dyDescent="0.2">
      <c r="AF9452" s="12"/>
    </row>
    <row r="9453" spans="32:32" x14ac:dyDescent="0.2">
      <c r="AF9453" s="12"/>
    </row>
    <row r="9454" spans="32:32" x14ac:dyDescent="0.2">
      <c r="AF9454" s="12"/>
    </row>
    <row r="9455" spans="32:32" x14ac:dyDescent="0.2">
      <c r="AF9455" s="12"/>
    </row>
    <row r="9456" spans="32:32" x14ac:dyDescent="0.2">
      <c r="AF9456" s="12"/>
    </row>
    <row r="9457" spans="32:32" x14ac:dyDescent="0.2">
      <c r="AF9457" s="12"/>
    </row>
    <row r="9458" spans="32:32" x14ac:dyDescent="0.2">
      <c r="AF9458" s="12"/>
    </row>
    <row r="9459" spans="32:32" x14ac:dyDescent="0.2">
      <c r="AF9459" s="12"/>
    </row>
    <row r="9460" spans="32:32" x14ac:dyDescent="0.2">
      <c r="AF9460" s="12"/>
    </row>
    <row r="9461" spans="32:32" x14ac:dyDescent="0.2">
      <c r="AF9461" s="12"/>
    </row>
    <row r="9462" spans="32:32" x14ac:dyDescent="0.2">
      <c r="AF9462" s="12"/>
    </row>
    <row r="9463" spans="32:32" x14ac:dyDescent="0.2">
      <c r="AF9463" s="12"/>
    </row>
    <row r="9464" spans="32:32" x14ac:dyDescent="0.2">
      <c r="AF9464" s="12"/>
    </row>
    <row r="9465" spans="32:32" x14ac:dyDescent="0.2">
      <c r="AF9465" s="12"/>
    </row>
    <row r="9466" spans="32:32" x14ac:dyDescent="0.2">
      <c r="AF9466" s="12"/>
    </row>
    <row r="9467" spans="32:32" x14ac:dyDescent="0.2">
      <c r="AF9467" s="12"/>
    </row>
    <row r="9468" spans="32:32" x14ac:dyDescent="0.2">
      <c r="AF9468" s="12"/>
    </row>
    <row r="9469" spans="32:32" x14ac:dyDescent="0.2">
      <c r="AF9469" s="12"/>
    </row>
    <row r="9470" spans="32:32" x14ac:dyDescent="0.2">
      <c r="AF9470" s="12"/>
    </row>
    <row r="9471" spans="32:32" x14ac:dyDescent="0.2">
      <c r="AF9471" s="12"/>
    </row>
    <row r="9472" spans="32:32" x14ac:dyDescent="0.2">
      <c r="AF9472" s="12"/>
    </row>
    <row r="9473" spans="32:32" x14ac:dyDescent="0.2">
      <c r="AF9473" s="12"/>
    </row>
    <row r="9474" spans="32:32" x14ac:dyDescent="0.2">
      <c r="AF9474" s="12"/>
    </row>
    <row r="9475" spans="32:32" x14ac:dyDescent="0.2">
      <c r="AF9475" s="12"/>
    </row>
    <row r="9476" spans="32:32" x14ac:dyDescent="0.2">
      <c r="AF9476" s="12"/>
    </row>
    <row r="9477" spans="32:32" x14ac:dyDescent="0.2">
      <c r="AF9477" s="12"/>
    </row>
    <row r="9478" spans="32:32" x14ac:dyDescent="0.2">
      <c r="AF9478" s="12"/>
    </row>
    <row r="9479" spans="32:32" x14ac:dyDescent="0.2">
      <c r="AF9479" s="12"/>
    </row>
    <row r="9480" spans="32:32" x14ac:dyDescent="0.2">
      <c r="AF9480" s="12"/>
    </row>
    <row r="9481" spans="32:32" x14ac:dyDescent="0.2">
      <c r="AF9481" s="12"/>
    </row>
    <row r="9482" spans="32:32" x14ac:dyDescent="0.2">
      <c r="AF9482" s="12"/>
    </row>
    <row r="9483" spans="32:32" x14ac:dyDescent="0.2">
      <c r="AF9483" s="12"/>
    </row>
    <row r="9484" spans="32:32" x14ac:dyDescent="0.2">
      <c r="AF9484" s="12"/>
    </row>
    <row r="9485" spans="32:32" x14ac:dyDescent="0.2">
      <c r="AF9485" s="12"/>
    </row>
    <row r="9486" spans="32:32" x14ac:dyDescent="0.2">
      <c r="AF9486" s="12"/>
    </row>
    <row r="9487" spans="32:32" x14ac:dyDescent="0.2">
      <c r="AF9487" s="12"/>
    </row>
    <row r="9488" spans="32:32" x14ac:dyDescent="0.2">
      <c r="AF9488" s="12"/>
    </row>
    <row r="9489" spans="32:32" x14ac:dyDescent="0.2">
      <c r="AF9489" s="12"/>
    </row>
    <row r="9490" spans="32:32" x14ac:dyDescent="0.2">
      <c r="AF9490" s="12"/>
    </row>
    <row r="9491" spans="32:32" x14ac:dyDescent="0.2">
      <c r="AF9491" s="12"/>
    </row>
    <row r="9492" spans="32:32" x14ac:dyDescent="0.2">
      <c r="AF9492" s="12"/>
    </row>
    <row r="9493" spans="32:32" x14ac:dyDescent="0.2">
      <c r="AF9493" s="12"/>
    </row>
    <row r="9494" spans="32:32" x14ac:dyDescent="0.2">
      <c r="AF9494" s="12"/>
    </row>
    <row r="9495" spans="32:32" x14ac:dyDescent="0.2">
      <c r="AF9495" s="12"/>
    </row>
    <row r="9496" spans="32:32" x14ac:dyDescent="0.2">
      <c r="AF9496" s="12"/>
    </row>
    <row r="9497" spans="32:32" x14ac:dyDescent="0.2">
      <c r="AF9497" s="12"/>
    </row>
    <row r="9498" spans="32:32" x14ac:dyDescent="0.2">
      <c r="AF9498" s="12"/>
    </row>
    <row r="9499" spans="32:32" x14ac:dyDescent="0.2">
      <c r="AF9499" s="12"/>
    </row>
    <row r="9500" spans="32:32" x14ac:dyDescent="0.2">
      <c r="AF9500" s="12"/>
    </row>
    <row r="9501" spans="32:32" x14ac:dyDescent="0.2">
      <c r="AF9501" s="12"/>
    </row>
    <row r="9502" spans="32:32" x14ac:dyDescent="0.2">
      <c r="AF9502" s="12"/>
    </row>
    <row r="9503" spans="32:32" x14ac:dyDescent="0.2">
      <c r="AF9503" s="12"/>
    </row>
    <row r="9504" spans="32:32" x14ac:dyDescent="0.2">
      <c r="AF9504" s="12"/>
    </row>
    <row r="9505" spans="32:32" x14ac:dyDescent="0.2">
      <c r="AF9505" s="12"/>
    </row>
    <row r="9506" spans="32:32" x14ac:dyDescent="0.2">
      <c r="AF9506" s="12"/>
    </row>
    <row r="9507" spans="32:32" x14ac:dyDescent="0.2">
      <c r="AF9507" s="12"/>
    </row>
    <row r="9508" spans="32:32" x14ac:dyDescent="0.2">
      <c r="AF9508" s="12"/>
    </row>
    <row r="9509" spans="32:32" x14ac:dyDescent="0.2">
      <c r="AF9509" s="12"/>
    </row>
    <row r="9510" spans="32:32" x14ac:dyDescent="0.2">
      <c r="AF9510" s="12"/>
    </row>
    <row r="9511" spans="32:32" x14ac:dyDescent="0.2">
      <c r="AF9511" s="12"/>
    </row>
    <row r="9512" spans="32:32" x14ac:dyDescent="0.2">
      <c r="AF9512" s="12"/>
    </row>
    <row r="9513" spans="32:32" x14ac:dyDescent="0.2">
      <c r="AF9513" s="12"/>
    </row>
    <row r="9514" spans="32:32" x14ac:dyDescent="0.2">
      <c r="AF9514" s="12"/>
    </row>
    <row r="9515" spans="32:32" x14ac:dyDescent="0.2">
      <c r="AF9515" s="12"/>
    </row>
    <row r="9516" spans="32:32" x14ac:dyDescent="0.2">
      <c r="AF9516" s="12"/>
    </row>
    <row r="9517" spans="32:32" x14ac:dyDescent="0.2">
      <c r="AF9517" s="12"/>
    </row>
    <row r="9518" spans="32:32" x14ac:dyDescent="0.2">
      <c r="AF9518" s="12"/>
    </row>
    <row r="9519" spans="32:32" x14ac:dyDescent="0.2">
      <c r="AF9519" s="12"/>
    </row>
    <row r="9520" spans="32:32" x14ac:dyDescent="0.2">
      <c r="AF9520" s="12"/>
    </row>
    <row r="9521" spans="32:32" x14ac:dyDescent="0.2">
      <c r="AF9521" s="12"/>
    </row>
    <row r="9522" spans="32:32" x14ac:dyDescent="0.2">
      <c r="AF9522" s="12"/>
    </row>
    <row r="9523" spans="32:32" x14ac:dyDescent="0.2">
      <c r="AF9523" s="12"/>
    </row>
    <row r="9524" spans="32:32" x14ac:dyDescent="0.2">
      <c r="AF9524" s="12"/>
    </row>
    <row r="9525" spans="32:32" x14ac:dyDescent="0.2">
      <c r="AF9525" s="12"/>
    </row>
    <row r="9526" spans="32:32" x14ac:dyDescent="0.2">
      <c r="AF9526" s="12"/>
    </row>
    <row r="9527" spans="32:32" x14ac:dyDescent="0.2">
      <c r="AF9527" s="12"/>
    </row>
    <row r="9528" spans="32:32" x14ac:dyDescent="0.2">
      <c r="AF9528" s="12"/>
    </row>
    <row r="9529" spans="32:32" x14ac:dyDescent="0.2">
      <c r="AF9529" s="12"/>
    </row>
    <row r="9530" spans="32:32" x14ac:dyDescent="0.2">
      <c r="AF9530" s="12"/>
    </row>
    <row r="9531" spans="32:32" x14ac:dyDescent="0.2">
      <c r="AF9531" s="12"/>
    </row>
    <row r="9532" spans="32:32" x14ac:dyDescent="0.2">
      <c r="AF9532" s="12"/>
    </row>
    <row r="9533" spans="32:32" x14ac:dyDescent="0.2">
      <c r="AF9533" s="12"/>
    </row>
    <row r="9534" spans="32:32" x14ac:dyDescent="0.2">
      <c r="AF9534" s="12"/>
    </row>
    <row r="9535" spans="32:32" x14ac:dyDescent="0.2">
      <c r="AF9535" s="12"/>
    </row>
    <row r="9536" spans="32:32" x14ac:dyDescent="0.2">
      <c r="AF9536" s="12"/>
    </row>
    <row r="9537" spans="32:32" x14ac:dyDescent="0.2">
      <c r="AF9537" s="12"/>
    </row>
    <row r="9538" spans="32:32" x14ac:dyDescent="0.2">
      <c r="AF9538" s="12"/>
    </row>
    <row r="9539" spans="32:32" x14ac:dyDescent="0.2">
      <c r="AF9539" s="12"/>
    </row>
    <row r="9540" spans="32:32" x14ac:dyDescent="0.2">
      <c r="AF9540" s="12"/>
    </row>
    <row r="9541" spans="32:32" x14ac:dyDescent="0.2">
      <c r="AF9541" s="12"/>
    </row>
    <row r="9542" spans="32:32" x14ac:dyDescent="0.2">
      <c r="AF9542" s="12"/>
    </row>
    <row r="9543" spans="32:32" x14ac:dyDescent="0.2">
      <c r="AF9543" s="12"/>
    </row>
    <row r="9544" spans="32:32" x14ac:dyDescent="0.2">
      <c r="AF9544" s="12"/>
    </row>
    <row r="9545" spans="32:32" x14ac:dyDescent="0.2">
      <c r="AF9545" s="12"/>
    </row>
    <row r="9546" spans="32:32" x14ac:dyDescent="0.2">
      <c r="AF9546" s="12"/>
    </row>
    <row r="9547" spans="32:32" x14ac:dyDescent="0.2">
      <c r="AF9547" s="12"/>
    </row>
    <row r="9548" spans="32:32" x14ac:dyDescent="0.2">
      <c r="AF9548" s="12"/>
    </row>
    <row r="9549" spans="32:32" x14ac:dyDescent="0.2">
      <c r="AF9549" s="12"/>
    </row>
    <row r="9550" spans="32:32" x14ac:dyDescent="0.2">
      <c r="AF9550" s="12"/>
    </row>
    <row r="9551" spans="32:32" x14ac:dyDescent="0.2">
      <c r="AF9551" s="12"/>
    </row>
    <row r="9552" spans="32:32" x14ac:dyDescent="0.2">
      <c r="AF9552" s="12"/>
    </row>
    <row r="9553" spans="32:32" x14ac:dyDescent="0.2">
      <c r="AF9553" s="12"/>
    </row>
    <row r="9554" spans="32:32" x14ac:dyDescent="0.2">
      <c r="AF9554" s="12"/>
    </row>
    <row r="9555" spans="32:32" x14ac:dyDescent="0.2">
      <c r="AF9555" s="12"/>
    </row>
    <row r="9556" spans="32:32" x14ac:dyDescent="0.2">
      <c r="AF9556" s="12"/>
    </row>
    <row r="9557" spans="32:32" x14ac:dyDescent="0.2">
      <c r="AF9557" s="12"/>
    </row>
    <row r="9558" spans="32:32" x14ac:dyDescent="0.2">
      <c r="AF9558" s="12"/>
    </row>
    <row r="9559" spans="32:32" x14ac:dyDescent="0.2">
      <c r="AF9559" s="12"/>
    </row>
    <row r="9560" spans="32:32" x14ac:dyDescent="0.2">
      <c r="AF9560" s="12"/>
    </row>
    <row r="9561" spans="32:32" x14ac:dyDescent="0.2">
      <c r="AF9561" s="12"/>
    </row>
    <row r="9562" spans="32:32" x14ac:dyDescent="0.2">
      <c r="AF9562" s="12"/>
    </row>
    <row r="9563" spans="32:32" x14ac:dyDescent="0.2">
      <c r="AF9563" s="12"/>
    </row>
    <row r="9564" spans="32:32" x14ac:dyDescent="0.2">
      <c r="AF9564" s="12"/>
    </row>
    <row r="9565" spans="32:32" x14ac:dyDescent="0.2">
      <c r="AF9565" s="12"/>
    </row>
    <row r="9566" spans="32:32" x14ac:dyDescent="0.2">
      <c r="AF9566" s="12"/>
    </row>
    <row r="9567" spans="32:32" x14ac:dyDescent="0.2">
      <c r="AF9567" s="12"/>
    </row>
    <row r="9568" spans="32:32" x14ac:dyDescent="0.2">
      <c r="AF9568" s="12"/>
    </row>
    <row r="9569" spans="32:32" x14ac:dyDescent="0.2">
      <c r="AF9569" s="12"/>
    </row>
    <row r="9570" spans="32:32" x14ac:dyDescent="0.2">
      <c r="AF9570" s="12"/>
    </row>
    <row r="9571" spans="32:32" x14ac:dyDescent="0.2">
      <c r="AF9571" s="12"/>
    </row>
    <row r="9572" spans="32:32" x14ac:dyDescent="0.2">
      <c r="AF9572" s="12"/>
    </row>
    <row r="9573" spans="32:32" x14ac:dyDescent="0.2">
      <c r="AF9573" s="12"/>
    </row>
    <row r="9574" spans="32:32" x14ac:dyDescent="0.2">
      <c r="AF9574" s="12"/>
    </row>
    <row r="9575" spans="32:32" x14ac:dyDescent="0.2">
      <c r="AF9575" s="12"/>
    </row>
    <row r="9576" spans="32:32" x14ac:dyDescent="0.2">
      <c r="AF9576" s="12"/>
    </row>
    <row r="9577" spans="32:32" x14ac:dyDescent="0.2">
      <c r="AF9577" s="12"/>
    </row>
    <row r="9578" spans="32:32" x14ac:dyDescent="0.2">
      <c r="AF9578" s="12"/>
    </row>
    <row r="9579" spans="32:32" x14ac:dyDescent="0.2">
      <c r="AF9579" s="12"/>
    </row>
    <row r="9580" spans="32:32" x14ac:dyDescent="0.2">
      <c r="AF9580" s="12"/>
    </row>
    <row r="9581" spans="32:32" x14ac:dyDescent="0.2">
      <c r="AF9581" s="12"/>
    </row>
    <row r="9582" spans="32:32" x14ac:dyDescent="0.2">
      <c r="AF9582" s="12"/>
    </row>
    <row r="9583" spans="32:32" x14ac:dyDescent="0.2">
      <c r="AF9583" s="12"/>
    </row>
    <row r="9584" spans="32:32" x14ac:dyDescent="0.2">
      <c r="AF9584" s="12"/>
    </row>
    <row r="9585" spans="32:32" x14ac:dyDescent="0.2">
      <c r="AF9585" s="12"/>
    </row>
    <row r="9586" spans="32:32" x14ac:dyDescent="0.2">
      <c r="AF9586" s="12"/>
    </row>
    <row r="9587" spans="32:32" x14ac:dyDescent="0.2">
      <c r="AF9587" s="12"/>
    </row>
    <row r="9588" spans="32:32" x14ac:dyDescent="0.2">
      <c r="AF9588" s="12"/>
    </row>
    <row r="9589" spans="32:32" x14ac:dyDescent="0.2">
      <c r="AF9589" s="12"/>
    </row>
    <row r="9590" spans="32:32" x14ac:dyDescent="0.2">
      <c r="AF9590" s="12"/>
    </row>
    <row r="9591" spans="32:32" x14ac:dyDescent="0.2">
      <c r="AF9591" s="12"/>
    </row>
    <row r="9592" spans="32:32" x14ac:dyDescent="0.2">
      <c r="AF9592" s="12"/>
    </row>
    <row r="9593" spans="32:32" x14ac:dyDescent="0.2">
      <c r="AF9593" s="12"/>
    </row>
    <row r="9594" spans="32:32" x14ac:dyDescent="0.2">
      <c r="AF9594" s="12"/>
    </row>
    <row r="9595" spans="32:32" x14ac:dyDescent="0.2">
      <c r="AF9595" s="12"/>
    </row>
    <row r="9596" spans="32:32" x14ac:dyDescent="0.2">
      <c r="AF9596" s="12"/>
    </row>
    <row r="9597" spans="32:32" x14ac:dyDescent="0.2">
      <c r="AF9597" s="12"/>
    </row>
    <row r="9598" spans="32:32" x14ac:dyDescent="0.2">
      <c r="AF9598" s="12"/>
    </row>
    <row r="9599" spans="32:32" x14ac:dyDescent="0.2">
      <c r="AF9599" s="12"/>
    </row>
    <row r="9600" spans="32:32" x14ac:dyDescent="0.2">
      <c r="AF9600" s="12"/>
    </row>
    <row r="9601" spans="32:32" x14ac:dyDescent="0.2">
      <c r="AF9601" s="12"/>
    </row>
    <row r="9602" spans="32:32" x14ac:dyDescent="0.2">
      <c r="AF9602" s="12"/>
    </row>
    <row r="9603" spans="32:32" x14ac:dyDescent="0.2">
      <c r="AF9603" s="12"/>
    </row>
    <row r="9604" spans="32:32" x14ac:dyDescent="0.2">
      <c r="AF9604" s="12"/>
    </row>
    <row r="9605" spans="32:32" x14ac:dyDescent="0.2">
      <c r="AF9605" s="12"/>
    </row>
    <row r="9606" spans="32:32" x14ac:dyDescent="0.2">
      <c r="AF9606" s="12"/>
    </row>
    <row r="9607" spans="32:32" x14ac:dyDescent="0.2">
      <c r="AF9607" s="12"/>
    </row>
    <row r="9608" spans="32:32" x14ac:dyDescent="0.2">
      <c r="AF9608" s="12"/>
    </row>
    <row r="9609" spans="32:32" x14ac:dyDescent="0.2">
      <c r="AF9609" s="12"/>
    </row>
    <row r="9610" spans="32:32" x14ac:dyDescent="0.2">
      <c r="AF9610" s="12"/>
    </row>
    <row r="9611" spans="32:32" x14ac:dyDescent="0.2">
      <c r="AF9611" s="12"/>
    </row>
    <row r="9612" spans="32:32" x14ac:dyDescent="0.2">
      <c r="AF9612" s="12"/>
    </row>
    <row r="9613" spans="32:32" x14ac:dyDescent="0.2">
      <c r="AF9613" s="12"/>
    </row>
    <row r="9614" spans="32:32" x14ac:dyDescent="0.2">
      <c r="AF9614" s="12"/>
    </row>
    <row r="9615" spans="32:32" x14ac:dyDescent="0.2">
      <c r="AF9615" s="12"/>
    </row>
    <row r="9616" spans="32:32" x14ac:dyDescent="0.2">
      <c r="AF9616" s="12"/>
    </row>
    <row r="9617" spans="32:32" x14ac:dyDescent="0.2">
      <c r="AF9617" s="12"/>
    </row>
    <row r="9618" spans="32:32" x14ac:dyDescent="0.2">
      <c r="AF9618" s="12"/>
    </row>
    <row r="9619" spans="32:32" x14ac:dyDescent="0.2">
      <c r="AF9619" s="12"/>
    </row>
    <row r="9620" spans="32:32" x14ac:dyDescent="0.2">
      <c r="AF9620" s="12"/>
    </row>
    <row r="9621" spans="32:32" x14ac:dyDescent="0.2">
      <c r="AF9621" s="12"/>
    </row>
    <row r="9622" spans="32:32" x14ac:dyDescent="0.2">
      <c r="AF9622" s="12"/>
    </row>
    <row r="9623" spans="32:32" x14ac:dyDescent="0.2">
      <c r="AF9623" s="12"/>
    </row>
    <row r="9624" spans="32:32" x14ac:dyDescent="0.2">
      <c r="AF9624" s="12"/>
    </row>
    <row r="9625" spans="32:32" x14ac:dyDescent="0.2">
      <c r="AF9625" s="12"/>
    </row>
    <row r="9626" spans="32:32" x14ac:dyDescent="0.2">
      <c r="AF9626" s="12"/>
    </row>
    <row r="9627" spans="32:32" x14ac:dyDescent="0.2">
      <c r="AF9627" s="12"/>
    </row>
    <row r="9628" spans="32:32" x14ac:dyDescent="0.2">
      <c r="AF9628" s="12"/>
    </row>
    <row r="9629" spans="32:32" x14ac:dyDescent="0.2">
      <c r="AF9629" s="12"/>
    </row>
    <row r="9630" spans="32:32" x14ac:dyDescent="0.2">
      <c r="AF9630" s="12"/>
    </row>
    <row r="9631" spans="32:32" x14ac:dyDescent="0.2">
      <c r="AF9631" s="12"/>
    </row>
    <row r="9632" spans="32:32" x14ac:dyDescent="0.2">
      <c r="AF9632" s="12"/>
    </row>
    <row r="9633" spans="32:32" x14ac:dyDescent="0.2">
      <c r="AF9633" s="12"/>
    </row>
    <row r="9634" spans="32:32" x14ac:dyDescent="0.2">
      <c r="AF9634" s="12"/>
    </row>
    <row r="9635" spans="32:32" x14ac:dyDescent="0.2">
      <c r="AF9635" s="12"/>
    </row>
    <row r="9636" spans="32:32" x14ac:dyDescent="0.2">
      <c r="AF9636" s="12"/>
    </row>
    <row r="9637" spans="32:32" x14ac:dyDescent="0.2">
      <c r="AF9637" s="12"/>
    </row>
    <row r="9638" spans="32:32" x14ac:dyDescent="0.2">
      <c r="AF9638" s="12"/>
    </row>
    <row r="9639" spans="32:32" x14ac:dyDescent="0.2">
      <c r="AF9639" s="12"/>
    </row>
    <row r="9640" spans="32:32" x14ac:dyDescent="0.2">
      <c r="AF9640" s="12"/>
    </row>
    <row r="9641" spans="32:32" x14ac:dyDescent="0.2">
      <c r="AF9641" s="12"/>
    </row>
    <row r="9642" spans="32:32" x14ac:dyDescent="0.2">
      <c r="AF9642" s="12"/>
    </row>
    <row r="9643" spans="32:32" x14ac:dyDescent="0.2">
      <c r="AF9643" s="12"/>
    </row>
    <row r="9644" spans="32:32" x14ac:dyDescent="0.2">
      <c r="AF9644" s="12"/>
    </row>
    <row r="9645" spans="32:32" x14ac:dyDescent="0.2">
      <c r="AF9645" s="12"/>
    </row>
    <row r="9646" spans="32:32" x14ac:dyDescent="0.2">
      <c r="AF9646" s="12"/>
    </row>
    <row r="9647" spans="32:32" x14ac:dyDescent="0.2">
      <c r="AF9647" s="12"/>
    </row>
    <row r="9648" spans="32:32" x14ac:dyDescent="0.2">
      <c r="AF9648" s="12"/>
    </row>
    <row r="9649" spans="32:32" x14ac:dyDescent="0.2">
      <c r="AF9649" s="12"/>
    </row>
    <row r="9650" spans="32:32" x14ac:dyDescent="0.2">
      <c r="AF9650" s="12"/>
    </row>
    <row r="9651" spans="32:32" x14ac:dyDescent="0.2">
      <c r="AF9651" s="12"/>
    </row>
    <row r="9652" spans="32:32" x14ac:dyDescent="0.2">
      <c r="AF9652" s="12"/>
    </row>
    <row r="9653" spans="32:32" x14ac:dyDescent="0.2">
      <c r="AF9653" s="12"/>
    </row>
    <row r="9654" spans="32:32" x14ac:dyDescent="0.2">
      <c r="AF9654" s="12"/>
    </row>
    <row r="9655" spans="32:32" x14ac:dyDescent="0.2">
      <c r="AF9655" s="12"/>
    </row>
    <row r="9656" spans="32:32" x14ac:dyDescent="0.2">
      <c r="AF9656" s="12"/>
    </row>
    <row r="9657" spans="32:32" x14ac:dyDescent="0.2">
      <c r="AF9657" s="12"/>
    </row>
    <row r="9658" spans="32:32" x14ac:dyDescent="0.2">
      <c r="AF9658" s="12"/>
    </row>
    <row r="9659" spans="32:32" x14ac:dyDescent="0.2">
      <c r="AF9659" s="12"/>
    </row>
    <row r="9660" spans="32:32" x14ac:dyDescent="0.2">
      <c r="AF9660" s="12"/>
    </row>
    <row r="9661" spans="32:32" x14ac:dyDescent="0.2">
      <c r="AF9661" s="12"/>
    </row>
    <row r="9662" spans="32:32" x14ac:dyDescent="0.2">
      <c r="AF9662" s="12"/>
    </row>
    <row r="9663" spans="32:32" x14ac:dyDescent="0.2">
      <c r="AF9663" s="12"/>
    </row>
    <row r="9664" spans="32:32" x14ac:dyDescent="0.2">
      <c r="AF9664" s="12"/>
    </row>
    <row r="9665" spans="32:32" x14ac:dyDescent="0.2">
      <c r="AF9665" s="12"/>
    </row>
    <row r="9666" spans="32:32" x14ac:dyDescent="0.2">
      <c r="AF9666" s="12"/>
    </row>
    <row r="9667" spans="32:32" x14ac:dyDescent="0.2">
      <c r="AF9667" s="12"/>
    </row>
    <row r="9668" spans="32:32" x14ac:dyDescent="0.2">
      <c r="AF9668" s="12"/>
    </row>
    <row r="9669" spans="32:32" x14ac:dyDescent="0.2">
      <c r="AF9669" s="12"/>
    </row>
    <row r="9670" spans="32:32" x14ac:dyDescent="0.2">
      <c r="AF9670" s="12"/>
    </row>
    <row r="9671" spans="32:32" x14ac:dyDescent="0.2">
      <c r="AF9671" s="12"/>
    </row>
    <row r="9672" spans="32:32" x14ac:dyDescent="0.2">
      <c r="AF9672" s="12"/>
    </row>
    <row r="9673" spans="32:32" x14ac:dyDescent="0.2">
      <c r="AF9673" s="12"/>
    </row>
    <row r="9674" spans="32:32" x14ac:dyDescent="0.2">
      <c r="AF9674" s="12"/>
    </row>
    <row r="9675" spans="32:32" x14ac:dyDescent="0.2">
      <c r="AF9675" s="12"/>
    </row>
    <row r="9676" spans="32:32" x14ac:dyDescent="0.2">
      <c r="AF9676" s="12"/>
    </row>
    <row r="9677" spans="32:32" x14ac:dyDescent="0.2">
      <c r="AF9677" s="12"/>
    </row>
    <row r="9678" spans="32:32" x14ac:dyDescent="0.2">
      <c r="AF9678" s="12"/>
    </row>
    <row r="9679" spans="32:32" x14ac:dyDescent="0.2">
      <c r="AF9679" s="12"/>
    </row>
    <row r="9680" spans="32:32" x14ac:dyDescent="0.2">
      <c r="AF9680" s="12"/>
    </row>
    <row r="9681" spans="32:32" x14ac:dyDescent="0.2">
      <c r="AF9681" s="12"/>
    </row>
    <row r="9682" spans="32:32" x14ac:dyDescent="0.2">
      <c r="AF9682" s="12"/>
    </row>
    <row r="9683" spans="32:32" x14ac:dyDescent="0.2">
      <c r="AF9683" s="12"/>
    </row>
    <row r="9684" spans="32:32" x14ac:dyDescent="0.2">
      <c r="AF9684" s="12"/>
    </row>
    <row r="9685" spans="32:32" x14ac:dyDescent="0.2">
      <c r="AF9685" s="12"/>
    </row>
    <row r="9686" spans="32:32" x14ac:dyDescent="0.2">
      <c r="AF9686" s="12"/>
    </row>
    <row r="9687" spans="32:32" x14ac:dyDescent="0.2">
      <c r="AF9687" s="12"/>
    </row>
    <row r="9688" spans="32:32" x14ac:dyDescent="0.2">
      <c r="AF9688" s="12"/>
    </row>
    <row r="9689" spans="32:32" x14ac:dyDescent="0.2">
      <c r="AF9689" s="12"/>
    </row>
    <row r="9690" spans="32:32" x14ac:dyDescent="0.2">
      <c r="AF9690" s="12"/>
    </row>
    <row r="9691" spans="32:32" x14ac:dyDescent="0.2">
      <c r="AF9691" s="12"/>
    </row>
    <row r="9692" spans="32:32" x14ac:dyDescent="0.2">
      <c r="AF9692" s="12"/>
    </row>
    <row r="9693" spans="32:32" x14ac:dyDescent="0.2">
      <c r="AF9693" s="12"/>
    </row>
    <row r="9694" spans="32:32" x14ac:dyDescent="0.2">
      <c r="AF9694" s="12"/>
    </row>
    <row r="9695" spans="32:32" x14ac:dyDescent="0.2">
      <c r="AF9695" s="12"/>
    </row>
    <row r="9696" spans="32:32" x14ac:dyDescent="0.2">
      <c r="AF9696" s="12"/>
    </row>
    <row r="9697" spans="32:32" x14ac:dyDescent="0.2">
      <c r="AF9697" s="12"/>
    </row>
    <row r="9698" spans="32:32" x14ac:dyDescent="0.2">
      <c r="AF9698" s="12"/>
    </row>
    <row r="9699" spans="32:32" x14ac:dyDescent="0.2">
      <c r="AF9699" s="12"/>
    </row>
    <row r="9700" spans="32:32" x14ac:dyDescent="0.2">
      <c r="AF9700" s="12"/>
    </row>
    <row r="9701" spans="32:32" x14ac:dyDescent="0.2">
      <c r="AF9701" s="12"/>
    </row>
    <row r="9702" spans="32:32" x14ac:dyDescent="0.2">
      <c r="AF9702" s="12"/>
    </row>
    <row r="9703" spans="32:32" x14ac:dyDescent="0.2">
      <c r="AF9703" s="12"/>
    </row>
    <row r="9704" spans="32:32" x14ac:dyDescent="0.2">
      <c r="AF9704" s="12"/>
    </row>
    <row r="9705" spans="32:32" x14ac:dyDescent="0.2">
      <c r="AF9705" s="12"/>
    </row>
    <row r="9706" spans="32:32" x14ac:dyDescent="0.2">
      <c r="AF9706" s="12"/>
    </row>
    <row r="9707" spans="32:32" x14ac:dyDescent="0.2">
      <c r="AF9707" s="12"/>
    </row>
    <row r="9708" spans="32:32" x14ac:dyDescent="0.2">
      <c r="AF9708" s="12"/>
    </row>
    <row r="9709" spans="32:32" x14ac:dyDescent="0.2">
      <c r="AF9709" s="12"/>
    </row>
    <row r="9710" spans="32:32" x14ac:dyDescent="0.2">
      <c r="AF9710" s="12"/>
    </row>
    <row r="9711" spans="32:32" x14ac:dyDescent="0.2">
      <c r="AF9711" s="12"/>
    </row>
    <row r="9712" spans="32:32" x14ac:dyDescent="0.2">
      <c r="AF9712" s="12"/>
    </row>
    <row r="9713" spans="32:32" x14ac:dyDescent="0.2">
      <c r="AF9713" s="12"/>
    </row>
    <row r="9714" spans="32:32" x14ac:dyDescent="0.2">
      <c r="AF9714" s="12"/>
    </row>
    <row r="9715" spans="32:32" x14ac:dyDescent="0.2">
      <c r="AF9715" s="12"/>
    </row>
    <row r="9716" spans="32:32" x14ac:dyDescent="0.2">
      <c r="AF9716" s="12"/>
    </row>
    <row r="9717" spans="32:32" x14ac:dyDescent="0.2">
      <c r="AF9717" s="12"/>
    </row>
    <row r="9718" spans="32:32" x14ac:dyDescent="0.2">
      <c r="AF9718" s="12"/>
    </row>
    <row r="9719" spans="32:32" x14ac:dyDescent="0.2">
      <c r="AF9719" s="12"/>
    </row>
    <row r="9720" spans="32:32" x14ac:dyDescent="0.2">
      <c r="AF9720" s="12"/>
    </row>
    <row r="9721" spans="32:32" x14ac:dyDescent="0.2">
      <c r="AF9721" s="12"/>
    </row>
    <row r="9722" spans="32:32" x14ac:dyDescent="0.2">
      <c r="AF9722" s="12"/>
    </row>
    <row r="9723" spans="32:32" x14ac:dyDescent="0.2">
      <c r="AF9723" s="12"/>
    </row>
    <row r="9724" spans="32:32" x14ac:dyDescent="0.2">
      <c r="AF9724" s="12"/>
    </row>
    <row r="9725" spans="32:32" x14ac:dyDescent="0.2">
      <c r="AF9725" s="12"/>
    </row>
    <row r="9726" spans="32:32" x14ac:dyDescent="0.2">
      <c r="AF9726" s="12"/>
    </row>
    <row r="9727" spans="32:32" x14ac:dyDescent="0.2">
      <c r="AF9727" s="12"/>
    </row>
    <row r="9728" spans="32:32" x14ac:dyDescent="0.2">
      <c r="AF9728" s="12"/>
    </row>
    <row r="9729" spans="32:32" x14ac:dyDescent="0.2">
      <c r="AF9729" s="12"/>
    </row>
    <row r="9730" spans="32:32" x14ac:dyDescent="0.2">
      <c r="AF9730" s="12"/>
    </row>
    <row r="9731" spans="32:32" x14ac:dyDescent="0.2">
      <c r="AF9731" s="12"/>
    </row>
    <row r="9732" spans="32:32" x14ac:dyDescent="0.2">
      <c r="AF9732" s="12"/>
    </row>
    <row r="9733" spans="32:32" x14ac:dyDescent="0.2">
      <c r="AF9733" s="12"/>
    </row>
    <row r="9734" spans="32:32" x14ac:dyDescent="0.2">
      <c r="AF9734" s="12"/>
    </row>
    <row r="9735" spans="32:32" x14ac:dyDescent="0.2">
      <c r="AF9735" s="12"/>
    </row>
    <row r="9736" spans="32:32" x14ac:dyDescent="0.2">
      <c r="AF9736" s="12"/>
    </row>
    <row r="9737" spans="32:32" x14ac:dyDescent="0.2">
      <c r="AF9737" s="12"/>
    </row>
    <row r="9738" spans="32:32" x14ac:dyDescent="0.2">
      <c r="AF9738" s="12"/>
    </row>
    <row r="9739" spans="32:32" x14ac:dyDescent="0.2">
      <c r="AF9739" s="12"/>
    </row>
    <row r="9740" spans="32:32" x14ac:dyDescent="0.2">
      <c r="AF9740" s="12"/>
    </row>
    <row r="9741" spans="32:32" x14ac:dyDescent="0.2">
      <c r="AF9741" s="12"/>
    </row>
    <row r="9742" spans="32:32" x14ac:dyDescent="0.2">
      <c r="AF9742" s="12"/>
    </row>
    <row r="9743" spans="32:32" x14ac:dyDescent="0.2">
      <c r="AF9743" s="12"/>
    </row>
    <row r="9744" spans="32:32" x14ac:dyDescent="0.2">
      <c r="AF9744" s="12"/>
    </row>
    <row r="9745" spans="32:32" x14ac:dyDescent="0.2">
      <c r="AF9745" s="12"/>
    </row>
    <row r="9746" spans="32:32" x14ac:dyDescent="0.2">
      <c r="AF9746" s="12"/>
    </row>
    <row r="9747" spans="32:32" x14ac:dyDescent="0.2">
      <c r="AF9747" s="12"/>
    </row>
    <row r="9748" spans="32:32" x14ac:dyDescent="0.2">
      <c r="AF9748" s="12"/>
    </row>
    <row r="9749" spans="32:32" x14ac:dyDescent="0.2">
      <c r="AF9749" s="12"/>
    </row>
    <row r="9750" spans="32:32" x14ac:dyDescent="0.2">
      <c r="AF9750" s="12"/>
    </row>
    <row r="9751" spans="32:32" x14ac:dyDescent="0.2">
      <c r="AF9751" s="12"/>
    </row>
    <row r="9752" spans="32:32" x14ac:dyDescent="0.2">
      <c r="AF9752" s="12"/>
    </row>
    <row r="9753" spans="32:32" x14ac:dyDescent="0.2">
      <c r="AF9753" s="12"/>
    </row>
    <row r="9754" spans="32:32" x14ac:dyDescent="0.2">
      <c r="AF9754" s="12"/>
    </row>
    <row r="9755" spans="32:32" x14ac:dyDescent="0.2">
      <c r="AF9755" s="12"/>
    </row>
    <row r="9756" spans="32:32" x14ac:dyDescent="0.2">
      <c r="AF9756" s="12"/>
    </row>
    <row r="9757" spans="32:32" x14ac:dyDescent="0.2">
      <c r="AF9757" s="12"/>
    </row>
    <row r="9758" spans="32:32" x14ac:dyDescent="0.2">
      <c r="AF9758" s="12"/>
    </row>
    <row r="9759" spans="32:32" x14ac:dyDescent="0.2">
      <c r="AF9759" s="12"/>
    </row>
    <row r="9760" spans="32:32" x14ac:dyDescent="0.2">
      <c r="AF9760" s="12"/>
    </row>
    <row r="9761" spans="32:32" x14ac:dyDescent="0.2">
      <c r="AF9761" s="12"/>
    </row>
    <row r="9762" spans="32:32" x14ac:dyDescent="0.2">
      <c r="AF9762" s="12"/>
    </row>
    <row r="9763" spans="32:32" x14ac:dyDescent="0.2">
      <c r="AF9763" s="12"/>
    </row>
    <row r="9764" spans="32:32" x14ac:dyDescent="0.2">
      <c r="AF9764" s="12"/>
    </row>
    <row r="9765" spans="32:32" x14ac:dyDescent="0.2">
      <c r="AF9765" s="12"/>
    </row>
    <row r="9766" spans="32:32" x14ac:dyDescent="0.2">
      <c r="AF9766" s="12"/>
    </row>
    <row r="9767" spans="32:32" x14ac:dyDescent="0.2">
      <c r="AF9767" s="12"/>
    </row>
    <row r="9768" spans="32:32" x14ac:dyDescent="0.2">
      <c r="AF9768" s="12"/>
    </row>
    <row r="9769" spans="32:32" x14ac:dyDescent="0.2">
      <c r="AF9769" s="12"/>
    </row>
    <row r="9770" spans="32:32" x14ac:dyDescent="0.2">
      <c r="AF9770" s="12"/>
    </row>
    <row r="9771" spans="32:32" x14ac:dyDescent="0.2">
      <c r="AF9771" s="12"/>
    </row>
    <row r="9772" spans="32:32" x14ac:dyDescent="0.2">
      <c r="AF9772" s="12"/>
    </row>
    <row r="9773" spans="32:32" x14ac:dyDescent="0.2">
      <c r="AF9773" s="12"/>
    </row>
    <row r="9774" spans="32:32" x14ac:dyDescent="0.2">
      <c r="AF9774" s="12"/>
    </row>
    <row r="9775" spans="32:32" x14ac:dyDescent="0.2">
      <c r="AF9775" s="12"/>
    </row>
    <row r="9776" spans="32:32" x14ac:dyDescent="0.2">
      <c r="AF9776" s="12"/>
    </row>
    <row r="9777" spans="32:32" x14ac:dyDescent="0.2">
      <c r="AF9777" s="12"/>
    </row>
    <row r="9778" spans="32:32" x14ac:dyDescent="0.2">
      <c r="AF9778" s="12"/>
    </row>
    <row r="9779" spans="32:32" x14ac:dyDescent="0.2">
      <c r="AF9779" s="12"/>
    </row>
    <row r="9780" spans="32:32" x14ac:dyDescent="0.2">
      <c r="AF9780" s="12"/>
    </row>
    <row r="9781" spans="32:32" x14ac:dyDescent="0.2">
      <c r="AF9781" s="12"/>
    </row>
    <row r="9782" spans="32:32" x14ac:dyDescent="0.2">
      <c r="AF9782" s="12"/>
    </row>
    <row r="9783" spans="32:32" x14ac:dyDescent="0.2">
      <c r="AF9783" s="12"/>
    </row>
    <row r="9784" spans="32:32" x14ac:dyDescent="0.2">
      <c r="AF9784" s="12"/>
    </row>
    <row r="9785" spans="32:32" x14ac:dyDescent="0.2">
      <c r="AF9785" s="12"/>
    </row>
    <row r="9786" spans="32:32" x14ac:dyDescent="0.2">
      <c r="AF9786" s="12"/>
    </row>
    <row r="9787" spans="32:32" x14ac:dyDescent="0.2">
      <c r="AF9787" s="12"/>
    </row>
    <row r="9788" spans="32:32" x14ac:dyDescent="0.2">
      <c r="AF9788" s="12"/>
    </row>
    <row r="9789" spans="32:32" x14ac:dyDescent="0.2">
      <c r="AF9789" s="12"/>
    </row>
    <row r="9790" spans="32:32" x14ac:dyDescent="0.2">
      <c r="AF9790" s="12"/>
    </row>
    <row r="9791" spans="32:32" x14ac:dyDescent="0.2">
      <c r="AF9791" s="12"/>
    </row>
    <row r="9792" spans="32:32" x14ac:dyDescent="0.2">
      <c r="AF9792" s="12"/>
    </row>
    <row r="9793" spans="32:32" x14ac:dyDescent="0.2">
      <c r="AF9793" s="12"/>
    </row>
    <row r="9794" spans="32:32" x14ac:dyDescent="0.2">
      <c r="AF9794" s="12"/>
    </row>
    <row r="9795" spans="32:32" x14ac:dyDescent="0.2">
      <c r="AF9795" s="12"/>
    </row>
    <row r="9796" spans="32:32" x14ac:dyDescent="0.2">
      <c r="AF9796" s="12"/>
    </row>
    <row r="9797" spans="32:32" x14ac:dyDescent="0.2">
      <c r="AF9797" s="12"/>
    </row>
    <row r="9798" spans="32:32" x14ac:dyDescent="0.2">
      <c r="AF9798" s="12"/>
    </row>
    <row r="9799" spans="32:32" x14ac:dyDescent="0.2">
      <c r="AF9799" s="12"/>
    </row>
    <row r="9800" spans="32:32" x14ac:dyDescent="0.2">
      <c r="AF9800" s="12"/>
    </row>
    <row r="9801" spans="32:32" x14ac:dyDescent="0.2">
      <c r="AF9801" s="12"/>
    </row>
    <row r="9802" spans="32:32" x14ac:dyDescent="0.2">
      <c r="AF9802" s="12"/>
    </row>
    <row r="9803" spans="32:32" x14ac:dyDescent="0.2">
      <c r="AF9803" s="12"/>
    </row>
    <row r="9804" spans="32:32" x14ac:dyDescent="0.2">
      <c r="AF9804" s="12"/>
    </row>
    <row r="9805" spans="32:32" x14ac:dyDescent="0.2">
      <c r="AF9805" s="12"/>
    </row>
    <row r="9806" spans="32:32" x14ac:dyDescent="0.2">
      <c r="AF9806" s="12"/>
    </row>
    <row r="9807" spans="32:32" x14ac:dyDescent="0.2">
      <c r="AF9807" s="12"/>
    </row>
    <row r="9808" spans="32:32" x14ac:dyDescent="0.2">
      <c r="AF9808" s="12"/>
    </row>
    <row r="9809" spans="32:32" x14ac:dyDescent="0.2">
      <c r="AF9809" s="12"/>
    </row>
    <row r="9810" spans="32:32" x14ac:dyDescent="0.2">
      <c r="AF9810" s="12"/>
    </row>
    <row r="9811" spans="32:32" x14ac:dyDescent="0.2">
      <c r="AF9811" s="12"/>
    </row>
    <row r="9812" spans="32:32" x14ac:dyDescent="0.2">
      <c r="AF9812" s="12"/>
    </row>
    <row r="9813" spans="32:32" x14ac:dyDescent="0.2">
      <c r="AF9813" s="12"/>
    </row>
    <row r="9814" spans="32:32" x14ac:dyDescent="0.2">
      <c r="AF9814" s="12"/>
    </row>
    <row r="9815" spans="32:32" x14ac:dyDescent="0.2">
      <c r="AF9815" s="12"/>
    </row>
    <row r="9816" spans="32:32" x14ac:dyDescent="0.2">
      <c r="AF9816" s="12"/>
    </row>
    <row r="9817" spans="32:32" x14ac:dyDescent="0.2">
      <c r="AF9817" s="12"/>
    </row>
    <row r="9818" spans="32:32" x14ac:dyDescent="0.2">
      <c r="AF9818" s="12"/>
    </row>
    <row r="9819" spans="32:32" x14ac:dyDescent="0.2">
      <c r="AF9819" s="12"/>
    </row>
    <row r="9820" spans="32:32" x14ac:dyDescent="0.2">
      <c r="AF9820" s="12"/>
    </row>
    <row r="9821" spans="32:32" x14ac:dyDescent="0.2">
      <c r="AF9821" s="12"/>
    </row>
    <row r="9822" spans="32:32" x14ac:dyDescent="0.2">
      <c r="AF9822" s="12"/>
    </row>
    <row r="9823" spans="32:32" x14ac:dyDescent="0.2">
      <c r="AF9823" s="12"/>
    </row>
    <row r="9824" spans="32:32" x14ac:dyDescent="0.2">
      <c r="AF9824" s="12"/>
    </row>
    <row r="9825" spans="32:32" x14ac:dyDescent="0.2">
      <c r="AF9825" s="12"/>
    </row>
    <row r="9826" spans="32:32" x14ac:dyDescent="0.2">
      <c r="AF9826" s="12"/>
    </row>
    <row r="9827" spans="32:32" x14ac:dyDescent="0.2">
      <c r="AF9827" s="12"/>
    </row>
    <row r="9828" spans="32:32" x14ac:dyDescent="0.2">
      <c r="AF9828" s="12"/>
    </row>
    <row r="9829" spans="32:32" x14ac:dyDescent="0.2">
      <c r="AF9829" s="12"/>
    </row>
    <row r="9830" spans="32:32" x14ac:dyDescent="0.2">
      <c r="AF9830" s="12"/>
    </row>
    <row r="9831" spans="32:32" x14ac:dyDescent="0.2">
      <c r="AF9831" s="12"/>
    </row>
    <row r="9832" spans="32:32" x14ac:dyDescent="0.2">
      <c r="AF9832" s="12"/>
    </row>
    <row r="9833" spans="32:32" x14ac:dyDescent="0.2">
      <c r="AF9833" s="12"/>
    </row>
    <row r="9834" spans="32:32" x14ac:dyDescent="0.2">
      <c r="AF9834" s="12"/>
    </row>
    <row r="9835" spans="32:32" x14ac:dyDescent="0.2">
      <c r="AF9835" s="12"/>
    </row>
    <row r="9836" spans="32:32" x14ac:dyDescent="0.2">
      <c r="AF9836" s="12"/>
    </row>
    <row r="9837" spans="32:32" x14ac:dyDescent="0.2">
      <c r="AF9837" s="12"/>
    </row>
    <row r="9838" spans="32:32" x14ac:dyDescent="0.2">
      <c r="AF9838" s="12"/>
    </row>
    <row r="9839" spans="32:32" x14ac:dyDescent="0.2">
      <c r="AF9839" s="12"/>
    </row>
    <row r="9840" spans="32:32" x14ac:dyDescent="0.2">
      <c r="AF9840" s="12"/>
    </row>
    <row r="9841" spans="32:32" x14ac:dyDescent="0.2">
      <c r="AF9841" s="12"/>
    </row>
    <row r="9842" spans="32:32" x14ac:dyDescent="0.2">
      <c r="AF9842" s="12"/>
    </row>
    <row r="9843" spans="32:32" x14ac:dyDescent="0.2">
      <c r="AF9843" s="12"/>
    </row>
    <row r="9844" spans="32:32" x14ac:dyDescent="0.2">
      <c r="AF9844" s="12"/>
    </row>
    <row r="9845" spans="32:32" x14ac:dyDescent="0.2">
      <c r="AF9845" s="12"/>
    </row>
    <row r="9846" spans="32:32" x14ac:dyDescent="0.2">
      <c r="AF9846" s="12"/>
    </row>
    <row r="9847" spans="32:32" x14ac:dyDescent="0.2">
      <c r="AF9847" s="12"/>
    </row>
    <row r="9848" spans="32:32" x14ac:dyDescent="0.2">
      <c r="AF9848" s="12"/>
    </row>
    <row r="9849" spans="32:32" x14ac:dyDescent="0.2">
      <c r="AF9849" s="12"/>
    </row>
    <row r="9850" spans="32:32" x14ac:dyDescent="0.2">
      <c r="AF9850" s="12"/>
    </row>
    <row r="9851" spans="32:32" x14ac:dyDescent="0.2">
      <c r="AF9851" s="12"/>
    </row>
    <row r="9852" spans="32:32" x14ac:dyDescent="0.2">
      <c r="AF9852" s="12"/>
    </row>
    <row r="9853" spans="32:32" x14ac:dyDescent="0.2">
      <c r="AF9853" s="12"/>
    </row>
    <row r="9854" spans="32:32" x14ac:dyDescent="0.2">
      <c r="AF9854" s="12"/>
    </row>
    <row r="9855" spans="32:32" x14ac:dyDescent="0.2">
      <c r="AF9855" s="12"/>
    </row>
    <row r="9856" spans="32:32" x14ac:dyDescent="0.2">
      <c r="AF9856" s="12"/>
    </row>
    <row r="9857" spans="32:32" x14ac:dyDescent="0.2">
      <c r="AF9857" s="12"/>
    </row>
    <row r="9858" spans="32:32" x14ac:dyDescent="0.2">
      <c r="AF9858" s="12"/>
    </row>
    <row r="9859" spans="32:32" x14ac:dyDescent="0.2">
      <c r="AF9859" s="12"/>
    </row>
    <row r="9860" spans="32:32" x14ac:dyDescent="0.2">
      <c r="AF9860" s="12"/>
    </row>
    <row r="9861" spans="32:32" x14ac:dyDescent="0.2">
      <c r="AF9861" s="12"/>
    </row>
    <row r="9862" spans="32:32" x14ac:dyDescent="0.2">
      <c r="AF9862" s="12"/>
    </row>
    <row r="9863" spans="32:32" x14ac:dyDescent="0.2">
      <c r="AF9863" s="12"/>
    </row>
    <row r="9864" spans="32:32" x14ac:dyDescent="0.2">
      <c r="AF9864" s="12"/>
    </row>
    <row r="9865" spans="32:32" x14ac:dyDescent="0.2">
      <c r="AF9865" s="12"/>
    </row>
    <row r="9866" spans="32:32" x14ac:dyDescent="0.2">
      <c r="AF9866" s="12"/>
    </row>
    <row r="9867" spans="32:32" x14ac:dyDescent="0.2">
      <c r="AF9867" s="12"/>
    </row>
    <row r="9868" spans="32:32" x14ac:dyDescent="0.2">
      <c r="AF9868" s="12"/>
    </row>
    <row r="9869" spans="32:32" x14ac:dyDescent="0.2">
      <c r="AF9869" s="12"/>
    </row>
    <row r="9870" spans="32:32" x14ac:dyDescent="0.2">
      <c r="AF9870" s="12"/>
    </row>
    <row r="9871" spans="32:32" x14ac:dyDescent="0.2">
      <c r="AF9871" s="12"/>
    </row>
    <row r="9872" spans="32:32" x14ac:dyDescent="0.2">
      <c r="AF9872" s="12"/>
    </row>
    <row r="9873" spans="32:32" x14ac:dyDescent="0.2">
      <c r="AF9873" s="12"/>
    </row>
    <row r="9874" spans="32:32" x14ac:dyDescent="0.2">
      <c r="AF9874" s="12"/>
    </row>
    <row r="9875" spans="32:32" x14ac:dyDescent="0.2">
      <c r="AF9875" s="12"/>
    </row>
    <row r="9876" spans="32:32" x14ac:dyDescent="0.2">
      <c r="AF9876" s="12"/>
    </row>
    <row r="9877" spans="32:32" x14ac:dyDescent="0.2">
      <c r="AF9877" s="12"/>
    </row>
    <row r="9878" spans="32:32" x14ac:dyDescent="0.2">
      <c r="AF9878" s="12"/>
    </row>
    <row r="9879" spans="32:32" x14ac:dyDescent="0.2">
      <c r="AF9879" s="12"/>
    </row>
    <row r="9880" spans="32:32" x14ac:dyDescent="0.2">
      <c r="AF9880" s="12"/>
    </row>
    <row r="9881" spans="32:32" x14ac:dyDescent="0.2">
      <c r="AF9881" s="12"/>
    </row>
    <row r="9882" spans="32:32" x14ac:dyDescent="0.2">
      <c r="AF9882" s="12"/>
    </row>
    <row r="9883" spans="32:32" x14ac:dyDescent="0.2">
      <c r="AF9883" s="12"/>
    </row>
    <row r="9884" spans="32:32" x14ac:dyDescent="0.2">
      <c r="AF9884" s="12"/>
    </row>
    <row r="9885" spans="32:32" x14ac:dyDescent="0.2">
      <c r="AF9885" s="12"/>
    </row>
    <row r="9886" spans="32:32" x14ac:dyDescent="0.2">
      <c r="AF9886" s="12"/>
    </row>
    <row r="9887" spans="32:32" x14ac:dyDescent="0.2">
      <c r="AF9887" s="12"/>
    </row>
    <row r="9888" spans="32:32" x14ac:dyDescent="0.2">
      <c r="AF9888" s="12"/>
    </row>
    <row r="9889" spans="32:32" x14ac:dyDescent="0.2">
      <c r="AF9889" s="12"/>
    </row>
    <row r="9890" spans="32:32" x14ac:dyDescent="0.2">
      <c r="AF9890" s="12"/>
    </row>
    <row r="9891" spans="32:32" x14ac:dyDescent="0.2">
      <c r="AF9891" s="12"/>
    </row>
    <row r="9892" spans="32:32" x14ac:dyDescent="0.2">
      <c r="AF9892" s="12"/>
    </row>
    <row r="9893" spans="32:32" x14ac:dyDescent="0.2">
      <c r="AF9893" s="12"/>
    </row>
    <row r="9894" spans="32:32" x14ac:dyDescent="0.2">
      <c r="AF9894" s="12"/>
    </row>
    <row r="9895" spans="32:32" x14ac:dyDescent="0.2">
      <c r="AF9895" s="12"/>
    </row>
    <row r="9896" spans="32:32" x14ac:dyDescent="0.2">
      <c r="AF9896" s="12"/>
    </row>
    <row r="9897" spans="32:32" x14ac:dyDescent="0.2">
      <c r="AF9897" s="12"/>
    </row>
    <row r="9898" spans="32:32" x14ac:dyDescent="0.2">
      <c r="AF9898" s="12"/>
    </row>
    <row r="9899" spans="32:32" x14ac:dyDescent="0.2">
      <c r="AF9899" s="12"/>
    </row>
    <row r="9900" spans="32:32" x14ac:dyDescent="0.2">
      <c r="AF9900" s="12"/>
    </row>
    <row r="9901" spans="32:32" x14ac:dyDescent="0.2">
      <c r="AF9901" s="12"/>
    </row>
    <row r="9902" spans="32:32" x14ac:dyDescent="0.2">
      <c r="AF9902" s="12"/>
    </row>
    <row r="9903" spans="32:32" x14ac:dyDescent="0.2">
      <c r="AF9903" s="12"/>
    </row>
    <row r="9904" spans="32:32" x14ac:dyDescent="0.2">
      <c r="AF9904" s="12"/>
    </row>
    <row r="9905" spans="32:32" x14ac:dyDescent="0.2">
      <c r="AF9905" s="12"/>
    </row>
    <row r="9906" spans="32:32" x14ac:dyDescent="0.2">
      <c r="AF9906" s="12"/>
    </row>
    <row r="9907" spans="32:32" x14ac:dyDescent="0.2">
      <c r="AF9907" s="12"/>
    </row>
    <row r="9908" spans="32:32" x14ac:dyDescent="0.2">
      <c r="AF9908" s="12"/>
    </row>
    <row r="9909" spans="32:32" x14ac:dyDescent="0.2">
      <c r="AF9909" s="12"/>
    </row>
    <row r="9910" spans="32:32" x14ac:dyDescent="0.2">
      <c r="AF9910" s="12"/>
    </row>
    <row r="9911" spans="32:32" x14ac:dyDescent="0.2">
      <c r="AF9911" s="12"/>
    </row>
    <row r="9912" spans="32:32" x14ac:dyDescent="0.2">
      <c r="AF9912" s="12"/>
    </row>
    <row r="9913" spans="32:32" x14ac:dyDescent="0.2">
      <c r="AF9913" s="12"/>
    </row>
    <row r="9914" spans="32:32" x14ac:dyDescent="0.2">
      <c r="AF9914" s="12"/>
    </row>
    <row r="9915" spans="32:32" x14ac:dyDescent="0.2">
      <c r="AF9915" s="12"/>
    </row>
    <row r="9916" spans="32:32" x14ac:dyDescent="0.2">
      <c r="AF9916" s="12"/>
    </row>
    <row r="9917" spans="32:32" x14ac:dyDescent="0.2">
      <c r="AF9917" s="12"/>
    </row>
    <row r="9918" spans="32:32" x14ac:dyDescent="0.2">
      <c r="AF9918" s="12"/>
    </row>
    <row r="9919" spans="32:32" x14ac:dyDescent="0.2">
      <c r="AF9919" s="12"/>
    </row>
    <row r="9920" spans="32:32" x14ac:dyDescent="0.2">
      <c r="AF9920" s="12"/>
    </row>
    <row r="9921" spans="32:32" x14ac:dyDescent="0.2">
      <c r="AF9921" s="12"/>
    </row>
    <row r="9922" spans="32:32" x14ac:dyDescent="0.2">
      <c r="AF9922" s="12"/>
    </row>
    <row r="9923" spans="32:32" x14ac:dyDescent="0.2">
      <c r="AF9923" s="12"/>
    </row>
    <row r="9924" spans="32:32" x14ac:dyDescent="0.2">
      <c r="AF9924" s="12"/>
    </row>
    <row r="9925" spans="32:32" x14ac:dyDescent="0.2">
      <c r="AF9925" s="12"/>
    </row>
    <row r="9926" spans="32:32" x14ac:dyDescent="0.2">
      <c r="AF9926" s="12"/>
    </row>
    <row r="9927" spans="32:32" x14ac:dyDescent="0.2">
      <c r="AF9927" s="12"/>
    </row>
    <row r="9928" spans="32:32" x14ac:dyDescent="0.2">
      <c r="AF9928" s="12"/>
    </row>
    <row r="9929" spans="32:32" x14ac:dyDescent="0.2">
      <c r="AF9929" s="12"/>
    </row>
    <row r="9930" spans="32:32" x14ac:dyDescent="0.2">
      <c r="AF9930" s="12"/>
    </row>
    <row r="9931" spans="32:32" x14ac:dyDescent="0.2">
      <c r="AF9931" s="12"/>
    </row>
    <row r="9932" spans="32:32" x14ac:dyDescent="0.2">
      <c r="AF9932" s="12"/>
    </row>
    <row r="9933" spans="32:32" x14ac:dyDescent="0.2">
      <c r="AF9933" s="12"/>
    </row>
    <row r="9934" spans="32:32" x14ac:dyDescent="0.2">
      <c r="AF9934" s="12"/>
    </row>
    <row r="9935" spans="32:32" x14ac:dyDescent="0.2">
      <c r="AF9935" s="12"/>
    </row>
    <row r="9936" spans="32:32" x14ac:dyDescent="0.2">
      <c r="AF9936" s="12"/>
    </row>
    <row r="9937" spans="32:32" x14ac:dyDescent="0.2">
      <c r="AF9937" s="12"/>
    </row>
    <row r="9938" spans="32:32" x14ac:dyDescent="0.2">
      <c r="AF9938" s="12"/>
    </row>
    <row r="9939" spans="32:32" x14ac:dyDescent="0.2">
      <c r="AF9939" s="12"/>
    </row>
    <row r="9940" spans="32:32" x14ac:dyDescent="0.2">
      <c r="AF9940" s="12"/>
    </row>
    <row r="9941" spans="32:32" x14ac:dyDescent="0.2">
      <c r="AF9941" s="12"/>
    </row>
    <row r="9942" spans="32:32" x14ac:dyDescent="0.2">
      <c r="AF9942" s="12"/>
    </row>
    <row r="9943" spans="32:32" x14ac:dyDescent="0.2">
      <c r="AF9943" s="12"/>
    </row>
    <row r="9944" spans="32:32" x14ac:dyDescent="0.2">
      <c r="AF9944" s="12"/>
    </row>
    <row r="9945" spans="32:32" x14ac:dyDescent="0.2">
      <c r="AF9945" s="12"/>
    </row>
    <row r="9946" spans="32:32" x14ac:dyDescent="0.2">
      <c r="AF9946" s="12"/>
    </row>
    <row r="9947" spans="32:32" x14ac:dyDescent="0.2">
      <c r="AF9947" s="12"/>
    </row>
    <row r="9948" spans="32:32" x14ac:dyDescent="0.2">
      <c r="AF9948" s="12"/>
    </row>
    <row r="9949" spans="32:32" x14ac:dyDescent="0.2">
      <c r="AF9949" s="12"/>
    </row>
    <row r="9950" spans="32:32" x14ac:dyDescent="0.2">
      <c r="AF9950" s="12"/>
    </row>
    <row r="9951" spans="32:32" x14ac:dyDescent="0.2">
      <c r="AF9951" s="12"/>
    </row>
    <row r="9952" spans="32:32" x14ac:dyDescent="0.2">
      <c r="AF9952" s="12"/>
    </row>
    <row r="9953" spans="32:32" x14ac:dyDescent="0.2">
      <c r="AF9953" s="12"/>
    </row>
    <row r="9954" spans="32:32" x14ac:dyDescent="0.2">
      <c r="AF9954" s="12"/>
    </row>
    <row r="9955" spans="32:32" x14ac:dyDescent="0.2">
      <c r="AF9955" s="12"/>
    </row>
    <row r="9956" spans="32:32" x14ac:dyDescent="0.2">
      <c r="AF9956" s="12"/>
    </row>
    <row r="9957" spans="32:32" x14ac:dyDescent="0.2">
      <c r="AF9957" s="12"/>
    </row>
    <row r="9958" spans="32:32" x14ac:dyDescent="0.2">
      <c r="AF9958" s="12"/>
    </row>
    <row r="9959" spans="32:32" x14ac:dyDescent="0.2">
      <c r="AF9959" s="12"/>
    </row>
    <row r="9960" spans="32:32" x14ac:dyDescent="0.2">
      <c r="AF9960" s="12"/>
    </row>
    <row r="9961" spans="32:32" x14ac:dyDescent="0.2">
      <c r="AF9961" s="12"/>
    </row>
    <row r="9962" spans="32:32" x14ac:dyDescent="0.2">
      <c r="AF9962" s="12"/>
    </row>
    <row r="9963" spans="32:32" x14ac:dyDescent="0.2">
      <c r="AF9963" s="12"/>
    </row>
    <row r="9964" spans="32:32" x14ac:dyDescent="0.2">
      <c r="AF9964" s="12"/>
    </row>
    <row r="9965" spans="32:32" x14ac:dyDescent="0.2">
      <c r="AF9965" s="12"/>
    </row>
    <row r="9966" spans="32:32" x14ac:dyDescent="0.2">
      <c r="AF9966" s="12"/>
    </row>
    <row r="9967" spans="32:32" x14ac:dyDescent="0.2">
      <c r="AF9967" s="12"/>
    </row>
    <row r="9968" spans="32:32" x14ac:dyDescent="0.2">
      <c r="AF9968" s="12"/>
    </row>
    <row r="9969" spans="32:32" x14ac:dyDescent="0.2">
      <c r="AF9969" s="12"/>
    </row>
    <row r="9970" spans="32:32" x14ac:dyDescent="0.2">
      <c r="AF9970" s="12"/>
    </row>
    <row r="9971" spans="32:32" x14ac:dyDescent="0.2">
      <c r="AF9971" s="12"/>
    </row>
    <row r="9972" spans="32:32" x14ac:dyDescent="0.2">
      <c r="AF9972" s="12"/>
    </row>
    <row r="9973" spans="32:32" x14ac:dyDescent="0.2">
      <c r="AF9973" s="12"/>
    </row>
    <row r="9974" spans="32:32" x14ac:dyDescent="0.2">
      <c r="AF9974" s="12"/>
    </row>
    <row r="9975" spans="32:32" x14ac:dyDescent="0.2">
      <c r="AF9975" s="12"/>
    </row>
    <row r="9976" spans="32:32" x14ac:dyDescent="0.2">
      <c r="AF9976" s="12"/>
    </row>
    <row r="9977" spans="32:32" x14ac:dyDescent="0.2">
      <c r="AF9977" s="12"/>
    </row>
    <row r="9978" spans="32:32" x14ac:dyDescent="0.2">
      <c r="AF9978" s="12"/>
    </row>
    <row r="9979" spans="32:32" x14ac:dyDescent="0.2">
      <c r="AF9979" s="12"/>
    </row>
    <row r="9980" spans="32:32" x14ac:dyDescent="0.2">
      <c r="AF9980" s="12"/>
    </row>
    <row r="9981" spans="32:32" x14ac:dyDescent="0.2">
      <c r="AF9981" s="12"/>
    </row>
    <row r="9982" spans="32:32" x14ac:dyDescent="0.2">
      <c r="AF9982" s="12"/>
    </row>
    <row r="9983" spans="32:32" x14ac:dyDescent="0.2">
      <c r="AF9983" s="12"/>
    </row>
    <row r="9984" spans="32:32" x14ac:dyDescent="0.2">
      <c r="AF9984" s="12"/>
    </row>
    <row r="9985" spans="32:32" x14ac:dyDescent="0.2">
      <c r="AF9985" s="12"/>
    </row>
    <row r="9986" spans="32:32" x14ac:dyDescent="0.2">
      <c r="AF9986" s="12"/>
    </row>
    <row r="9987" spans="32:32" x14ac:dyDescent="0.2">
      <c r="AF9987" s="12"/>
    </row>
    <row r="9988" spans="32:32" x14ac:dyDescent="0.2">
      <c r="AF9988" s="12"/>
    </row>
    <row r="9989" spans="32:32" x14ac:dyDescent="0.2">
      <c r="AF9989" s="12"/>
    </row>
    <row r="9990" spans="32:32" x14ac:dyDescent="0.2">
      <c r="AF9990" s="12"/>
    </row>
    <row r="9991" spans="32:32" x14ac:dyDescent="0.2">
      <c r="AF9991" s="12"/>
    </row>
    <row r="9992" spans="32:32" x14ac:dyDescent="0.2">
      <c r="AF9992" s="12"/>
    </row>
    <row r="9993" spans="32:32" x14ac:dyDescent="0.2">
      <c r="AF9993" s="12"/>
    </row>
    <row r="9994" spans="32:32" x14ac:dyDescent="0.2">
      <c r="AF9994" s="12"/>
    </row>
    <row r="9995" spans="32:32" x14ac:dyDescent="0.2">
      <c r="AF9995" s="12"/>
    </row>
    <row r="9996" spans="32:32" x14ac:dyDescent="0.2">
      <c r="AF9996" s="12"/>
    </row>
    <row r="9997" spans="32:32" x14ac:dyDescent="0.2">
      <c r="AF9997" s="12"/>
    </row>
    <row r="9998" spans="32:32" x14ac:dyDescent="0.2">
      <c r="AF9998" s="12"/>
    </row>
    <row r="9999" spans="32:32" x14ac:dyDescent="0.2">
      <c r="AF9999" s="12"/>
    </row>
    <row r="10000" spans="32:32" x14ac:dyDescent="0.2">
      <c r="AF10000" s="12"/>
    </row>
    <row r="10001" spans="32:32" x14ac:dyDescent="0.2">
      <c r="AF10001" s="12"/>
    </row>
    <row r="10002" spans="32:32" x14ac:dyDescent="0.2">
      <c r="AF10002" s="12"/>
    </row>
    <row r="10003" spans="32:32" x14ac:dyDescent="0.2">
      <c r="AF10003" s="12"/>
    </row>
    <row r="10004" spans="32:32" x14ac:dyDescent="0.2">
      <c r="AF10004" s="12"/>
    </row>
    <row r="10005" spans="32:32" x14ac:dyDescent="0.2">
      <c r="AF10005" s="12"/>
    </row>
    <row r="10006" spans="32:32" x14ac:dyDescent="0.2">
      <c r="AF10006" s="12"/>
    </row>
    <row r="10007" spans="32:32" x14ac:dyDescent="0.2">
      <c r="AF10007" s="12"/>
    </row>
    <row r="10008" spans="32:32" x14ac:dyDescent="0.2">
      <c r="AF10008" s="12"/>
    </row>
    <row r="10009" spans="32:32" x14ac:dyDescent="0.2">
      <c r="AF10009" s="12"/>
    </row>
    <row r="10010" spans="32:32" x14ac:dyDescent="0.2">
      <c r="AF10010" s="12"/>
    </row>
    <row r="10011" spans="32:32" x14ac:dyDescent="0.2">
      <c r="AF10011" s="12"/>
    </row>
    <row r="10012" spans="32:32" x14ac:dyDescent="0.2">
      <c r="AF10012" s="12"/>
    </row>
    <row r="10013" spans="32:32" x14ac:dyDescent="0.2">
      <c r="AF10013" s="12"/>
    </row>
    <row r="10014" spans="32:32" x14ac:dyDescent="0.2">
      <c r="AF10014" s="12"/>
    </row>
    <row r="10015" spans="32:32" x14ac:dyDescent="0.2">
      <c r="AF10015" s="12"/>
    </row>
    <row r="10016" spans="32:32" x14ac:dyDescent="0.2">
      <c r="AF10016" s="12"/>
    </row>
    <row r="10017" spans="32:32" x14ac:dyDescent="0.2">
      <c r="AF10017" s="12"/>
    </row>
    <row r="10018" spans="32:32" x14ac:dyDescent="0.2">
      <c r="AF10018" s="12"/>
    </row>
    <row r="10019" spans="32:32" x14ac:dyDescent="0.2">
      <c r="AF10019" s="12"/>
    </row>
    <row r="10020" spans="32:32" x14ac:dyDescent="0.2">
      <c r="AF10020" s="12"/>
    </row>
    <row r="10021" spans="32:32" x14ac:dyDescent="0.2">
      <c r="AF10021" s="12"/>
    </row>
    <row r="10022" spans="32:32" x14ac:dyDescent="0.2">
      <c r="AF10022" s="12"/>
    </row>
    <row r="10023" spans="32:32" x14ac:dyDescent="0.2">
      <c r="AF10023" s="12"/>
    </row>
    <row r="10024" spans="32:32" x14ac:dyDescent="0.2">
      <c r="AF10024" s="12"/>
    </row>
    <row r="10025" spans="32:32" x14ac:dyDescent="0.2">
      <c r="AF10025" s="12"/>
    </row>
    <row r="10026" spans="32:32" x14ac:dyDescent="0.2">
      <c r="AF10026" s="12"/>
    </row>
    <row r="10027" spans="32:32" x14ac:dyDescent="0.2">
      <c r="AF10027" s="12"/>
    </row>
    <row r="10028" spans="32:32" x14ac:dyDescent="0.2">
      <c r="AF10028" s="12"/>
    </row>
    <row r="10029" spans="32:32" x14ac:dyDescent="0.2">
      <c r="AF10029" s="12"/>
    </row>
    <row r="10030" spans="32:32" x14ac:dyDescent="0.2">
      <c r="AF10030" s="12"/>
    </row>
    <row r="10031" spans="32:32" x14ac:dyDescent="0.2">
      <c r="AF10031" s="12"/>
    </row>
    <row r="10032" spans="32:32" x14ac:dyDescent="0.2">
      <c r="AF10032" s="12"/>
    </row>
    <row r="10033" spans="32:32" x14ac:dyDescent="0.2">
      <c r="AF10033" s="12"/>
    </row>
    <row r="10034" spans="32:32" x14ac:dyDescent="0.2">
      <c r="AF10034" s="12"/>
    </row>
    <row r="10035" spans="32:32" x14ac:dyDescent="0.2">
      <c r="AF10035" s="12"/>
    </row>
    <row r="10036" spans="32:32" x14ac:dyDescent="0.2">
      <c r="AF10036" s="12"/>
    </row>
    <row r="10037" spans="32:32" x14ac:dyDescent="0.2">
      <c r="AF10037" s="12"/>
    </row>
    <row r="10038" spans="32:32" x14ac:dyDescent="0.2">
      <c r="AF10038" s="12"/>
    </row>
    <row r="10039" spans="32:32" x14ac:dyDescent="0.2">
      <c r="AF10039" s="12"/>
    </row>
    <row r="10040" spans="32:32" x14ac:dyDescent="0.2">
      <c r="AF10040" s="12"/>
    </row>
    <row r="10041" spans="32:32" x14ac:dyDescent="0.2">
      <c r="AF10041" s="12"/>
    </row>
    <row r="10042" spans="32:32" x14ac:dyDescent="0.2">
      <c r="AF10042" s="12"/>
    </row>
    <row r="10043" spans="32:32" x14ac:dyDescent="0.2">
      <c r="AF10043" s="12"/>
    </row>
    <row r="10044" spans="32:32" x14ac:dyDescent="0.2">
      <c r="AF10044" s="12"/>
    </row>
    <row r="10045" spans="32:32" x14ac:dyDescent="0.2">
      <c r="AF10045" s="12"/>
    </row>
    <row r="10046" spans="32:32" x14ac:dyDescent="0.2">
      <c r="AF10046" s="12"/>
    </row>
    <row r="10047" spans="32:32" x14ac:dyDescent="0.2">
      <c r="AF10047" s="12"/>
    </row>
    <row r="10048" spans="32:32" x14ac:dyDescent="0.2">
      <c r="AF10048" s="12"/>
    </row>
    <row r="10049" spans="32:32" x14ac:dyDescent="0.2">
      <c r="AF10049" s="12"/>
    </row>
    <row r="10050" spans="32:32" x14ac:dyDescent="0.2">
      <c r="AF10050" s="12"/>
    </row>
    <row r="10051" spans="32:32" x14ac:dyDescent="0.2">
      <c r="AF10051" s="12"/>
    </row>
    <row r="10052" spans="32:32" x14ac:dyDescent="0.2">
      <c r="AF10052" s="12"/>
    </row>
    <row r="10053" spans="32:32" x14ac:dyDescent="0.2">
      <c r="AF10053" s="12"/>
    </row>
    <row r="10054" spans="32:32" x14ac:dyDescent="0.2">
      <c r="AF10054" s="12"/>
    </row>
    <row r="10055" spans="32:32" x14ac:dyDescent="0.2">
      <c r="AF10055" s="12"/>
    </row>
    <row r="10056" spans="32:32" x14ac:dyDescent="0.2">
      <c r="AF10056" s="12"/>
    </row>
    <row r="10057" spans="32:32" x14ac:dyDescent="0.2">
      <c r="AF10057" s="12"/>
    </row>
    <row r="10058" spans="32:32" x14ac:dyDescent="0.2">
      <c r="AF10058" s="12"/>
    </row>
    <row r="10059" spans="32:32" x14ac:dyDescent="0.2">
      <c r="AF10059" s="12"/>
    </row>
    <row r="10060" spans="32:32" x14ac:dyDescent="0.2">
      <c r="AF10060" s="12"/>
    </row>
    <row r="10061" spans="32:32" x14ac:dyDescent="0.2">
      <c r="AF10061" s="12"/>
    </row>
    <row r="10062" spans="32:32" x14ac:dyDescent="0.2">
      <c r="AF10062" s="12"/>
    </row>
    <row r="10063" spans="32:32" x14ac:dyDescent="0.2">
      <c r="AF10063" s="12"/>
    </row>
    <row r="10064" spans="32:32" x14ac:dyDescent="0.2">
      <c r="AF10064" s="12"/>
    </row>
    <row r="10065" spans="32:32" x14ac:dyDescent="0.2">
      <c r="AF10065" s="12"/>
    </row>
    <row r="10066" spans="32:32" x14ac:dyDescent="0.2">
      <c r="AF10066" s="12"/>
    </row>
    <row r="10067" spans="32:32" x14ac:dyDescent="0.2">
      <c r="AF10067" s="12"/>
    </row>
    <row r="10068" spans="32:32" x14ac:dyDescent="0.2">
      <c r="AF10068" s="12"/>
    </row>
    <row r="10069" spans="32:32" x14ac:dyDescent="0.2">
      <c r="AF10069" s="12"/>
    </row>
    <row r="10070" spans="32:32" x14ac:dyDescent="0.2">
      <c r="AF10070" s="12"/>
    </row>
    <row r="10071" spans="32:32" x14ac:dyDescent="0.2">
      <c r="AF10071" s="12"/>
    </row>
    <row r="10072" spans="32:32" x14ac:dyDescent="0.2">
      <c r="AF10072" s="12"/>
    </row>
    <row r="10073" spans="32:32" x14ac:dyDescent="0.2">
      <c r="AF10073" s="12"/>
    </row>
    <row r="10074" spans="32:32" x14ac:dyDescent="0.2">
      <c r="AF10074" s="12"/>
    </row>
    <row r="10075" spans="32:32" x14ac:dyDescent="0.2">
      <c r="AF10075" s="12"/>
    </row>
    <row r="10076" spans="32:32" x14ac:dyDescent="0.2">
      <c r="AF10076" s="12"/>
    </row>
    <row r="10077" spans="32:32" x14ac:dyDescent="0.2">
      <c r="AF10077" s="12"/>
    </row>
    <row r="10078" spans="32:32" x14ac:dyDescent="0.2">
      <c r="AF10078" s="12"/>
    </row>
    <row r="10079" spans="32:32" x14ac:dyDescent="0.2">
      <c r="AF10079" s="12"/>
    </row>
    <row r="10080" spans="32:32" x14ac:dyDescent="0.2">
      <c r="AF10080" s="12"/>
    </row>
    <row r="10081" spans="32:32" x14ac:dyDescent="0.2">
      <c r="AF10081" s="12"/>
    </row>
    <row r="10082" spans="32:32" x14ac:dyDescent="0.2">
      <c r="AF10082" s="12"/>
    </row>
    <row r="10083" spans="32:32" x14ac:dyDescent="0.2">
      <c r="AF10083" s="12"/>
    </row>
    <row r="10084" spans="32:32" x14ac:dyDescent="0.2">
      <c r="AF10084" s="12"/>
    </row>
    <row r="10085" spans="32:32" x14ac:dyDescent="0.2">
      <c r="AF10085" s="12"/>
    </row>
    <row r="10086" spans="32:32" x14ac:dyDescent="0.2">
      <c r="AF10086" s="12"/>
    </row>
    <row r="10087" spans="32:32" x14ac:dyDescent="0.2">
      <c r="AF10087" s="12"/>
    </row>
    <row r="10088" spans="32:32" x14ac:dyDescent="0.2">
      <c r="AF10088" s="12"/>
    </row>
    <row r="10089" spans="32:32" x14ac:dyDescent="0.2">
      <c r="AF10089" s="12"/>
    </row>
    <row r="10090" spans="32:32" x14ac:dyDescent="0.2">
      <c r="AF10090" s="12"/>
    </row>
    <row r="10091" spans="32:32" x14ac:dyDescent="0.2">
      <c r="AF10091" s="12"/>
    </row>
    <row r="10092" spans="32:32" x14ac:dyDescent="0.2">
      <c r="AF10092" s="12"/>
    </row>
    <row r="10093" spans="32:32" x14ac:dyDescent="0.2">
      <c r="AF10093" s="12"/>
    </row>
    <row r="10094" spans="32:32" x14ac:dyDescent="0.2">
      <c r="AF10094" s="12"/>
    </row>
    <row r="10095" spans="32:32" x14ac:dyDescent="0.2">
      <c r="AF10095" s="12"/>
    </row>
    <row r="10096" spans="32:32" x14ac:dyDescent="0.2">
      <c r="AF10096" s="12"/>
    </row>
    <row r="10097" spans="32:32" x14ac:dyDescent="0.2">
      <c r="AF10097" s="12"/>
    </row>
    <row r="10098" spans="32:32" x14ac:dyDescent="0.2">
      <c r="AF10098" s="12"/>
    </row>
    <row r="10099" spans="32:32" x14ac:dyDescent="0.2">
      <c r="AF10099" s="12"/>
    </row>
    <row r="10100" spans="32:32" x14ac:dyDescent="0.2">
      <c r="AF10100" s="12"/>
    </row>
    <row r="10101" spans="32:32" x14ac:dyDescent="0.2">
      <c r="AF10101" s="12"/>
    </row>
    <row r="10102" spans="32:32" x14ac:dyDescent="0.2">
      <c r="AF10102" s="12"/>
    </row>
    <row r="10103" spans="32:32" x14ac:dyDescent="0.2">
      <c r="AF10103" s="12"/>
    </row>
    <row r="10104" spans="32:32" x14ac:dyDescent="0.2">
      <c r="AF10104" s="12"/>
    </row>
    <row r="10105" spans="32:32" x14ac:dyDescent="0.2">
      <c r="AF10105" s="12"/>
    </row>
    <row r="10106" spans="32:32" x14ac:dyDescent="0.2">
      <c r="AF10106" s="12"/>
    </row>
    <row r="10107" spans="32:32" x14ac:dyDescent="0.2">
      <c r="AF10107" s="12"/>
    </row>
    <row r="10108" spans="32:32" x14ac:dyDescent="0.2">
      <c r="AF10108" s="12"/>
    </row>
    <row r="10109" spans="32:32" x14ac:dyDescent="0.2">
      <c r="AF10109" s="12"/>
    </row>
    <row r="10110" spans="32:32" x14ac:dyDescent="0.2">
      <c r="AF10110" s="12"/>
    </row>
    <row r="10111" spans="32:32" x14ac:dyDescent="0.2">
      <c r="AF10111" s="12"/>
    </row>
    <row r="10112" spans="32:32" x14ac:dyDescent="0.2">
      <c r="AF10112" s="12"/>
    </row>
    <row r="10113" spans="32:32" x14ac:dyDescent="0.2">
      <c r="AF10113" s="12"/>
    </row>
    <row r="10114" spans="32:32" x14ac:dyDescent="0.2">
      <c r="AF10114" s="12"/>
    </row>
    <row r="10115" spans="32:32" x14ac:dyDescent="0.2">
      <c r="AF10115" s="12"/>
    </row>
    <row r="10116" spans="32:32" x14ac:dyDescent="0.2">
      <c r="AF10116" s="12"/>
    </row>
    <row r="10117" spans="32:32" x14ac:dyDescent="0.2">
      <c r="AF10117" s="12"/>
    </row>
    <row r="10118" spans="32:32" x14ac:dyDescent="0.2">
      <c r="AF10118" s="12"/>
    </row>
    <row r="10119" spans="32:32" x14ac:dyDescent="0.2">
      <c r="AF10119" s="12"/>
    </row>
    <row r="10120" spans="32:32" x14ac:dyDescent="0.2">
      <c r="AF10120" s="12"/>
    </row>
    <row r="10121" spans="32:32" x14ac:dyDescent="0.2">
      <c r="AF10121" s="12"/>
    </row>
    <row r="10122" spans="32:32" x14ac:dyDescent="0.2">
      <c r="AF10122" s="12"/>
    </row>
    <row r="10123" spans="32:32" x14ac:dyDescent="0.2">
      <c r="AF10123" s="12"/>
    </row>
    <row r="10124" spans="32:32" x14ac:dyDescent="0.2">
      <c r="AF10124" s="12"/>
    </row>
    <row r="10125" spans="32:32" x14ac:dyDescent="0.2">
      <c r="AF10125" s="12"/>
    </row>
    <row r="10126" spans="32:32" x14ac:dyDescent="0.2">
      <c r="AF10126" s="12"/>
    </row>
    <row r="10127" spans="32:32" x14ac:dyDescent="0.2">
      <c r="AF10127" s="12"/>
    </row>
    <row r="10128" spans="32:32" x14ac:dyDescent="0.2">
      <c r="AF10128" s="12"/>
    </row>
    <row r="10129" spans="32:32" x14ac:dyDescent="0.2">
      <c r="AF10129" s="12"/>
    </row>
    <row r="10130" spans="32:32" x14ac:dyDescent="0.2">
      <c r="AF10130" s="12"/>
    </row>
    <row r="10131" spans="32:32" x14ac:dyDescent="0.2">
      <c r="AF10131" s="12"/>
    </row>
    <row r="10132" spans="32:32" x14ac:dyDescent="0.2">
      <c r="AF10132" s="12"/>
    </row>
    <row r="10133" spans="32:32" x14ac:dyDescent="0.2">
      <c r="AF10133" s="12"/>
    </row>
    <row r="10134" spans="32:32" x14ac:dyDescent="0.2">
      <c r="AF10134" s="12"/>
    </row>
    <row r="10135" spans="32:32" x14ac:dyDescent="0.2">
      <c r="AF10135" s="12"/>
    </row>
    <row r="10136" spans="32:32" x14ac:dyDescent="0.2">
      <c r="AF10136" s="12"/>
    </row>
    <row r="10137" spans="32:32" x14ac:dyDescent="0.2">
      <c r="AF10137" s="12"/>
    </row>
    <row r="10138" spans="32:32" x14ac:dyDescent="0.2">
      <c r="AF10138" s="12"/>
    </row>
    <row r="10139" spans="32:32" x14ac:dyDescent="0.2">
      <c r="AF10139" s="12"/>
    </row>
    <row r="10140" spans="32:32" x14ac:dyDescent="0.2">
      <c r="AF10140" s="12"/>
    </row>
    <row r="10141" spans="32:32" x14ac:dyDescent="0.2">
      <c r="AF10141" s="12"/>
    </row>
    <row r="10142" spans="32:32" x14ac:dyDescent="0.2">
      <c r="AF10142" s="12"/>
    </row>
    <row r="10143" spans="32:32" x14ac:dyDescent="0.2">
      <c r="AF10143" s="12"/>
    </row>
    <row r="10144" spans="32:32" x14ac:dyDescent="0.2">
      <c r="AF10144" s="12"/>
    </row>
    <row r="10145" spans="32:32" x14ac:dyDescent="0.2">
      <c r="AF10145" s="12"/>
    </row>
    <row r="10146" spans="32:32" x14ac:dyDescent="0.2">
      <c r="AF10146" s="12"/>
    </row>
    <row r="10147" spans="32:32" x14ac:dyDescent="0.2">
      <c r="AF10147" s="12"/>
    </row>
    <row r="10148" spans="32:32" x14ac:dyDescent="0.2">
      <c r="AF10148" s="12"/>
    </row>
    <row r="10149" spans="32:32" x14ac:dyDescent="0.2">
      <c r="AF10149" s="12"/>
    </row>
    <row r="10150" spans="32:32" x14ac:dyDescent="0.2">
      <c r="AF10150" s="12"/>
    </row>
    <row r="10151" spans="32:32" x14ac:dyDescent="0.2">
      <c r="AF10151" s="12"/>
    </row>
    <row r="10152" spans="32:32" x14ac:dyDescent="0.2">
      <c r="AF10152" s="12"/>
    </row>
    <row r="10153" spans="32:32" x14ac:dyDescent="0.2">
      <c r="AF10153" s="12"/>
    </row>
    <row r="10154" spans="32:32" x14ac:dyDescent="0.2">
      <c r="AF10154" s="12"/>
    </row>
    <row r="10155" spans="32:32" x14ac:dyDescent="0.2">
      <c r="AF10155" s="12"/>
    </row>
    <row r="10156" spans="32:32" x14ac:dyDescent="0.2">
      <c r="AF10156" s="12"/>
    </row>
    <row r="10157" spans="32:32" x14ac:dyDescent="0.2">
      <c r="AF10157" s="12"/>
    </row>
    <row r="10158" spans="32:32" x14ac:dyDescent="0.2">
      <c r="AF10158" s="12"/>
    </row>
    <row r="10159" spans="32:32" x14ac:dyDescent="0.2">
      <c r="AF10159" s="12"/>
    </row>
    <row r="10160" spans="32:32" x14ac:dyDescent="0.2">
      <c r="AF10160" s="12"/>
    </row>
    <row r="10161" spans="32:32" x14ac:dyDescent="0.2">
      <c r="AF10161" s="12"/>
    </row>
    <row r="10162" spans="32:32" x14ac:dyDescent="0.2">
      <c r="AF10162" s="12"/>
    </row>
    <row r="10163" spans="32:32" x14ac:dyDescent="0.2">
      <c r="AF10163" s="12"/>
    </row>
    <row r="10164" spans="32:32" x14ac:dyDescent="0.2">
      <c r="AF10164" s="12"/>
    </row>
    <row r="10165" spans="32:32" x14ac:dyDescent="0.2">
      <c r="AF10165" s="12"/>
    </row>
    <row r="10166" spans="32:32" x14ac:dyDescent="0.2">
      <c r="AF10166" s="12"/>
    </row>
    <row r="10167" spans="32:32" x14ac:dyDescent="0.2">
      <c r="AF10167" s="12"/>
    </row>
    <row r="10168" spans="32:32" x14ac:dyDescent="0.2">
      <c r="AF10168" s="12"/>
    </row>
    <row r="10169" spans="32:32" x14ac:dyDescent="0.2">
      <c r="AF10169" s="12"/>
    </row>
    <row r="10170" spans="32:32" x14ac:dyDescent="0.2">
      <c r="AF10170" s="12"/>
    </row>
    <row r="10171" spans="32:32" x14ac:dyDescent="0.2">
      <c r="AF10171" s="12"/>
    </row>
    <row r="10172" spans="32:32" x14ac:dyDescent="0.2">
      <c r="AF10172" s="12"/>
    </row>
    <row r="10173" spans="32:32" x14ac:dyDescent="0.2">
      <c r="AF10173" s="12"/>
    </row>
    <row r="10174" spans="32:32" x14ac:dyDescent="0.2">
      <c r="AF10174" s="12"/>
    </row>
    <row r="10175" spans="32:32" x14ac:dyDescent="0.2">
      <c r="AF10175" s="12"/>
    </row>
    <row r="10176" spans="32:32" x14ac:dyDescent="0.2">
      <c r="AF10176" s="12"/>
    </row>
    <row r="10177" spans="32:32" x14ac:dyDescent="0.2">
      <c r="AF10177" s="12"/>
    </row>
    <row r="10178" spans="32:32" x14ac:dyDescent="0.2">
      <c r="AF10178" s="12"/>
    </row>
    <row r="10179" spans="32:32" x14ac:dyDescent="0.2">
      <c r="AF10179" s="12"/>
    </row>
    <row r="10180" spans="32:32" x14ac:dyDescent="0.2">
      <c r="AF10180" s="12"/>
    </row>
    <row r="10181" spans="32:32" x14ac:dyDescent="0.2">
      <c r="AF10181" s="12"/>
    </row>
    <row r="10182" spans="32:32" x14ac:dyDescent="0.2">
      <c r="AF10182" s="12"/>
    </row>
    <row r="10183" spans="32:32" x14ac:dyDescent="0.2">
      <c r="AF10183" s="12"/>
    </row>
    <row r="10184" spans="32:32" x14ac:dyDescent="0.2">
      <c r="AF10184" s="12"/>
    </row>
    <row r="10185" spans="32:32" x14ac:dyDescent="0.2">
      <c r="AF10185" s="12"/>
    </row>
    <row r="10186" spans="32:32" x14ac:dyDescent="0.2">
      <c r="AF10186" s="12"/>
    </row>
    <row r="10187" spans="32:32" x14ac:dyDescent="0.2">
      <c r="AF10187" s="12"/>
    </row>
    <row r="10188" spans="32:32" x14ac:dyDescent="0.2">
      <c r="AF10188" s="12"/>
    </row>
    <row r="10189" spans="32:32" x14ac:dyDescent="0.2">
      <c r="AF10189" s="12"/>
    </row>
    <row r="10190" spans="32:32" x14ac:dyDescent="0.2">
      <c r="AF10190" s="12"/>
    </row>
    <row r="10191" spans="32:32" x14ac:dyDescent="0.2">
      <c r="AF10191" s="12"/>
    </row>
    <row r="10192" spans="32:32" x14ac:dyDescent="0.2">
      <c r="AF10192" s="12"/>
    </row>
    <row r="10193" spans="32:32" x14ac:dyDescent="0.2">
      <c r="AF10193" s="12"/>
    </row>
    <row r="10194" spans="32:32" x14ac:dyDescent="0.2">
      <c r="AF10194" s="12"/>
    </row>
    <row r="10195" spans="32:32" x14ac:dyDescent="0.2">
      <c r="AF10195" s="12"/>
    </row>
    <row r="10196" spans="32:32" x14ac:dyDescent="0.2">
      <c r="AF10196" s="12"/>
    </row>
    <row r="10197" spans="32:32" x14ac:dyDescent="0.2">
      <c r="AF10197" s="12"/>
    </row>
    <row r="10198" spans="32:32" x14ac:dyDescent="0.2">
      <c r="AF10198" s="12"/>
    </row>
    <row r="10199" spans="32:32" x14ac:dyDescent="0.2">
      <c r="AF10199" s="12"/>
    </row>
    <row r="10200" spans="32:32" x14ac:dyDescent="0.2">
      <c r="AF10200" s="12"/>
    </row>
    <row r="10201" spans="32:32" x14ac:dyDescent="0.2">
      <c r="AF10201" s="12"/>
    </row>
    <row r="10202" spans="32:32" x14ac:dyDescent="0.2">
      <c r="AF10202" s="12"/>
    </row>
    <row r="10203" spans="32:32" x14ac:dyDescent="0.2">
      <c r="AF10203" s="12"/>
    </row>
    <row r="10204" spans="32:32" x14ac:dyDescent="0.2">
      <c r="AF10204" s="12"/>
    </row>
    <row r="10205" spans="32:32" x14ac:dyDescent="0.2">
      <c r="AF10205" s="12"/>
    </row>
    <row r="10206" spans="32:32" x14ac:dyDescent="0.2">
      <c r="AF10206" s="12"/>
    </row>
    <row r="10207" spans="32:32" x14ac:dyDescent="0.2">
      <c r="AF10207" s="12"/>
    </row>
    <row r="10208" spans="32:32" x14ac:dyDescent="0.2">
      <c r="AF10208" s="12"/>
    </row>
    <row r="10209" spans="32:32" x14ac:dyDescent="0.2">
      <c r="AF10209" s="12"/>
    </row>
    <row r="10210" spans="32:32" x14ac:dyDescent="0.2">
      <c r="AF10210" s="12"/>
    </row>
    <row r="10211" spans="32:32" x14ac:dyDescent="0.2">
      <c r="AF10211" s="12"/>
    </row>
    <row r="10212" spans="32:32" x14ac:dyDescent="0.2">
      <c r="AF10212" s="12"/>
    </row>
    <row r="10213" spans="32:32" x14ac:dyDescent="0.2">
      <c r="AF10213" s="12"/>
    </row>
    <row r="10214" spans="32:32" x14ac:dyDescent="0.2">
      <c r="AF10214" s="12"/>
    </row>
    <row r="10215" spans="32:32" x14ac:dyDescent="0.2">
      <c r="AF10215" s="12"/>
    </row>
    <row r="10216" spans="32:32" x14ac:dyDescent="0.2">
      <c r="AF10216" s="12"/>
    </row>
    <row r="10217" spans="32:32" x14ac:dyDescent="0.2">
      <c r="AF10217" s="12"/>
    </row>
    <row r="10218" spans="32:32" x14ac:dyDescent="0.2">
      <c r="AF10218" s="12"/>
    </row>
    <row r="10219" spans="32:32" x14ac:dyDescent="0.2">
      <c r="AF10219" s="12"/>
    </row>
    <row r="10220" spans="32:32" x14ac:dyDescent="0.2">
      <c r="AF10220" s="12"/>
    </row>
    <row r="10221" spans="32:32" x14ac:dyDescent="0.2">
      <c r="AF10221" s="12"/>
    </row>
    <row r="10222" spans="32:32" x14ac:dyDescent="0.2">
      <c r="AF10222" s="12"/>
    </row>
    <row r="10223" spans="32:32" x14ac:dyDescent="0.2">
      <c r="AF10223" s="12"/>
    </row>
    <row r="10224" spans="32:32" x14ac:dyDescent="0.2">
      <c r="AF10224" s="12"/>
    </row>
    <row r="10225" spans="32:32" x14ac:dyDescent="0.2">
      <c r="AF10225" s="12"/>
    </row>
    <row r="10226" spans="32:32" x14ac:dyDescent="0.2">
      <c r="AF10226" s="12"/>
    </row>
    <row r="10227" spans="32:32" x14ac:dyDescent="0.2">
      <c r="AF10227" s="12"/>
    </row>
    <row r="10228" spans="32:32" x14ac:dyDescent="0.2">
      <c r="AF10228" s="12"/>
    </row>
    <row r="10229" spans="32:32" x14ac:dyDescent="0.2">
      <c r="AF10229" s="12"/>
    </row>
    <row r="10230" spans="32:32" x14ac:dyDescent="0.2">
      <c r="AF10230" s="12"/>
    </row>
    <row r="10231" spans="32:32" x14ac:dyDescent="0.2">
      <c r="AF10231" s="12"/>
    </row>
    <row r="10232" spans="32:32" x14ac:dyDescent="0.2">
      <c r="AF10232" s="12"/>
    </row>
    <row r="10233" spans="32:32" x14ac:dyDescent="0.2">
      <c r="AF10233" s="12"/>
    </row>
    <row r="10234" spans="32:32" x14ac:dyDescent="0.2">
      <c r="AF10234" s="12"/>
    </row>
    <row r="10235" spans="32:32" x14ac:dyDescent="0.2">
      <c r="AF10235" s="12"/>
    </row>
    <row r="10236" spans="32:32" x14ac:dyDescent="0.2">
      <c r="AF10236" s="12"/>
    </row>
    <row r="10237" spans="32:32" x14ac:dyDescent="0.2">
      <c r="AF10237" s="12"/>
    </row>
    <row r="10238" spans="32:32" x14ac:dyDescent="0.2">
      <c r="AF10238" s="12"/>
    </row>
    <row r="10239" spans="32:32" x14ac:dyDescent="0.2">
      <c r="AF10239" s="12"/>
    </row>
    <row r="10240" spans="32:32" x14ac:dyDescent="0.2">
      <c r="AF10240" s="12"/>
    </row>
    <row r="10241" spans="32:32" x14ac:dyDescent="0.2">
      <c r="AF10241" s="12"/>
    </row>
    <row r="10242" spans="32:32" x14ac:dyDescent="0.2">
      <c r="AF10242" s="12"/>
    </row>
    <row r="10243" spans="32:32" x14ac:dyDescent="0.2">
      <c r="AF10243" s="12"/>
    </row>
    <row r="10244" spans="32:32" x14ac:dyDescent="0.2">
      <c r="AF10244" s="12"/>
    </row>
    <row r="10245" spans="32:32" x14ac:dyDescent="0.2">
      <c r="AF10245" s="12"/>
    </row>
    <row r="10246" spans="32:32" x14ac:dyDescent="0.2">
      <c r="AF10246" s="12"/>
    </row>
    <row r="10247" spans="32:32" x14ac:dyDescent="0.2">
      <c r="AF10247" s="12"/>
    </row>
    <row r="10248" spans="32:32" x14ac:dyDescent="0.2">
      <c r="AF10248" s="12"/>
    </row>
    <row r="10249" spans="32:32" x14ac:dyDescent="0.2">
      <c r="AF10249" s="12"/>
    </row>
    <row r="10250" spans="32:32" x14ac:dyDescent="0.2">
      <c r="AF10250" s="12"/>
    </row>
    <row r="10251" spans="32:32" x14ac:dyDescent="0.2">
      <c r="AF10251" s="12"/>
    </row>
    <row r="10252" spans="32:32" x14ac:dyDescent="0.2">
      <c r="AF10252" s="12"/>
    </row>
    <row r="10253" spans="32:32" x14ac:dyDescent="0.2">
      <c r="AF10253" s="12"/>
    </row>
    <row r="10254" spans="32:32" x14ac:dyDescent="0.2">
      <c r="AF10254" s="12"/>
    </row>
    <row r="10255" spans="32:32" x14ac:dyDescent="0.2">
      <c r="AF10255" s="12"/>
    </row>
    <row r="10256" spans="32:32" x14ac:dyDescent="0.2">
      <c r="AF10256" s="12"/>
    </row>
    <row r="10257" spans="32:32" x14ac:dyDescent="0.2">
      <c r="AF10257" s="12"/>
    </row>
    <row r="10258" spans="32:32" x14ac:dyDescent="0.2">
      <c r="AF10258" s="12"/>
    </row>
    <row r="10259" spans="32:32" x14ac:dyDescent="0.2">
      <c r="AF10259" s="12"/>
    </row>
    <row r="10260" spans="32:32" x14ac:dyDescent="0.2">
      <c r="AF10260" s="12"/>
    </row>
    <row r="10261" spans="32:32" x14ac:dyDescent="0.2">
      <c r="AF10261" s="12"/>
    </row>
    <row r="10262" spans="32:32" x14ac:dyDescent="0.2">
      <c r="AF10262" s="12"/>
    </row>
    <row r="10263" spans="32:32" x14ac:dyDescent="0.2">
      <c r="AF10263" s="12"/>
    </row>
    <row r="10264" spans="32:32" x14ac:dyDescent="0.2">
      <c r="AF10264" s="12"/>
    </row>
    <row r="10265" spans="32:32" x14ac:dyDescent="0.2">
      <c r="AF10265" s="12"/>
    </row>
    <row r="10266" spans="32:32" x14ac:dyDescent="0.2">
      <c r="AF10266" s="12"/>
    </row>
    <row r="10267" spans="32:32" x14ac:dyDescent="0.2">
      <c r="AF10267" s="12"/>
    </row>
    <row r="10268" spans="32:32" x14ac:dyDescent="0.2">
      <c r="AF10268" s="12"/>
    </row>
    <row r="10269" spans="32:32" x14ac:dyDescent="0.2">
      <c r="AF10269" s="12"/>
    </row>
    <row r="10270" spans="32:32" x14ac:dyDescent="0.2">
      <c r="AF10270" s="12"/>
    </row>
    <row r="10271" spans="32:32" x14ac:dyDescent="0.2">
      <c r="AF10271" s="12"/>
    </row>
    <row r="10272" spans="32:32" x14ac:dyDescent="0.2">
      <c r="AF10272" s="12"/>
    </row>
    <row r="10273" spans="32:32" x14ac:dyDescent="0.2">
      <c r="AF10273" s="12"/>
    </row>
    <row r="10274" spans="32:32" x14ac:dyDescent="0.2">
      <c r="AF10274" s="12"/>
    </row>
    <row r="10275" spans="32:32" x14ac:dyDescent="0.2">
      <c r="AF10275" s="12"/>
    </row>
    <row r="10276" spans="32:32" x14ac:dyDescent="0.2">
      <c r="AF10276" s="12"/>
    </row>
    <row r="10277" spans="32:32" x14ac:dyDescent="0.2">
      <c r="AF10277" s="12"/>
    </row>
    <row r="10278" spans="32:32" x14ac:dyDescent="0.2">
      <c r="AF10278" s="12"/>
    </row>
    <row r="10279" spans="32:32" x14ac:dyDescent="0.2">
      <c r="AF10279" s="12"/>
    </row>
    <row r="10280" spans="32:32" x14ac:dyDescent="0.2">
      <c r="AF10280" s="12"/>
    </row>
    <row r="10281" spans="32:32" x14ac:dyDescent="0.2">
      <c r="AF10281" s="12"/>
    </row>
    <row r="10282" spans="32:32" x14ac:dyDescent="0.2">
      <c r="AF10282" s="12"/>
    </row>
    <row r="10283" spans="32:32" x14ac:dyDescent="0.2">
      <c r="AF10283" s="12"/>
    </row>
    <row r="10284" spans="32:32" x14ac:dyDescent="0.2">
      <c r="AF10284" s="12"/>
    </row>
    <row r="10285" spans="32:32" x14ac:dyDescent="0.2">
      <c r="AF10285" s="12"/>
    </row>
    <row r="10286" spans="32:32" x14ac:dyDescent="0.2">
      <c r="AF10286" s="12"/>
    </row>
    <row r="10287" spans="32:32" x14ac:dyDescent="0.2">
      <c r="AF10287" s="12"/>
    </row>
    <row r="10288" spans="32:32" x14ac:dyDescent="0.2">
      <c r="AF10288" s="12"/>
    </row>
    <row r="10289" spans="32:32" x14ac:dyDescent="0.2">
      <c r="AF10289" s="12"/>
    </row>
    <row r="10290" spans="32:32" x14ac:dyDescent="0.2">
      <c r="AF10290" s="12"/>
    </row>
    <row r="10291" spans="32:32" x14ac:dyDescent="0.2">
      <c r="AF10291" s="12"/>
    </row>
    <row r="10292" spans="32:32" x14ac:dyDescent="0.2">
      <c r="AF10292" s="12"/>
    </row>
    <row r="10293" spans="32:32" x14ac:dyDescent="0.2">
      <c r="AF10293" s="12"/>
    </row>
    <row r="10294" spans="32:32" x14ac:dyDescent="0.2">
      <c r="AF10294" s="12"/>
    </row>
    <row r="10295" spans="32:32" x14ac:dyDescent="0.2">
      <c r="AF10295" s="12"/>
    </row>
    <row r="10296" spans="32:32" x14ac:dyDescent="0.2">
      <c r="AF10296" s="12"/>
    </row>
    <row r="10297" spans="32:32" x14ac:dyDescent="0.2">
      <c r="AF10297" s="12"/>
    </row>
    <row r="10298" spans="32:32" x14ac:dyDescent="0.2">
      <c r="AF10298" s="12"/>
    </row>
    <row r="10299" spans="32:32" x14ac:dyDescent="0.2">
      <c r="AF10299" s="12"/>
    </row>
    <row r="10300" spans="32:32" x14ac:dyDescent="0.2">
      <c r="AF10300" s="12"/>
    </row>
    <row r="10301" spans="32:32" x14ac:dyDescent="0.2">
      <c r="AF10301" s="12"/>
    </row>
    <row r="10302" spans="32:32" x14ac:dyDescent="0.2">
      <c r="AF10302" s="12"/>
    </row>
    <row r="10303" spans="32:32" x14ac:dyDescent="0.2">
      <c r="AF10303" s="12"/>
    </row>
    <row r="10304" spans="32:32" x14ac:dyDescent="0.2">
      <c r="AF10304" s="12"/>
    </row>
    <row r="10305" spans="32:32" x14ac:dyDescent="0.2">
      <c r="AF10305" s="12"/>
    </row>
    <row r="10306" spans="32:32" x14ac:dyDescent="0.2">
      <c r="AF10306" s="12"/>
    </row>
    <row r="10307" spans="32:32" x14ac:dyDescent="0.2">
      <c r="AF10307" s="12"/>
    </row>
    <row r="10308" spans="32:32" x14ac:dyDescent="0.2">
      <c r="AF10308" s="12"/>
    </row>
    <row r="10309" spans="32:32" x14ac:dyDescent="0.2">
      <c r="AF10309" s="12"/>
    </row>
    <row r="10310" spans="32:32" x14ac:dyDescent="0.2">
      <c r="AF10310" s="12"/>
    </row>
    <row r="10311" spans="32:32" x14ac:dyDescent="0.2">
      <c r="AF10311" s="12"/>
    </row>
    <row r="10312" spans="32:32" x14ac:dyDescent="0.2">
      <c r="AF10312" s="12"/>
    </row>
    <row r="10313" spans="32:32" x14ac:dyDescent="0.2">
      <c r="AF10313" s="12"/>
    </row>
    <row r="10314" spans="32:32" x14ac:dyDescent="0.2">
      <c r="AF10314" s="12"/>
    </row>
    <row r="10315" spans="32:32" x14ac:dyDescent="0.2">
      <c r="AF10315" s="12"/>
    </row>
    <row r="10316" spans="32:32" x14ac:dyDescent="0.2">
      <c r="AF10316" s="12"/>
    </row>
    <row r="10317" spans="32:32" x14ac:dyDescent="0.2">
      <c r="AF10317" s="12"/>
    </row>
    <row r="10318" spans="32:32" x14ac:dyDescent="0.2">
      <c r="AF10318" s="12"/>
    </row>
    <row r="10319" spans="32:32" x14ac:dyDescent="0.2">
      <c r="AF10319" s="12"/>
    </row>
    <row r="10320" spans="32:32" x14ac:dyDescent="0.2">
      <c r="AF10320" s="12"/>
    </row>
    <row r="10321" spans="32:32" x14ac:dyDescent="0.2">
      <c r="AF10321" s="12"/>
    </row>
    <row r="10322" spans="32:32" x14ac:dyDescent="0.2">
      <c r="AF10322" s="12"/>
    </row>
    <row r="10323" spans="32:32" x14ac:dyDescent="0.2">
      <c r="AF10323" s="12"/>
    </row>
    <row r="10324" spans="32:32" x14ac:dyDescent="0.2">
      <c r="AF10324" s="12"/>
    </row>
    <row r="10325" spans="32:32" x14ac:dyDescent="0.2">
      <c r="AF10325" s="12"/>
    </row>
    <row r="10326" spans="32:32" x14ac:dyDescent="0.2">
      <c r="AF10326" s="12"/>
    </row>
    <row r="10327" spans="32:32" x14ac:dyDescent="0.2">
      <c r="AF10327" s="12"/>
    </row>
    <row r="10328" spans="32:32" x14ac:dyDescent="0.2">
      <c r="AF10328" s="12"/>
    </row>
    <row r="10329" spans="32:32" x14ac:dyDescent="0.2">
      <c r="AF10329" s="12"/>
    </row>
    <row r="10330" spans="32:32" x14ac:dyDescent="0.2">
      <c r="AF10330" s="12"/>
    </row>
    <row r="10331" spans="32:32" x14ac:dyDescent="0.2">
      <c r="AF10331" s="12"/>
    </row>
    <row r="10332" spans="32:32" x14ac:dyDescent="0.2">
      <c r="AF10332" s="12"/>
    </row>
    <row r="10333" spans="32:32" x14ac:dyDescent="0.2">
      <c r="AF10333" s="12"/>
    </row>
    <row r="10334" spans="32:32" x14ac:dyDescent="0.2">
      <c r="AF10334" s="12"/>
    </row>
    <row r="10335" spans="32:32" x14ac:dyDescent="0.2">
      <c r="AF10335" s="12"/>
    </row>
    <row r="10336" spans="32:32" x14ac:dyDescent="0.2">
      <c r="AF10336" s="12"/>
    </row>
    <row r="10337" spans="32:32" x14ac:dyDescent="0.2">
      <c r="AF10337" s="12"/>
    </row>
    <row r="10338" spans="32:32" x14ac:dyDescent="0.2">
      <c r="AF10338" s="12"/>
    </row>
    <row r="10339" spans="32:32" x14ac:dyDescent="0.2">
      <c r="AF10339" s="12"/>
    </row>
    <row r="10340" spans="32:32" x14ac:dyDescent="0.2">
      <c r="AF10340" s="12"/>
    </row>
    <row r="10341" spans="32:32" x14ac:dyDescent="0.2">
      <c r="AF10341" s="12"/>
    </row>
    <row r="10342" spans="32:32" x14ac:dyDescent="0.2">
      <c r="AF10342" s="12"/>
    </row>
    <row r="10343" spans="32:32" x14ac:dyDescent="0.2">
      <c r="AF10343" s="12"/>
    </row>
    <row r="10344" spans="32:32" x14ac:dyDescent="0.2">
      <c r="AF10344" s="12"/>
    </row>
    <row r="10345" spans="32:32" x14ac:dyDescent="0.2">
      <c r="AF10345" s="12"/>
    </row>
    <row r="10346" spans="32:32" x14ac:dyDescent="0.2">
      <c r="AF10346" s="12"/>
    </row>
    <row r="10347" spans="32:32" x14ac:dyDescent="0.2">
      <c r="AF10347" s="12"/>
    </row>
    <row r="10348" spans="32:32" x14ac:dyDescent="0.2">
      <c r="AF10348" s="12"/>
    </row>
    <row r="10349" spans="32:32" x14ac:dyDescent="0.2">
      <c r="AF10349" s="12"/>
    </row>
    <row r="10350" spans="32:32" x14ac:dyDescent="0.2">
      <c r="AF10350" s="12"/>
    </row>
    <row r="10351" spans="32:32" x14ac:dyDescent="0.2">
      <c r="AF10351" s="12"/>
    </row>
    <row r="10352" spans="32:32" x14ac:dyDescent="0.2">
      <c r="AF10352" s="12"/>
    </row>
    <row r="10353" spans="32:32" x14ac:dyDescent="0.2">
      <c r="AF10353" s="12"/>
    </row>
    <row r="10354" spans="32:32" x14ac:dyDescent="0.2">
      <c r="AF10354" s="12"/>
    </row>
    <row r="10355" spans="32:32" x14ac:dyDescent="0.2">
      <c r="AF10355" s="12"/>
    </row>
    <row r="10356" spans="32:32" x14ac:dyDescent="0.2">
      <c r="AF10356" s="12"/>
    </row>
    <row r="10357" spans="32:32" x14ac:dyDescent="0.2">
      <c r="AF10357" s="12"/>
    </row>
    <row r="10358" spans="32:32" x14ac:dyDescent="0.2">
      <c r="AF10358" s="12"/>
    </row>
    <row r="10359" spans="32:32" x14ac:dyDescent="0.2">
      <c r="AF10359" s="12"/>
    </row>
    <row r="10360" spans="32:32" x14ac:dyDescent="0.2">
      <c r="AF10360" s="12"/>
    </row>
    <row r="10361" spans="32:32" x14ac:dyDescent="0.2">
      <c r="AF10361" s="12"/>
    </row>
    <row r="10362" spans="32:32" x14ac:dyDescent="0.2">
      <c r="AF10362" s="12"/>
    </row>
    <row r="10363" spans="32:32" x14ac:dyDescent="0.2">
      <c r="AF10363" s="12"/>
    </row>
    <row r="10364" spans="32:32" x14ac:dyDescent="0.2">
      <c r="AF10364" s="12"/>
    </row>
    <row r="10365" spans="32:32" x14ac:dyDescent="0.2">
      <c r="AF10365" s="12"/>
    </row>
    <row r="10366" spans="32:32" x14ac:dyDescent="0.2">
      <c r="AF10366" s="12"/>
    </row>
    <row r="10367" spans="32:32" x14ac:dyDescent="0.2">
      <c r="AF10367" s="12"/>
    </row>
    <row r="10368" spans="32:32" x14ac:dyDescent="0.2">
      <c r="AF10368" s="12"/>
    </row>
    <row r="10369" spans="32:32" x14ac:dyDescent="0.2">
      <c r="AF10369" s="12"/>
    </row>
    <row r="10370" spans="32:32" x14ac:dyDescent="0.2">
      <c r="AF10370" s="12"/>
    </row>
    <row r="10371" spans="32:32" x14ac:dyDescent="0.2">
      <c r="AF10371" s="12"/>
    </row>
    <row r="10372" spans="32:32" x14ac:dyDescent="0.2">
      <c r="AF10372" s="12"/>
    </row>
    <row r="10373" spans="32:32" x14ac:dyDescent="0.2">
      <c r="AF10373" s="12"/>
    </row>
    <row r="10374" spans="32:32" x14ac:dyDescent="0.2">
      <c r="AF10374" s="12"/>
    </row>
    <row r="10375" spans="32:32" x14ac:dyDescent="0.2">
      <c r="AF10375" s="12"/>
    </row>
    <row r="10376" spans="32:32" x14ac:dyDescent="0.2">
      <c r="AF10376" s="12"/>
    </row>
    <row r="10377" spans="32:32" x14ac:dyDescent="0.2">
      <c r="AF10377" s="12"/>
    </row>
    <row r="10378" spans="32:32" x14ac:dyDescent="0.2">
      <c r="AF10378" s="12"/>
    </row>
    <row r="10379" spans="32:32" x14ac:dyDescent="0.2">
      <c r="AF10379" s="12"/>
    </row>
    <row r="10380" spans="32:32" x14ac:dyDescent="0.2">
      <c r="AF10380" s="12"/>
    </row>
    <row r="10381" spans="32:32" x14ac:dyDescent="0.2">
      <c r="AF10381" s="12"/>
    </row>
    <row r="10382" spans="32:32" x14ac:dyDescent="0.2">
      <c r="AF10382" s="12"/>
    </row>
    <row r="10383" spans="32:32" x14ac:dyDescent="0.2">
      <c r="AF10383" s="12"/>
    </row>
    <row r="10384" spans="32:32" x14ac:dyDescent="0.2">
      <c r="AF10384" s="12"/>
    </row>
    <row r="10385" spans="32:32" x14ac:dyDescent="0.2">
      <c r="AF10385" s="12"/>
    </row>
    <row r="10386" spans="32:32" x14ac:dyDescent="0.2">
      <c r="AF10386" s="12"/>
    </row>
    <row r="10387" spans="32:32" x14ac:dyDescent="0.2">
      <c r="AF10387" s="12"/>
    </row>
    <row r="10388" spans="32:32" x14ac:dyDescent="0.2">
      <c r="AF10388" s="12"/>
    </row>
    <row r="10389" spans="32:32" x14ac:dyDescent="0.2">
      <c r="AF10389" s="12"/>
    </row>
    <row r="10390" spans="32:32" x14ac:dyDescent="0.2">
      <c r="AF10390" s="12"/>
    </row>
    <row r="10391" spans="32:32" x14ac:dyDescent="0.2">
      <c r="AF10391" s="12"/>
    </row>
    <row r="10392" spans="32:32" x14ac:dyDescent="0.2">
      <c r="AF10392" s="12"/>
    </row>
    <row r="10393" spans="32:32" x14ac:dyDescent="0.2">
      <c r="AF10393" s="12"/>
    </row>
    <row r="10394" spans="32:32" x14ac:dyDescent="0.2">
      <c r="AF10394" s="12"/>
    </row>
    <row r="10395" spans="32:32" x14ac:dyDescent="0.2">
      <c r="AF10395" s="12"/>
    </row>
    <row r="10396" spans="32:32" x14ac:dyDescent="0.2">
      <c r="AF10396" s="12"/>
    </row>
    <row r="10397" spans="32:32" x14ac:dyDescent="0.2">
      <c r="AF10397" s="12"/>
    </row>
    <row r="10398" spans="32:32" x14ac:dyDescent="0.2">
      <c r="AF10398" s="12"/>
    </row>
    <row r="10399" spans="32:32" x14ac:dyDescent="0.2">
      <c r="AF10399" s="12"/>
    </row>
    <row r="10400" spans="32:32" x14ac:dyDescent="0.2">
      <c r="AF10400" s="12"/>
    </row>
    <row r="10401" spans="32:32" x14ac:dyDescent="0.2">
      <c r="AF10401" s="12"/>
    </row>
    <row r="10402" spans="32:32" x14ac:dyDescent="0.2">
      <c r="AF10402" s="12"/>
    </row>
    <row r="10403" spans="32:32" x14ac:dyDescent="0.2">
      <c r="AF10403" s="12"/>
    </row>
    <row r="10404" spans="32:32" x14ac:dyDescent="0.2">
      <c r="AF10404" s="12"/>
    </row>
    <row r="10405" spans="32:32" x14ac:dyDescent="0.2">
      <c r="AF10405" s="12"/>
    </row>
    <row r="10406" spans="32:32" x14ac:dyDescent="0.2">
      <c r="AF10406" s="12"/>
    </row>
    <row r="10407" spans="32:32" x14ac:dyDescent="0.2">
      <c r="AF10407" s="12"/>
    </row>
    <row r="10408" spans="32:32" x14ac:dyDescent="0.2">
      <c r="AF10408" s="12"/>
    </row>
    <row r="10409" spans="32:32" x14ac:dyDescent="0.2">
      <c r="AF10409" s="12"/>
    </row>
    <row r="10410" spans="32:32" x14ac:dyDescent="0.2">
      <c r="AF10410" s="12"/>
    </row>
    <row r="10411" spans="32:32" x14ac:dyDescent="0.2">
      <c r="AF10411" s="12"/>
    </row>
    <row r="10412" spans="32:32" x14ac:dyDescent="0.2">
      <c r="AF10412" s="12"/>
    </row>
    <row r="10413" spans="32:32" x14ac:dyDescent="0.2">
      <c r="AF10413" s="12"/>
    </row>
    <row r="10414" spans="32:32" x14ac:dyDescent="0.2">
      <c r="AF10414" s="12"/>
    </row>
    <row r="10415" spans="32:32" x14ac:dyDescent="0.2">
      <c r="AF10415" s="12"/>
    </row>
    <row r="10416" spans="32:32" x14ac:dyDescent="0.2">
      <c r="AF10416" s="12"/>
    </row>
    <row r="10417" spans="32:32" x14ac:dyDescent="0.2">
      <c r="AF10417" s="12"/>
    </row>
    <row r="10418" spans="32:32" x14ac:dyDescent="0.2">
      <c r="AF10418" s="12"/>
    </row>
    <row r="10419" spans="32:32" x14ac:dyDescent="0.2">
      <c r="AF10419" s="12"/>
    </row>
    <row r="10420" spans="32:32" x14ac:dyDescent="0.2">
      <c r="AF10420" s="12"/>
    </row>
    <row r="10421" spans="32:32" x14ac:dyDescent="0.2">
      <c r="AF10421" s="12"/>
    </row>
    <row r="10422" spans="32:32" x14ac:dyDescent="0.2">
      <c r="AF10422" s="12"/>
    </row>
    <row r="10423" spans="32:32" x14ac:dyDescent="0.2">
      <c r="AF10423" s="12"/>
    </row>
    <row r="10424" spans="32:32" x14ac:dyDescent="0.2">
      <c r="AF10424" s="12"/>
    </row>
    <row r="10425" spans="32:32" x14ac:dyDescent="0.2">
      <c r="AF10425" s="12"/>
    </row>
    <row r="10426" spans="32:32" x14ac:dyDescent="0.2">
      <c r="AF10426" s="12"/>
    </row>
    <row r="10427" spans="32:32" x14ac:dyDescent="0.2">
      <c r="AF10427" s="12"/>
    </row>
    <row r="10428" spans="32:32" x14ac:dyDescent="0.2">
      <c r="AF10428" s="12"/>
    </row>
    <row r="10429" spans="32:32" x14ac:dyDescent="0.2">
      <c r="AF10429" s="12"/>
    </row>
    <row r="10430" spans="32:32" x14ac:dyDescent="0.2">
      <c r="AF10430" s="12"/>
    </row>
    <row r="10431" spans="32:32" x14ac:dyDescent="0.2">
      <c r="AF10431" s="12"/>
    </row>
    <row r="10432" spans="32:32" x14ac:dyDescent="0.2">
      <c r="AF10432" s="12"/>
    </row>
    <row r="10433" spans="32:32" x14ac:dyDescent="0.2">
      <c r="AF10433" s="12"/>
    </row>
    <row r="10434" spans="32:32" x14ac:dyDescent="0.2">
      <c r="AF10434" s="12"/>
    </row>
    <row r="10435" spans="32:32" x14ac:dyDescent="0.2">
      <c r="AF10435" s="12"/>
    </row>
    <row r="10436" spans="32:32" x14ac:dyDescent="0.2">
      <c r="AF10436" s="12"/>
    </row>
    <row r="10437" spans="32:32" x14ac:dyDescent="0.2">
      <c r="AF10437" s="12"/>
    </row>
    <row r="10438" spans="32:32" x14ac:dyDescent="0.2">
      <c r="AF10438" s="12"/>
    </row>
    <row r="10439" spans="32:32" x14ac:dyDescent="0.2">
      <c r="AF10439" s="12"/>
    </row>
    <row r="10440" spans="32:32" x14ac:dyDescent="0.2">
      <c r="AF10440" s="12"/>
    </row>
    <row r="10441" spans="32:32" x14ac:dyDescent="0.2">
      <c r="AF10441" s="12"/>
    </row>
    <row r="10442" spans="32:32" x14ac:dyDescent="0.2">
      <c r="AF10442" s="12"/>
    </row>
    <row r="10443" spans="32:32" x14ac:dyDescent="0.2">
      <c r="AF10443" s="12"/>
    </row>
    <row r="10444" spans="32:32" x14ac:dyDescent="0.2">
      <c r="AF10444" s="12"/>
    </row>
    <row r="10445" spans="32:32" x14ac:dyDescent="0.2">
      <c r="AF10445" s="12"/>
    </row>
    <row r="10446" spans="32:32" x14ac:dyDescent="0.2">
      <c r="AF10446" s="12"/>
    </row>
    <row r="10447" spans="32:32" x14ac:dyDescent="0.2">
      <c r="AF10447" s="12"/>
    </row>
    <row r="10448" spans="32:32" x14ac:dyDescent="0.2">
      <c r="AF10448" s="12"/>
    </row>
    <row r="10449" spans="32:32" x14ac:dyDescent="0.2">
      <c r="AF10449" s="12"/>
    </row>
    <row r="10450" spans="32:32" x14ac:dyDescent="0.2">
      <c r="AF10450" s="12"/>
    </row>
    <row r="10451" spans="32:32" x14ac:dyDescent="0.2">
      <c r="AF10451" s="12"/>
    </row>
    <row r="10452" spans="32:32" x14ac:dyDescent="0.2">
      <c r="AF10452" s="12"/>
    </row>
    <row r="10453" spans="32:32" x14ac:dyDescent="0.2">
      <c r="AF10453" s="12"/>
    </row>
    <row r="10454" spans="32:32" x14ac:dyDescent="0.2">
      <c r="AF10454" s="12"/>
    </row>
    <row r="10455" spans="32:32" x14ac:dyDescent="0.2">
      <c r="AF10455" s="12"/>
    </row>
    <row r="10456" spans="32:32" x14ac:dyDescent="0.2">
      <c r="AF10456" s="12"/>
    </row>
    <row r="10457" spans="32:32" x14ac:dyDescent="0.2">
      <c r="AF10457" s="12"/>
    </row>
    <row r="10458" spans="32:32" x14ac:dyDescent="0.2">
      <c r="AF10458" s="12"/>
    </row>
    <row r="10459" spans="32:32" x14ac:dyDescent="0.2">
      <c r="AF10459" s="12"/>
    </row>
    <row r="10460" spans="32:32" x14ac:dyDescent="0.2">
      <c r="AF10460" s="12"/>
    </row>
    <row r="10461" spans="32:32" x14ac:dyDescent="0.2">
      <c r="AF10461" s="12"/>
    </row>
    <row r="10462" spans="32:32" x14ac:dyDescent="0.2">
      <c r="AF10462" s="12"/>
    </row>
    <row r="10463" spans="32:32" x14ac:dyDescent="0.2">
      <c r="AF10463" s="12"/>
    </row>
    <row r="10464" spans="32:32" x14ac:dyDescent="0.2">
      <c r="AF10464" s="12"/>
    </row>
    <row r="10465" spans="32:32" x14ac:dyDescent="0.2">
      <c r="AF10465" s="12"/>
    </row>
    <row r="10466" spans="32:32" x14ac:dyDescent="0.2">
      <c r="AF10466" s="12"/>
    </row>
    <row r="10467" spans="32:32" x14ac:dyDescent="0.2">
      <c r="AF10467" s="12"/>
    </row>
    <row r="10468" spans="32:32" x14ac:dyDescent="0.2">
      <c r="AF10468" s="12"/>
    </row>
    <row r="10469" spans="32:32" x14ac:dyDescent="0.2">
      <c r="AF10469" s="12"/>
    </row>
    <row r="10470" spans="32:32" x14ac:dyDescent="0.2">
      <c r="AF10470" s="12"/>
    </row>
    <row r="10471" spans="32:32" x14ac:dyDescent="0.2">
      <c r="AF10471" s="12"/>
    </row>
    <row r="10472" spans="32:32" x14ac:dyDescent="0.2">
      <c r="AF10472" s="12"/>
    </row>
    <row r="10473" spans="32:32" x14ac:dyDescent="0.2">
      <c r="AF10473" s="12"/>
    </row>
    <row r="10474" spans="32:32" x14ac:dyDescent="0.2">
      <c r="AF10474" s="12"/>
    </row>
    <row r="10475" spans="32:32" x14ac:dyDescent="0.2">
      <c r="AF10475" s="12"/>
    </row>
    <row r="10476" spans="32:32" x14ac:dyDescent="0.2">
      <c r="AF10476" s="12"/>
    </row>
    <row r="10477" spans="32:32" x14ac:dyDescent="0.2">
      <c r="AF10477" s="12"/>
    </row>
    <row r="10478" spans="32:32" x14ac:dyDescent="0.2">
      <c r="AF10478" s="12"/>
    </row>
    <row r="10479" spans="32:32" x14ac:dyDescent="0.2">
      <c r="AF10479" s="12"/>
    </row>
    <row r="10480" spans="32:32" x14ac:dyDescent="0.2">
      <c r="AF10480" s="12"/>
    </row>
    <row r="10481" spans="32:32" x14ac:dyDescent="0.2">
      <c r="AF10481" s="12"/>
    </row>
    <row r="10482" spans="32:32" x14ac:dyDescent="0.2">
      <c r="AF10482" s="12"/>
    </row>
    <row r="10483" spans="32:32" x14ac:dyDescent="0.2">
      <c r="AF10483" s="12"/>
    </row>
    <row r="10484" spans="32:32" x14ac:dyDescent="0.2">
      <c r="AF10484" s="12"/>
    </row>
    <row r="10485" spans="32:32" x14ac:dyDescent="0.2">
      <c r="AF10485" s="12"/>
    </row>
    <row r="10486" spans="32:32" x14ac:dyDescent="0.2">
      <c r="AF10486" s="12"/>
    </row>
    <row r="10487" spans="32:32" x14ac:dyDescent="0.2">
      <c r="AF10487" s="12"/>
    </row>
    <row r="10488" spans="32:32" x14ac:dyDescent="0.2">
      <c r="AF10488" s="12"/>
    </row>
    <row r="10489" spans="32:32" x14ac:dyDescent="0.2">
      <c r="AF10489" s="12"/>
    </row>
    <row r="10490" spans="32:32" x14ac:dyDescent="0.2">
      <c r="AF10490" s="12"/>
    </row>
    <row r="10491" spans="32:32" x14ac:dyDescent="0.2">
      <c r="AF10491" s="12"/>
    </row>
    <row r="10492" spans="32:32" x14ac:dyDescent="0.2">
      <c r="AF10492" s="12"/>
    </row>
    <row r="10493" spans="32:32" x14ac:dyDescent="0.2">
      <c r="AF10493" s="12"/>
    </row>
    <row r="10494" spans="32:32" x14ac:dyDescent="0.2">
      <c r="AF10494" s="12"/>
    </row>
    <row r="10495" spans="32:32" x14ac:dyDescent="0.2">
      <c r="AF10495" s="12"/>
    </row>
    <row r="10496" spans="32:32" x14ac:dyDescent="0.2">
      <c r="AF10496" s="12"/>
    </row>
    <row r="10497" spans="32:32" x14ac:dyDescent="0.2">
      <c r="AF10497" s="12"/>
    </row>
    <row r="10498" spans="32:32" x14ac:dyDescent="0.2">
      <c r="AF10498" s="12"/>
    </row>
    <row r="10499" spans="32:32" x14ac:dyDescent="0.2">
      <c r="AF10499" s="12"/>
    </row>
    <row r="10500" spans="32:32" x14ac:dyDescent="0.2">
      <c r="AF10500" s="12"/>
    </row>
    <row r="10501" spans="32:32" x14ac:dyDescent="0.2">
      <c r="AF10501" s="12"/>
    </row>
    <row r="10502" spans="32:32" x14ac:dyDescent="0.2">
      <c r="AF10502" s="12"/>
    </row>
    <row r="10503" spans="32:32" x14ac:dyDescent="0.2">
      <c r="AF10503" s="12"/>
    </row>
    <row r="10504" spans="32:32" x14ac:dyDescent="0.2">
      <c r="AF10504" s="12"/>
    </row>
    <row r="10505" spans="32:32" x14ac:dyDescent="0.2">
      <c r="AF10505" s="12"/>
    </row>
    <row r="10506" spans="32:32" x14ac:dyDescent="0.2">
      <c r="AF10506" s="12"/>
    </row>
    <row r="10507" spans="32:32" x14ac:dyDescent="0.2">
      <c r="AF10507" s="12"/>
    </row>
    <row r="10508" spans="32:32" x14ac:dyDescent="0.2">
      <c r="AF10508" s="12"/>
    </row>
    <row r="10509" spans="32:32" x14ac:dyDescent="0.2">
      <c r="AF10509" s="12"/>
    </row>
    <row r="10510" spans="32:32" x14ac:dyDescent="0.2">
      <c r="AF10510" s="12"/>
    </row>
    <row r="10511" spans="32:32" x14ac:dyDescent="0.2">
      <c r="AF10511" s="12"/>
    </row>
    <row r="10512" spans="32:32" x14ac:dyDescent="0.2">
      <c r="AF10512" s="12"/>
    </row>
    <row r="10513" spans="32:32" x14ac:dyDescent="0.2">
      <c r="AF10513" s="12"/>
    </row>
    <row r="10514" spans="32:32" x14ac:dyDescent="0.2">
      <c r="AF10514" s="12"/>
    </row>
    <row r="10515" spans="32:32" x14ac:dyDescent="0.2">
      <c r="AF10515" s="12"/>
    </row>
    <row r="10516" spans="32:32" x14ac:dyDescent="0.2">
      <c r="AF10516" s="12"/>
    </row>
    <row r="10517" spans="32:32" x14ac:dyDescent="0.2">
      <c r="AF10517" s="12"/>
    </row>
    <row r="10518" spans="32:32" x14ac:dyDescent="0.2">
      <c r="AF10518" s="12"/>
    </row>
    <row r="10519" spans="32:32" x14ac:dyDescent="0.2">
      <c r="AF10519" s="12"/>
    </row>
    <row r="10520" spans="32:32" x14ac:dyDescent="0.2">
      <c r="AF10520" s="12"/>
    </row>
    <row r="10521" spans="32:32" x14ac:dyDescent="0.2">
      <c r="AF10521" s="12"/>
    </row>
    <row r="10522" spans="32:32" x14ac:dyDescent="0.2">
      <c r="AF10522" s="12"/>
    </row>
    <row r="10523" spans="32:32" x14ac:dyDescent="0.2">
      <c r="AF10523" s="12"/>
    </row>
    <row r="10524" spans="32:32" x14ac:dyDescent="0.2">
      <c r="AF10524" s="12"/>
    </row>
    <row r="10525" spans="32:32" x14ac:dyDescent="0.2">
      <c r="AF10525" s="12"/>
    </row>
    <row r="10526" spans="32:32" x14ac:dyDescent="0.2">
      <c r="AF10526" s="12"/>
    </row>
    <row r="10527" spans="32:32" x14ac:dyDescent="0.2">
      <c r="AF10527" s="12"/>
    </row>
    <row r="10528" spans="32:32" x14ac:dyDescent="0.2">
      <c r="AF10528" s="12"/>
    </row>
    <row r="10529" spans="32:32" x14ac:dyDescent="0.2">
      <c r="AF10529" s="12"/>
    </row>
    <row r="10530" spans="32:32" x14ac:dyDescent="0.2">
      <c r="AF10530" s="12"/>
    </row>
    <row r="10531" spans="32:32" x14ac:dyDescent="0.2">
      <c r="AF10531" s="12"/>
    </row>
    <row r="10532" spans="32:32" x14ac:dyDescent="0.2">
      <c r="AF10532" s="12"/>
    </row>
    <row r="10533" spans="32:32" x14ac:dyDescent="0.2">
      <c r="AF10533" s="12"/>
    </row>
    <row r="10534" spans="32:32" x14ac:dyDescent="0.2">
      <c r="AF10534" s="12"/>
    </row>
    <row r="10535" spans="32:32" x14ac:dyDescent="0.2">
      <c r="AF10535" s="12"/>
    </row>
    <row r="10536" spans="32:32" x14ac:dyDescent="0.2">
      <c r="AF10536" s="12"/>
    </row>
    <row r="10537" spans="32:32" x14ac:dyDescent="0.2">
      <c r="AF10537" s="12"/>
    </row>
    <row r="10538" spans="32:32" x14ac:dyDescent="0.2">
      <c r="AF10538" s="12"/>
    </row>
    <row r="10539" spans="32:32" x14ac:dyDescent="0.2">
      <c r="AF10539" s="12"/>
    </row>
    <row r="10540" spans="32:32" x14ac:dyDescent="0.2">
      <c r="AF10540" s="12"/>
    </row>
    <row r="10541" spans="32:32" x14ac:dyDescent="0.2">
      <c r="AF10541" s="12"/>
    </row>
    <row r="10542" spans="32:32" x14ac:dyDescent="0.2">
      <c r="AF10542" s="12"/>
    </row>
    <row r="10543" spans="32:32" x14ac:dyDescent="0.2">
      <c r="AF10543" s="12"/>
    </row>
    <row r="10544" spans="32:32" x14ac:dyDescent="0.2">
      <c r="AF10544" s="12"/>
    </row>
    <row r="10545" spans="32:32" x14ac:dyDescent="0.2">
      <c r="AF10545" s="12"/>
    </row>
    <row r="10546" spans="32:32" x14ac:dyDescent="0.2">
      <c r="AF10546" s="12"/>
    </row>
    <row r="10547" spans="32:32" x14ac:dyDescent="0.2">
      <c r="AF10547" s="12"/>
    </row>
    <row r="10548" spans="32:32" x14ac:dyDescent="0.2">
      <c r="AF10548" s="12"/>
    </row>
    <row r="10549" spans="32:32" x14ac:dyDescent="0.2">
      <c r="AF10549" s="12"/>
    </row>
    <row r="10550" spans="32:32" x14ac:dyDescent="0.2">
      <c r="AF10550" s="12"/>
    </row>
    <row r="10551" spans="32:32" x14ac:dyDescent="0.2">
      <c r="AF10551" s="12"/>
    </row>
    <row r="10552" spans="32:32" x14ac:dyDescent="0.2">
      <c r="AF10552" s="12"/>
    </row>
    <row r="10553" spans="32:32" x14ac:dyDescent="0.2">
      <c r="AF10553" s="12"/>
    </row>
    <row r="10554" spans="32:32" x14ac:dyDescent="0.2">
      <c r="AF10554" s="12"/>
    </row>
    <row r="10555" spans="32:32" x14ac:dyDescent="0.2">
      <c r="AF10555" s="12"/>
    </row>
    <row r="10556" spans="32:32" x14ac:dyDescent="0.2">
      <c r="AF10556" s="12"/>
    </row>
    <row r="10557" spans="32:32" x14ac:dyDescent="0.2">
      <c r="AF10557" s="12"/>
    </row>
    <row r="10558" spans="32:32" x14ac:dyDescent="0.2">
      <c r="AF10558" s="12"/>
    </row>
    <row r="10559" spans="32:32" x14ac:dyDescent="0.2">
      <c r="AF10559" s="12"/>
    </row>
    <row r="10560" spans="32:32" x14ac:dyDescent="0.2">
      <c r="AF10560" s="12"/>
    </row>
    <row r="10561" spans="32:32" x14ac:dyDescent="0.2">
      <c r="AF10561" s="12"/>
    </row>
    <row r="10562" spans="32:32" x14ac:dyDescent="0.2">
      <c r="AF10562" s="12"/>
    </row>
    <row r="10563" spans="32:32" x14ac:dyDescent="0.2">
      <c r="AF10563" s="12"/>
    </row>
    <row r="10564" spans="32:32" x14ac:dyDescent="0.2">
      <c r="AF10564" s="12"/>
    </row>
    <row r="10565" spans="32:32" x14ac:dyDescent="0.2">
      <c r="AF10565" s="12"/>
    </row>
    <row r="10566" spans="32:32" x14ac:dyDescent="0.2">
      <c r="AF10566" s="12"/>
    </row>
    <row r="10567" spans="32:32" x14ac:dyDescent="0.2">
      <c r="AF10567" s="12"/>
    </row>
    <row r="10568" spans="32:32" x14ac:dyDescent="0.2">
      <c r="AF10568" s="12"/>
    </row>
    <row r="10569" spans="32:32" x14ac:dyDescent="0.2">
      <c r="AF10569" s="12"/>
    </row>
    <row r="10570" spans="32:32" x14ac:dyDescent="0.2">
      <c r="AF10570" s="12"/>
    </row>
    <row r="10571" spans="32:32" x14ac:dyDescent="0.2">
      <c r="AF10571" s="12"/>
    </row>
    <row r="10572" spans="32:32" x14ac:dyDescent="0.2">
      <c r="AF10572" s="12"/>
    </row>
    <row r="10573" spans="32:32" x14ac:dyDescent="0.2">
      <c r="AF10573" s="12"/>
    </row>
    <row r="10574" spans="32:32" x14ac:dyDescent="0.2">
      <c r="AF10574" s="12"/>
    </row>
    <row r="10575" spans="32:32" x14ac:dyDescent="0.2">
      <c r="AF10575" s="12"/>
    </row>
    <row r="10576" spans="32:32" x14ac:dyDescent="0.2">
      <c r="AF10576" s="12"/>
    </row>
    <row r="10577" spans="32:32" x14ac:dyDescent="0.2">
      <c r="AF10577" s="12"/>
    </row>
    <row r="10578" spans="32:32" x14ac:dyDescent="0.2">
      <c r="AF10578" s="12"/>
    </row>
    <row r="10579" spans="32:32" x14ac:dyDescent="0.2">
      <c r="AF10579" s="12"/>
    </row>
    <row r="10580" spans="32:32" x14ac:dyDescent="0.2">
      <c r="AF10580" s="12"/>
    </row>
    <row r="10581" spans="32:32" x14ac:dyDescent="0.2">
      <c r="AF10581" s="12"/>
    </row>
    <row r="10582" spans="32:32" x14ac:dyDescent="0.2">
      <c r="AF10582" s="12"/>
    </row>
    <row r="10583" spans="32:32" x14ac:dyDescent="0.2">
      <c r="AF10583" s="12"/>
    </row>
    <row r="10584" spans="32:32" x14ac:dyDescent="0.2">
      <c r="AF10584" s="12"/>
    </row>
    <row r="10585" spans="32:32" x14ac:dyDescent="0.2">
      <c r="AF10585" s="12"/>
    </row>
    <row r="10586" spans="32:32" x14ac:dyDescent="0.2">
      <c r="AF10586" s="12"/>
    </row>
    <row r="10587" spans="32:32" x14ac:dyDescent="0.2">
      <c r="AF10587" s="12"/>
    </row>
    <row r="10588" spans="32:32" x14ac:dyDescent="0.2">
      <c r="AF10588" s="12"/>
    </row>
    <row r="10589" spans="32:32" x14ac:dyDescent="0.2">
      <c r="AF10589" s="12"/>
    </row>
    <row r="10590" spans="32:32" x14ac:dyDescent="0.2">
      <c r="AF10590" s="12"/>
    </row>
    <row r="10591" spans="32:32" x14ac:dyDescent="0.2">
      <c r="AF10591" s="12"/>
    </row>
    <row r="10592" spans="32:32" x14ac:dyDescent="0.2">
      <c r="AF10592" s="12"/>
    </row>
    <row r="10593" spans="32:32" x14ac:dyDescent="0.2">
      <c r="AF10593" s="12"/>
    </row>
    <row r="10594" spans="32:32" x14ac:dyDescent="0.2">
      <c r="AF10594" s="12"/>
    </row>
    <row r="10595" spans="32:32" x14ac:dyDescent="0.2">
      <c r="AF10595" s="12"/>
    </row>
    <row r="10596" spans="32:32" x14ac:dyDescent="0.2">
      <c r="AF10596" s="12"/>
    </row>
    <row r="10597" spans="32:32" x14ac:dyDescent="0.2">
      <c r="AF10597" s="12"/>
    </row>
    <row r="10598" spans="32:32" x14ac:dyDescent="0.2">
      <c r="AF10598" s="12"/>
    </row>
    <row r="10599" spans="32:32" x14ac:dyDescent="0.2">
      <c r="AF10599" s="12"/>
    </row>
    <row r="10600" spans="32:32" x14ac:dyDescent="0.2">
      <c r="AF10600" s="12"/>
    </row>
    <row r="10601" spans="32:32" x14ac:dyDescent="0.2">
      <c r="AF10601" s="12"/>
    </row>
    <row r="10602" spans="32:32" x14ac:dyDescent="0.2">
      <c r="AF10602" s="12"/>
    </row>
    <row r="10603" spans="32:32" x14ac:dyDescent="0.2">
      <c r="AF10603" s="12"/>
    </row>
    <row r="10604" spans="32:32" x14ac:dyDescent="0.2">
      <c r="AF10604" s="12"/>
    </row>
    <row r="10605" spans="32:32" x14ac:dyDescent="0.2">
      <c r="AF10605" s="12"/>
    </row>
    <row r="10606" spans="32:32" x14ac:dyDescent="0.2">
      <c r="AF10606" s="12"/>
    </row>
    <row r="10607" spans="32:32" x14ac:dyDescent="0.2">
      <c r="AF10607" s="12"/>
    </row>
    <row r="10608" spans="32:32" x14ac:dyDescent="0.2">
      <c r="AF10608" s="12"/>
    </row>
    <row r="10609" spans="32:32" x14ac:dyDescent="0.2">
      <c r="AF10609" s="12"/>
    </row>
    <row r="10610" spans="32:32" x14ac:dyDescent="0.2">
      <c r="AF10610" s="12"/>
    </row>
    <row r="10611" spans="32:32" x14ac:dyDescent="0.2">
      <c r="AF10611" s="12"/>
    </row>
    <row r="10612" spans="32:32" x14ac:dyDescent="0.2">
      <c r="AF10612" s="12"/>
    </row>
    <row r="10613" spans="32:32" x14ac:dyDescent="0.2">
      <c r="AF10613" s="12"/>
    </row>
    <row r="10614" spans="32:32" x14ac:dyDescent="0.2">
      <c r="AF10614" s="12"/>
    </row>
    <row r="10615" spans="32:32" x14ac:dyDescent="0.2">
      <c r="AF10615" s="12"/>
    </row>
    <row r="10616" spans="32:32" x14ac:dyDescent="0.2">
      <c r="AF10616" s="12"/>
    </row>
    <row r="10617" spans="32:32" x14ac:dyDescent="0.2">
      <c r="AF10617" s="12"/>
    </row>
    <row r="10618" spans="32:32" x14ac:dyDescent="0.2">
      <c r="AF10618" s="12"/>
    </row>
    <row r="10619" spans="32:32" x14ac:dyDescent="0.2">
      <c r="AF10619" s="12"/>
    </row>
    <row r="10620" spans="32:32" x14ac:dyDescent="0.2">
      <c r="AF10620" s="12"/>
    </row>
    <row r="10621" spans="32:32" x14ac:dyDescent="0.2">
      <c r="AF10621" s="12"/>
    </row>
    <row r="10622" spans="32:32" x14ac:dyDescent="0.2">
      <c r="AF10622" s="12"/>
    </row>
    <row r="10623" spans="32:32" x14ac:dyDescent="0.2">
      <c r="AF10623" s="12"/>
    </row>
    <row r="10624" spans="32:32" x14ac:dyDescent="0.2">
      <c r="AF10624" s="12"/>
    </row>
    <row r="10625" spans="32:32" x14ac:dyDescent="0.2">
      <c r="AF10625" s="12"/>
    </row>
    <row r="10626" spans="32:32" x14ac:dyDescent="0.2">
      <c r="AF10626" s="12"/>
    </row>
    <row r="10627" spans="32:32" x14ac:dyDescent="0.2">
      <c r="AF10627" s="12"/>
    </row>
    <row r="10628" spans="32:32" x14ac:dyDescent="0.2">
      <c r="AF10628" s="12"/>
    </row>
    <row r="10629" spans="32:32" x14ac:dyDescent="0.2">
      <c r="AF10629" s="12"/>
    </row>
    <row r="10630" spans="32:32" x14ac:dyDescent="0.2">
      <c r="AF10630" s="12"/>
    </row>
    <row r="10631" spans="32:32" x14ac:dyDescent="0.2">
      <c r="AF10631" s="12"/>
    </row>
    <row r="10632" spans="32:32" x14ac:dyDescent="0.2">
      <c r="AF10632" s="12"/>
    </row>
    <row r="10633" spans="32:32" x14ac:dyDescent="0.2">
      <c r="AF10633" s="12"/>
    </row>
    <row r="10634" spans="32:32" x14ac:dyDescent="0.2">
      <c r="AF10634" s="12"/>
    </row>
    <row r="10635" spans="32:32" x14ac:dyDescent="0.2">
      <c r="AF10635" s="12"/>
    </row>
    <row r="10636" spans="32:32" x14ac:dyDescent="0.2">
      <c r="AF10636" s="12"/>
    </row>
    <row r="10637" spans="32:32" x14ac:dyDescent="0.2">
      <c r="AF10637" s="12"/>
    </row>
    <row r="10638" spans="32:32" x14ac:dyDescent="0.2">
      <c r="AF10638" s="12"/>
    </row>
    <row r="10639" spans="32:32" x14ac:dyDescent="0.2">
      <c r="AF10639" s="12"/>
    </row>
    <row r="10640" spans="32:32" x14ac:dyDescent="0.2">
      <c r="AF10640" s="12"/>
    </row>
    <row r="10641" spans="32:32" x14ac:dyDescent="0.2">
      <c r="AF10641" s="12"/>
    </row>
    <row r="10642" spans="32:32" x14ac:dyDescent="0.2">
      <c r="AF10642" s="12"/>
    </row>
    <row r="10643" spans="32:32" x14ac:dyDescent="0.2">
      <c r="AF10643" s="12"/>
    </row>
    <row r="10644" spans="32:32" x14ac:dyDescent="0.2">
      <c r="AF10644" s="12"/>
    </row>
    <row r="10645" spans="32:32" x14ac:dyDescent="0.2">
      <c r="AF10645" s="12"/>
    </row>
    <row r="10646" spans="32:32" x14ac:dyDescent="0.2">
      <c r="AF10646" s="12"/>
    </row>
    <row r="10647" spans="32:32" x14ac:dyDescent="0.2">
      <c r="AF10647" s="12"/>
    </row>
    <row r="10648" spans="32:32" x14ac:dyDescent="0.2">
      <c r="AF10648" s="12"/>
    </row>
    <row r="10649" spans="32:32" x14ac:dyDescent="0.2">
      <c r="AF10649" s="12"/>
    </row>
    <row r="10650" spans="32:32" x14ac:dyDescent="0.2">
      <c r="AF10650" s="12"/>
    </row>
    <row r="10651" spans="32:32" x14ac:dyDescent="0.2">
      <c r="AF10651" s="12"/>
    </row>
    <row r="10652" spans="32:32" x14ac:dyDescent="0.2">
      <c r="AF10652" s="12"/>
    </row>
    <row r="10653" spans="32:32" x14ac:dyDescent="0.2">
      <c r="AF10653" s="12"/>
    </row>
    <row r="10654" spans="32:32" x14ac:dyDescent="0.2">
      <c r="AF10654" s="12"/>
    </row>
    <row r="10655" spans="32:32" x14ac:dyDescent="0.2">
      <c r="AF10655" s="12"/>
    </row>
    <row r="10656" spans="32:32" x14ac:dyDescent="0.2">
      <c r="AF10656" s="12"/>
    </row>
    <row r="10657" spans="32:32" x14ac:dyDescent="0.2">
      <c r="AF10657" s="12"/>
    </row>
    <row r="10658" spans="32:32" x14ac:dyDescent="0.2">
      <c r="AF10658" s="12"/>
    </row>
    <row r="10659" spans="32:32" x14ac:dyDescent="0.2">
      <c r="AF10659" s="12"/>
    </row>
    <row r="10660" spans="32:32" x14ac:dyDescent="0.2">
      <c r="AF10660" s="12"/>
    </row>
    <row r="10661" spans="32:32" x14ac:dyDescent="0.2">
      <c r="AF10661" s="12"/>
    </row>
    <row r="10662" spans="32:32" x14ac:dyDescent="0.2">
      <c r="AF10662" s="12"/>
    </row>
    <row r="10663" spans="32:32" x14ac:dyDescent="0.2">
      <c r="AF10663" s="12"/>
    </row>
    <row r="10664" spans="32:32" x14ac:dyDescent="0.2">
      <c r="AF10664" s="12"/>
    </row>
    <row r="10665" spans="32:32" x14ac:dyDescent="0.2">
      <c r="AF10665" s="12"/>
    </row>
    <row r="10666" spans="32:32" x14ac:dyDescent="0.2">
      <c r="AF10666" s="12"/>
    </row>
    <row r="10667" spans="32:32" x14ac:dyDescent="0.2">
      <c r="AF10667" s="12"/>
    </row>
    <row r="10668" spans="32:32" x14ac:dyDescent="0.2">
      <c r="AF10668" s="12"/>
    </row>
    <row r="10669" spans="32:32" x14ac:dyDescent="0.2">
      <c r="AF10669" s="12"/>
    </row>
    <row r="10670" spans="32:32" x14ac:dyDescent="0.2">
      <c r="AF10670" s="12"/>
    </row>
    <row r="10671" spans="32:32" x14ac:dyDescent="0.2">
      <c r="AF10671" s="12"/>
    </row>
    <row r="10672" spans="32:32" x14ac:dyDescent="0.2">
      <c r="AF10672" s="12"/>
    </row>
    <row r="10673" spans="32:32" x14ac:dyDescent="0.2">
      <c r="AF10673" s="12"/>
    </row>
    <row r="10674" spans="32:32" x14ac:dyDescent="0.2">
      <c r="AF10674" s="12"/>
    </row>
    <row r="10675" spans="32:32" x14ac:dyDescent="0.2">
      <c r="AF10675" s="12"/>
    </row>
    <row r="10676" spans="32:32" x14ac:dyDescent="0.2">
      <c r="AF10676" s="12"/>
    </row>
    <row r="10677" spans="32:32" x14ac:dyDescent="0.2">
      <c r="AF10677" s="12"/>
    </row>
    <row r="10678" spans="32:32" x14ac:dyDescent="0.2">
      <c r="AF10678" s="12"/>
    </row>
    <row r="10679" spans="32:32" x14ac:dyDescent="0.2">
      <c r="AF10679" s="12"/>
    </row>
    <row r="10680" spans="32:32" x14ac:dyDescent="0.2">
      <c r="AF10680" s="12"/>
    </row>
    <row r="10681" spans="32:32" x14ac:dyDescent="0.2">
      <c r="AF10681" s="12"/>
    </row>
    <row r="10682" spans="32:32" x14ac:dyDescent="0.2">
      <c r="AF10682" s="12"/>
    </row>
    <row r="10683" spans="32:32" x14ac:dyDescent="0.2">
      <c r="AF10683" s="12"/>
    </row>
    <row r="10684" spans="32:32" x14ac:dyDescent="0.2">
      <c r="AF10684" s="12"/>
    </row>
    <row r="10685" spans="32:32" x14ac:dyDescent="0.2">
      <c r="AF10685" s="12"/>
    </row>
    <row r="10686" spans="32:32" x14ac:dyDescent="0.2">
      <c r="AF10686" s="12"/>
    </row>
    <row r="10687" spans="32:32" x14ac:dyDescent="0.2">
      <c r="AF10687" s="12"/>
    </row>
    <row r="10688" spans="32:32" x14ac:dyDescent="0.2">
      <c r="AF10688" s="12"/>
    </row>
    <row r="10689" spans="32:32" x14ac:dyDescent="0.2">
      <c r="AF10689" s="12"/>
    </row>
    <row r="10690" spans="32:32" x14ac:dyDescent="0.2">
      <c r="AF10690" s="12"/>
    </row>
    <row r="10691" spans="32:32" x14ac:dyDescent="0.2">
      <c r="AF10691" s="12"/>
    </row>
    <row r="10692" spans="32:32" x14ac:dyDescent="0.2">
      <c r="AF10692" s="12"/>
    </row>
    <row r="10693" spans="32:32" x14ac:dyDescent="0.2">
      <c r="AF10693" s="12"/>
    </row>
    <row r="10694" spans="32:32" x14ac:dyDescent="0.2">
      <c r="AF10694" s="12"/>
    </row>
    <row r="10695" spans="32:32" x14ac:dyDescent="0.2">
      <c r="AF10695" s="12"/>
    </row>
    <row r="10696" spans="32:32" x14ac:dyDescent="0.2">
      <c r="AF10696" s="12"/>
    </row>
    <row r="10697" spans="32:32" x14ac:dyDescent="0.2">
      <c r="AF10697" s="12"/>
    </row>
    <row r="10698" spans="32:32" x14ac:dyDescent="0.2">
      <c r="AF10698" s="12"/>
    </row>
    <row r="10699" spans="32:32" x14ac:dyDescent="0.2">
      <c r="AF10699" s="12"/>
    </row>
    <row r="10700" spans="32:32" x14ac:dyDescent="0.2">
      <c r="AF10700" s="12"/>
    </row>
    <row r="10701" spans="32:32" x14ac:dyDescent="0.2">
      <c r="AF10701" s="12"/>
    </row>
    <row r="10702" spans="32:32" x14ac:dyDescent="0.2">
      <c r="AF10702" s="12"/>
    </row>
    <row r="10703" spans="32:32" x14ac:dyDescent="0.2">
      <c r="AF10703" s="12"/>
    </row>
    <row r="10704" spans="32:32" x14ac:dyDescent="0.2">
      <c r="AF10704" s="12"/>
    </row>
    <row r="10705" spans="32:32" x14ac:dyDescent="0.2">
      <c r="AF10705" s="12"/>
    </row>
    <row r="10706" spans="32:32" x14ac:dyDescent="0.2">
      <c r="AF10706" s="12"/>
    </row>
    <row r="10707" spans="32:32" x14ac:dyDescent="0.2">
      <c r="AF10707" s="12"/>
    </row>
    <row r="10708" spans="32:32" x14ac:dyDescent="0.2">
      <c r="AF10708" s="12"/>
    </row>
    <row r="10709" spans="32:32" x14ac:dyDescent="0.2">
      <c r="AF10709" s="12"/>
    </row>
    <row r="10710" spans="32:32" x14ac:dyDescent="0.2">
      <c r="AF10710" s="12"/>
    </row>
    <row r="10711" spans="32:32" x14ac:dyDescent="0.2">
      <c r="AF10711" s="12"/>
    </row>
    <row r="10712" spans="32:32" x14ac:dyDescent="0.2">
      <c r="AF10712" s="12"/>
    </row>
    <row r="10713" spans="32:32" x14ac:dyDescent="0.2">
      <c r="AF10713" s="12"/>
    </row>
    <row r="10714" spans="32:32" x14ac:dyDescent="0.2">
      <c r="AF10714" s="12"/>
    </row>
    <row r="10715" spans="32:32" x14ac:dyDescent="0.2">
      <c r="AF10715" s="12"/>
    </row>
    <row r="10716" spans="32:32" x14ac:dyDescent="0.2">
      <c r="AF10716" s="12"/>
    </row>
    <row r="10717" spans="32:32" x14ac:dyDescent="0.2">
      <c r="AF10717" s="12"/>
    </row>
    <row r="10718" spans="32:32" x14ac:dyDescent="0.2">
      <c r="AF10718" s="12"/>
    </row>
    <row r="10719" spans="32:32" x14ac:dyDescent="0.2">
      <c r="AF10719" s="12"/>
    </row>
    <row r="10720" spans="32:32" x14ac:dyDescent="0.2">
      <c r="AF10720" s="12"/>
    </row>
    <row r="10721" spans="32:32" x14ac:dyDescent="0.2">
      <c r="AF10721" s="12"/>
    </row>
    <row r="10722" spans="32:32" x14ac:dyDescent="0.2">
      <c r="AF10722" s="12"/>
    </row>
    <row r="10723" spans="32:32" x14ac:dyDescent="0.2">
      <c r="AF10723" s="12"/>
    </row>
    <row r="10724" spans="32:32" x14ac:dyDescent="0.2">
      <c r="AF10724" s="12"/>
    </row>
    <row r="10725" spans="32:32" x14ac:dyDescent="0.2">
      <c r="AF10725" s="12"/>
    </row>
    <row r="10726" spans="32:32" x14ac:dyDescent="0.2">
      <c r="AF10726" s="12"/>
    </row>
    <row r="10727" spans="32:32" x14ac:dyDescent="0.2">
      <c r="AF10727" s="12"/>
    </row>
    <row r="10728" spans="32:32" x14ac:dyDescent="0.2">
      <c r="AF10728" s="12"/>
    </row>
    <row r="10729" spans="32:32" x14ac:dyDescent="0.2">
      <c r="AF10729" s="12"/>
    </row>
    <row r="10730" spans="32:32" x14ac:dyDescent="0.2">
      <c r="AF10730" s="12"/>
    </row>
    <row r="10731" spans="32:32" x14ac:dyDescent="0.2">
      <c r="AF10731" s="12"/>
    </row>
    <row r="10732" spans="32:32" x14ac:dyDescent="0.2">
      <c r="AF10732" s="12"/>
    </row>
    <row r="10733" spans="32:32" x14ac:dyDescent="0.2">
      <c r="AF10733" s="12"/>
    </row>
    <row r="10734" spans="32:32" x14ac:dyDescent="0.2">
      <c r="AF10734" s="12"/>
    </row>
    <row r="10735" spans="32:32" x14ac:dyDescent="0.2">
      <c r="AF10735" s="12"/>
    </row>
    <row r="10736" spans="32:32" x14ac:dyDescent="0.2">
      <c r="AF10736" s="12"/>
    </row>
    <row r="10737" spans="32:32" x14ac:dyDescent="0.2">
      <c r="AF10737" s="12"/>
    </row>
    <row r="10738" spans="32:32" x14ac:dyDescent="0.2">
      <c r="AF10738" s="12"/>
    </row>
    <row r="10739" spans="32:32" x14ac:dyDescent="0.2">
      <c r="AF10739" s="12"/>
    </row>
    <row r="10740" spans="32:32" x14ac:dyDescent="0.2">
      <c r="AF10740" s="12"/>
    </row>
    <row r="10741" spans="32:32" x14ac:dyDescent="0.2">
      <c r="AF10741" s="12"/>
    </row>
    <row r="10742" spans="32:32" x14ac:dyDescent="0.2">
      <c r="AF10742" s="12"/>
    </row>
    <row r="10743" spans="32:32" x14ac:dyDescent="0.2">
      <c r="AF10743" s="12"/>
    </row>
    <row r="10744" spans="32:32" x14ac:dyDescent="0.2">
      <c r="AF10744" s="12"/>
    </row>
    <row r="10745" spans="32:32" x14ac:dyDescent="0.2">
      <c r="AF10745" s="12"/>
    </row>
    <row r="10746" spans="32:32" x14ac:dyDescent="0.2">
      <c r="AF10746" s="12"/>
    </row>
    <row r="10747" spans="32:32" x14ac:dyDescent="0.2">
      <c r="AF10747" s="12"/>
    </row>
    <row r="10748" spans="32:32" x14ac:dyDescent="0.2">
      <c r="AF10748" s="12"/>
    </row>
    <row r="10749" spans="32:32" x14ac:dyDescent="0.2">
      <c r="AF10749" s="12"/>
    </row>
    <row r="10750" spans="32:32" x14ac:dyDescent="0.2">
      <c r="AF10750" s="12"/>
    </row>
    <row r="10751" spans="32:32" x14ac:dyDescent="0.2">
      <c r="AF10751" s="12"/>
    </row>
    <row r="10752" spans="32:32" x14ac:dyDescent="0.2">
      <c r="AF10752" s="12"/>
    </row>
    <row r="10753" spans="32:32" x14ac:dyDescent="0.2">
      <c r="AF10753" s="12"/>
    </row>
    <row r="10754" spans="32:32" x14ac:dyDescent="0.2">
      <c r="AF10754" s="12"/>
    </row>
    <row r="10755" spans="32:32" x14ac:dyDescent="0.2">
      <c r="AF10755" s="12"/>
    </row>
    <row r="10756" spans="32:32" x14ac:dyDescent="0.2">
      <c r="AF10756" s="12"/>
    </row>
    <row r="10757" spans="32:32" x14ac:dyDescent="0.2">
      <c r="AF10757" s="12"/>
    </row>
    <row r="10758" spans="32:32" x14ac:dyDescent="0.2">
      <c r="AF10758" s="12"/>
    </row>
    <row r="10759" spans="32:32" x14ac:dyDescent="0.2">
      <c r="AF10759" s="12"/>
    </row>
    <row r="10760" spans="32:32" x14ac:dyDescent="0.2">
      <c r="AF10760" s="12"/>
    </row>
    <row r="10761" spans="32:32" x14ac:dyDescent="0.2">
      <c r="AF10761" s="12"/>
    </row>
    <row r="10762" spans="32:32" x14ac:dyDescent="0.2">
      <c r="AF10762" s="12"/>
    </row>
    <row r="10763" spans="32:32" x14ac:dyDescent="0.2">
      <c r="AF10763" s="12"/>
    </row>
    <row r="10764" spans="32:32" x14ac:dyDescent="0.2">
      <c r="AF10764" s="12"/>
    </row>
    <row r="10765" spans="32:32" x14ac:dyDescent="0.2">
      <c r="AF10765" s="12"/>
    </row>
    <row r="10766" spans="32:32" x14ac:dyDescent="0.2">
      <c r="AF10766" s="12"/>
    </row>
    <row r="10767" spans="32:32" x14ac:dyDescent="0.2">
      <c r="AF10767" s="12"/>
    </row>
    <row r="10768" spans="32:32" x14ac:dyDescent="0.2">
      <c r="AF10768" s="12"/>
    </row>
    <row r="10769" spans="32:32" x14ac:dyDescent="0.2">
      <c r="AF10769" s="12"/>
    </row>
    <row r="10770" spans="32:32" x14ac:dyDescent="0.2">
      <c r="AF10770" s="12"/>
    </row>
    <row r="10771" spans="32:32" x14ac:dyDescent="0.2">
      <c r="AF10771" s="12"/>
    </row>
    <row r="10772" spans="32:32" x14ac:dyDescent="0.2">
      <c r="AF10772" s="12"/>
    </row>
    <row r="10773" spans="32:32" x14ac:dyDescent="0.2">
      <c r="AF10773" s="12"/>
    </row>
    <row r="10774" spans="32:32" x14ac:dyDescent="0.2">
      <c r="AF10774" s="12"/>
    </row>
    <row r="10775" spans="32:32" x14ac:dyDescent="0.2">
      <c r="AF10775" s="12"/>
    </row>
    <row r="10776" spans="32:32" x14ac:dyDescent="0.2">
      <c r="AF10776" s="12"/>
    </row>
    <row r="10777" spans="32:32" x14ac:dyDescent="0.2">
      <c r="AF10777" s="12"/>
    </row>
    <row r="10778" spans="32:32" x14ac:dyDescent="0.2">
      <c r="AF10778" s="12"/>
    </row>
    <row r="10779" spans="32:32" x14ac:dyDescent="0.2">
      <c r="AF10779" s="12"/>
    </row>
    <row r="10780" spans="32:32" x14ac:dyDescent="0.2">
      <c r="AF10780" s="12"/>
    </row>
    <row r="10781" spans="32:32" x14ac:dyDescent="0.2">
      <c r="AF10781" s="12"/>
    </row>
    <row r="10782" spans="32:32" x14ac:dyDescent="0.2">
      <c r="AF10782" s="12"/>
    </row>
    <row r="10783" spans="32:32" x14ac:dyDescent="0.2">
      <c r="AF10783" s="12"/>
    </row>
    <row r="10784" spans="32:32" x14ac:dyDescent="0.2">
      <c r="AF10784" s="12"/>
    </row>
    <row r="10785" spans="32:32" x14ac:dyDescent="0.2">
      <c r="AF10785" s="12"/>
    </row>
    <row r="10786" spans="32:32" x14ac:dyDescent="0.2">
      <c r="AF10786" s="12"/>
    </row>
    <row r="10787" spans="32:32" x14ac:dyDescent="0.2">
      <c r="AF10787" s="12"/>
    </row>
    <row r="10788" spans="32:32" x14ac:dyDescent="0.2">
      <c r="AF10788" s="12"/>
    </row>
    <row r="10789" spans="32:32" x14ac:dyDescent="0.2">
      <c r="AF10789" s="12"/>
    </row>
    <row r="10790" spans="32:32" x14ac:dyDescent="0.2">
      <c r="AF10790" s="12"/>
    </row>
    <row r="10791" spans="32:32" x14ac:dyDescent="0.2">
      <c r="AF10791" s="12"/>
    </row>
    <row r="10792" spans="32:32" x14ac:dyDescent="0.2">
      <c r="AF10792" s="12"/>
    </row>
    <row r="10793" spans="32:32" x14ac:dyDescent="0.2">
      <c r="AF10793" s="12"/>
    </row>
    <row r="10794" spans="32:32" x14ac:dyDescent="0.2">
      <c r="AF10794" s="12"/>
    </row>
    <row r="10795" spans="32:32" x14ac:dyDescent="0.2">
      <c r="AF10795" s="12"/>
    </row>
    <row r="10796" spans="32:32" x14ac:dyDescent="0.2">
      <c r="AF10796" s="12"/>
    </row>
    <row r="10797" spans="32:32" x14ac:dyDescent="0.2">
      <c r="AF10797" s="12"/>
    </row>
    <row r="10798" spans="32:32" x14ac:dyDescent="0.2">
      <c r="AF10798" s="12"/>
    </row>
    <row r="10799" spans="32:32" x14ac:dyDescent="0.2">
      <c r="AF10799" s="12"/>
    </row>
    <row r="10800" spans="32:32" x14ac:dyDescent="0.2">
      <c r="AF10800" s="12"/>
    </row>
    <row r="10801" spans="32:32" x14ac:dyDescent="0.2">
      <c r="AF10801" s="12"/>
    </row>
    <row r="10802" spans="32:32" x14ac:dyDescent="0.2">
      <c r="AF10802" s="12"/>
    </row>
    <row r="10803" spans="32:32" x14ac:dyDescent="0.2">
      <c r="AF10803" s="12"/>
    </row>
    <row r="10804" spans="32:32" x14ac:dyDescent="0.2">
      <c r="AF10804" s="12"/>
    </row>
    <row r="10805" spans="32:32" x14ac:dyDescent="0.2">
      <c r="AF10805" s="12"/>
    </row>
    <row r="10806" spans="32:32" x14ac:dyDescent="0.2">
      <c r="AF10806" s="12"/>
    </row>
    <row r="10807" spans="32:32" x14ac:dyDescent="0.2">
      <c r="AF10807" s="12"/>
    </row>
    <row r="10808" spans="32:32" x14ac:dyDescent="0.2">
      <c r="AF10808" s="12"/>
    </row>
    <row r="10809" spans="32:32" x14ac:dyDescent="0.2">
      <c r="AF10809" s="12"/>
    </row>
    <row r="10810" spans="32:32" x14ac:dyDescent="0.2">
      <c r="AF10810" s="12"/>
    </row>
    <row r="10811" spans="32:32" x14ac:dyDescent="0.2">
      <c r="AF10811" s="12"/>
    </row>
    <row r="10812" spans="32:32" x14ac:dyDescent="0.2">
      <c r="AF10812" s="12"/>
    </row>
    <row r="10813" spans="32:32" x14ac:dyDescent="0.2">
      <c r="AF10813" s="12"/>
    </row>
    <row r="10814" spans="32:32" x14ac:dyDescent="0.2">
      <c r="AF10814" s="12"/>
    </row>
    <row r="10815" spans="32:32" x14ac:dyDescent="0.2">
      <c r="AF10815" s="12"/>
    </row>
    <row r="10816" spans="32:32" x14ac:dyDescent="0.2">
      <c r="AF10816" s="12"/>
    </row>
    <row r="10817" spans="32:32" x14ac:dyDescent="0.2">
      <c r="AF10817" s="12"/>
    </row>
    <row r="10818" spans="32:32" x14ac:dyDescent="0.2">
      <c r="AF10818" s="12"/>
    </row>
    <row r="10819" spans="32:32" x14ac:dyDescent="0.2">
      <c r="AF10819" s="12"/>
    </row>
    <row r="10820" spans="32:32" x14ac:dyDescent="0.2">
      <c r="AF10820" s="12"/>
    </row>
    <row r="10821" spans="32:32" x14ac:dyDescent="0.2">
      <c r="AF10821" s="12"/>
    </row>
    <row r="10822" spans="32:32" x14ac:dyDescent="0.2">
      <c r="AF10822" s="12"/>
    </row>
    <row r="10823" spans="32:32" x14ac:dyDescent="0.2">
      <c r="AF10823" s="12"/>
    </row>
    <row r="10824" spans="32:32" x14ac:dyDescent="0.2">
      <c r="AF10824" s="12"/>
    </row>
    <row r="10825" spans="32:32" x14ac:dyDescent="0.2">
      <c r="AF10825" s="12"/>
    </row>
    <row r="10826" spans="32:32" x14ac:dyDescent="0.2">
      <c r="AF10826" s="12"/>
    </row>
    <row r="10827" spans="32:32" x14ac:dyDescent="0.2">
      <c r="AF10827" s="12"/>
    </row>
    <row r="10828" spans="32:32" x14ac:dyDescent="0.2">
      <c r="AF10828" s="12"/>
    </row>
    <row r="10829" spans="32:32" x14ac:dyDescent="0.2">
      <c r="AF10829" s="12"/>
    </row>
    <row r="10830" spans="32:32" x14ac:dyDescent="0.2">
      <c r="AF10830" s="12"/>
    </row>
    <row r="10831" spans="32:32" x14ac:dyDescent="0.2">
      <c r="AF10831" s="12"/>
    </row>
    <row r="10832" spans="32:32" x14ac:dyDescent="0.2">
      <c r="AF10832" s="12"/>
    </row>
    <row r="10833" spans="32:32" x14ac:dyDescent="0.2">
      <c r="AF10833" s="12"/>
    </row>
    <row r="10834" spans="32:32" x14ac:dyDescent="0.2">
      <c r="AF10834" s="12"/>
    </row>
    <row r="10835" spans="32:32" x14ac:dyDescent="0.2">
      <c r="AF10835" s="12"/>
    </row>
    <row r="10836" spans="32:32" x14ac:dyDescent="0.2">
      <c r="AF10836" s="12"/>
    </row>
    <row r="10837" spans="32:32" x14ac:dyDescent="0.2">
      <c r="AF10837" s="12"/>
    </row>
    <row r="10838" spans="32:32" x14ac:dyDescent="0.2">
      <c r="AF10838" s="12"/>
    </row>
    <row r="10839" spans="32:32" x14ac:dyDescent="0.2">
      <c r="AF10839" s="12"/>
    </row>
    <row r="10840" spans="32:32" x14ac:dyDescent="0.2">
      <c r="AF10840" s="12"/>
    </row>
    <row r="10841" spans="32:32" x14ac:dyDescent="0.2">
      <c r="AF10841" s="12"/>
    </row>
    <row r="10842" spans="32:32" x14ac:dyDescent="0.2">
      <c r="AF10842" s="12"/>
    </row>
    <row r="10843" spans="32:32" x14ac:dyDescent="0.2">
      <c r="AF10843" s="12"/>
    </row>
    <row r="10844" spans="32:32" x14ac:dyDescent="0.2">
      <c r="AF10844" s="12"/>
    </row>
    <row r="10845" spans="32:32" x14ac:dyDescent="0.2">
      <c r="AF10845" s="12"/>
    </row>
    <row r="10846" spans="32:32" x14ac:dyDescent="0.2">
      <c r="AF10846" s="12"/>
    </row>
    <row r="10847" spans="32:32" x14ac:dyDescent="0.2">
      <c r="AF10847" s="12"/>
    </row>
    <row r="10848" spans="32:32" x14ac:dyDescent="0.2">
      <c r="AF10848" s="12"/>
    </row>
    <row r="10849" spans="32:32" x14ac:dyDescent="0.2">
      <c r="AF10849" s="12"/>
    </row>
    <row r="10850" spans="32:32" x14ac:dyDescent="0.2">
      <c r="AF10850" s="12"/>
    </row>
    <row r="10851" spans="32:32" x14ac:dyDescent="0.2">
      <c r="AF10851" s="12"/>
    </row>
    <row r="10852" spans="32:32" x14ac:dyDescent="0.2">
      <c r="AF10852" s="12"/>
    </row>
    <row r="10853" spans="32:32" x14ac:dyDescent="0.2">
      <c r="AF10853" s="12"/>
    </row>
    <row r="10854" spans="32:32" x14ac:dyDescent="0.2">
      <c r="AF10854" s="12"/>
    </row>
    <row r="10855" spans="32:32" x14ac:dyDescent="0.2">
      <c r="AF10855" s="12"/>
    </row>
    <row r="10856" spans="32:32" x14ac:dyDescent="0.2">
      <c r="AF10856" s="12"/>
    </row>
    <row r="10857" spans="32:32" x14ac:dyDescent="0.2">
      <c r="AF10857" s="12"/>
    </row>
    <row r="10858" spans="32:32" x14ac:dyDescent="0.2">
      <c r="AF10858" s="12"/>
    </row>
    <row r="10859" spans="32:32" x14ac:dyDescent="0.2">
      <c r="AF10859" s="12"/>
    </row>
    <row r="10860" spans="32:32" x14ac:dyDescent="0.2">
      <c r="AF10860" s="12"/>
    </row>
    <row r="10861" spans="32:32" x14ac:dyDescent="0.2">
      <c r="AF10861" s="12"/>
    </row>
    <row r="10862" spans="32:32" x14ac:dyDescent="0.2">
      <c r="AF10862" s="12"/>
    </row>
    <row r="10863" spans="32:32" x14ac:dyDescent="0.2">
      <c r="AF10863" s="12"/>
    </row>
    <row r="10864" spans="32:32" x14ac:dyDescent="0.2">
      <c r="AF10864" s="12"/>
    </row>
    <row r="10865" spans="32:32" x14ac:dyDescent="0.2">
      <c r="AF10865" s="12"/>
    </row>
    <row r="10866" spans="32:32" x14ac:dyDescent="0.2">
      <c r="AF10866" s="12"/>
    </row>
    <row r="10867" spans="32:32" x14ac:dyDescent="0.2">
      <c r="AF10867" s="12"/>
    </row>
    <row r="10868" spans="32:32" x14ac:dyDescent="0.2">
      <c r="AF10868" s="12"/>
    </row>
    <row r="10869" spans="32:32" x14ac:dyDescent="0.2">
      <c r="AF10869" s="12"/>
    </row>
    <row r="10870" spans="32:32" x14ac:dyDescent="0.2">
      <c r="AF10870" s="12"/>
    </row>
    <row r="10871" spans="32:32" x14ac:dyDescent="0.2">
      <c r="AF10871" s="12"/>
    </row>
    <row r="10872" spans="32:32" x14ac:dyDescent="0.2">
      <c r="AF10872" s="12"/>
    </row>
    <row r="10873" spans="32:32" x14ac:dyDescent="0.2">
      <c r="AF10873" s="12"/>
    </row>
    <row r="10874" spans="32:32" x14ac:dyDescent="0.2">
      <c r="AF10874" s="12"/>
    </row>
    <row r="10875" spans="32:32" x14ac:dyDescent="0.2">
      <c r="AF10875" s="12"/>
    </row>
    <row r="10876" spans="32:32" x14ac:dyDescent="0.2">
      <c r="AF10876" s="12"/>
    </row>
    <row r="10877" spans="32:32" x14ac:dyDescent="0.2">
      <c r="AF10877" s="12"/>
    </row>
    <row r="10878" spans="32:32" x14ac:dyDescent="0.2">
      <c r="AF10878" s="12"/>
    </row>
    <row r="10879" spans="32:32" x14ac:dyDescent="0.2">
      <c r="AF10879" s="12"/>
    </row>
    <row r="10880" spans="32:32" x14ac:dyDescent="0.2">
      <c r="AF10880" s="12"/>
    </row>
    <row r="10881" spans="32:32" x14ac:dyDescent="0.2">
      <c r="AF10881" s="12"/>
    </row>
    <row r="10882" spans="32:32" x14ac:dyDescent="0.2">
      <c r="AF10882" s="12"/>
    </row>
    <row r="10883" spans="32:32" x14ac:dyDescent="0.2">
      <c r="AF10883" s="12"/>
    </row>
    <row r="10884" spans="32:32" x14ac:dyDescent="0.2">
      <c r="AF10884" s="12"/>
    </row>
    <row r="10885" spans="32:32" x14ac:dyDescent="0.2">
      <c r="AF10885" s="12"/>
    </row>
    <row r="10886" spans="32:32" x14ac:dyDescent="0.2">
      <c r="AF10886" s="12"/>
    </row>
    <row r="10887" spans="32:32" x14ac:dyDescent="0.2">
      <c r="AF10887" s="12"/>
    </row>
    <row r="10888" spans="32:32" x14ac:dyDescent="0.2">
      <c r="AF10888" s="12"/>
    </row>
    <row r="10889" spans="32:32" x14ac:dyDescent="0.2">
      <c r="AF10889" s="12"/>
    </row>
    <row r="10890" spans="32:32" x14ac:dyDescent="0.2">
      <c r="AF10890" s="12"/>
    </row>
    <row r="10891" spans="32:32" x14ac:dyDescent="0.2">
      <c r="AF10891" s="12"/>
    </row>
    <row r="10892" spans="32:32" x14ac:dyDescent="0.2">
      <c r="AF10892" s="12"/>
    </row>
    <row r="10893" spans="32:32" x14ac:dyDescent="0.2">
      <c r="AF10893" s="12"/>
    </row>
    <row r="10894" spans="32:32" x14ac:dyDescent="0.2">
      <c r="AF10894" s="12"/>
    </row>
    <row r="10895" spans="32:32" x14ac:dyDescent="0.2">
      <c r="AF10895" s="12"/>
    </row>
    <row r="10896" spans="32:32" x14ac:dyDescent="0.2">
      <c r="AF10896" s="12"/>
    </row>
    <row r="10897" spans="32:32" x14ac:dyDescent="0.2">
      <c r="AF10897" s="12"/>
    </row>
    <row r="10898" spans="32:32" x14ac:dyDescent="0.2">
      <c r="AF10898" s="12"/>
    </row>
    <row r="10899" spans="32:32" x14ac:dyDescent="0.2">
      <c r="AF10899" s="12"/>
    </row>
    <row r="10900" spans="32:32" x14ac:dyDescent="0.2">
      <c r="AF10900" s="12"/>
    </row>
    <row r="10901" spans="32:32" x14ac:dyDescent="0.2">
      <c r="AF10901" s="12"/>
    </row>
    <row r="10902" spans="32:32" x14ac:dyDescent="0.2">
      <c r="AF10902" s="12"/>
    </row>
    <row r="10903" spans="32:32" x14ac:dyDescent="0.2">
      <c r="AF10903" s="12"/>
    </row>
    <row r="10904" spans="32:32" x14ac:dyDescent="0.2">
      <c r="AF10904" s="12"/>
    </row>
    <row r="10905" spans="32:32" x14ac:dyDescent="0.2">
      <c r="AF10905" s="12"/>
    </row>
    <row r="10906" spans="32:32" x14ac:dyDescent="0.2">
      <c r="AF10906" s="12"/>
    </row>
    <row r="10907" spans="32:32" x14ac:dyDescent="0.2">
      <c r="AF10907" s="12"/>
    </row>
    <row r="10908" spans="32:32" x14ac:dyDescent="0.2">
      <c r="AF10908" s="12"/>
    </row>
    <row r="10909" spans="32:32" x14ac:dyDescent="0.2">
      <c r="AF10909" s="12"/>
    </row>
    <row r="10910" spans="32:32" x14ac:dyDescent="0.2">
      <c r="AF10910" s="12"/>
    </row>
    <row r="10911" spans="32:32" x14ac:dyDescent="0.2">
      <c r="AF10911" s="12"/>
    </row>
    <row r="10912" spans="32:32" x14ac:dyDescent="0.2">
      <c r="AF10912" s="12"/>
    </row>
    <row r="10913" spans="32:32" x14ac:dyDescent="0.2">
      <c r="AF10913" s="12"/>
    </row>
    <row r="10914" spans="32:32" x14ac:dyDescent="0.2">
      <c r="AF10914" s="12"/>
    </row>
    <row r="10915" spans="32:32" x14ac:dyDescent="0.2">
      <c r="AF10915" s="12"/>
    </row>
    <row r="10916" spans="32:32" x14ac:dyDescent="0.2">
      <c r="AF10916" s="12"/>
    </row>
    <row r="10917" spans="32:32" x14ac:dyDescent="0.2">
      <c r="AF10917" s="12"/>
    </row>
    <row r="10918" spans="32:32" x14ac:dyDescent="0.2">
      <c r="AF10918" s="12"/>
    </row>
    <row r="10919" spans="32:32" x14ac:dyDescent="0.2">
      <c r="AF10919" s="12"/>
    </row>
    <row r="10920" spans="32:32" x14ac:dyDescent="0.2">
      <c r="AF10920" s="12"/>
    </row>
    <row r="10921" spans="32:32" x14ac:dyDescent="0.2">
      <c r="AF10921" s="12"/>
    </row>
    <row r="10922" spans="32:32" x14ac:dyDescent="0.2">
      <c r="AF10922" s="12"/>
    </row>
    <row r="10923" spans="32:32" x14ac:dyDescent="0.2">
      <c r="AF10923" s="12"/>
    </row>
    <row r="10924" spans="32:32" x14ac:dyDescent="0.2">
      <c r="AF10924" s="12"/>
    </row>
    <row r="10925" spans="32:32" x14ac:dyDescent="0.2">
      <c r="AF10925" s="12"/>
    </row>
    <row r="10926" spans="32:32" x14ac:dyDescent="0.2">
      <c r="AF10926" s="12"/>
    </row>
    <row r="10927" spans="32:32" x14ac:dyDescent="0.2">
      <c r="AF10927" s="12"/>
    </row>
    <row r="10928" spans="32:32" x14ac:dyDescent="0.2">
      <c r="AF10928" s="12"/>
    </row>
    <row r="10929" spans="32:32" x14ac:dyDescent="0.2">
      <c r="AF10929" s="12"/>
    </row>
    <row r="10930" spans="32:32" x14ac:dyDescent="0.2">
      <c r="AF10930" s="12"/>
    </row>
    <row r="10931" spans="32:32" x14ac:dyDescent="0.2">
      <c r="AF10931" s="12"/>
    </row>
    <row r="10932" spans="32:32" x14ac:dyDescent="0.2">
      <c r="AF10932" s="12"/>
    </row>
    <row r="10933" spans="32:32" x14ac:dyDescent="0.2">
      <c r="AF10933" s="12"/>
    </row>
    <row r="10934" spans="32:32" x14ac:dyDescent="0.2">
      <c r="AF10934" s="12"/>
    </row>
    <row r="10935" spans="32:32" x14ac:dyDescent="0.2">
      <c r="AF10935" s="12"/>
    </row>
    <row r="10936" spans="32:32" x14ac:dyDescent="0.2">
      <c r="AF10936" s="12"/>
    </row>
    <row r="10937" spans="32:32" x14ac:dyDescent="0.2">
      <c r="AF10937" s="12"/>
    </row>
    <row r="10938" spans="32:32" x14ac:dyDescent="0.2">
      <c r="AF10938" s="12"/>
    </row>
    <row r="10939" spans="32:32" x14ac:dyDescent="0.2">
      <c r="AF10939" s="12"/>
    </row>
    <row r="10940" spans="32:32" x14ac:dyDescent="0.2">
      <c r="AF10940" s="12"/>
    </row>
    <row r="10941" spans="32:32" x14ac:dyDescent="0.2">
      <c r="AF10941" s="12"/>
    </row>
    <row r="10942" spans="32:32" x14ac:dyDescent="0.2">
      <c r="AF10942" s="12"/>
    </row>
    <row r="10943" spans="32:32" x14ac:dyDescent="0.2">
      <c r="AF10943" s="12"/>
    </row>
    <row r="10944" spans="32:32" x14ac:dyDescent="0.2">
      <c r="AF10944" s="12"/>
    </row>
    <row r="10945" spans="32:32" x14ac:dyDescent="0.2">
      <c r="AF10945" s="12"/>
    </row>
    <row r="10946" spans="32:32" x14ac:dyDescent="0.2">
      <c r="AF10946" s="12"/>
    </row>
    <row r="10947" spans="32:32" x14ac:dyDescent="0.2">
      <c r="AF10947" s="12"/>
    </row>
    <row r="10948" spans="32:32" x14ac:dyDescent="0.2">
      <c r="AF10948" s="12"/>
    </row>
    <row r="10949" spans="32:32" x14ac:dyDescent="0.2">
      <c r="AF10949" s="12"/>
    </row>
    <row r="10950" spans="32:32" x14ac:dyDescent="0.2">
      <c r="AF10950" s="12"/>
    </row>
    <row r="10951" spans="32:32" x14ac:dyDescent="0.2">
      <c r="AF10951" s="12"/>
    </row>
    <row r="10952" spans="32:32" x14ac:dyDescent="0.2">
      <c r="AF10952" s="12"/>
    </row>
    <row r="10953" spans="32:32" x14ac:dyDescent="0.2">
      <c r="AF10953" s="12"/>
    </row>
    <row r="10954" spans="32:32" x14ac:dyDescent="0.2">
      <c r="AF10954" s="12"/>
    </row>
    <row r="10955" spans="32:32" x14ac:dyDescent="0.2">
      <c r="AF10955" s="12"/>
    </row>
    <row r="10956" spans="32:32" x14ac:dyDescent="0.2">
      <c r="AF10956" s="12"/>
    </row>
    <row r="10957" spans="32:32" x14ac:dyDescent="0.2">
      <c r="AF10957" s="12"/>
    </row>
    <row r="10958" spans="32:32" x14ac:dyDescent="0.2">
      <c r="AF10958" s="12"/>
    </row>
    <row r="10959" spans="32:32" x14ac:dyDescent="0.2">
      <c r="AF10959" s="12"/>
    </row>
    <row r="10960" spans="32:32" x14ac:dyDescent="0.2">
      <c r="AF10960" s="12"/>
    </row>
    <row r="10961" spans="32:32" x14ac:dyDescent="0.2">
      <c r="AF10961" s="12"/>
    </row>
    <row r="10962" spans="32:32" x14ac:dyDescent="0.2">
      <c r="AF10962" s="12"/>
    </row>
    <row r="10963" spans="32:32" x14ac:dyDescent="0.2">
      <c r="AF10963" s="12"/>
    </row>
    <row r="10964" spans="32:32" x14ac:dyDescent="0.2">
      <c r="AF10964" s="12"/>
    </row>
    <row r="10965" spans="32:32" x14ac:dyDescent="0.2">
      <c r="AF10965" s="12"/>
    </row>
    <row r="10966" spans="32:32" x14ac:dyDescent="0.2">
      <c r="AF10966" s="12"/>
    </row>
    <row r="10967" spans="32:32" x14ac:dyDescent="0.2">
      <c r="AF10967" s="12"/>
    </row>
    <row r="10968" spans="32:32" x14ac:dyDescent="0.2">
      <c r="AF10968" s="12"/>
    </row>
    <row r="10969" spans="32:32" x14ac:dyDescent="0.2">
      <c r="AF10969" s="12"/>
    </row>
    <row r="10970" spans="32:32" x14ac:dyDescent="0.2">
      <c r="AF10970" s="12"/>
    </row>
    <row r="10971" spans="32:32" x14ac:dyDescent="0.2">
      <c r="AF10971" s="12"/>
    </row>
    <row r="10972" spans="32:32" x14ac:dyDescent="0.2">
      <c r="AF10972" s="12"/>
    </row>
    <row r="10973" spans="32:32" x14ac:dyDescent="0.2">
      <c r="AF10973" s="12"/>
    </row>
    <row r="10974" spans="32:32" x14ac:dyDescent="0.2">
      <c r="AF10974" s="12"/>
    </row>
    <row r="10975" spans="32:32" x14ac:dyDescent="0.2">
      <c r="AF10975" s="12"/>
    </row>
    <row r="10976" spans="32:32" x14ac:dyDescent="0.2">
      <c r="AF10976" s="12"/>
    </row>
    <row r="10977" spans="32:32" x14ac:dyDescent="0.2">
      <c r="AF10977" s="12"/>
    </row>
    <row r="10978" spans="32:32" x14ac:dyDescent="0.2">
      <c r="AF10978" s="12"/>
    </row>
    <row r="10979" spans="32:32" x14ac:dyDescent="0.2">
      <c r="AF10979" s="12"/>
    </row>
    <row r="10980" spans="32:32" x14ac:dyDescent="0.2">
      <c r="AF10980" s="12"/>
    </row>
    <row r="10981" spans="32:32" x14ac:dyDescent="0.2">
      <c r="AF10981" s="12"/>
    </row>
    <row r="10982" spans="32:32" x14ac:dyDescent="0.2">
      <c r="AF10982" s="12"/>
    </row>
    <row r="10983" spans="32:32" x14ac:dyDescent="0.2">
      <c r="AF10983" s="12"/>
    </row>
    <row r="10984" spans="32:32" x14ac:dyDescent="0.2">
      <c r="AF10984" s="12"/>
    </row>
    <row r="10985" spans="32:32" x14ac:dyDescent="0.2">
      <c r="AF10985" s="12"/>
    </row>
    <row r="10986" spans="32:32" x14ac:dyDescent="0.2">
      <c r="AF10986" s="12"/>
    </row>
    <row r="10987" spans="32:32" x14ac:dyDescent="0.2">
      <c r="AF10987" s="12"/>
    </row>
    <row r="10988" spans="32:32" x14ac:dyDescent="0.2">
      <c r="AF10988" s="12"/>
    </row>
    <row r="10989" spans="32:32" x14ac:dyDescent="0.2">
      <c r="AF10989" s="12"/>
    </row>
    <row r="10990" spans="32:32" x14ac:dyDescent="0.2">
      <c r="AF10990" s="12"/>
    </row>
    <row r="10991" spans="32:32" x14ac:dyDescent="0.2">
      <c r="AF10991" s="12"/>
    </row>
    <row r="10992" spans="32:32" x14ac:dyDescent="0.2">
      <c r="AF10992" s="12"/>
    </row>
    <row r="10993" spans="32:32" x14ac:dyDescent="0.2">
      <c r="AF10993" s="12"/>
    </row>
    <row r="10994" spans="32:32" x14ac:dyDescent="0.2">
      <c r="AF10994" s="12"/>
    </row>
    <row r="10995" spans="32:32" x14ac:dyDescent="0.2">
      <c r="AF10995" s="12"/>
    </row>
    <row r="10996" spans="32:32" x14ac:dyDescent="0.2">
      <c r="AF10996" s="12"/>
    </row>
    <row r="10997" spans="32:32" x14ac:dyDescent="0.2">
      <c r="AF10997" s="12"/>
    </row>
    <row r="10998" spans="32:32" x14ac:dyDescent="0.2">
      <c r="AF10998" s="12"/>
    </row>
    <row r="10999" spans="32:32" x14ac:dyDescent="0.2">
      <c r="AF10999" s="12"/>
    </row>
    <row r="11000" spans="32:32" x14ac:dyDescent="0.2">
      <c r="AF11000" s="12"/>
    </row>
    <row r="11001" spans="32:32" x14ac:dyDescent="0.2">
      <c r="AF11001" s="12"/>
    </row>
    <row r="11002" spans="32:32" x14ac:dyDescent="0.2">
      <c r="AF11002" s="12"/>
    </row>
    <row r="11003" spans="32:32" x14ac:dyDescent="0.2">
      <c r="AF11003" s="12"/>
    </row>
    <row r="11004" spans="32:32" x14ac:dyDescent="0.2">
      <c r="AF11004" s="12"/>
    </row>
    <row r="11005" spans="32:32" x14ac:dyDescent="0.2">
      <c r="AF11005" s="12"/>
    </row>
    <row r="11006" spans="32:32" x14ac:dyDescent="0.2">
      <c r="AF11006" s="12"/>
    </row>
    <row r="11007" spans="32:32" x14ac:dyDescent="0.2">
      <c r="AF11007" s="12"/>
    </row>
    <row r="11008" spans="32:32" x14ac:dyDescent="0.2">
      <c r="AF11008" s="12"/>
    </row>
    <row r="11009" spans="32:32" x14ac:dyDescent="0.2">
      <c r="AF11009" s="12"/>
    </row>
    <row r="11010" spans="32:32" x14ac:dyDescent="0.2">
      <c r="AF11010" s="12"/>
    </row>
    <row r="11011" spans="32:32" x14ac:dyDescent="0.2">
      <c r="AF11011" s="12"/>
    </row>
    <row r="11012" spans="32:32" x14ac:dyDescent="0.2">
      <c r="AF11012" s="12"/>
    </row>
    <row r="11013" spans="32:32" x14ac:dyDescent="0.2">
      <c r="AF11013" s="12"/>
    </row>
    <row r="11014" spans="32:32" x14ac:dyDescent="0.2">
      <c r="AF11014" s="12"/>
    </row>
    <row r="11015" spans="32:32" x14ac:dyDescent="0.2">
      <c r="AF11015" s="12"/>
    </row>
    <row r="11016" spans="32:32" x14ac:dyDescent="0.2">
      <c r="AF11016" s="12"/>
    </row>
    <row r="11017" spans="32:32" x14ac:dyDescent="0.2">
      <c r="AF11017" s="12"/>
    </row>
    <row r="11018" spans="32:32" x14ac:dyDescent="0.2">
      <c r="AF11018" s="12"/>
    </row>
    <row r="11019" spans="32:32" x14ac:dyDescent="0.2">
      <c r="AF11019" s="12"/>
    </row>
    <row r="11020" spans="32:32" x14ac:dyDescent="0.2">
      <c r="AF11020" s="12"/>
    </row>
    <row r="11021" spans="32:32" x14ac:dyDescent="0.2">
      <c r="AF11021" s="12"/>
    </row>
    <row r="11022" spans="32:32" x14ac:dyDescent="0.2">
      <c r="AF11022" s="12"/>
    </row>
    <row r="11023" spans="32:32" x14ac:dyDescent="0.2">
      <c r="AF11023" s="12"/>
    </row>
    <row r="11024" spans="32:32" x14ac:dyDescent="0.2">
      <c r="AF11024" s="12"/>
    </row>
    <row r="11025" spans="32:32" x14ac:dyDescent="0.2">
      <c r="AF11025" s="12"/>
    </row>
    <row r="11026" spans="32:32" x14ac:dyDescent="0.2">
      <c r="AF11026" s="12"/>
    </row>
    <row r="11027" spans="32:32" x14ac:dyDescent="0.2">
      <c r="AF11027" s="12"/>
    </row>
    <row r="11028" spans="32:32" x14ac:dyDescent="0.2">
      <c r="AF11028" s="12"/>
    </row>
    <row r="11029" spans="32:32" x14ac:dyDescent="0.2">
      <c r="AF11029" s="12"/>
    </row>
    <row r="11030" spans="32:32" x14ac:dyDescent="0.2">
      <c r="AF11030" s="12"/>
    </row>
    <row r="11031" spans="32:32" x14ac:dyDescent="0.2">
      <c r="AF11031" s="12"/>
    </row>
    <row r="11032" spans="32:32" x14ac:dyDescent="0.2">
      <c r="AF11032" s="12"/>
    </row>
    <row r="11033" spans="32:32" x14ac:dyDescent="0.2">
      <c r="AF11033" s="12"/>
    </row>
    <row r="11034" spans="32:32" x14ac:dyDescent="0.2">
      <c r="AF11034" s="12"/>
    </row>
    <row r="11035" spans="32:32" x14ac:dyDescent="0.2">
      <c r="AF11035" s="12"/>
    </row>
    <row r="11036" spans="32:32" x14ac:dyDescent="0.2">
      <c r="AF11036" s="12"/>
    </row>
    <row r="11037" spans="32:32" x14ac:dyDescent="0.2">
      <c r="AF11037" s="12"/>
    </row>
    <row r="11038" spans="32:32" x14ac:dyDescent="0.2">
      <c r="AF11038" s="12"/>
    </row>
    <row r="11039" spans="32:32" x14ac:dyDescent="0.2">
      <c r="AF11039" s="12"/>
    </row>
    <row r="11040" spans="32:32" x14ac:dyDescent="0.2">
      <c r="AF11040" s="12"/>
    </row>
    <row r="11041" spans="32:32" x14ac:dyDescent="0.2">
      <c r="AF11041" s="12"/>
    </row>
    <row r="11042" spans="32:32" x14ac:dyDescent="0.2">
      <c r="AF11042" s="12"/>
    </row>
    <row r="11043" spans="32:32" x14ac:dyDescent="0.2">
      <c r="AF11043" s="12"/>
    </row>
    <row r="11044" spans="32:32" x14ac:dyDescent="0.2">
      <c r="AF11044" s="12"/>
    </row>
    <row r="11045" spans="32:32" x14ac:dyDescent="0.2">
      <c r="AF11045" s="12"/>
    </row>
    <row r="11046" spans="32:32" x14ac:dyDescent="0.2">
      <c r="AF11046" s="12"/>
    </row>
    <row r="11047" spans="32:32" x14ac:dyDescent="0.2">
      <c r="AF11047" s="12"/>
    </row>
    <row r="11048" spans="32:32" x14ac:dyDescent="0.2">
      <c r="AF11048" s="12"/>
    </row>
    <row r="11049" spans="32:32" x14ac:dyDescent="0.2">
      <c r="AF11049" s="12"/>
    </row>
    <row r="11050" spans="32:32" x14ac:dyDescent="0.2">
      <c r="AF11050" s="12"/>
    </row>
    <row r="11051" spans="32:32" x14ac:dyDescent="0.2">
      <c r="AF11051" s="12"/>
    </row>
    <row r="11052" spans="32:32" x14ac:dyDescent="0.2">
      <c r="AF11052" s="12"/>
    </row>
    <row r="11053" spans="32:32" x14ac:dyDescent="0.2">
      <c r="AF11053" s="12"/>
    </row>
    <row r="11054" spans="32:32" x14ac:dyDescent="0.2">
      <c r="AF11054" s="12"/>
    </row>
    <row r="11055" spans="32:32" x14ac:dyDescent="0.2">
      <c r="AF11055" s="12"/>
    </row>
    <row r="11056" spans="32:32" x14ac:dyDescent="0.2">
      <c r="AF11056" s="12"/>
    </row>
    <row r="11057" spans="32:32" x14ac:dyDescent="0.2">
      <c r="AF11057" s="12"/>
    </row>
    <row r="11058" spans="32:32" x14ac:dyDescent="0.2">
      <c r="AF11058" s="12"/>
    </row>
    <row r="11059" spans="32:32" x14ac:dyDescent="0.2">
      <c r="AF11059" s="12"/>
    </row>
    <row r="11060" spans="32:32" x14ac:dyDescent="0.2">
      <c r="AF11060" s="12"/>
    </row>
    <row r="11061" spans="32:32" x14ac:dyDescent="0.2">
      <c r="AF11061" s="12"/>
    </row>
    <row r="11062" spans="32:32" x14ac:dyDescent="0.2">
      <c r="AF11062" s="12"/>
    </row>
    <row r="11063" spans="32:32" x14ac:dyDescent="0.2">
      <c r="AF11063" s="12"/>
    </row>
    <row r="11064" spans="32:32" x14ac:dyDescent="0.2">
      <c r="AF11064" s="12"/>
    </row>
    <row r="11065" spans="32:32" x14ac:dyDescent="0.2">
      <c r="AF11065" s="12"/>
    </row>
    <row r="11066" spans="32:32" x14ac:dyDescent="0.2">
      <c r="AF11066" s="12"/>
    </row>
    <row r="11067" spans="32:32" x14ac:dyDescent="0.2">
      <c r="AF11067" s="12"/>
    </row>
    <row r="11068" spans="32:32" x14ac:dyDescent="0.2">
      <c r="AF11068" s="12"/>
    </row>
    <row r="11069" spans="32:32" x14ac:dyDescent="0.2">
      <c r="AF11069" s="12"/>
    </row>
    <row r="11070" spans="32:32" x14ac:dyDescent="0.2">
      <c r="AF11070" s="12"/>
    </row>
    <row r="11071" spans="32:32" x14ac:dyDescent="0.2">
      <c r="AF11071" s="12"/>
    </row>
    <row r="11072" spans="32:32" x14ac:dyDescent="0.2">
      <c r="AF11072" s="12"/>
    </row>
    <row r="11073" spans="32:32" x14ac:dyDescent="0.2">
      <c r="AF11073" s="12"/>
    </row>
    <row r="11074" spans="32:32" x14ac:dyDescent="0.2">
      <c r="AF11074" s="12"/>
    </row>
    <row r="11075" spans="32:32" x14ac:dyDescent="0.2">
      <c r="AF11075" s="12"/>
    </row>
    <row r="11076" spans="32:32" x14ac:dyDescent="0.2">
      <c r="AF11076" s="12"/>
    </row>
    <row r="11077" spans="32:32" x14ac:dyDescent="0.2">
      <c r="AF11077" s="12"/>
    </row>
    <row r="11078" spans="32:32" x14ac:dyDescent="0.2">
      <c r="AF11078" s="12"/>
    </row>
    <row r="11079" spans="32:32" x14ac:dyDescent="0.2">
      <c r="AF11079" s="12"/>
    </row>
    <row r="11080" spans="32:32" x14ac:dyDescent="0.2">
      <c r="AF11080" s="12"/>
    </row>
    <row r="11081" spans="32:32" x14ac:dyDescent="0.2">
      <c r="AF11081" s="12"/>
    </row>
    <row r="11082" spans="32:32" x14ac:dyDescent="0.2">
      <c r="AF11082" s="12"/>
    </row>
    <row r="11083" spans="32:32" x14ac:dyDescent="0.2">
      <c r="AF11083" s="12"/>
    </row>
    <row r="11084" spans="32:32" x14ac:dyDescent="0.2">
      <c r="AF11084" s="12"/>
    </row>
    <row r="11085" spans="32:32" x14ac:dyDescent="0.2">
      <c r="AF11085" s="12"/>
    </row>
    <row r="11086" spans="32:32" x14ac:dyDescent="0.2">
      <c r="AF11086" s="12"/>
    </row>
    <row r="11087" spans="32:32" x14ac:dyDescent="0.2">
      <c r="AF11087" s="12"/>
    </row>
    <row r="11088" spans="32:32" x14ac:dyDescent="0.2">
      <c r="AF11088" s="12"/>
    </row>
    <row r="11089" spans="32:32" x14ac:dyDescent="0.2">
      <c r="AF11089" s="12"/>
    </row>
    <row r="11090" spans="32:32" x14ac:dyDescent="0.2">
      <c r="AF11090" s="12"/>
    </row>
    <row r="11091" spans="32:32" x14ac:dyDescent="0.2">
      <c r="AF11091" s="12"/>
    </row>
    <row r="11092" spans="32:32" x14ac:dyDescent="0.2">
      <c r="AF11092" s="12"/>
    </row>
    <row r="11093" spans="32:32" x14ac:dyDescent="0.2">
      <c r="AF11093" s="12"/>
    </row>
    <row r="11094" spans="32:32" x14ac:dyDescent="0.2">
      <c r="AF11094" s="12"/>
    </row>
    <row r="11095" spans="32:32" x14ac:dyDescent="0.2">
      <c r="AF11095" s="12"/>
    </row>
    <row r="11096" spans="32:32" x14ac:dyDescent="0.2">
      <c r="AF11096" s="12"/>
    </row>
    <row r="11097" spans="32:32" x14ac:dyDescent="0.2">
      <c r="AF11097" s="12"/>
    </row>
    <row r="11098" spans="32:32" x14ac:dyDescent="0.2">
      <c r="AF11098" s="12"/>
    </row>
    <row r="11099" spans="32:32" x14ac:dyDescent="0.2">
      <c r="AF11099" s="12"/>
    </row>
    <row r="11100" spans="32:32" x14ac:dyDescent="0.2">
      <c r="AF11100" s="12"/>
    </row>
    <row r="11101" spans="32:32" x14ac:dyDescent="0.2">
      <c r="AF11101" s="12"/>
    </row>
    <row r="11102" spans="32:32" x14ac:dyDescent="0.2">
      <c r="AF11102" s="12"/>
    </row>
    <row r="11103" spans="32:32" x14ac:dyDescent="0.2">
      <c r="AF11103" s="12"/>
    </row>
    <row r="11104" spans="32:32" x14ac:dyDescent="0.2">
      <c r="AF11104" s="12"/>
    </row>
    <row r="11105" spans="32:32" x14ac:dyDescent="0.2">
      <c r="AF11105" s="12"/>
    </row>
    <row r="11106" spans="32:32" x14ac:dyDescent="0.2">
      <c r="AF11106" s="12"/>
    </row>
    <row r="11107" spans="32:32" x14ac:dyDescent="0.2">
      <c r="AF11107" s="12"/>
    </row>
    <row r="11108" spans="32:32" x14ac:dyDescent="0.2">
      <c r="AF11108" s="12"/>
    </row>
    <row r="11109" spans="32:32" x14ac:dyDescent="0.2">
      <c r="AF11109" s="12"/>
    </row>
    <row r="11110" spans="32:32" x14ac:dyDescent="0.2">
      <c r="AF11110" s="12"/>
    </row>
    <row r="11111" spans="32:32" x14ac:dyDescent="0.2">
      <c r="AF11111" s="12"/>
    </row>
    <row r="11112" spans="32:32" x14ac:dyDescent="0.2">
      <c r="AF11112" s="12"/>
    </row>
    <row r="11113" spans="32:32" x14ac:dyDescent="0.2">
      <c r="AF11113" s="12"/>
    </row>
    <row r="11114" spans="32:32" x14ac:dyDescent="0.2">
      <c r="AF11114" s="12"/>
    </row>
    <row r="11115" spans="32:32" x14ac:dyDescent="0.2">
      <c r="AF11115" s="12"/>
    </row>
    <row r="11116" spans="32:32" x14ac:dyDescent="0.2">
      <c r="AF11116" s="12"/>
    </row>
    <row r="11117" spans="32:32" x14ac:dyDescent="0.2">
      <c r="AF11117" s="12"/>
    </row>
    <row r="11118" spans="32:32" x14ac:dyDescent="0.2">
      <c r="AF11118" s="12"/>
    </row>
    <row r="11119" spans="32:32" x14ac:dyDescent="0.2">
      <c r="AF11119" s="12"/>
    </row>
    <row r="11120" spans="32:32" x14ac:dyDescent="0.2">
      <c r="AF11120" s="12"/>
    </row>
    <row r="11121" spans="32:32" x14ac:dyDescent="0.2">
      <c r="AF11121" s="12"/>
    </row>
    <row r="11122" spans="32:32" x14ac:dyDescent="0.2">
      <c r="AF11122" s="12"/>
    </row>
    <row r="11123" spans="32:32" x14ac:dyDescent="0.2">
      <c r="AF11123" s="12"/>
    </row>
    <row r="11124" spans="32:32" x14ac:dyDescent="0.2">
      <c r="AF11124" s="12"/>
    </row>
    <row r="11125" spans="32:32" x14ac:dyDescent="0.2">
      <c r="AF11125" s="12"/>
    </row>
    <row r="11126" spans="32:32" x14ac:dyDescent="0.2">
      <c r="AF11126" s="12"/>
    </row>
    <row r="11127" spans="32:32" x14ac:dyDescent="0.2">
      <c r="AF11127" s="12"/>
    </row>
    <row r="11128" spans="32:32" x14ac:dyDescent="0.2">
      <c r="AF11128" s="12"/>
    </row>
    <row r="11129" spans="32:32" x14ac:dyDescent="0.2">
      <c r="AF11129" s="12"/>
    </row>
    <row r="11130" spans="32:32" x14ac:dyDescent="0.2">
      <c r="AF11130" s="12"/>
    </row>
    <row r="11131" spans="32:32" x14ac:dyDescent="0.2">
      <c r="AF11131" s="12"/>
    </row>
    <row r="11132" spans="32:32" x14ac:dyDescent="0.2">
      <c r="AF11132" s="12"/>
    </row>
    <row r="11133" spans="32:32" x14ac:dyDescent="0.2">
      <c r="AF11133" s="12"/>
    </row>
    <row r="11134" spans="32:32" x14ac:dyDescent="0.2">
      <c r="AF11134" s="12"/>
    </row>
    <row r="11135" spans="32:32" x14ac:dyDescent="0.2">
      <c r="AF11135" s="12"/>
    </row>
    <row r="11136" spans="32:32" x14ac:dyDescent="0.2">
      <c r="AF11136" s="12"/>
    </row>
    <row r="11137" spans="32:32" x14ac:dyDescent="0.2">
      <c r="AF11137" s="12"/>
    </row>
    <row r="11138" spans="32:32" x14ac:dyDescent="0.2">
      <c r="AF11138" s="12"/>
    </row>
    <row r="11139" spans="32:32" x14ac:dyDescent="0.2">
      <c r="AF11139" s="12"/>
    </row>
    <row r="11140" spans="32:32" x14ac:dyDescent="0.2">
      <c r="AF11140" s="12"/>
    </row>
    <row r="11141" spans="32:32" x14ac:dyDescent="0.2">
      <c r="AF11141" s="12"/>
    </row>
    <row r="11142" spans="32:32" x14ac:dyDescent="0.2">
      <c r="AF11142" s="12"/>
    </row>
    <row r="11143" spans="32:32" x14ac:dyDescent="0.2">
      <c r="AF11143" s="12"/>
    </row>
    <row r="11144" spans="32:32" x14ac:dyDescent="0.2">
      <c r="AF11144" s="12"/>
    </row>
    <row r="11145" spans="32:32" x14ac:dyDescent="0.2">
      <c r="AF11145" s="12"/>
    </row>
    <row r="11146" spans="32:32" x14ac:dyDescent="0.2">
      <c r="AF11146" s="12"/>
    </row>
    <row r="11147" spans="32:32" x14ac:dyDescent="0.2">
      <c r="AF11147" s="12"/>
    </row>
    <row r="11148" spans="32:32" x14ac:dyDescent="0.2">
      <c r="AF11148" s="12"/>
    </row>
    <row r="11149" spans="32:32" x14ac:dyDescent="0.2">
      <c r="AF11149" s="12"/>
    </row>
    <row r="11150" spans="32:32" x14ac:dyDescent="0.2">
      <c r="AF11150" s="12"/>
    </row>
    <row r="11151" spans="32:32" x14ac:dyDescent="0.2">
      <c r="AF11151" s="12"/>
    </row>
    <row r="11152" spans="32:32" x14ac:dyDescent="0.2">
      <c r="AF11152" s="12"/>
    </row>
    <row r="11153" spans="32:32" x14ac:dyDescent="0.2">
      <c r="AF11153" s="12"/>
    </row>
    <row r="11154" spans="32:32" x14ac:dyDescent="0.2">
      <c r="AF11154" s="12"/>
    </row>
    <row r="11155" spans="32:32" x14ac:dyDescent="0.2">
      <c r="AF11155" s="12"/>
    </row>
    <row r="11156" spans="32:32" x14ac:dyDescent="0.2">
      <c r="AF11156" s="12"/>
    </row>
    <row r="11157" spans="32:32" x14ac:dyDescent="0.2">
      <c r="AF11157" s="12"/>
    </row>
    <row r="11158" spans="32:32" x14ac:dyDescent="0.2">
      <c r="AF11158" s="12"/>
    </row>
    <row r="11159" spans="32:32" x14ac:dyDescent="0.2">
      <c r="AF11159" s="12"/>
    </row>
    <row r="11160" spans="32:32" x14ac:dyDescent="0.2">
      <c r="AF11160" s="12"/>
    </row>
    <row r="11161" spans="32:32" x14ac:dyDescent="0.2">
      <c r="AF11161" s="12"/>
    </row>
    <row r="11162" spans="32:32" x14ac:dyDescent="0.2">
      <c r="AF11162" s="12"/>
    </row>
    <row r="11163" spans="32:32" x14ac:dyDescent="0.2">
      <c r="AF11163" s="12"/>
    </row>
    <row r="11164" spans="32:32" x14ac:dyDescent="0.2">
      <c r="AF11164" s="12"/>
    </row>
    <row r="11165" spans="32:32" x14ac:dyDescent="0.2">
      <c r="AF11165" s="12"/>
    </row>
    <row r="11166" spans="32:32" x14ac:dyDescent="0.2">
      <c r="AF11166" s="12"/>
    </row>
    <row r="11167" spans="32:32" x14ac:dyDescent="0.2">
      <c r="AF11167" s="12"/>
    </row>
    <row r="11168" spans="32:32" x14ac:dyDescent="0.2">
      <c r="AF11168" s="12"/>
    </row>
    <row r="11169" spans="32:32" x14ac:dyDescent="0.2">
      <c r="AF11169" s="12"/>
    </row>
    <row r="11170" spans="32:32" x14ac:dyDescent="0.2">
      <c r="AF11170" s="12"/>
    </row>
    <row r="11171" spans="32:32" x14ac:dyDescent="0.2">
      <c r="AF11171" s="12"/>
    </row>
    <row r="11172" spans="32:32" x14ac:dyDescent="0.2">
      <c r="AF11172" s="12"/>
    </row>
    <row r="11173" spans="32:32" x14ac:dyDescent="0.2">
      <c r="AF11173" s="12"/>
    </row>
    <row r="11174" spans="32:32" x14ac:dyDescent="0.2">
      <c r="AF11174" s="12"/>
    </row>
    <row r="11175" spans="32:32" x14ac:dyDescent="0.2">
      <c r="AF11175" s="12"/>
    </row>
    <row r="11176" spans="32:32" x14ac:dyDescent="0.2">
      <c r="AF11176" s="12"/>
    </row>
    <row r="11177" spans="32:32" x14ac:dyDescent="0.2">
      <c r="AF11177" s="12"/>
    </row>
    <row r="11178" spans="32:32" x14ac:dyDescent="0.2">
      <c r="AF11178" s="12"/>
    </row>
    <row r="11179" spans="32:32" x14ac:dyDescent="0.2">
      <c r="AF11179" s="12"/>
    </row>
    <row r="11180" spans="32:32" x14ac:dyDescent="0.2">
      <c r="AF11180" s="12"/>
    </row>
    <row r="11181" spans="32:32" x14ac:dyDescent="0.2">
      <c r="AF11181" s="12"/>
    </row>
    <row r="11182" spans="32:32" x14ac:dyDescent="0.2">
      <c r="AF11182" s="12"/>
    </row>
    <row r="11183" spans="32:32" x14ac:dyDescent="0.2">
      <c r="AF11183" s="12"/>
    </row>
    <row r="11184" spans="32:32" x14ac:dyDescent="0.2">
      <c r="AF11184" s="12"/>
    </row>
    <row r="11185" spans="32:32" x14ac:dyDescent="0.2">
      <c r="AF11185" s="12"/>
    </row>
    <row r="11186" spans="32:32" x14ac:dyDescent="0.2">
      <c r="AF11186" s="12"/>
    </row>
    <row r="11187" spans="32:32" x14ac:dyDescent="0.2">
      <c r="AF11187" s="12"/>
    </row>
    <row r="11188" spans="32:32" x14ac:dyDescent="0.2">
      <c r="AF11188" s="12"/>
    </row>
    <row r="11189" spans="32:32" x14ac:dyDescent="0.2">
      <c r="AF11189" s="12"/>
    </row>
    <row r="11190" spans="32:32" x14ac:dyDescent="0.2">
      <c r="AF11190" s="12"/>
    </row>
    <row r="11191" spans="32:32" x14ac:dyDescent="0.2">
      <c r="AF11191" s="12"/>
    </row>
    <row r="11192" spans="32:32" x14ac:dyDescent="0.2">
      <c r="AF11192" s="12"/>
    </row>
    <row r="11193" spans="32:32" x14ac:dyDescent="0.2">
      <c r="AF11193" s="12"/>
    </row>
    <row r="11194" spans="32:32" x14ac:dyDescent="0.2">
      <c r="AF11194" s="12"/>
    </row>
    <row r="11195" spans="32:32" x14ac:dyDescent="0.2">
      <c r="AF11195" s="12"/>
    </row>
    <row r="11196" spans="32:32" x14ac:dyDescent="0.2">
      <c r="AF11196" s="12"/>
    </row>
    <row r="11197" spans="32:32" x14ac:dyDescent="0.2">
      <c r="AF11197" s="12"/>
    </row>
    <row r="11198" spans="32:32" x14ac:dyDescent="0.2">
      <c r="AF11198" s="12"/>
    </row>
    <row r="11199" spans="32:32" x14ac:dyDescent="0.2">
      <c r="AF11199" s="12"/>
    </row>
    <row r="11200" spans="32:32" x14ac:dyDescent="0.2">
      <c r="AF11200" s="12"/>
    </row>
    <row r="11201" spans="32:32" x14ac:dyDescent="0.2">
      <c r="AF11201" s="12"/>
    </row>
    <row r="11202" spans="32:32" x14ac:dyDescent="0.2">
      <c r="AF11202" s="12"/>
    </row>
    <row r="11203" spans="32:32" x14ac:dyDescent="0.2">
      <c r="AF11203" s="12"/>
    </row>
    <row r="11204" spans="32:32" x14ac:dyDescent="0.2">
      <c r="AF11204" s="12"/>
    </row>
    <row r="11205" spans="32:32" x14ac:dyDescent="0.2">
      <c r="AF11205" s="12"/>
    </row>
    <row r="11206" spans="32:32" x14ac:dyDescent="0.2">
      <c r="AF11206" s="12"/>
    </row>
    <row r="11207" spans="32:32" x14ac:dyDescent="0.2">
      <c r="AF11207" s="12"/>
    </row>
    <row r="11208" spans="32:32" x14ac:dyDescent="0.2">
      <c r="AF11208" s="12"/>
    </row>
    <row r="11209" spans="32:32" x14ac:dyDescent="0.2">
      <c r="AF11209" s="12"/>
    </row>
    <row r="11210" spans="32:32" x14ac:dyDescent="0.2">
      <c r="AF11210" s="12"/>
    </row>
    <row r="11211" spans="32:32" x14ac:dyDescent="0.2">
      <c r="AF11211" s="12"/>
    </row>
    <row r="11212" spans="32:32" x14ac:dyDescent="0.2">
      <c r="AF11212" s="12"/>
    </row>
    <row r="11213" spans="32:32" x14ac:dyDescent="0.2">
      <c r="AF11213" s="12"/>
    </row>
    <row r="11214" spans="32:32" x14ac:dyDescent="0.2">
      <c r="AF11214" s="12"/>
    </row>
    <row r="11215" spans="32:32" x14ac:dyDescent="0.2">
      <c r="AF11215" s="12"/>
    </row>
    <row r="11216" spans="32:32" x14ac:dyDescent="0.2">
      <c r="AF11216" s="12"/>
    </row>
    <row r="11217" spans="32:32" x14ac:dyDescent="0.2">
      <c r="AF11217" s="12"/>
    </row>
    <row r="11218" spans="32:32" x14ac:dyDescent="0.2">
      <c r="AF11218" s="12"/>
    </row>
    <row r="11219" spans="32:32" x14ac:dyDescent="0.2">
      <c r="AF11219" s="12"/>
    </row>
    <row r="11220" spans="32:32" x14ac:dyDescent="0.2">
      <c r="AF11220" s="12"/>
    </row>
    <row r="11221" spans="32:32" x14ac:dyDescent="0.2">
      <c r="AF11221" s="12"/>
    </row>
    <row r="11222" spans="32:32" x14ac:dyDescent="0.2">
      <c r="AF11222" s="12"/>
    </row>
    <row r="11223" spans="32:32" x14ac:dyDescent="0.2">
      <c r="AF11223" s="12"/>
    </row>
    <row r="11224" spans="32:32" x14ac:dyDescent="0.2">
      <c r="AF11224" s="12"/>
    </row>
    <row r="11225" spans="32:32" x14ac:dyDescent="0.2">
      <c r="AF11225" s="12"/>
    </row>
    <row r="11226" spans="32:32" x14ac:dyDescent="0.2">
      <c r="AF11226" s="12"/>
    </row>
    <row r="11227" spans="32:32" x14ac:dyDescent="0.2">
      <c r="AF11227" s="12"/>
    </row>
    <row r="11228" spans="32:32" x14ac:dyDescent="0.2">
      <c r="AF11228" s="12"/>
    </row>
    <row r="11229" spans="32:32" x14ac:dyDescent="0.2">
      <c r="AF11229" s="12"/>
    </row>
    <row r="11230" spans="32:32" x14ac:dyDescent="0.2">
      <c r="AF11230" s="12"/>
    </row>
    <row r="11231" spans="32:32" x14ac:dyDescent="0.2">
      <c r="AF11231" s="12"/>
    </row>
    <row r="11232" spans="32:32" x14ac:dyDescent="0.2">
      <c r="AF11232" s="12"/>
    </row>
    <row r="11233" spans="32:32" x14ac:dyDescent="0.2">
      <c r="AF11233" s="12"/>
    </row>
    <row r="11234" spans="32:32" x14ac:dyDescent="0.2">
      <c r="AF11234" s="12"/>
    </row>
    <row r="11235" spans="32:32" x14ac:dyDescent="0.2">
      <c r="AF11235" s="12"/>
    </row>
    <row r="11236" spans="32:32" x14ac:dyDescent="0.2">
      <c r="AF11236" s="12"/>
    </row>
    <row r="11237" spans="32:32" x14ac:dyDescent="0.2">
      <c r="AF11237" s="12"/>
    </row>
    <row r="11238" spans="32:32" x14ac:dyDescent="0.2">
      <c r="AF11238" s="12"/>
    </row>
    <row r="11239" spans="32:32" x14ac:dyDescent="0.2">
      <c r="AF11239" s="12"/>
    </row>
    <row r="11240" spans="32:32" x14ac:dyDescent="0.2">
      <c r="AF11240" s="12"/>
    </row>
    <row r="11241" spans="32:32" x14ac:dyDescent="0.2">
      <c r="AF11241" s="12"/>
    </row>
    <row r="11242" spans="32:32" x14ac:dyDescent="0.2">
      <c r="AF11242" s="12"/>
    </row>
    <row r="11243" spans="32:32" x14ac:dyDescent="0.2">
      <c r="AF11243" s="12"/>
    </row>
    <row r="11244" spans="32:32" x14ac:dyDescent="0.2">
      <c r="AF11244" s="12"/>
    </row>
    <row r="11245" spans="32:32" x14ac:dyDescent="0.2">
      <c r="AF11245" s="12"/>
    </row>
    <row r="11246" spans="32:32" x14ac:dyDescent="0.2">
      <c r="AF11246" s="12"/>
    </row>
    <row r="11247" spans="32:32" x14ac:dyDescent="0.2">
      <c r="AF11247" s="12"/>
    </row>
    <row r="11248" spans="32:32" x14ac:dyDescent="0.2">
      <c r="AF11248" s="12"/>
    </row>
    <row r="11249" spans="32:32" x14ac:dyDescent="0.2">
      <c r="AF11249" s="12"/>
    </row>
    <row r="11250" spans="32:32" x14ac:dyDescent="0.2">
      <c r="AF11250" s="12"/>
    </row>
    <row r="11251" spans="32:32" x14ac:dyDescent="0.2">
      <c r="AF11251" s="12"/>
    </row>
    <row r="11252" spans="32:32" x14ac:dyDescent="0.2">
      <c r="AF11252" s="12"/>
    </row>
    <row r="11253" spans="32:32" x14ac:dyDescent="0.2">
      <c r="AF11253" s="12"/>
    </row>
    <row r="11254" spans="32:32" x14ac:dyDescent="0.2">
      <c r="AF11254" s="12"/>
    </row>
    <row r="11255" spans="32:32" x14ac:dyDescent="0.2">
      <c r="AF11255" s="12"/>
    </row>
    <row r="11256" spans="32:32" x14ac:dyDescent="0.2">
      <c r="AF11256" s="12"/>
    </row>
    <row r="11257" spans="32:32" x14ac:dyDescent="0.2">
      <c r="AF11257" s="12"/>
    </row>
    <row r="11258" spans="32:32" x14ac:dyDescent="0.2">
      <c r="AF11258" s="12"/>
    </row>
    <row r="11259" spans="32:32" x14ac:dyDescent="0.2">
      <c r="AF11259" s="12"/>
    </row>
    <row r="11260" spans="32:32" x14ac:dyDescent="0.2">
      <c r="AF11260" s="12"/>
    </row>
    <row r="11261" spans="32:32" x14ac:dyDescent="0.2">
      <c r="AF11261" s="12"/>
    </row>
    <row r="11262" spans="32:32" x14ac:dyDescent="0.2">
      <c r="AF11262" s="12"/>
    </row>
    <row r="11263" spans="32:32" x14ac:dyDescent="0.2">
      <c r="AF11263" s="12"/>
    </row>
    <row r="11264" spans="32:32" x14ac:dyDescent="0.2">
      <c r="AF11264" s="12"/>
    </row>
    <row r="11265" spans="32:32" x14ac:dyDescent="0.2">
      <c r="AF11265" s="12"/>
    </row>
    <row r="11266" spans="32:32" x14ac:dyDescent="0.2">
      <c r="AF11266" s="12"/>
    </row>
    <row r="11267" spans="32:32" x14ac:dyDescent="0.2">
      <c r="AF11267" s="12"/>
    </row>
    <row r="11268" spans="32:32" x14ac:dyDescent="0.2">
      <c r="AF11268" s="12"/>
    </row>
    <row r="11269" spans="32:32" x14ac:dyDescent="0.2">
      <c r="AF11269" s="12"/>
    </row>
    <row r="11270" spans="32:32" x14ac:dyDescent="0.2">
      <c r="AF11270" s="12"/>
    </row>
    <row r="11271" spans="32:32" x14ac:dyDescent="0.2">
      <c r="AF11271" s="12"/>
    </row>
    <row r="11272" spans="32:32" x14ac:dyDescent="0.2">
      <c r="AF11272" s="12"/>
    </row>
    <row r="11273" spans="32:32" x14ac:dyDescent="0.2">
      <c r="AF11273" s="12"/>
    </row>
    <row r="11274" spans="32:32" x14ac:dyDescent="0.2">
      <c r="AF11274" s="12"/>
    </row>
    <row r="11275" spans="32:32" x14ac:dyDescent="0.2">
      <c r="AF11275" s="12"/>
    </row>
    <row r="11276" spans="32:32" x14ac:dyDescent="0.2">
      <c r="AF11276" s="12"/>
    </row>
    <row r="11277" spans="32:32" x14ac:dyDescent="0.2">
      <c r="AF11277" s="12"/>
    </row>
    <row r="11278" spans="32:32" x14ac:dyDescent="0.2">
      <c r="AF11278" s="12"/>
    </row>
    <row r="11279" spans="32:32" x14ac:dyDescent="0.2">
      <c r="AF11279" s="12"/>
    </row>
    <row r="11280" spans="32:32" x14ac:dyDescent="0.2">
      <c r="AF11280" s="12"/>
    </row>
    <row r="11281" spans="32:32" x14ac:dyDescent="0.2">
      <c r="AF11281" s="12"/>
    </row>
    <row r="11282" spans="32:32" x14ac:dyDescent="0.2">
      <c r="AF11282" s="12"/>
    </row>
    <row r="11283" spans="32:32" x14ac:dyDescent="0.2">
      <c r="AF11283" s="12"/>
    </row>
    <row r="11284" spans="32:32" x14ac:dyDescent="0.2">
      <c r="AF11284" s="12"/>
    </row>
    <row r="11285" spans="32:32" x14ac:dyDescent="0.2">
      <c r="AF11285" s="12"/>
    </row>
    <row r="11286" spans="32:32" x14ac:dyDescent="0.2">
      <c r="AF11286" s="12"/>
    </row>
    <row r="11287" spans="32:32" x14ac:dyDescent="0.2">
      <c r="AF11287" s="12"/>
    </row>
    <row r="11288" spans="32:32" x14ac:dyDescent="0.2">
      <c r="AF11288" s="12"/>
    </row>
    <row r="11289" spans="32:32" x14ac:dyDescent="0.2">
      <c r="AF11289" s="12"/>
    </row>
    <row r="11290" spans="32:32" x14ac:dyDescent="0.2">
      <c r="AF11290" s="12"/>
    </row>
    <row r="11291" spans="32:32" x14ac:dyDescent="0.2">
      <c r="AF11291" s="12"/>
    </row>
    <row r="11292" spans="32:32" x14ac:dyDescent="0.2">
      <c r="AF11292" s="12"/>
    </row>
    <row r="11293" spans="32:32" x14ac:dyDescent="0.2">
      <c r="AF11293" s="12"/>
    </row>
    <row r="11294" spans="32:32" x14ac:dyDescent="0.2">
      <c r="AF11294" s="12"/>
    </row>
    <row r="11295" spans="32:32" x14ac:dyDescent="0.2">
      <c r="AF11295" s="12"/>
    </row>
    <row r="11296" spans="32:32" x14ac:dyDescent="0.2">
      <c r="AF11296" s="12"/>
    </row>
    <row r="11297" spans="32:32" x14ac:dyDescent="0.2">
      <c r="AF11297" s="12"/>
    </row>
    <row r="11298" spans="32:32" x14ac:dyDescent="0.2">
      <c r="AF11298" s="12"/>
    </row>
    <row r="11299" spans="32:32" x14ac:dyDescent="0.2">
      <c r="AF11299" s="12"/>
    </row>
    <row r="11300" spans="32:32" x14ac:dyDescent="0.2">
      <c r="AF11300" s="12"/>
    </row>
    <row r="11301" spans="32:32" x14ac:dyDescent="0.2">
      <c r="AF11301" s="12"/>
    </row>
    <row r="11302" spans="32:32" x14ac:dyDescent="0.2">
      <c r="AF11302" s="12"/>
    </row>
    <row r="11303" spans="32:32" x14ac:dyDescent="0.2">
      <c r="AF11303" s="12"/>
    </row>
    <row r="11304" spans="32:32" x14ac:dyDescent="0.2">
      <c r="AF11304" s="12"/>
    </row>
    <row r="11305" spans="32:32" x14ac:dyDescent="0.2">
      <c r="AF11305" s="12"/>
    </row>
    <row r="11306" spans="32:32" x14ac:dyDescent="0.2">
      <c r="AF11306" s="12"/>
    </row>
    <row r="11307" spans="32:32" x14ac:dyDescent="0.2">
      <c r="AF11307" s="12"/>
    </row>
    <row r="11308" spans="32:32" x14ac:dyDescent="0.2">
      <c r="AF11308" s="12"/>
    </row>
    <row r="11309" spans="32:32" x14ac:dyDescent="0.2">
      <c r="AF11309" s="12"/>
    </row>
    <row r="11310" spans="32:32" x14ac:dyDescent="0.2">
      <c r="AF11310" s="12"/>
    </row>
    <row r="11311" spans="32:32" x14ac:dyDescent="0.2">
      <c r="AF11311" s="12"/>
    </row>
    <row r="11312" spans="32:32" x14ac:dyDescent="0.2">
      <c r="AF11312" s="12"/>
    </row>
    <row r="11313" spans="32:32" x14ac:dyDescent="0.2">
      <c r="AF11313" s="12"/>
    </row>
    <row r="11314" spans="32:32" x14ac:dyDescent="0.2">
      <c r="AF11314" s="12"/>
    </row>
    <row r="11315" spans="32:32" x14ac:dyDescent="0.2">
      <c r="AF11315" s="12"/>
    </row>
    <row r="11316" spans="32:32" x14ac:dyDescent="0.2">
      <c r="AF11316" s="12"/>
    </row>
    <row r="11317" spans="32:32" x14ac:dyDescent="0.2">
      <c r="AF11317" s="12"/>
    </row>
    <row r="11318" spans="32:32" x14ac:dyDescent="0.2">
      <c r="AF11318" s="12"/>
    </row>
    <row r="11319" spans="32:32" x14ac:dyDescent="0.2">
      <c r="AF11319" s="12"/>
    </row>
    <row r="11320" spans="32:32" x14ac:dyDescent="0.2">
      <c r="AF11320" s="12"/>
    </row>
    <row r="11321" spans="32:32" x14ac:dyDescent="0.2">
      <c r="AF11321" s="12"/>
    </row>
    <row r="11322" spans="32:32" x14ac:dyDescent="0.2">
      <c r="AF11322" s="12"/>
    </row>
    <row r="11323" spans="32:32" x14ac:dyDescent="0.2">
      <c r="AF11323" s="12"/>
    </row>
    <row r="11324" spans="32:32" x14ac:dyDescent="0.2">
      <c r="AF11324" s="12"/>
    </row>
    <row r="11325" spans="32:32" x14ac:dyDescent="0.2">
      <c r="AF11325" s="12"/>
    </row>
    <row r="11326" spans="32:32" x14ac:dyDescent="0.2">
      <c r="AF11326" s="12"/>
    </row>
    <row r="11327" spans="32:32" x14ac:dyDescent="0.2">
      <c r="AF11327" s="12"/>
    </row>
    <row r="11328" spans="32:32" x14ac:dyDescent="0.2">
      <c r="AF11328" s="12"/>
    </row>
    <row r="11329" spans="32:32" x14ac:dyDescent="0.2">
      <c r="AF11329" s="12"/>
    </row>
    <row r="11330" spans="32:32" x14ac:dyDescent="0.2">
      <c r="AF11330" s="12"/>
    </row>
    <row r="11331" spans="32:32" x14ac:dyDescent="0.2">
      <c r="AF11331" s="12"/>
    </row>
    <row r="11332" spans="32:32" x14ac:dyDescent="0.2">
      <c r="AF11332" s="12"/>
    </row>
    <row r="11333" spans="32:32" x14ac:dyDescent="0.2">
      <c r="AF11333" s="12"/>
    </row>
    <row r="11334" spans="32:32" x14ac:dyDescent="0.2">
      <c r="AF11334" s="12"/>
    </row>
    <row r="11335" spans="32:32" x14ac:dyDescent="0.2">
      <c r="AF11335" s="12"/>
    </row>
    <row r="11336" spans="32:32" x14ac:dyDescent="0.2">
      <c r="AF11336" s="12"/>
    </row>
    <row r="11337" spans="32:32" x14ac:dyDescent="0.2">
      <c r="AF11337" s="12"/>
    </row>
    <row r="11338" spans="32:32" x14ac:dyDescent="0.2">
      <c r="AF11338" s="12"/>
    </row>
    <row r="11339" spans="32:32" x14ac:dyDescent="0.2">
      <c r="AF11339" s="12"/>
    </row>
    <row r="11340" spans="32:32" x14ac:dyDescent="0.2">
      <c r="AF11340" s="12"/>
    </row>
    <row r="11341" spans="32:32" x14ac:dyDescent="0.2">
      <c r="AF11341" s="12"/>
    </row>
    <row r="11342" spans="32:32" x14ac:dyDescent="0.2">
      <c r="AF11342" s="12"/>
    </row>
    <row r="11343" spans="32:32" x14ac:dyDescent="0.2">
      <c r="AF11343" s="12"/>
    </row>
    <row r="11344" spans="32:32" x14ac:dyDescent="0.2">
      <c r="AF11344" s="12"/>
    </row>
    <row r="11345" spans="32:32" x14ac:dyDescent="0.2">
      <c r="AF11345" s="12"/>
    </row>
    <row r="11346" spans="32:32" x14ac:dyDescent="0.2">
      <c r="AF11346" s="12"/>
    </row>
    <row r="11347" spans="32:32" x14ac:dyDescent="0.2">
      <c r="AF11347" s="12"/>
    </row>
    <row r="11348" spans="32:32" x14ac:dyDescent="0.2">
      <c r="AF11348" s="12"/>
    </row>
    <row r="11349" spans="32:32" x14ac:dyDescent="0.2">
      <c r="AF11349" s="12"/>
    </row>
    <row r="11350" spans="32:32" x14ac:dyDescent="0.2">
      <c r="AF11350" s="12"/>
    </row>
    <row r="11351" spans="32:32" x14ac:dyDescent="0.2">
      <c r="AF11351" s="12"/>
    </row>
    <row r="11352" spans="32:32" x14ac:dyDescent="0.2">
      <c r="AF11352" s="12"/>
    </row>
    <row r="11353" spans="32:32" x14ac:dyDescent="0.2">
      <c r="AF11353" s="12"/>
    </row>
    <row r="11354" spans="32:32" x14ac:dyDescent="0.2">
      <c r="AF11354" s="12"/>
    </row>
    <row r="11355" spans="32:32" x14ac:dyDescent="0.2">
      <c r="AF11355" s="12"/>
    </row>
    <row r="11356" spans="32:32" x14ac:dyDescent="0.2">
      <c r="AF11356" s="12"/>
    </row>
    <row r="11357" spans="32:32" x14ac:dyDescent="0.2">
      <c r="AF11357" s="12"/>
    </row>
    <row r="11358" spans="32:32" x14ac:dyDescent="0.2">
      <c r="AF11358" s="12"/>
    </row>
    <row r="11359" spans="32:32" x14ac:dyDescent="0.2">
      <c r="AF11359" s="12"/>
    </row>
    <row r="11360" spans="32:32" x14ac:dyDescent="0.2">
      <c r="AF11360" s="12"/>
    </row>
    <row r="11361" spans="32:32" x14ac:dyDescent="0.2">
      <c r="AF11361" s="12"/>
    </row>
    <row r="11362" spans="32:32" x14ac:dyDescent="0.2">
      <c r="AF11362" s="12"/>
    </row>
    <row r="11363" spans="32:32" x14ac:dyDescent="0.2">
      <c r="AF11363" s="12"/>
    </row>
    <row r="11364" spans="32:32" x14ac:dyDescent="0.2">
      <c r="AF11364" s="12"/>
    </row>
    <row r="11365" spans="32:32" x14ac:dyDescent="0.2">
      <c r="AF11365" s="12"/>
    </row>
    <row r="11366" spans="32:32" x14ac:dyDescent="0.2">
      <c r="AF11366" s="12"/>
    </row>
    <row r="11367" spans="32:32" x14ac:dyDescent="0.2">
      <c r="AF11367" s="12"/>
    </row>
    <row r="11368" spans="32:32" x14ac:dyDescent="0.2">
      <c r="AF11368" s="12"/>
    </row>
    <row r="11369" spans="32:32" x14ac:dyDescent="0.2">
      <c r="AF11369" s="12"/>
    </row>
    <row r="11370" spans="32:32" x14ac:dyDescent="0.2">
      <c r="AF11370" s="12"/>
    </row>
    <row r="11371" spans="32:32" x14ac:dyDescent="0.2">
      <c r="AF11371" s="12"/>
    </row>
    <row r="11372" spans="32:32" x14ac:dyDescent="0.2">
      <c r="AF11372" s="12"/>
    </row>
    <row r="11373" spans="32:32" x14ac:dyDescent="0.2">
      <c r="AF11373" s="12"/>
    </row>
    <row r="11374" spans="32:32" x14ac:dyDescent="0.2">
      <c r="AF11374" s="12"/>
    </row>
    <row r="11375" spans="32:32" x14ac:dyDescent="0.2">
      <c r="AF11375" s="12"/>
    </row>
    <row r="11376" spans="32:32" x14ac:dyDescent="0.2">
      <c r="AF11376" s="12"/>
    </row>
    <row r="11377" spans="32:32" x14ac:dyDescent="0.2">
      <c r="AF11377" s="12"/>
    </row>
    <row r="11378" spans="32:32" x14ac:dyDescent="0.2">
      <c r="AF11378" s="12"/>
    </row>
    <row r="11379" spans="32:32" x14ac:dyDescent="0.2">
      <c r="AF11379" s="12"/>
    </row>
    <row r="11380" spans="32:32" x14ac:dyDescent="0.2">
      <c r="AF11380" s="12"/>
    </row>
    <row r="11381" spans="32:32" x14ac:dyDescent="0.2">
      <c r="AF11381" s="12"/>
    </row>
    <row r="11382" spans="32:32" x14ac:dyDescent="0.2">
      <c r="AF11382" s="12"/>
    </row>
    <row r="11383" spans="32:32" x14ac:dyDescent="0.2">
      <c r="AF11383" s="12"/>
    </row>
    <row r="11384" spans="32:32" x14ac:dyDescent="0.2">
      <c r="AF11384" s="12"/>
    </row>
    <row r="11385" spans="32:32" x14ac:dyDescent="0.2">
      <c r="AF11385" s="12"/>
    </row>
    <row r="11386" spans="32:32" x14ac:dyDescent="0.2">
      <c r="AF11386" s="12"/>
    </row>
    <row r="11387" spans="32:32" x14ac:dyDescent="0.2">
      <c r="AF11387" s="12"/>
    </row>
    <row r="11388" spans="32:32" x14ac:dyDescent="0.2">
      <c r="AF11388" s="12"/>
    </row>
    <row r="11389" spans="32:32" x14ac:dyDescent="0.2">
      <c r="AF11389" s="12"/>
    </row>
    <row r="11390" spans="32:32" x14ac:dyDescent="0.2">
      <c r="AF11390" s="12"/>
    </row>
    <row r="11391" spans="32:32" x14ac:dyDescent="0.2">
      <c r="AF11391" s="12"/>
    </row>
    <row r="11392" spans="32:32" x14ac:dyDescent="0.2">
      <c r="AF11392" s="12"/>
    </row>
    <row r="11393" spans="32:32" x14ac:dyDescent="0.2">
      <c r="AF11393" s="12"/>
    </row>
    <row r="11394" spans="32:32" x14ac:dyDescent="0.2">
      <c r="AF11394" s="12"/>
    </row>
    <row r="11395" spans="32:32" x14ac:dyDescent="0.2">
      <c r="AF11395" s="12"/>
    </row>
    <row r="11396" spans="32:32" x14ac:dyDescent="0.2">
      <c r="AF11396" s="12"/>
    </row>
    <row r="11397" spans="32:32" x14ac:dyDescent="0.2">
      <c r="AF11397" s="12"/>
    </row>
    <row r="11398" spans="32:32" x14ac:dyDescent="0.2">
      <c r="AF11398" s="12"/>
    </row>
    <row r="11399" spans="32:32" x14ac:dyDescent="0.2">
      <c r="AF11399" s="12"/>
    </row>
    <row r="11400" spans="32:32" x14ac:dyDescent="0.2">
      <c r="AF11400" s="12"/>
    </row>
    <row r="11401" spans="32:32" x14ac:dyDescent="0.2">
      <c r="AF11401" s="12"/>
    </row>
    <row r="11402" spans="32:32" x14ac:dyDescent="0.2">
      <c r="AF11402" s="12"/>
    </row>
    <row r="11403" spans="32:32" x14ac:dyDescent="0.2">
      <c r="AF11403" s="12"/>
    </row>
    <row r="11404" spans="32:32" x14ac:dyDescent="0.2">
      <c r="AF11404" s="12"/>
    </row>
    <row r="11405" spans="32:32" x14ac:dyDescent="0.2">
      <c r="AF11405" s="12"/>
    </row>
    <row r="11406" spans="32:32" x14ac:dyDescent="0.2">
      <c r="AF11406" s="12"/>
    </row>
    <row r="11407" spans="32:32" x14ac:dyDescent="0.2">
      <c r="AF11407" s="12"/>
    </row>
    <row r="11408" spans="32:32" x14ac:dyDescent="0.2">
      <c r="AF11408" s="12"/>
    </row>
    <row r="11409" spans="32:32" x14ac:dyDescent="0.2">
      <c r="AF11409" s="12"/>
    </row>
    <row r="11410" spans="32:32" x14ac:dyDescent="0.2">
      <c r="AF11410" s="12"/>
    </row>
    <row r="11411" spans="32:32" x14ac:dyDescent="0.2">
      <c r="AF11411" s="12"/>
    </row>
    <row r="11412" spans="32:32" x14ac:dyDescent="0.2">
      <c r="AF11412" s="12"/>
    </row>
    <row r="11413" spans="32:32" x14ac:dyDescent="0.2">
      <c r="AF11413" s="12"/>
    </row>
    <row r="11414" spans="32:32" x14ac:dyDescent="0.2">
      <c r="AF11414" s="12"/>
    </row>
    <row r="11415" spans="32:32" x14ac:dyDescent="0.2">
      <c r="AF11415" s="12"/>
    </row>
    <row r="11416" spans="32:32" x14ac:dyDescent="0.2">
      <c r="AF11416" s="12"/>
    </row>
    <row r="11417" spans="32:32" x14ac:dyDescent="0.2">
      <c r="AF11417" s="12"/>
    </row>
    <row r="11418" spans="32:32" x14ac:dyDescent="0.2">
      <c r="AF11418" s="12"/>
    </row>
    <row r="11419" spans="32:32" x14ac:dyDescent="0.2">
      <c r="AF11419" s="12"/>
    </row>
    <row r="11420" spans="32:32" x14ac:dyDescent="0.2">
      <c r="AF11420" s="12"/>
    </row>
    <row r="11421" spans="32:32" x14ac:dyDescent="0.2">
      <c r="AF11421" s="12"/>
    </row>
    <row r="11422" spans="32:32" x14ac:dyDescent="0.2">
      <c r="AF11422" s="12"/>
    </row>
    <row r="11423" spans="32:32" x14ac:dyDescent="0.2">
      <c r="AF11423" s="12"/>
    </row>
    <row r="11424" spans="32:32" x14ac:dyDescent="0.2">
      <c r="AF11424" s="12"/>
    </row>
    <row r="11425" spans="32:32" x14ac:dyDescent="0.2">
      <c r="AF11425" s="12"/>
    </row>
    <row r="11426" spans="32:32" x14ac:dyDescent="0.2">
      <c r="AF11426" s="12"/>
    </row>
    <row r="11427" spans="32:32" x14ac:dyDescent="0.2">
      <c r="AF11427" s="12"/>
    </row>
    <row r="11428" spans="32:32" x14ac:dyDescent="0.2">
      <c r="AF11428" s="12"/>
    </row>
    <row r="11429" spans="32:32" x14ac:dyDescent="0.2">
      <c r="AF11429" s="12"/>
    </row>
    <row r="11430" spans="32:32" x14ac:dyDescent="0.2">
      <c r="AF11430" s="12"/>
    </row>
    <row r="11431" spans="32:32" x14ac:dyDescent="0.2">
      <c r="AF11431" s="12"/>
    </row>
    <row r="11432" spans="32:32" x14ac:dyDescent="0.2">
      <c r="AF11432" s="12"/>
    </row>
    <row r="11433" spans="32:32" x14ac:dyDescent="0.2">
      <c r="AF11433" s="12"/>
    </row>
    <row r="11434" spans="32:32" x14ac:dyDescent="0.2">
      <c r="AF11434" s="12"/>
    </row>
    <row r="11435" spans="32:32" x14ac:dyDescent="0.2">
      <c r="AF11435" s="12"/>
    </row>
    <row r="11436" spans="32:32" x14ac:dyDescent="0.2">
      <c r="AF11436" s="12"/>
    </row>
    <row r="11437" spans="32:32" x14ac:dyDescent="0.2">
      <c r="AF11437" s="12"/>
    </row>
    <row r="11438" spans="32:32" x14ac:dyDescent="0.2">
      <c r="AF11438" s="12"/>
    </row>
    <row r="11439" spans="32:32" x14ac:dyDescent="0.2">
      <c r="AF11439" s="12"/>
    </row>
    <row r="11440" spans="32:32" x14ac:dyDescent="0.2">
      <c r="AF11440" s="12"/>
    </row>
    <row r="11441" spans="32:32" x14ac:dyDescent="0.2">
      <c r="AF11441" s="12"/>
    </row>
    <row r="11442" spans="32:32" x14ac:dyDescent="0.2">
      <c r="AF11442" s="12"/>
    </row>
    <row r="11443" spans="32:32" x14ac:dyDescent="0.2">
      <c r="AF11443" s="12"/>
    </row>
    <row r="11444" spans="32:32" x14ac:dyDescent="0.2">
      <c r="AF11444" s="12"/>
    </row>
    <row r="11445" spans="32:32" x14ac:dyDescent="0.2">
      <c r="AF11445" s="12"/>
    </row>
    <row r="11446" spans="32:32" x14ac:dyDescent="0.2">
      <c r="AF11446" s="12"/>
    </row>
    <row r="11447" spans="32:32" x14ac:dyDescent="0.2">
      <c r="AF11447" s="12"/>
    </row>
    <row r="11448" spans="32:32" x14ac:dyDescent="0.2">
      <c r="AF11448" s="12"/>
    </row>
    <row r="11449" spans="32:32" x14ac:dyDescent="0.2">
      <c r="AF11449" s="12"/>
    </row>
    <row r="11450" spans="32:32" x14ac:dyDescent="0.2">
      <c r="AF11450" s="12"/>
    </row>
    <row r="11451" spans="32:32" x14ac:dyDescent="0.2">
      <c r="AF11451" s="12"/>
    </row>
    <row r="11452" spans="32:32" x14ac:dyDescent="0.2">
      <c r="AF11452" s="12"/>
    </row>
    <row r="11453" spans="32:32" x14ac:dyDescent="0.2">
      <c r="AF11453" s="12"/>
    </row>
    <row r="11454" spans="32:32" x14ac:dyDescent="0.2">
      <c r="AF11454" s="12"/>
    </row>
    <row r="11455" spans="32:32" x14ac:dyDescent="0.2">
      <c r="AF11455" s="12"/>
    </row>
    <row r="11456" spans="32:32" x14ac:dyDescent="0.2">
      <c r="AF11456" s="12"/>
    </row>
    <row r="11457" spans="32:32" x14ac:dyDescent="0.2">
      <c r="AF11457" s="12"/>
    </row>
    <row r="11458" spans="32:32" x14ac:dyDescent="0.2">
      <c r="AF11458" s="12"/>
    </row>
    <row r="11459" spans="32:32" x14ac:dyDescent="0.2">
      <c r="AF11459" s="12"/>
    </row>
    <row r="11460" spans="32:32" x14ac:dyDescent="0.2">
      <c r="AF11460" s="12"/>
    </row>
    <row r="11461" spans="32:32" x14ac:dyDescent="0.2">
      <c r="AF11461" s="12"/>
    </row>
    <row r="11462" spans="32:32" x14ac:dyDescent="0.2">
      <c r="AF11462" s="12"/>
    </row>
    <row r="11463" spans="32:32" x14ac:dyDescent="0.2">
      <c r="AF11463" s="12"/>
    </row>
    <row r="11464" spans="32:32" x14ac:dyDescent="0.2">
      <c r="AF11464" s="12"/>
    </row>
    <row r="11465" spans="32:32" x14ac:dyDescent="0.2">
      <c r="AF11465" s="12"/>
    </row>
    <row r="11466" spans="32:32" x14ac:dyDescent="0.2">
      <c r="AF11466" s="12"/>
    </row>
    <row r="11467" spans="32:32" x14ac:dyDescent="0.2">
      <c r="AF11467" s="12"/>
    </row>
    <row r="11468" spans="32:32" x14ac:dyDescent="0.2">
      <c r="AF11468" s="12"/>
    </row>
    <row r="11469" spans="32:32" x14ac:dyDescent="0.2">
      <c r="AF11469" s="12"/>
    </row>
    <row r="11470" spans="32:32" x14ac:dyDescent="0.2">
      <c r="AF11470" s="12"/>
    </row>
    <row r="11471" spans="32:32" x14ac:dyDescent="0.2">
      <c r="AF11471" s="12"/>
    </row>
    <row r="11472" spans="32:32" x14ac:dyDescent="0.2">
      <c r="AF11472" s="12"/>
    </row>
    <row r="11473" spans="32:32" x14ac:dyDescent="0.2">
      <c r="AF11473" s="12"/>
    </row>
    <row r="11474" spans="32:32" x14ac:dyDescent="0.2">
      <c r="AF11474" s="12"/>
    </row>
    <row r="11475" spans="32:32" x14ac:dyDescent="0.2">
      <c r="AF11475" s="12"/>
    </row>
    <row r="11476" spans="32:32" x14ac:dyDescent="0.2">
      <c r="AF11476" s="12"/>
    </row>
    <row r="11477" spans="32:32" x14ac:dyDescent="0.2">
      <c r="AF11477" s="12"/>
    </row>
    <row r="11478" spans="32:32" x14ac:dyDescent="0.2">
      <c r="AF11478" s="12"/>
    </row>
    <row r="11479" spans="32:32" x14ac:dyDescent="0.2">
      <c r="AF11479" s="12"/>
    </row>
    <row r="11480" spans="32:32" x14ac:dyDescent="0.2">
      <c r="AF11480" s="12"/>
    </row>
    <row r="11481" spans="32:32" x14ac:dyDescent="0.2">
      <c r="AF11481" s="12"/>
    </row>
    <row r="11482" spans="32:32" x14ac:dyDescent="0.2">
      <c r="AF11482" s="12"/>
    </row>
    <row r="11483" spans="32:32" x14ac:dyDescent="0.2">
      <c r="AF11483" s="12"/>
    </row>
    <row r="11484" spans="32:32" x14ac:dyDescent="0.2">
      <c r="AF11484" s="12"/>
    </row>
    <row r="11485" spans="32:32" x14ac:dyDescent="0.2">
      <c r="AF11485" s="12"/>
    </row>
    <row r="11486" spans="32:32" x14ac:dyDescent="0.2">
      <c r="AF11486" s="12"/>
    </row>
    <row r="11487" spans="32:32" x14ac:dyDescent="0.2">
      <c r="AF11487" s="12"/>
    </row>
    <row r="11488" spans="32:32" x14ac:dyDescent="0.2">
      <c r="AF11488" s="12"/>
    </row>
    <row r="11489" spans="32:32" x14ac:dyDescent="0.2">
      <c r="AF11489" s="12"/>
    </row>
    <row r="11490" spans="32:32" x14ac:dyDescent="0.2">
      <c r="AF11490" s="12"/>
    </row>
    <row r="11491" spans="32:32" x14ac:dyDescent="0.2">
      <c r="AF11491" s="12"/>
    </row>
    <row r="11492" spans="32:32" x14ac:dyDescent="0.2">
      <c r="AF11492" s="12"/>
    </row>
    <row r="11493" spans="32:32" x14ac:dyDescent="0.2">
      <c r="AF11493" s="12"/>
    </row>
    <row r="11494" spans="32:32" x14ac:dyDescent="0.2">
      <c r="AF11494" s="12"/>
    </row>
    <row r="11495" spans="32:32" x14ac:dyDescent="0.2">
      <c r="AF11495" s="12"/>
    </row>
    <row r="11496" spans="32:32" x14ac:dyDescent="0.2">
      <c r="AF11496" s="12"/>
    </row>
    <row r="11497" spans="32:32" x14ac:dyDescent="0.2">
      <c r="AF11497" s="12"/>
    </row>
    <row r="11498" spans="32:32" x14ac:dyDescent="0.2">
      <c r="AF11498" s="12"/>
    </row>
    <row r="11499" spans="32:32" x14ac:dyDescent="0.2">
      <c r="AF11499" s="12"/>
    </row>
    <row r="11500" spans="32:32" x14ac:dyDescent="0.2">
      <c r="AF11500" s="12"/>
    </row>
    <row r="11501" spans="32:32" x14ac:dyDescent="0.2">
      <c r="AF11501" s="12"/>
    </row>
    <row r="11502" spans="32:32" x14ac:dyDescent="0.2">
      <c r="AF11502" s="12"/>
    </row>
    <row r="11503" spans="32:32" x14ac:dyDescent="0.2">
      <c r="AF11503" s="12"/>
    </row>
    <row r="11504" spans="32:32" x14ac:dyDescent="0.2">
      <c r="AF11504" s="12"/>
    </row>
    <row r="11505" spans="32:32" x14ac:dyDescent="0.2">
      <c r="AF11505" s="12"/>
    </row>
    <row r="11506" spans="32:32" x14ac:dyDescent="0.2">
      <c r="AF11506" s="12"/>
    </row>
    <row r="11507" spans="32:32" x14ac:dyDescent="0.2">
      <c r="AF11507" s="12"/>
    </row>
    <row r="11508" spans="32:32" x14ac:dyDescent="0.2">
      <c r="AF11508" s="12"/>
    </row>
    <row r="11509" spans="32:32" x14ac:dyDescent="0.2">
      <c r="AF11509" s="12"/>
    </row>
    <row r="11510" spans="32:32" x14ac:dyDescent="0.2">
      <c r="AF11510" s="12"/>
    </row>
    <row r="11511" spans="32:32" x14ac:dyDescent="0.2">
      <c r="AF11511" s="12"/>
    </row>
    <row r="11512" spans="32:32" x14ac:dyDescent="0.2">
      <c r="AF11512" s="12"/>
    </row>
    <row r="11513" spans="32:32" x14ac:dyDescent="0.2">
      <c r="AF11513" s="12"/>
    </row>
    <row r="11514" spans="32:32" x14ac:dyDescent="0.2">
      <c r="AF11514" s="12"/>
    </row>
    <row r="11515" spans="32:32" x14ac:dyDescent="0.2">
      <c r="AF11515" s="12"/>
    </row>
    <row r="11516" spans="32:32" x14ac:dyDescent="0.2">
      <c r="AF11516" s="12"/>
    </row>
    <row r="11517" spans="32:32" x14ac:dyDescent="0.2">
      <c r="AF11517" s="12"/>
    </row>
    <row r="11518" spans="32:32" x14ac:dyDescent="0.2">
      <c r="AF11518" s="12"/>
    </row>
    <row r="11519" spans="32:32" x14ac:dyDescent="0.2">
      <c r="AF11519" s="12"/>
    </row>
    <row r="11520" spans="32:32" x14ac:dyDescent="0.2">
      <c r="AF11520" s="12"/>
    </row>
    <row r="11521" spans="32:32" x14ac:dyDescent="0.2">
      <c r="AF11521" s="12"/>
    </row>
    <row r="11522" spans="32:32" x14ac:dyDescent="0.2">
      <c r="AF11522" s="12"/>
    </row>
    <row r="11523" spans="32:32" x14ac:dyDescent="0.2">
      <c r="AF11523" s="12"/>
    </row>
    <row r="11524" spans="32:32" x14ac:dyDescent="0.2">
      <c r="AF11524" s="12"/>
    </row>
    <row r="11525" spans="32:32" x14ac:dyDescent="0.2">
      <c r="AF11525" s="12"/>
    </row>
    <row r="11526" spans="32:32" x14ac:dyDescent="0.2">
      <c r="AF11526" s="12"/>
    </row>
    <row r="11527" spans="32:32" x14ac:dyDescent="0.2">
      <c r="AF11527" s="12"/>
    </row>
    <row r="11528" spans="32:32" x14ac:dyDescent="0.2">
      <c r="AF11528" s="12"/>
    </row>
    <row r="11529" spans="32:32" x14ac:dyDescent="0.2">
      <c r="AF11529" s="12"/>
    </row>
    <row r="11530" spans="32:32" x14ac:dyDescent="0.2">
      <c r="AF11530" s="12"/>
    </row>
    <row r="11531" spans="32:32" x14ac:dyDescent="0.2">
      <c r="AF11531" s="12"/>
    </row>
    <row r="11532" spans="32:32" x14ac:dyDescent="0.2">
      <c r="AF11532" s="12"/>
    </row>
    <row r="11533" spans="32:32" x14ac:dyDescent="0.2">
      <c r="AF11533" s="12"/>
    </row>
    <row r="11534" spans="32:32" x14ac:dyDescent="0.2">
      <c r="AF11534" s="12"/>
    </row>
    <row r="11535" spans="32:32" x14ac:dyDescent="0.2">
      <c r="AF11535" s="12"/>
    </row>
    <row r="11536" spans="32:32" x14ac:dyDescent="0.2">
      <c r="AF11536" s="12"/>
    </row>
    <row r="11537" spans="32:32" x14ac:dyDescent="0.2">
      <c r="AF11537" s="12"/>
    </row>
    <row r="11538" spans="32:32" x14ac:dyDescent="0.2">
      <c r="AF11538" s="12"/>
    </row>
    <row r="11539" spans="32:32" x14ac:dyDescent="0.2">
      <c r="AF11539" s="12"/>
    </row>
    <row r="11540" spans="32:32" x14ac:dyDescent="0.2">
      <c r="AF11540" s="12"/>
    </row>
    <row r="11541" spans="32:32" x14ac:dyDescent="0.2">
      <c r="AF11541" s="12"/>
    </row>
    <row r="11542" spans="32:32" x14ac:dyDescent="0.2">
      <c r="AF11542" s="12"/>
    </row>
    <row r="11543" spans="32:32" x14ac:dyDescent="0.2">
      <c r="AF11543" s="12"/>
    </row>
    <row r="11544" spans="32:32" x14ac:dyDescent="0.2">
      <c r="AF11544" s="12"/>
    </row>
    <row r="11545" spans="32:32" x14ac:dyDescent="0.2">
      <c r="AF11545" s="12"/>
    </row>
    <row r="11546" spans="32:32" x14ac:dyDescent="0.2">
      <c r="AF11546" s="12"/>
    </row>
    <row r="11547" spans="32:32" x14ac:dyDescent="0.2">
      <c r="AF11547" s="12"/>
    </row>
    <row r="11548" spans="32:32" x14ac:dyDescent="0.2">
      <c r="AF11548" s="12"/>
    </row>
    <row r="11549" spans="32:32" x14ac:dyDescent="0.2">
      <c r="AF11549" s="12"/>
    </row>
    <row r="11550" spans="32:32" x14ac:dyDescent="0.2">
      <c r="AF11550" s="12"/>
    </row>
    <row r="11551" spans="32:32" x14ac:dyDescent="0.2">
      <c r="AF11551" s="12"/>
    </row>
    <row r="11552" spans="32:32" x14ac:dyDescent="0.2">
      <c r="AF11552" s="12"/>
    </row>
    <row r="11553" spans="32:32" x14ac:dyDescent="0.2">
      <c r="AF11553" s="12"/>
    </row>
    <row r="11554" spans="32:32" x14ac:dyDescent="0.2">
      <c r="AF11554" s="12"/>
    </row>
    <row r="11555" spans="32:32" x14ac:dyDescent="0.2">
      <c r="AF11555" s="12"/>
    </row>
    <row r="11556" spans="32:32" x14ac:dyDescent="0.2">
      <c r="AF11556" s="12"/>
    </row>
    <row r="11557" spans="32:32" x14ac:dyDescent="0.2">
      <c r="AF11557" s="12"/>
    </row>
    <row r="11558" spans="32:32" x14ac:dyDescent="0.2">
      <c r="AF11558" s="12"/>
    </row>
    <row r="11559" spans="32:32" x14ac:dyDescent="0.2">
      <c r="AF11559" s="12"/>
    </row>
    <row r="11560" spans="32:32" x14ac:dyDescent="0.2">
      <c r="AF11560" s="12"/>
    </row>
    <row r="11561" spans="32:32" x14ac:dyDescent="0.2">
      <c r="AF11561" s="12"/>
    </row>
    <row r="11562" spans="32:32" x14ac:dyDescent="0.2">
      <c r="AF11562" s="12"/>
    </row>
    <row r="11563" spans="32:32" x14ac:dyDescent="0.2">
      <c r="AF11563" s="12"/>
    </row>
    <row r="11564" spans="32:32" x14ac:dyDescent="0.2">
      <c r="AF11564" s="12"/>
    </row>
    <row r="11565" spans="32:32" x14ac:dyDescent="0.2">
      <c r="AF11565" s="12"/>
    </row>
    <row r="11566" spans="32:32" x14ac:dyDescent="0.2">
      <c r="AF11566" s="12"/>
    </row>
    <row r="11567" spans="32:32" x14ac:dyDescent="0.2">
      <c r="AF11567" s="12"/>
    </row>
    <row r="11568" spans="32:32" x14ac:dyDescent="0.2">
      <c r="AF11568" s="12"/>
    </row>
    <row r="11569" spans="32:32" x14ac:dyDescent="0.2">
      <c r="AF11569" s="12"/>
    </row>
    <row r="11570" spans="32:32" x14ac:dyDescent="0.2">
      <c r="AF11570" s="12"/>
    </row>
    <row r="11571" spans="32:32" x14ac:dyDescent="0.2">
      <c r="AF11571" s="12"/>
    </row>
    <row r="11572" spans="32:32" x14ac:dyDescent="0.2">
      <c r="AF11572" s="12"/>
    </row>
    <row r="11573" spans="32:32" x14ac:dyDescent="0.2">
      <c r="AF11573" s="12"/>
    </row>
    <row r="11574" spans="32:32" x14ac:dyDescent="0.2">
      <c r="AF11574" s="12"/>
    </row>
    <row r="11575" spans="32:32" x14ac:dyDescent="0.2">
      <c r="AF11575" s="12"/>
    </row>
    <row r="11576" spans="32:32" x14ac:dyDescent="0.2">
      <c r="AF11576" s="12"/>
    </row>
    <row r="11577" spans="32:32" x14ac:dyDescent="0.2">
      <c r="AF11577" s="12"/>
    </row>
    <row r="11578" spans="32:32" x14ac:dyDescent="0.2">
      <c r="AF11578" s="12"/>
    </row>
    <row r="11579" spans="32:32" x14ac:dyDescent="0.2">
      <c r="AF11579" s="12"/>
    </row>
    <row r="11580" spans="32:32" x14ac:dyDescent="0.2">
      <c r="AF11580" s="12"/>
    </row>
    <row r="11581" spans="32:32" x14ac:dyDescent="0.2">
      <c r="AF11581" s="12"/>
    </row>
    <row r="11582" spans="32:32" x14ac:dyDescent="0.2">
      <c r="AF11582" s="12"/>
    </row>
    <row r="11583" spans="32:32" x14ac:dyDescent="0.2">
      <c r="AF11583" s="12"/>
    </row>
    <row r="11584" spans="32:32" x14ac:dyDescent="0.2">
      <c r="AF11584" s="12"/>
    </row>
    <row r="11585" spans="32:32" x14ac:dyDescent="0.2">
      <c r="AF11585" s="12"/>
    </row>
    <row r="11586" spans="32:32" x14ac:dyDescent="0.2">
      <c r="AF11586" s="12"/>
    </row>
    <row r="11587" spans="32:32" x14ac:dyDescent="0.2">
      <c r="AF11587" s="12"/>
    </row>
    <row r="11588" spans="32:32" x14ac:dyDescent="0.2">
      <c r="AF11588" s="12"/>
    </row>
    <row r="11589" spans="32:32" x14ac:dyDescent="0.2">
      <c r="AF11589" s="12"/>
    </row>
    <row r="11590" spans="32:32" x14ac:dyDescent="0.2">
      <c r="AF11590" s="12"/>
    </row>
    <row r="11591" spans="32:32" x14ac:dyDescent="0.2">
      <c r="AF11591" s="12"/>
    </row>
    <row r="11592" spans="32:32" x14ac:dyDescent="0.2">
      <c r="AF11592" s="12"/>
    </row>
    <row r="11593" spans="32:32" x14ac:dyDescent="0.2">
      <c r="AF11593" s="12"/>
    </row>
    <row r="11594" spans="32:32" x14ac:dyDescent="0.2">
      <c r="AF11594" s="12"/>
    </row>
    <row r="11595" spans="32:32" x14ac:dyDescent="0.2">
      <c r="AF11595" s="12"/>
    </row>
    <row r="11596" spans="32:32" x14ac:dyDescent="0.2">
      <c r="AF11596" s="12"/>
    </row>
    <row r="11597" spans="32:32" x14ac:dyDescent="0.2">
      <c r="AF11597" s="12"/>
    </row>
    <row r="11598" spans="32:32" x14ac:dyDescent="0.2">
      <c r="AF11598" s="12"/>
    </row>
    <row r="11599" spans="32:32" x14ac:dyDescent="0.2">
      <c r="AF11599" s="12"/>
    </row>
    <row r="11600" spans="32:32" x14ac:dyDescent="0.2">
      <c r="AF11600" s="12"/>
    </row>
    <row r="11601" spans="32:32" x14ac:dyDescent="0.2">
      <c r="AF11601" s="12"/>
    </row>
    <row r="11602" spans="32:32" x14ac:dyDescent="0.2">
      <c r="AF11602" s="12"/>
    </row>
    <row r="11603" spans="32:32" x14ac:dyDescent="0.2">
      <c r="AF11603" s="12"/>
    </row>
    <row r="11604" spans="32:32" x14ac:dyDescent="0.2">
      <c r="AF11604" s="12"/>
    </row>
    <row r="11605" spans="32:32" x14ac:dyDescent="0.2">
      <c r="AF11605" s="12"/>
    </row>
    <row r="11606" spans="32:32" x14ac:dyDescent="0.2">
      <c r="AF11606" s="12"/>
    </row>
    <row r="11607" spans="32:32" x14ac:dyDescent="0.2">
      <c r="AF11607" s="12"/>
    </row>
    <row r="11608" spans="32:32" x14ac:dyDescent="0.2">
      <c r="AF11608" s="12"/>
    </row>
    <row r="11609" spans="32:32" x14ac:dyDescent="0.2">
      <c r="AF11609" s="12"/>
    </row>
    <row r="11610" spans="32:32" x14ac:dyDescent="0.2">
      <c r="AF11610" s="12"/>
    </row>
    <row r="11611" spans="32:32" x14ac:dyDescent="0.2">
      <c r="AF11611" s="12"/>
    </row>
    <row r="11612" spans="32:32" x14ac:dyDescent="0.2">
      <c r="AF11612" s="12"/>
    </row>
    <row r="11613" spans="32:32" x14ac:dyDescent="0.2">
      <c r="AF11613" s="12"/>
    </row>
    <row r="11614" spans="32:32" x14ac:dyDescent="0.2">
      <c r="AF11614" s="12"/>
    </row>
    <row r="11615" spans="32:32" x14ac:dyDescent="0.2">
      <c r="AF11615" s="12"/>
    </row>
    <row r="11616" spans="32:32" x14ac:dyDescent="0.2">
      <c r="AF11616" s="12"/>
    </row>
    <row r="11617" spans="32:32" x14ac:dyDescent="0.2">
      <c r="AF11617" s="12"/>
    </row>
    <row r="11618" spans="32:32" x14ac:dyDescent="0.2">
      <c r="AF11618" s="12"/>
    </row>
    <row r="11619" spans="32:32" x14ac:dyDescent="0.2">
      <c r="AF11619" s="12"/>
    </row>
    <row r="11620" spans="32:32" x14ac:dyDescent="0.2">
      <c r="AF11620" s="12"/>
    </row>
    <row r="11621" spans="32:32" x14ac:dyDescent="0.2">
      <c r="AF11621" s="12"/>
    </row>
    <row r="11622" spans="32:32" x14ac:dyDescent="0.2">
      <c r="AF11622" s="12"/>
    </row>
    <row r="11623" spans="32:32" x14ac:dyDescent="0.2">
      <c r="AF11623" s="12"/>
    </row>
    <row r="11624" spans="32:32" x14ac:dyDescent="0.2">
      <c r="AF11624" s="12"/>
    </row>
    <row r="11625" spans="32:32" x14ac:dyDescent="0.2">
      <c r="AF11625" s="12"/>
    </row>
    <row r="11626" spans="32:32" x14ac:dyDescent="0.2">
      <c r="AF11626" s="12"/>
    </row>
    <row r="11627" spans="32:32" x14ac:dyDescent="0.2">
      <c r="AF11627" s="12"/>
    </row>
    <row r="11628" spans="32:32" x14ac:dyDescent="0.2">
      <c r="AF11628" s="12"/>
    </row>
    <row r="11629" spans="32:32" x14ac:dyDescent="0.2">
      <c r="AF11629" s="12"/>
    </row>
    <row r="11630" spans="32:32" x14ac:dyDescent="0.2">
      <c r="AF11630" s="12"/>
    </row>
    <row r="11631" spans="32:32" x14ac:dyDescent="0.2">
      <c r="AF11631" s="12"/>
    </row>
    <row r="11632" spans="32:32" x14ac:dyDescent="0.2">
      <c r="AF11632" s="12"/>
    </row>
    <row r="11633" spans="32:32" x14ac:dyDescent="0.2">
      <c r="AF11633" s="12"/>
    </row>
    <row r="11634" spans="32:32" x14ac:dyDescent="0.2">
      <c r="AF11634" s="12"/>
    </row>
    <row r="11635" spans="32:32" x14ac:dyDescent="0.2">
      <c r="AF11635" s="12"/>
    </row>
    <row r="11636" spans="32:32" x14ac:dyDescent="0.2">
      <c r="AF11636" s="12"/>
    </row>
    <row r="11637" spans="32:32" x14ac:dyDescent="0.2">
      <c r="AF11637" s="12"/>
    </row>
    <row r="11638" spans="32:32" x14ac:dyDescent="0.2">
      <c r="AF11638" s="12"/>
    </row>
    <row r="11639" spans="32:32" x14ac:dyDescent="0.2">
      <c r="AF11639" s="12"/>
    </row>
    <row r="11640" spans="32:32" x14ac:dyDescent="0.2">
      <c r="AF11640" s="12"/>
    </row>
    <row r="11641" spans="32:32" x14ac:dyDescent="0.2">
      <c r="AF11641" s="12"/>
    </row>
    <row r="11642" spans="32:32" x14ac:dyDescent="0.2">
      <c r="AF11642" s="12"/>
    </row>
    <row r="11643" spans="32:32" x14ac:dyDescent="0.2">
      <c r="AF11643" s="12"/>
    </row>
    <row r="11644" spans="32:32" x14ac:dyDescent="0.2">
      <c r="AF11644" s="12"/>
    </row>
    <row r="11645" spans="32:32" x14ac:dyDescent="0.2">
      <c r="AF11645" s="12"/>
    </row>
    <row r="11646" spans="32:32" x14ac:dyDescent="0.2">
      <c r="AF11646" s="12"/>
    </row>
    <row r="11647" spans="32:32" x14ac:dyDescent="0.2">
      <c r="AF11647" s="12"/>
    </row>
    <row r="11648" spans="32:32" x14ac:dyDescent="0.2">
      <c r="AF11648" s="12"/>
    </row>
    <row r="11649" spans="32:32" x14ac:dyDescent="0.2">
      <c r="AF11649" s="12"/>
    </row>
    <row r="11650" spans="32:32" x14ac:dyDescent="0.2">
      <c r="AF11650" s="12"/>
    </row>
    <row r="11651" spans="32:32" x14ac:dyDescent="0.2">
      <c r="AF11651" s="12"/>
    </row>
    <row r="11652" spans="32:32" x14ac:dyDescent="0.2">
      <c r="AF11652" s="12"/>
    </row>
    <row r="11653" spans="32:32" x14ac:dyDescent="0.2">
      <c r="AF11653" s="12"/>
    </row>
    <row r="11654" spans="32:32" x14ac:dyDescent="0.2">
      <c r="AF11654" s="12"/>
    </row>
    <row r="11655" spans="32:32" x14ac:dyDescent="0.2">
      <c r="AF11655" s="12"/>
    </row>
    <row r="11656" spans="32:32" x14ac:dyDescent="0.2">
      <c r="AF11656" s="12"/>
    </row>
    <row r="11657" spans="32:32" x14ac:dyDescent="0.2">
      <c r="AF11657" s="12"/>
    </row>
    <row r="11658" spans="32:32" x14ac:dyDescent="0.2">
      <c r="AF11658" s="12"/>
    </row>
    <row r="11659" spans="32:32" x14ac:dyDescent="0.2">
      <c r="AF11659" s="12"/>
    </row>
    <row r="11660" spans="32:32" x14ac:dyDescent="0.2">
      <c r="AF11660" s="12"/>
    </row>
    <row r="11661" spans="32:32" x14ac:dyDescent="0.2">
      <c r="AF11661" s="12"/>
    </row>
    <row r="11662" spans="32:32" x14ac:dyDescent="0.2">
      <c r="AF11662" s="12"/>
    </row>
    <row r="11663" spans="32:32" x14ac:dyDescent="0.2">
      <c r="AF11663" s="12"/>
    </row>
    <row r="11664" spans="32:32" x14ac:dyDescent="0.2">
      <c r="AF11664" s="12"/>
    </row>
    <row r="11665" spans="32:32" x14ac:dyDescent="0.2">
      <c r="AF11665" s="12"/>
    </row>
    <row r="11666" spans="32:32" x14ac:dyDescent="0.2">
      <c r="AF11666" s="12"/>
    </row>
    <row r="11667" spans="32:32" x14ac:dyDescent="0.2">
      <c r="AF11667" s="12"/>
    </row>
    <row r="11668" spans="32:32" x14ac:dyDescent="0.2">
      <c r="AF11668" s="12"/>
    </row>
    <row r="11669" spans="32:32" x14ac:dyDescent="0.2">
      <c r="AF11669" s="12"/>
    </row>
    <row r="11670" spans="32:32" x14ac:dyDescent="0.2">
      <c r="AF11670" s="12"/>
    </row>
    <row r="11671" spans="32:32" x14ac:dyDescent="0.2">
      <c r="AF11671" s="12"/>
    </row>
    <row r="11672" spans="32:32" x14ac:dyDescent="0.2">
      <c r="AF11672" s="12"/>
    </row>
    <row r="11673" spans="32:32" x14ac:dyDescent="0.2">
      <c r="AF11673" s="12"/>
    </row>
    <row r="11674" spans="32:32" x14ac:dyDescent="0.2">
      <c r="AF11674" s="12"/>
    </row>
    <row r="11675" spans="32:32" x14ac:dyDescent="0.2">
      <c r="AF11675" s="12"/>
    </row>
    <row r="11676" spans="32:32" x14ac:dyDescent="0.2">
      <c r="AF11676" s="12"/>
    </row>
    <row r="11677" spans="32:32" x14ac:dyDescent="0.2">
      <c r="AF11677" s="12"/>
    </row>
    <row r="11678" spans="32:32" x14ac:dyDescent="0.2">
      <c r="AF11678" s="12"/>
    </row>
    <row r="11679" spans="32:32" x14ac:dyDescent="0.2">
      <c r="AF11679" s="12"/>
    </row>
    <row r="11680" spans="32:32" x14ac:dyDescent="0.2">
      <c r="AF11680" s="12"/>
    </row>
    <row r="11681" spans="32:32" x14ac:dyDescent="0.2">
      <c r="AF11681" s="12"/>
    </row>
    <row r="11682" spans="32:32" x14ac:dyDescent="0.2">
      <c r="AF11682" s="12"/>
    </row>
    <row r="11683" spans="32:32" x14ac:dyDescent="0.2">
      <c r="AF11683" s="12"/>
    </row>
    <row r="11684" spans="32:32" x14ac:dyDescent="0.2">
      <c r="AF11684" s="12"/>
    </row>
    <row r="11685" spans="32:32" x14ac:dyDescent="0.2">
      <c r="AF11685" s="12"/>
    </row>
    <row r="11686" spans="32:32" x14ac:dyDescent="0.2">
      <c r="AF11686" s="12"/>
    </row>
    <row r="11687" spans="32:32" x14ac:dyDescent="0.2">
      <c r="AF11687" s="12"/>
    </row>
    <row r="11688" spans="32:32" x14ac:dyDescent="0.2">
      <c r="AF11688" s="12"/>
    </row>
    <row r="11689" spans="32:32" x14ac:dyDescent="0.2">
      <c r="AF11689" s="12"/>
    </row>
    <row r="11690" spans="32:32" x14ac:dyDescent="0.2">
      <c r="AF11690" s="12"/>
    </row>
    <row r="11691" spans="32:32" x14ac:dyDescent="0.2">
      <c r="AF11691" s="12"/>
    </row>
    <row r="11692" spans="32:32" x14ac:dyDescent="0.2">
      <c r="AF11692" s="12"/>
    </row>
    <row r="11693" spans="32:32" x14ac:dyDescent="0.2">
      <c r="AF11693" s="12"/>
    </row>
    <row r="11694" spans="32:32" x14ac:dyDescent="0.2">
      <c r="AF11694" s="12"/>
    </row>
    <row r="11695" spans="32:32" x14ac:dyDescent="0.2">
      <c r="AF11695" s="12"/>
    </row>
    <row r="11696" spans="32:32" x14ac:dyDescent="0.2">
      <c r="AF11696" s="12"/>
    </row>
    <row r="11697" spans="32:32" x14ac:dyDescent="0.2">
      <c r="AF11697" s="12"/>
    </row>
    <row r="11698" spans="32:32" x14ac:dyDescent="0.2">
      <c r="AF11698" s="12"/>
    </row>
    <row r="11699" spans="32:32" x14ac:dyDescent="0.2">
      <c r="AF11699" s="12"/>
    </row>
    <row r="11700" spans="32:32" x14ac:dyDescent="0.2">
      <c r="AF11700" s="12"/>
    </row>
    <row r="11701" spans="32:32" x14ac:dyDescent="0.2">
      <c r="AF11701" s="12"/>
    </row>
    <row r="11702" spans="32:32" x14ac:dyDescent="0.2">
      <c r="AF11702" s="12"/>
    </row>
    <row r="11703" spans="32:32" x14ac:dyDescent="0.2">
      <c r="AF11703" s="12"/>
    </row>
    <row r="11704" spans="32:32" x14ac:dyDescent="0.2">
      <c r="AF11704" s="12"/>
    </row>
    <row r="11705" spans="32:32" x14ac:dyDescent="0.2">
      <c r="AF11705" s="12"/>
    </row>
    <row r="11706" spans="32:32" x14ac:dyDescent="0.2">
      <c r="AF11706" s="12"/>
    </row>
    <row r="11707" spans="32:32" x14ac:dyDescent="0.2">
      <c r="AF11707" s="12"/>
    </row>
    <row r="11708" spans="32:32" x14ac:dyDescent="0.2">
      <c r="AF11708" s="12"/>
    </row>
    <row r="11709" spans="32:32" x14ac:dyDescent="0.2">
      <c r="AF11709" s="12"/>
    </row>
    <row r="11710" spans="32:32" x14ac:dyDescent="0.2">
      <c r="AF11710" s="12"/>
    </row>
    <row r="11711" spans="32:32" x14ac:dyDescent="0.2">
      <c r="AF11711" s="12"/>
    </row>
    <row r="11712" spans="32:32" x14ac:dyDescent="0.2">
      <c r="AF11712" s="12"/>
    </row>
    <row r="11713" spans="32:32" x14ac:dyDescent="0.2">
      <c r="AF11713" s="12"/>
    </row>
    <row r="11714" spans="32:32" x14ac:dyDescent="0.2">
      <c r="AF11714" s="12"/>
    </row>
    <row r="11715" spans="32:32" x14ac:dyDescent="0.2">
      <c r="AF11715" s="12"/>
    </row>
    <row r="11716" spans="32:32" x14ac:dyDescent="0.2">
      <c r="AF11716" s="12"/>
    </row>
    <row r="11717" spans="32:32" x14ac:dyDescent="0.2">
      <c r="AF11717" s="12"/>
    </row>
    <row r="11718" spans="32:32" x14ac:dyDescent="0.2">
      <c r="AF11718" s="12"/>
    </row>
    <row r="11719" spans="32:32" x14ac:dyDescent="0.2">
      <c r="AF11719" s="12"/>
    </row>
    <row r="11720" spans="32:32" x14ac:dyDescent="0.2">
      <c r="AF11720" s="12"/>
    </row>
    <row r="11721" spans="32:32" x14ac:dyDescent="0.2">
      <c r="AF11721" s="12"/>
    </row>
    <row r="11722" spans="32:32" x14ac:dyDescent="0.2">
      <c r="AF11722" s="12"/>
    </row>
    <row r="11723" spans="32:32" x14ac:dyDescent="0.2">
      <c r="AF11723" s="12"/>
    </row>
    <row r="11724" spans="32:32" x14ac:dyDescent="0.2">
      <c r="AF11724" s="12"/>
    </row>
    <row r="11725" spans="32:32" x14ac:dyDescent="0.2">
      <c r="AF11725" s="12"/>
    </row>
    <row r="11726" spans="32:32" x14ac:dyDescent="0.2">
      <c r="AF11726" s="12"/>
    </row>
    <row r="11727" spans="32:32" x14ac:dyDescent="0.2">
      <c r="AF11727" s="12"/>
    </row>
    <row r="11728" spans="32:32" x14ac:dyDescent="0.2">
      <c r="AF11728" s="12"/>
    </row>
    <row r="11729" spans="32:32" x14ac:dyDescent="0.2">
      <c r="AF11729" s="12"/>
    </row>
    <row r="11730" spans="32:32" x14ac:dyDescent="0.2">
      <c r="AF11730" s="12"/>
    </row>
    <row r="11731" spans="32:32" x14ac:dyDescent="0.2">
      <c r="AF11731" s="12"/>
    </row>
    <row r="11732" spans="32:32" x14ac:dyDescent="0.2">
      <c r="AF11732" s="12"/>
    </row>
    <row r="11733" spans="32:32" x14ac:dyDescent="0.2">
      <c r="AF11733" s="12"/>
    </row>
    <row r="11734" spans="32:32" x14ac:dyDescent="0.2">
      <c r="AF11734" s="12"/>
    </row>
    <row r="11735" spans="32:32" x14ac:dyDescent="0.2">
      <c r="AF11735" s="12"/>
    </row>
    <row r="11736" spans="32:32" x14ac:dyDescent="0.2">
      <c r="AF11736" s="12"/>
    </row>
    <row r="11737" spans="32:32" x14ac:dyDescent="0.2">
      <c r="AF11737" s="12"/>
    </row>
    <row r="11738" spans="32:32" x14ac:dyDescent="0.2">
      <c r="AF11738" s="12"/>
    </row>
    <row r="11739" spans="32:32" x14ac:dyDescent="0.2">
      <c r="AF11739" s="12"/>
    </row>
    <row r="11740" spans="32:32" x14ac:dyDescent="0.2">
      <c r="AF11740" s="12"/>
    </row>
    <row r="11741" spans="32:32" x14ac:dyDescent="0.2">
      <c r="AF11741" s="12"/>
    </row>
    <row r="11742" spans="32:32" x14ac:dyDescent="0.2">
      <c r="AF11742" s="12"/>
    </row>
    <row r="11743" spans="32:32" x14ac:dyDescent="0.2">
      <c r="AF11743" s="12"/>
    </row>
    <row r="11744" spans="32:32" x14ac:dyDescent="0.2">
      <c r="AF11744" s="12"/>
    </row>
    <row r="11745" spans="32:32" x14ac:dyDescent="0.2">
      <c r="AF11745" s="12"/>
    </row>
    <row r="11746" spans="32:32" x14ac:dyDescent="0.2">
      <c r="AF11746" s="12"/>
    </row>
    <row r="11747" spans="32:32" x14ac:dyDescent="0.2">
      <c r="AF11747" s="12"/>
    </row>
    <row r="11748" spans="32:32" x14ac:dyDescent="0.2">
      <c r="AF11748" s="12"/>
    </row>
    <row r="11749" spans="32:32" x14ac:dyDescent="0.2">
      <c r="AF11749" s="12"/>
    </row>
    <row r="11750" spans="32:32" x14ac:dyDescent="0.2">
      <c r="AF11750" s="12"/>
    </row>
    <row r="11751" spans="32:32" x14ac:dyDescent="0.2">
      <c r="AF11751" s="12"/>
    </row>
    <row r="11752" spans="32:32" x14ac:dyDescent="0.2">
      <c r="AF11752" s="12"/>
    </row>
    <row r="11753" spans="32:32" x14ac:dyDescent="0.2">
      <c r="AF11753" s="12"/>
    </row>
    <row r="11754" spans="32:32" x14ac:dyDescent="0.2">
      <c r="AF11754" s="12"/>
    </row>
    <row r="11755" spans="32:32" x14ac:dyDescent="0.2">
      <c r="AF11755" s="12"/>
    </row>
    <row r="11756" spans="32:32" x14ac:dyDescent="0.2">
      <c r="AF11756" s="12"/>
    </row>
    <row r="11757" spans="32:32" x14ac:dyDescent="0.2">
      <c r="AF11757" s="12"/>
    </row>
    <row r="11758" spans="32:32" x14ac:dyDescent="0.2">
      <c r="AF11758" s="12"/>
    </row>
    <row r="11759" spans="32:32" x14ac:dyDescent="0.2">
      <c r="AF11759" s="12"/>
    </row>
    <row r="11760" spans="32:32" x14ac:dyDescent="0.2">
      <c r="AF11760" s="12"/>
    </row>
    <row r="11761" spans="32:32" x14ac:dyDescent="0.2">
      <c r="AF11761" s="12"/>
    </row>
    <row r="11762" spans="32:32" x14ac:dyDescent="0.2">
      <c r="AF11762" s="12"/>
    </row>
    <row r="11763" spans="32:32" x14ac:dyDescent="0.2">
      <c r="AF11763" s="12"/>
    </row>
    <row r="11764" spans="32:32" x14ac:dyDescent="0.2">
      <c r="AF11764" s="12"/>
    </row>
    <row r="11765" spans="32:32" x14ac:dyDescent="0.2">
      <c r="AF11765" s="12"/>
    </row>
    <row r="11766" spans="32:32" x14ac:dyDescent="0.2">
      <c r="AF11766" s="12"/>
    </row>
    <row r="11767" spans="32:32" x14ac:dyDescent="0.2">
      <c r="AF11767" s="12"/>
    </row>
    <row r="11768" spans="32:32" x14ac:dyDescent="0.2">
      <c r="AF11768" s="12"/>
    </row>
    <row r="11769" spans="32:32" x14ac:dyDescent="0.2">
      <c r="AF11769" s="12"/>
    </row>
    <row r="11770" spans="32:32" x14ac:dyDescent="0.2">
      <c r="AF11770" s="12"/>
    </row>
    <row r="11771" spans="32:32" x14ac:dyDescent="0.2">
      <c r="AF11771" s="12"/>
    </row>
    <row r="11772" spans="32:32" x14ac:dyDescent="0.2">
      <c r="AF11772" s="12"/>
    </row>
    <row r="11773" spans="32:32" x14ac:dyDescent="0.2">
      <c r="AF11773" s="12"/>
    </row>
    <row r="11774" spans="32:32" x14ac:dyDescent="0.2">
      <c r="AF11774" s="12"/>
    </row>
    <row r="11775" spans="32:32" x14ac:dyDescent="0.2">
      <c r="AF11775" s="12"/>
    </row>
    <row r="11776" spans="32:32" x14ac:dyDescent="0.2">
      <c r="AF11776" s="12"/>
    </row>
    <row r="11777" spans="32:32" x14ac:dyDescent="0.2">
      <c r="AF11777" s="12"/>
    </row>
    <row r="11778" spans="32:32" x14ac:dyDescent="0.2">
      <c r="AF11778" s="12"/>
    </row>
    <row r="11779" spans="32:32" x14ac:dyDescent="0.2">
      <c r="AF11779" s="12"/>
    </row>
    <row r="11780" spans="32:32" x14ac:dyDescent="0.2">
      <c r="AF11780" s="12"/>
    </row>
    <row r="11781" spans="32:32" x14ac:dyDescent="0.2">
      <c r="AF11781" s="12"/>
    </row>
    <row r="11782" spans="32:32" x14ac:dyDescent="0.2">
      <c r="AF11782" s="12"/>
    </row>
    <row r="11783" spans="32:32" x14ac:dyDescent="0.2">
      <c r="AF11783" s="12"/>
    </row>
    <row r="11784" spans="32:32" x14ac:dyDescent="0.2">
      <c r="AF11784" s="12"/>
    </row>
    <row r="11785" spans="32:32" x14ac:dyDescent="0.2">
      <c r="AF11785" s="12"/>
    </row>
    <row r="11786" spans="32:32" x14ac:dyDescent="0.2">
      <c r="AF11786" s="12"/>
    </row>
    <row r="11787" spans="32:32" x14ac:dyDescent="0.2">
      <c r="AF11787" s="12"/>
    </row>
    <row r="11788" spans="32:32" x14ac:dyDescent="0.2">
      <c r="AF11788" s="12"/>
    </row>
    <row r="11789" spans="32:32" x14ac:dyDescent="0.2">
      <c r="AF11789" s="12"/>
    </row>
    <row r="11790" spans="32:32" x14ac:dyDescent="0.2">
      <c r="AF11790" s="12"/>
    </row>
    <row r="11791" spans="32:32" x14ac:dyDescent="0.2">
      <c r="AF11791" s="12"/>
    </row>
    <row r="11792" spans="32:32" x14ac:dyDescent="0.2">
      <c r="AF11792" s="12"/>
    </row>
    <row r="11793" spans="32:32" x14ac:dyDescent="0.2">
      <c r="AF11793" s="12"/>
    </row>
    <row r="11794" spans="32:32" x14ac:dyDescent="0.2">
      <c r="AF11794" s="12"/>
    </row>
    <row r="11795" spans="32:32" x14ac:dyDescent="0.2">
      <c r="AF11795" s="12"/>
    </row>
    <row r="11796" spans="32:32" x14ac:dyDescent="0.2">
      <c r="AF11796" s="12"/>
    </row>
    <row r="11797" spans="32:32" x14ac:dyDescent="0.2">
      <c r="AF11797" s="12"/>
    </row>
    <row r="11798" spans="32:32" x14ac:dyDescent="0.2">
      <c r="AF11798" s="12"/>
    </row>
    <row r="11799" spans="32:32" x14ac:dyDescent="0.2">
      <c r="AF11799" s="12"/>
    </row>
    <row r="11800" spans="32:32" x14ac:dyDescent="0.2">
      <c r="AF11800" s="12"/>
    </row>
    <row r="11801" spans="32:32" x14ac:dyDescent="0.2">
      <c r="AF11801" s="12"/>
    </row>
    <row r="11802" spans="32:32" x14ac:dyDescent="0.2">
      <c r="AF11802" s="12"/>
    </row>
    <row r="11803" spans="32:32" x14ac:dyDescent="0.2">
      <c r="AF11803" s="12"/>
    </row>
    <row r="11804" spans="32:32" x14ac:dyDescent="0.2">
      <c r="AF11804" s="12"/>
    </row>
    <row r="11805" spans="32:32" x14ac:dyDescent="0.2">
      <c r="AF11805" s="12"/>
    </row>
    <row r="11806" spans="32:32" x14ac:dyDescent="0.2">
      <c r="AF11806" s="12"/>
    </row>
    <row r="11807" spans="32:32" x14ac:dyDescent="0.2">
      <c r="AF11807" s="12"/>
    </row>
    <row r="11808" spans="32:32" x14ac:dyDescent="0.2">
      <c r="AF11808" s="12"/>
    </row>
    <row r="11809" spans="32:32" x14ac:dyDescent="0.2">
      <c r="AF11809" s="12"/>
    </row>
    <row r="11810" spans="32:32" x14ac:dyDescent="0.2">
      <c r="AF11810" s="12"/>
    </row>
    <row r="11811" spans="32:32" x14ac:dyDescent="0.2">
      <c r="AF11811" s="12"/>
    </row>
    <row r="11812" spans="32:32" x14ac:dyDescent="0.2">
      <c r="AF11812" s="12"/>
    </row>
    <row r="11813" spans="32:32" x14ac:dyDescent="0.2">
      <c r="AF11813" s="12"/>
    </row>
    <row r="11814" spans="32:32" x14ac:dyDescent="0.2">
      <c r="AF11814" s="12"/>
    </row>
    <row r="11815" spans="32:32" x14ac:dyDescent="0.2">
      <c r="AF11815" s="12"/>
    </row>
    <row r="11816" spans="32:32" x14ac:dyDescent="0.2">
      <c r="AF11816" s="12"/>
    </row>
    <row r="11817" spans="32:32" x14ac:dyDescent="0.2">
      <c r="AF11817" s="12"/>
    </row>
    <row r="11818" spans="32:32" x14ac:dyDescent="0.2">
      <c r="AF11818" s="12"/>
    </row>
    <row r="11819" spans="32:32" x14ac:dyDescent="0.2">
      <c r="AF11819" s="12"/>
    </row>
    <row r="11820" spans="32:32" x14ac:dyDescent="0.2">
      <c r="AF11820" s="12"/>
    </row>
    <row r="11821" spans="32:32" x14ac:dyDescent="0.2">
      <c r="AF11821" s="12"/>
    </row>
    <row r="11822" spans="32:32" x14ac:dyDescent="0.2">
      <c r="AF11822" s="12"/>
    </row>
    <row r="11823" spans="32:32" x14ac:dyDescent="0.2">
      <c r="AF11823" s="12"/>
    </row>
    <row r="11824" spans="32:32" x14ac:dyDescent="0.2">
      <c r="AF11824" s="12"/>
    </row>
    <row r="11825" spans="32:32" x14ac:dyDescent="0.2">
      <c r="AF11825" s="12"/>
    </row>
    <row r="11826" spans="32:32" x14ac:dyDescent="0.2">
      <c r="AF11826" s="12"/>
    </row>
    <row r="11827" spans="32:32" x14ac:dyDescent="0.2">
      <c r="AF11827" s="12"/>
    </row>
    <row r="11828" spans="32:32" x14ac:dyDescent="0.2">
      <c r="AF11828" s="12"/>
    </row>
    <row r="11829" spans="32:32" x14ac:dyDescent="0.2">
      <c r="AF11829" s="12"/>
    </row>
    <row r="11830" spans="32:32" x14ac:dyDescent="0.2">
      <c r="AF11830" s="12"/>
    </row>
    <row r="11831" spans="32:32" x14ac:dyDescent="0.2">
      <c r="AF11831" s="12"/>
    </row>
    <row r="11832" spans="32:32" x14ac:dyDescent="0.2">
      <c r="AF11832" s="12"/>
    </row>
    <row r="11833" spans="32:32" x14ac:dyDescent="0.2">
      <c r="AF11833" s="12"/>
    </row>
    <row r="11834" spans="32:32" x14ac:dyDescent="0.2">
      <c r="AF11834" s="12"/>
    </row>
    <row r="11835" spans="32:32" x14ac:dyDescent="0.2">
      <c r="AF11835" s="12"/>
    </row>
    <row r="11836" spans="32:32" x14ac:dyDescent="0.2">
      <c r="AF11836" s="12"/>
    </row>
    <row r="11837" spans="32:32" x14ac:dyDescent="0.2">
      <c r="AF11837" s="12"/>
    </row>
    <row r="11838" spans="32:32" x14ac:dyDescent="0.2">
      <c r="AF11838" s="12"/>
    </row>
    <row r="11839" spans="32:32" x14ac:dyDescent="0.2">
      <c r="AF11839" s="12"/>
    </row>
    <row r="11840" spans="32:32" x14ac:dyDescent="0.2">
      <c r="AF11840" s="12"/>
    </row>
    <row r="11841" spans="32:32" x14ac:dyDescent="0.2">
      <c r="AF11841" s="12"/>
    </row>
    <row r="11842" spans="32:32" x14ac:dyDescent="0.2">
      <c r="AF11842" s="12"/>
    </row>
    <row r="11843" spans="32:32" x14ac:dyDescent="0.2">
      <c r="AF11843" s="12"/>
    </row>
    <row r="11844" spans="32:32" x14ac:dyDescent="0.2">
      <c r="AF11844" s="12"/>
    </row>
    <row r="11845" spans="32:32" x14ac:dyDescent="0.2">
      <c r="AF11845" s="12"/>
    </row>
    <row r="11846" spans="32:32" x14ac:dyDescent="0.2">
      <c r="AF11846" s="12"/>
    </row>
    <row r="11847" spans="32:32" x14ac:dyDescent="0.2">
      <c r="AF11847" s="12"/>
    </row>
    <row r="11848" spans="32:32" x14ac:dyDescent="0.2">
      <c r="AF11848" s="12"/>
    </row>
    <row r="11849" spans="32:32" x14ac:dyDescent="0.2">
      <c r="AF11849" s="12"/>
    </row>
    <row r="11850" spans="32:32" x14ac:dyDescent="0.2">
      <c r="AF11850" s="12"/>
    </row>
    <row r="11851" spans="32:32" x14ac:dyDescent="0.2">
      <c r="AF11851" s="12"/>
    </row>
    <row r="11852" spans="32:32" x14ac:dyDescent="0.2">
      <c r="AF11852" s="12"/>
    </row>
    <row r="11853" spans="32:32" x14ac:dyDescent="0.2">
      <c r="AF11853" s="12"/>
    </row>
    <row r="11854" spans="32:32" x14ac:dyDescent="0.2">
      <c r="AF11854" s="12"/>
    </row>
    <row r="11855" spans="32:32" x14ac:dyDescent="0.2">
      <c r="AF11855" s="12"/>
    </row>
    <row r="11856" spans="32:32" x14ac:dyDescent="0.2">
      <c r="AF11856" s="12"/>
    </row>
    <row r="11857" spans="32:32" x14ac:dyDescent="0.2">
      <c r="AF11857" s="12"/>
    </row>
    <row r="11858" spans="32:32" x14ac:dyDescent="0.2">
      <c r="AF11858" s="12"/>
    </row>
    <row r="11859" spans="32:32" x14ac:dyDescent="0.2">
      <c r="AF11859" s="12"/>
    </row>
    <row r="11860" spans="32:32" x14ac:dyDescent="0.2">
      <c r="AF11860" s="12"/>
    </row>
    <row r="11861" spans="32:32" x14ac:dyDescent="0.2">
      <c r="AF11861" s="12"/>
    </row>
    <row r="11862" spans="32:32" x14ac:dyDescent="0.2">
      <c r="AF11862" s="12"/>
    </row>
    <row r="11863" spans="32:32" x14ac:dyDescent="0.2">
      <c r="AF11863" s="12"/>
    </row>
    <row r="11864" spans="32:32" x14ac:dyDescent="0.2">
      <c r="AF11864" s="12"/>
    </row>
    <row r="11865" spans="32:32" x14ac:dyDescent="0.2">
      <c r="AF11865" s="12"/>
    </row>
    <row r="11866" spans="32:32" x14ac:dyDescent="0.2">
      <c r="AF11866" s="12"/>
    </row>
    <row r="11867" spans="32:32" x14ac:dyDescent="0.2">
      <c r="AF11867" s="12"/>
    </row>
    <row r="11868" spans="32:32" x14ac:dyDescent="0.2">
      <c r="AF11868" s="12"/>
    </row>
    <row r="11869" spans="32:32" x14ac:dyDescent="0.2">
      <c r="AF11869" s="12"/>
    </row>
    <row r="11870" spans="32:32" x14ac:dyDescent="0.2">
      <c r="AF11870" s="12"/>
    </row>
    <row r="11871" spans="32:32" x14ac:dyDescent="0.2">
      <c r="AF11871" s="12"/>
    </row>
    <row r="11872" spans="32:32" x14ac:dyDescent="0.2">
      <c r="AF11872" s="12"/>
    </row>
    <row r="11873" spans="32:32" x14ac:dyDescent="0.2">
      <c r="AF11873" s="12"/>
    </row>
    <row r="11874" spans="32:32" x14ac:dyDescent="0.2">
      <c r="AF11874" s="12"/>
    </row>
    <row r="11875" spans="32:32" x14ac:dyDescent="0.2">
      <c r="AF11875" s="12"/>
    </row>
    <row r="11876" spans="32:32" x14ac:dyDescent="0.2">
      <c r="AF11876" s="12"/>
    </row>
    <row r="11877" spans="32:32" x14ac:dyDescent="0.2">
      <c r="AF11877" s="12"/>
    </row>
    <row r="11878" spans="32:32" x14ac:dyDescent="0.2">
      <c r="AF11878" s="12"/>
    </row>
    <row r="11879" spans="32:32" x14ac:dyDescent="0.2">
      <c r="AF11879" s="12"/>
    </row>
    <row r="11880" spans="32:32" x14ac:dyDescent="0.2">
      <c r="AF11880" s="12"/>
    </row>
    <row r="11881" spans="32:32" x14ac:dyDescent="0.2">
      <c r="AF11881" s="12"/>
    </row>
    <row r="11882" spans="32:32" x14ac:dyDescent="0.2">
      <c r="AF11882" s="12"/>
    </row>
    <row r="11883" spans="32:32" x14ac:dyDescent="0.2">
      <c r="AF11883" s="12"/>
    </row>
    <row r="11884" spans="32:32" x14ac:dyDescent="0.2">
      <c r="AF11884" s="12"/>
    </row>
    <row r="11885" spans="32:32" x14ac:dyDescent="0.2">
      <c r="AF11885" s="12"/>
    </row>
    <row r="11886" spans="32:32" x14ac:dyDescent="0.2">
      <c r="AF11886" s="12"/>
    </row>
    <row r="11887" spans="32:32" x14ac:dyDescent="0.2">
      <c r="AF11887" s="12"/>
    </row>
    <row r="11888" spans="32:32" x14ac:dyDescent="0.2">
      <c r="AF11888" s="12"/>
    </row>
    <row r="11889" spans="32:32" x14ac:dyDescent="0.2">
      <c r="AF11889" s="12"/>
    </row>
    <row r="11890" spans="32:32" x14ac:dyDescent="0.2">
      <c r="AF11890" s="12"/>
    </row>
    <row r="11891" spans="32:32" x14ac:dyDescent="0.2">
      <c r="AF11891" s="12"/>
    </row>
    <row r="11892" spans="32:32" x14ac:dyDescent="0.2">
      <c r="AF11892" s="12"/>
    </row>
    <row r="11893" spans="32:32" x14ac:dyDescent="0.2">
      <c r="AF11893" s="12"/>
    </row>
    <row r="11894" spans="32:32" x14ac:dyDescent="0.2">
      <c r="AF11894" s="12"/>
    </row>
    <row r="11895" spans="32:32" x14ac:dyDescent="0.2">
      <c r="AF11895" s="12"/>
    </row>
    <row r="11896" spans="32:32" x14ac:dyDescent="0.2">
      <c r="AF11896" s="12"/>
    </row>
    <row r="11897" spans="32:32" x14ac:dyDescent="0.2">
      <c r="AF11897" s="12"/>
    </row>
    <row r="11898" spans="32:32" x14ac:dyDescent="0.2">
      <c r="AF11898" s="12"/>
    </row>
    <row r="11899" spans="32:32" x14ac:dyDescent="0.2">
      <c r="AF11899" s="12"/>
    </row>
    <row r="11900" spans="32:32" x14ac:dyDescent="0.2">
      <c r="AF11900" s="12"/>
    </row>
    <row r="11901" spans="32:32" x14ac:dyDescent="0.2">
      <c r="AF11901" s="12"/>
    </row>
    <row r="11902" spans="32:32" x14ac:dyDescent="0.2">
      <c r="AF11902" s="12"/>
    </row>
    <row r="11903" spans="32:32" x14ac:dyDescent="0.2">
      <c r="AF11903" s="12"/>
    </row>
    <row r="11904" spans="32:32" x14ac:dyDescent="0.2">
      <c r="AF11904" s="12"/>
    </row>
    <row r="11905" spans="32:32" x14ac:dyDescent="0.2">
      <c r="AF11905" s="12"/>
    </row>
    <row r="11906" spans="32:32" x14ac:dyDescent="0.2">
      <c r="AF11906" s="12"/>
    </row>
    <row r="11907" spans="32:32" x14ac:dyDescent="0.2">
      <c r="AF11907" s="12"/>
    </row>
    <row r="11908" spans="32:32" x14ac:dyDescent="0.2">
      <c r="AF11908" s="12"/>
    </row>
    <row r="11909" spans="32:32" x14ac:dyDescent="0.2">
      <c r="AF11909" s="12"/>
    </row>
    <row r="11910" spans="32:32" x14ac:dyDescent="0.2">
      <c r="AF11910" s="12"/>
    </row>
    <row r="11911" spans="32:32" x14ac:dyDescent="0.2">
      <c r="AF11911" s="12"/>
    </row>
    <row r="11912" spans="32:32" x14ac:dyDescent="0.2">
      <c r="AF11912" s="12"/>
    </row>
    <row r="11913" spans="32:32" x14ac:dyDescent="0.2">
      <c r="AF11913" s="12"/>
    </row>
    <row r="11914" spans="32:32" x14ac:dyDescent="0.2">
      <c r="AF11914" s="12"/>
    </row>
    <row r="11915" spans="32:32" x14ac:dyDescent="0.2">
      <c r="AF11915" s="12"/>
    </row>
    <row r="11916" spans="32:32" x14ac:dyDescent="0.2">
      <c r="AF11916" s="12"/>
    </row>
    <row r="11917" spans="32:32" x14ac:dyDescent="0.2">
      <c r="AF11917" s="12"/>
    </row>
    <row r="11918" spans="32:32" x14ac:dyDescent="0.2">
      <c r="AF11918" s="12"/>
    </row>
    <row r="11919" spans="32:32" x14ac:dyDescent="0.2">
      <c r="AF11919" s="12"/>
    </row>
    <row r="11920" spans="32:32" x14ac:dyDescent="0.2">
      <c r="AF11920" s="12"/>
    </row>
    <row r="11921" spans="32:32" x14ac:dyDescent="0.2">
      <c r="AF11921" s="12"/>
    </row>
    <row r="11922" spans="32:32" x14ac:dyDescent="0.2">
      <c r="AF11922" s="12"/>
    </row>
    <row r="11923" spans="32:32" x14ac:dyDescent="0.2">
      <c r="AF11923" s="12"/>
    </row>
    <row r="11924" spans="32:32" x14ac:dyDescent="0.2">
      <c r="AF11924" s="12"/>
    </row>
    <row r="11925" spans="32:32" x14ac:dyDescent="0.2">
      <c r="AF11925" s="12"/>
    </row>
    <row r="11926" spans="32:32" x14ac:dyDescent="0.2">
      <c r="AF11926" s="12"/>
    </row>
    <row r="11927" spans="32:32" x14ac:dyDescent="0.2">
      <c r="AF11927" s="12"/>
    </row>
    <row r="11928" spans="32:32" x14ac:dyDescent="0.2">
      <c r="AF11928" s="12"/>
    </row>
    <row r="11929" spans="32:32" x14ac:dyDescent="0.2">
      <c r="AF11929" s="12"/>
    </row>
    <row r="11930" spans="32:32" x14ac:dyDescent="0.2">
      <c r="AF11930" s="12"/>
    </row>
    <row r="11931" spans="32:32" x14ac:dyDescent="0.2">
      <c r="AF11931" s="12"/>
    </row>
    <row r="11932" spans="32:32" x14ac:dyDescent="0.2">
      <c r="AF11932" s="12"/>
    </row>
    <row r="11933" spans="32:32" x14ac:dyDescent="0.2">
      <c r="AF11933" s="12"/>
    </row>
    <row r="11934" spans="32:32" x14ac:dyDescent="0.2">
      <c r="AF11934" s="12"/>
    </row>
    <row r="11935" spans="32:32" x14ac:dyDescent="0.2">
      <c r="AF11935" s="12"/>
    </row>
    <row r="11936" spans="32:32" x14ac:dyDescent="0.2">
      <c r="AF11936" s="12"/>
    </row>
    <row r="11937" spans="32:32" x14ac:dyDescent="0.2">
      <c r="AF11937" s="12"/>
    </row>
    <row r="11938" spans="32:32" x14ac:dyDescent="0.2">
      <c r="AF11938" s="12"/>
    </row>
    <row r="11939" spans="32:32" x14ac:dyDescent="0.2">
      <c r="AF11939" s="12"/>
    </row>
    <row r="11940" spans="32:32" x14ac:dyDescent="0.2">
      <c r="AF11940" s="12"/>
    </row>
    <row r="11941" spans="32:32" x14ac:dyDescent="0.2">
      <c r="AF11941" s="12"/>
    </row>
    <row r="11942" spans="32:32" x14ac:dyDescent="0.2">
      <c r="AF11942" s="12"/>
    </row>
    <row r="11943" spans="32:32" x14ac:dyDescent="0.2">
      <c r="AF11943" s="12"/>
    </row>
    <row r="11944" spans="32:32" x14ac:dyDescent="0.2">
      <c r="AF11944" s="12"/>
    </row>
    <row r="11945" spans="32:32" x14ac:dyDescent="0.2">
      <c r="AF11945" s="12"/>
    </row>
    <row r="11946" spans="32:32" x14ac:dyDescent="0.2">
      <c r="AF11946" s="12"/>
    </row>
    <row r="11947" spans="32:32" x14ac:dyDescent="0.2">
      <c r="AF11947" s="12"/>
    </row>
    <row r="11948" spans="32:32" x14ac:dyDescent="0.2">
      <c r="AF11948" s="12"/>
    </row>
    <row r="11949" spans="32:32" x14ac:dyDescent="0.2">
      <c r="AF11949" s="12"/>
    </row>
    <row r="11950" spans="32:32" x14ac:dyDescent="0.2">
      <c r="AF11950" s="12"/>
    </row>
    <row r="11951" spans="32:32" x14ac:dyDescent="0.2">
      <c r="AF11951" s="12"/>
    </row>
    <row r="11952" spans="32:32" x14ac:dyDescent="0.2">
      <c r="AF11952" s="12"/>
    </row>
    <row r="11953" spans="32:32" x14ac:dyDescent="0.2">
      <c r="AF11953" s="12"/>
    </row>
    <row r="11954" spans="32:32" x14ac:dyDescent="0.2">
      <c r="AF11954" s="12"/>
    </row>
    <row r="11955" spans="32:32" x14ac:dyDescent="0.2">
      <c r="AF11955" s="12"/>
    </row>
    <row r="11956" spans="32:32" x14ac:dyDescent="0.2">
      <c r="AF11956" s="12"/>
    </row>
    <row r="11957" spans="32:32" x14ac:dyDescent="0.2">
      <c r="AF11957" s="12"/>
    </row>
    <row r="11958" spans="32:32" x14ac:dyDescent="0.2">
      <c r="AF11958" s="12"/>
    </row>
    <row r="11959" spans="32:32" x14ac:dyDescent="0.2">
      <c r="AF11959" s="12"/>
    </row>
    <row r="11960" spans="32:32" x14ac:dyDescent="0.2">
      <c r="AF11960" s="12"/>
    </row>
    <row r="11961" spans="32:32" x14ac:dyDescent="0.2">
      <c r="AF11961" s="12"/>
    </row>
    <row r="11962" spans="32:32" x14ac:dyDescent="0.2">
      <c r="AF11962" s="12"/>
    </row>
    <row r="11963" spans="32:32" x14ac:dyDescent="0.2">
      <c r="AF11963" s="12"/>
    </row>
    <row r="11964" spans="32:32" x14ac:dyDescent="0.2">
      <c r="AF11964" s="12"/>
    </row>
    <row r="11965" spans="32:32" x14ac:dyDescent="0.2">
      <c r="AF11965" s="12"/>
    </row>
    <row r="11966" spans="32:32" x14ac:dyDescent="0.2">
      <c r="AF11966" s="12"/>
    </row>
    <row r="11967" spans="32:32" x14ac:dyDescent="0.2">
      <c r="AF11967" s="12"/>
    </row>
    <row r="11968" spans="32:32" x14ac:dyDescent="0.2">
      <c r="AF11968" s="12"/>
    </row>
    <row r="11969" spans="32:32" x14ac:dyDescent="0.2">
      <c r="AF11969" s="12"/>
    </row>
    <row r="11970" spans="32:32" x14ac:dyDescent="0.2">
      <c r="AF11970" s="12"/>
    </row>
    <row r="11971" spans="32:32" x14ac:dyDescent="0.2">
      <c r="AF11971" s="12"/>
    </row>
    <row r="11972" spans="32:32" x14ac:dyDescent="0.2">
      <c r="AF11972" s="12"/>
    </row>
    <row r="11973" spans="32:32" x14ac:dyDescent="0.2">
      <c r="AF11973" s="12"/>
    </row>
    <row r="11974" spans="32:32" x14ac:dyDescent="0.2">
      <c r="AF11974" s="12"/>
    </row>
    <row r="11975" spans="32:32" x14ac:dyDescent="0.2">
      <c r="AF11975" s="12"/>
    </row>
    <row r="11976" spans="32:32" x14ac:dyDescent="0.2">
      <c r="AF11976" s="12"/>
    </row>
    <row r="11977" spans="32:32" x14ac:dyDescent="0.2">
      <c r="AF11977" s="12"/>
    </row>
    <row r="11978" spans="32:32" x14ac:dyDescent="0.2">
      <c r="AF11978" s="12"/>
    </row>
    <row r="11979" spans="32:32" x14ac:dyDescent="0.2">
      <c r="AF11979" s="12"/>
    </row>
    <row r="11980" spans="32:32" x14ac:dyDescent="0.2">
      <c r="AF11980" s="12"/>
    </row>
    <row r="11981" spans="32:32" x14ac:dyDescent="0.2">
      <c r="AF11981" s="12"/>
    </row>
    <row r="11982" spans="32:32" x14ac:dyDescent="0.2">
      <c r="AF11982" s="12"/>
    </row>
    <row r="11983" spans="32:32" x14ac:dyDescent="0.2">
      <c r="AF11983" s="12"/>
    </row>
    <row r="11984" spans="32:32" x14ac:dyDescent="0.2">
      <c r="AF11984" s="12"/>
    </row>
    <row r="11985" spans="32:32" x14ac:dyDescent="0.2">
      <c r="AF11985" s="12"/>
    </row>
    <row r="11986" spans="32:32" x14ac:dyDescent="0.2">
      <c r="AF11986" s="12"/>
    </row>
    <row r="11987" spans="32:32" x14ac:dyDescent="0.2">
      <c r="AF11987" s="12"/>
    </row>
    <row r="11988" spans="32:32" x14ac:dyDescent="0.2">
      <c r="AF11988" s="12"/>
    </row>
    <row r="11989" spans="32:32" x14ac:dyDescent="0.2">
      <c r="AF11989" s="12"/>
    </row>
    <row r="11990" spans="32:32" x14ac:dyDescent="0.2">
      <c r="AF11990" s="12"/>
    </row>
    <row r="11991" spans="32:32" x14ac:dyDescent="0.2">
      <c r="AF11991" s="12"/>
    </row>
    <row r="11992" spans="32:32" x14ac:dyDescent="0.2">
      <c r="AF11992" s="12"/>
    </row>
    <row r="11993" spans="32:32" x14ac:dyDescent="0.2">
      <c r="AF11993" s="12"/>
    </row>
    <row r="11994" spans="32:32" x14ac:dyDescent="0.2">
      <c r="AF11994" s="12"/>
    </row>
    <row r="11995" spans="32:32" x14ac:dyDescent="0.2">
      <c r="AF11995" s="12"/>
    </row>
    <row r="11996" spans="32:32" x14ac:dyDescent="0.2">
      <c r="AF11996" s="12"/>
    </row>
    <row r="11997" spans="32:32" x14ac:dyDescent="0.2">
      <c r="AF11997" s="12"/>
    </row>
    <row r="11998" spans="32:32" x14ac:dyDescent="0.2">
      <c r="AF11998" s="12"/>
    </row>
    <row r="11999" spans="32:32" x14ac:dyDescent="0.2">
      <c r="AF11999" s="12"/>
    </row>
    <row r="12000" spans="32:32" x14ac:dyDescent="0.2">
      <c r="AF12000" s="12"/>
    </row>
    <row r="12001" spans="32:32" x14ac:dyDescent="0.2">
      <c r="AF12001" s="12"/>
    </row>
    <row r="12002" spans="32:32" x14ac:dyDescent="0.2">
      <c r="AF12002" s="12"/>
    </row>
    <row r="12003" spans="32:32" x14ac:dyDescent="0.2">
      <c r="AF12003" s="12"/>
    </row>
    <row r="12004" spans="32:32" x14ac:dyDescent="0.2">
      <c r="AF12004" s="12"/>
    </row>
    <row r="12005" spans="32:32" x14ac:dyDescent="0.2">
      <c r="AF12005" s="12"/>
    </row>
    <row r="12006" spans="32:32" x14ac:dyDescent="0.2">
      <c r="AF12006" s="12"/>
    </row>
    <row r="12007" spans="32:32" x14ac:dyDescent="0.2">
      <c r="AF12007" s="12"/>
    </row>
    <row r="12008" spans="32:32" x14ac:dyDescent="0.2">
      <c r="AF12008" s="12"/>
    </row>
    <row r="12009" spans="32:32" x14ac:dyDescent="0.2">
      <c r="AF12009" s="12"/>
    </row>
    <row r="12010" spans="32:32" x14ac:dyDescent="0.2">
      <c r="AF12010" s="12"/>
    </row>
    <row r="12011" spans="32:32" x14ac:dyDescent="0.2">
      <c r="AF12011" s="12"/>
    </row>
    <row r="12012" spans="32:32" x14ac:dyDescent="0.2">
      <c r="AF12012" s="12"/>
    </row>
    <row r="12013" spans="32:32" x14ac:dyDescent="0.2">
      <c r="AF12013" s="12"/>
    </row>
    <row r="12014" spans="32:32" x14ac:dyDescent="0.2">
      <c r="AF12014" s="12"/>
    </row>
    <row r="12015" spans="32:32" x14ac:dyDescent="0.2">
      <c r="AF12015" s="12"/>
    </row>
    <row r="12016" spans="32:32" x14ac:dyDescent="0.2">
      <c r="AF12016" s="12"/>
    </row>
    <row r="12017" spans="32:32" x14ac:dyDescent="0.2">
      <c r="AF12017" s="12"/>
    </row>
    <row r="12018" spans="32:32" x14ac:dyDescent="0.2">
      <c r="AF12018" s="12"/>
    </row>
    <row r="12019" spans="32:32" x14ac:dyDescent="0.2">
      <c r="AF12019" s="12"/>
    </row>
    <row r="12020" spans="32:32" x14ac:dyDescent="0.2">
      <c r="AF12020" s="12"/>
    </row>
    <row r="12021" spans="32:32" x14ac:dyDescent="0.2">
      <c r="AF12021" s="12"/>
    </row>
    <row r="12022" spans="32:32" x14ac:dyDescent="0.2">
      <c r="AF12022" s="12"/>
    </row>
    <row r="12023" spans="32:32" x14ac:dyDescent="0.2">
      <c r="AF12023" s="12"/>
    </row>
    <row r="12024" spans="32:32" x14ac:dyDescent="0.2">
      <c r="AF12024" s="12"/>
    </row>
    <row r="12025" spans="32:32" x14ac:dyDescent="0.2">
      <c r="AF12025" s="12"/>
    </row>
    <row r="12026" spans="32:32" x14ac:dyDescent="0.2">
      <c r="AF12026" s="12"/>
    </row>
    <row r="12027" spans="32:32" x14ac:dyDescent="0.2">
      <c r="AF12027" s="12"/>
    </row>
    <row r="12028" spans="32:32" x14ac:dyDescent="0.2">
      <c r="AF12028" s="12"/>
    </row>
    <row r="12029" spans="32:32" x14ac:dyDescent="0.2">
      <c r="AF12029" s="12"/>
    </row>
    <row r="12030" spans="32:32" x14ac:dyDescent="0.2">
      <c r="AF12030" s="12"/>
    </row>
    <row r="12031" spans="32:32" x14ac:dyDescent="0.2">
      <c r="AF12031" s="12"/>
    </row>
    <row r="12032" spans="32:32" x14ac:dyDescent="0.2">
      <c r="AF12032" s="12"/>
    </row>
    <row r="12033" spans="32:32" x14ac:dyDescent="0.2">
      <c r="AF12033" s="12"/>
    </row>
    <row r="12034" spans="32:32" x14ac:dyDescent="0.2">
      <c r="AF12034" s="12"/>
    </row>
    <row r="12035" spans="32:32" x14ac:dyDescent="0.2">
      <c r="AF12035" s="12"/>
    </row>
    <row r="12036" spans="32:32" x14ac:dyDescent="0.2">
      <c r="AF12036" s="12"/>
    </row>
    <row r="12037" spans="32:32" x14ac:dyDescent="0.2">
      <c r="AF12037" s="12"/>
    </row>
    <row r="12038" spans="32:32" x14ac:dyDescent="0.2">
      <c r="AF12038" s="12"/>
    </row>
    <row r="12039" spans="32:32" x14ac:dyDescent="0.2">
      <c r="AF12039" s="12"/>
    </row>
    <row r="12040" spans="32:32" x14ac:dyDescent="0.2">
      <c r="AF12040" s="12"/>
    </row>
    <row r="12041" spans="32:32" x14ac:dyDescent="0.2">
      <c r="AF12041" s="12"/>
    </row>
    <row r="12042" spans="32:32" x14ac:dyDescent="0.2">
      <c r="AF12042" s="12"/>
    </row>
    <row r="12043" spans="32:32" x14ac:dyDescent="0.2">
      <c r="AF12043" s="12"/>
    </row>
    <row r="12044" spans="32:32" x14ac:dyDescent="0.2">
      <c r="AF12044" s="12"/>
    </row>
    <row r="12045" spans="32:32" x14ac:dyDescent="0.2">
      <c r="AF12045" s="12"/>
    </row>
    <row r="12046" spans="32:32" x14ac:dyDescent="0.2">
      <c r="AF12046" s="12"/>
    </row>
    <row r="12047" spans="32:32" x14ac:dyDescent="0.2">
      <c r="AF12047" s="12"/>
    </row>
    <row r="12048" spans="32:32" x14ac:dyDescent="0.2">
      <c r="AF12048" s="12"/>
    </row>
    <row r="12049" spans="32:32" x14ac:dyDescent="0.2">
      <c r="AF12049" s="12"/>
    </row>
    <row r="12050" spans="32:32" x14ac:dyDescent="0.2">
      <c r="AF12050" s="12"/>
    </row>
    <row r="12051" spans="32:32" x14ac:dyDescent="0.2">
      <c r="AF12051" s="12"/>
    </row>
    <row r="12052" spans="32:32" x14ac:dyDescent="0.2">
      <c r="AF12052" s="12"/>
    </row>
    <row r="12053" spans="32:32" x14ac:dyDescent="0.2">
      <c r="AF12053" s="12"/>
    </row>
    <row r="12054" spans="32:32" x14ac:dyDescent="0.2">
      <c r="AF12054" s="12"/>
    </row>
    <row r="12055" spans="32:32" x14ac:dyDescent="0.2">
      <c r="AF12055" s="12"/>
    </row>
    <row r="12056" spans="32:32" x14ac:dyDescent="0.2">
      <c r="AF12056" s="12"/>
    </row>
    <row r="12057" spans="32:32" x14ac:dyDescent="0.2">
      <c r="AF12057" s="12"/>
    </row>
    <row r="12058" spans="32:32" x14ac:dyDescent="0.2">
      <c r="AF12058" s="12"/>
    </row>
    <row r="12059" spans="32:32" x14ac:dyDescent="0.2">
      <c r="AF12059" s="12"/>
    </row>
    <row r="12060" spans="32:32" x14ac:dyDescent="0.2">
      <c r="AF12060" s="12"/>
    </row>
    <row r="12061" spans="32:32" x14ac:dyDescent="0.2">
      <c r="AF12061" s="12"/>
    </row>
    <row r="12062" spans="32:32" x14ac:dyDescent="0.2">
      <c r="AF12062" s="12"/>
    </row>
    <row r="12063" spans="32:32" x14ac:dyDescent="0.2">
      <c r="AF12063" s="12"/>
    </row>
    <row r="12064" spans="32:32" x14ac:dyDescent="0.2">
      <c r="AF12064" s="12"/>
    </row>
    <row r="12065" spans="32:32" x14ac:dyDescent="0.2">
      <c r="AF12065" s="12"/>
    </row>
    <row r="12066" spans="32:32" x14ac:dyDescent="0.2">
      <c r="AF12066" s="12"/>
    </row>
    <row r="12067" spans="32:32" x14ac:dyDescent="0.2">
      <c r="AF12067" s="12"/>
    </row>
    <row r="12068" spans="32:32" x14ac:dyDescent="0.2">
      <c r="AF12068" s="12"/>
    </row>
    <row r="12069" spans="32:32" x14ac:dyDescent="0.2">
      <c r="AF12069" s="12"/>
    </row>
    <row r="12070" spans="32:32" x14ac:dyDescent="0.2">
      <c r="AF12070" s="12"/>
    </row>
    <row r="12071" spans="32:32" x14ac:dyDescent="0.2">
      <c r="AF12071" s="12"/>
    </row>
    <row r="12072" spans="32:32" x14ac:dyDescent="0.2">
      <c r="AF12072" s="12"/>
    </row>
    <row r="12073" spans="32:32" x14ac:dyDescent="0.2">
      <c r="AF12073" s="12"/>
    </row>
    <row r="12074" spans="32:32" x14ac:dyDescent="0.2">
      <c r="AF12074" s="12"/>
    </row>
    <row r="12075" spans="32:32" x14ac:dyDescent="0.2">
      <c r="AF12075" s="12"/>
    </row>
    <row r="12076" spans="32:32" x14ac:dyDescent="0.2">
      <c r="AF12076" s="12"/>
    </row>
    <row r="12077" spans="32:32" x14ac:dyDescent="0.2">
      <c r="AF12077" s="12"/>
    </row>
    <row r="12078" spans="32:32" x14ac:dyDescent="0.2">
      <c r="AF12078" s="12"/>
    </row>
    <row r="12079" spans="32:32" x14ac:dyDescent="0.2">
      <c r="AF12079" s="12"/>
    </row>
    <row r="12080" spans="32:32" x14ac:dyDescent="0.2">
      <c r="AF12080" s="12"/>
    </row>
    <row r="12081" spans="32:32" x14ac:dyDescent="0.2">
      <c r="AF12081" s="12"/>
    </row>
    <row r="12082" spans="32:32" x14ac:dyDescent="0.2">
      <c r="AF12082" s="12"/>
    </row>
    <row r="12083" spans="32:32" x14ac:dyDescent="0.2">
      <c r="AF12083" s="12"/>
    </row>
    <row r="12084" spans="32:32" x14ac:dyDescent="0.2">
      <c r="AF12084" s="12"/>
    </row>
    <row r="12085" spans="32:32" x14ac:dyDescent="0.2">
      <c r="AF12085" s="12"/>
    </row>
    <row r="12086" spans="32:32" x14ac:dyDescent="0.2">
      <c r="AF12086" s="12"/>
    </row>
    <row r="12087" spans="32:32" x14ac:dyDescent="0.2">
      <c r="AF12087" s="12"/>
    </row>
    <row r="12088" spans="32:32" x14ac:dyDescent="0.2">
      <c r="AF12088" s="12"/>
    </row>
    <row r="12089" spans="32:32" x14ac:dyDescent="0.2">
      <c r="AF12089" s="12"/>
    </row>
    <row r="12090" spans="32:32" x14ac:dyDescent="0.2">
      <c r="AF12090" s="12"/>
    </row>
    <row r="12091" spans="32:32" x14ac:dyDescent="0.2">
      <c r="AF12091" s="12"/>
    </row>
    <row r="12092" spans="32:32" x14ac:dyDescent="0.2">
      <c r="AF12092" s="12"/>
    </row>
    <row r="12093" spans="32:32" x14ac:dyDescent="0.2">
      <c r="AF12093" s="12"/>
    </row>
    <row r="12094" spans="32:32" x14ac:dyDescent="0.2">
      <c r="AF12094" s="12"/>
    </row>
    <row r="12095" spans="32:32" x14ac:dyDescent="0.2">
      <c r="AF12095" s="12"/>
    </row>
    <row r="12096" spans="32:32" x14ac:dyDescent="0.2">
      <c r="AF12096" s="12"/>
    </row>
    <row r="12097" spans="32:32" x14ac:dyDescent="0.2">
      <c r="AF12097" s="12"/>
    </row>
    <row r="12098" spans="32:32" x14ac:dyDescent="0.2">
      <c r="AF12098" s="12"/>
    </row>
    <row r="12099" spans="32:32" x14ac:dyDescent="0.2">
      <c r="AF12099" s="12"/>
    </row>
    <row r="12100" spans="32:32" x14ac:dyDescent="0.2">
      <c r="AF12100" s="12"/>
    </row>
    <row r="12101" spans="32:32" x14ac:dyDescent="0.2">
      <c r="AF12101" s="12"/>
    </row>
    <row r="12102" spans="32:32" x14ac:dyDescent="0.2">
      <c r="AF12102" s="12"/>
    </row>
    <row r="12103" spans="32:32" x14ac:dyDescent="0.2">
      <c r="AF12103" s="12"/>
    </row>
    <row r="12104" spans="32:32" x14ac:dyDescent="0.2">
      <c r="AF12104" s="12"/>
    </row>
    <row r="12105" spans="32:32" x14ac:dyDescent="0.2">
      <c r="AF12105" s="12"/>
    </row>
    <row r="12106" spans="32:32" x14ac:dyDescent="0.2">
      <c r="AF12106" s="12"/>
    </row>
    <row r="12107" spans="32:32" x14ac:dyDescent="0.2">
      <c r="AF12107" s="12"/>
    </row>
    <row r="12108" spans="32:32" x14ac:dyDescent="0.2">
      <c r="AF12108" s="12"/>
    </row>
    <row r="12109" spans="32:32" x14ac:dyDescent="0.2">
      <c r="AF12109" s="12"/>
    </row>
    <row r="12110" spans="32:32" x14ac:dyDescent="0.2">
      <c r="AF12110" s="12"/>
    </row>
    <row r="12111" spans="32:32" x14ac:dyDescent="0.2">
      <c r="AF12111" s="12"/>
    </row>
    <row r="12112" spans="32:32" x14ac:dyDescent="0.2">
      <c r="AF12112" s="12"/>
    </row>
    <row r="12113" spans="32:32" x14ac:dyDescent="0.2">
      <c r="AF12113" s="12"/>
    </row>
    <row r="12114" spans="32:32" x14ac:dyDescent="0.2">
      <c r="AF12114" s="12"/>
    </row>
    <row r="12115" spans="32:32" x14ac:dyDescent="0.2">
      <c r="AF12115" s="12"/>
    </row>
    <row r="12116" spans="32:32" x14ac:dyDescent="0.2">
      <c r="AF12116" s="12"/>
    </row>
    <row r="12117" spans="32:32" x14ac:dyDescent="0.2">
      <c r="AF12117" s="12"/>
    </row>
    <row r="12118" spans="32:32" x14ac:dyDescent="0.2">
      <c r="AF12118" s="12"/>
    </row>
    <row r="12119" spans="32:32" x14ac:dyDescent="0.2">
      <c r="AF12119" s="12"/>
    </row>
    <row r="12120" spans="32:32" x14ac:dyDescent="0.2">
      <c r="AF12120" s="12"/>
    </row>
    <row r="12121" spans="32:32" x14ac:dyDescent="0.2">
      <c r="AF12121" s="12"/>
    </row>
    <row r="12122" spans="32:32" x14ac:dyDescent="0.2">
      <c r="AF12122" s="12"/>
    </row>
    <row r="12123" spans="32:32" x14ac:dyDescent="0.2">
      <c r="AF12123" s="12"/>
    </row>
    <row r="12124" spans="32:32" x14ac:dyDescent="0.2">
      <c r="AF12124" s="12"/>
    </row>
    <row r="12125" spans="32:32" x14ac:dyDescent="0.2">
      <c r="AF12125" s="12"/>
    </row>
    <row r="12126" spans="32:32" x14ac:dyDescent="0.2">
      <c r="AF12126" s="12"/>
    </row>
    <row r="12127" spans="32:32" x14ac:dyDescent="0.2">
      <c r="AF12127" s="12"/>
    </row>
    <row r="12128" spans="32:32" x14ac:dyDescent="0.2">
      <c r="AF12128" s="12"/>
    </row>
    <row r="12129" spans="32:32" x14ac:dyDescent="0.2">
      <c r="AF12129" s="12"/>
    </row>
    <row r="12130" spans="32:32" x14ac:dyDescent="0.2">
      <c r="AF12130" s="12"/>
    </row>
    <row r="12131" spans="32:32" x14ac:dyDescent="0.2">
      <c r="AF12131" s="12"/>
    </row>
    <row r="12132" spans="32:32" x14ac:dyDescent="0.2">
      <c r="AF12132" s="12"/>
    </row>
    <row r="12133" spans="32:32" x14ac:dyDescent="0.2">
      <c r="AF12133" s="12"/>
    </row>
    <row r="12134" spans="32:32" x14ac:dyDescent="0.2">
      <c r="AF12134" s="12"/>
    </row>
    <row r="12135" spans="32:32" x14ac:dyDescent="0.2">
      <c r="AF12135" s="12"/>
    </row>
    <row r="12136" spans="32:32" x14ac:dyDescent="0.2">
      <c r="AF12136" s="12"/>
    </row>
    <row r="12137" spans="32:32" x14ac:dyDescent="0.2">
      <c r="AF12137" s="12"/>
    </row>
    <row r="12138" spans="32:32" x14ac:dyDescent="0.2">
      <c r="AF12138" s="12"/>
    </row>
    <row r="12139" spans="32:32" x14ac:dyDescent="0.2">
      <c r="AF12139" s="12"/>
    </row>
    <row r="12140" spans="32:32" x14ac:dyDescent="0.2">
      <c r="AF12140" s="12"/>
    </row>
    <row r="12141" spans="32:32" x14ac:dyDescent="0.2">
      <c r="AF12141" s="12"/>
    </row>
    <row r="12142" spans="32:32" x14ac:dyDescent="0.2">
      <c r="AF12142" s="12"/>
    </row>
    <row r="12143" spans="32:32" x14ac:dyDescent="0.2">
      <c r="AF12143" s="12"/>
    </row>
    <row r="12144" spans="32:32" x14ac:dyDescent="0.2">
      <c r="AF12144" s="12"/>
    </row>
    <row r="12145" spans="32:32" x14ac:dyDescent="0.2">
      <c r="AF12145" s="12"/>
    </row>
    <row r="12146" spans="32:32" x14ac:dyDescent="0.2">
      <c r="AF12146" s="12"/>
    </row>
    <row r="12147" spans="32:32" x14ac:dyDescent="0.2">
      <c r="AF12147" s="12"/>
    </row>
    <row r="12148" spans="32:32" x14ac:dyDescent="0.2">
      <c r="AF12148" s="12"/>
    </row>
    <row r="12149" spans="32:32" x14ac:dyDescent="0.2">
      <c r="AF12149" s="12"/>
    </row>
    <row r="12150" spans="32:32" x14ac:dyDescent="0.2">
      <c r="AF12150" s="12"/>
    </row>
    <row r="12151" spans="32:32" x14ac:dyDescent="0.2">
      <c r="AF12151" s="12"/>
    </row>
    <row r="12152" spans="32:32" x14ac:dyDescent="0.2">
      <c r="AF12152" s="12"/>
    </row>
    <row r="12153" spans="32:32" x14ac:dyDescent="0.2">
      <c r="AF12153" s="12"/>
    </row>
    <row r="12154" spans="32:32" x14ac:dyDescent="0.2">
      <c r="AF12154" s="12"/>
    </row>
    <row r="12155" spans="32:32" x14ac:dyDescent="0.2">
      <c r="AF12155" s="12"/>
    </row>
    <row r="12156" spans="32:32" x14ac:dyDescent="0.2">
      <c r="AF12156" s="12"/>
    </row>
    <row r="12157" spans="32:32" x14ac:dyDescent="0.2">
      <c r="AF12157" s="12"/>
    </row>
    <row r="12158" spans="32:32" x14ac:dyDescent="0.2">
      <c r="AF12158" s="12"/>
    </row>
    <row r="12159" spans="32:32" x14ac:dyDescent="0.2">
      <c r="AF12159" s="12"/>
    </row>
    <row r="12160" spans="32:32" x14ac:dyDescent="0.2">
      <c r="AF12160" s="12"/>
    </row>
    <row r="12161" spans="32:32" x14ac:dyDescent="0.2">
      <c r="AF12161" s="12"/>
    </row>
    <row r="12162" spans="32:32" x14ac:dyDescent="0.2">
      <c r="AF12162" s="12"/>
    </row>
    <row r="12163" spans="32:32" x14ac:dyDescent="0.2">
      <c r="AF12163" s="12"/>
    </row>
    <row r="12164" spans="32:32" x14ac:dyDescent="0.2">
      <c r="AF12164" s="12"/>
    </row>
    <row r="12165" spans="32:32" x14ac:dyDescent="0.2">
      <c r="AF12165" s="12"/>
    </row>
    <row r="12166" spans="32:32" x14ac:dyDescent="0.2">
      <c r="AF12166" s="12"/>
    </row>
    <row r="12167" spans="32:32" x14ac:dyDescent="0.2">
      <c r="AF12167" s="12"/>
    </row>
    <row r="12168" spans="32:32" x14ac:dyDescent="0.2">
      <c r="AF12168" s="12"/>
    </row>
    <row r="12169" spans="32:32" x14ac:dyDescent="0.2">
      <c r="AF12169" s="12"/>
    </row>
    <row r="12170" spans="32:32" x14ac:dyDescent="0.2">
      <c r="AF12170" s="12"/>
    </row>
    <row r="12171" spans="32:32" x14ac:dyDescent="0.2">
      <c r="AF12171" s="12"/>
    </row>
    <row r="12172" spans="32:32" x14ac:dyDescent="0.2">
      <c r="AF12172" s="12"/>
    </row>
    <row r="12173" spans="32:32" x14ac:dyDescent="0.2">
      <c r="AF12173" s="12"/>
    </row>
    <row r="12174" spans="32:32" x14ac:dyDescent="0.2">
      <c r="AF12174" s="12"/>
    </row>
    <row r="12175" spans="32:32" x14ac:dyDescent="0.2">
      <c r="AF12175" s="12"/>
    </row>
    <row r="12176" spans="32:32" x14ac:dyDescent="0.2">
      <c r="AF12176" s="12"/>
    </row>
    <row r="12177" spans="32:32" x14ac:dyDescent="0.2">
      <c r="AF12177" s="12"/>
    </row>
    <row r="12178" spans="32:32" x14ac:dyDescent="0.2">
      <c r="AF12178" s="12"/>
    </row>
    <row r="12179" spans="32:32" x14ac:dyDescent="0.2">
      <c r="AF12179" s="12"/>
    </row>
    <row r="12180" spans="32:32" x14ac:dyDescent="0.2">
      <c r="AF12180" s="12"/>
    </row>
    <row r="12181" spans="32:32" x14ac:dyDescent="0.2">
      <c r="AF12181" s="12"/>
    </row>
    <row r="12182" spans="32:32" x14ac:dyDescent="0.2">
      <c r="AF12182" s="12"/>
    </row>
    <row r="12183" spans="32:32" x14ac:dyDescent="0.2">
      <c r="AF12183" s="12"/>
    </row>
    <row r="12184" spans="32:32" x14ac:dyDescent="0.2">
      <c r="AF12184" s="12"/>
    </row>
    <row r="12185" spans="32:32" x14ac:dyDescent="0.2">
      <c r="AF12185" s="12"/>
    </row>
    <row r="12186" spans="32:32" x14ac:dyDescent="0.2">
      <c r="AF12186" s="12"/>
    </row>
    <row r="12187" spans="32:32" x14ac:dyDescent="0.2">
      <c r="AF12187" s="12"/>
    </row>
    <row r="12188" spans="32:32" x14ac:dyDescent="0.2">
      <c r="AF12188" s="12"/>
    </row>
    <row r="12189" spans="32:32" x14ac:dyDescent="0.2">
      <c r="AF12189" s="12"/>
    </row>
    <row r="12190" spans="32:32" x14ac:dyDescent="0.2">
      <c r="AF12190" s="12"/>
    </row>
    <row r="12191" spans="32:32" x14ac:dyDescent="0.2">
      <c r="AF12191" s="12"/>
    </row>
    <row r="12192" spans="32:32" x14ac:dyDescent="0.2">
      <c r="AF12192" s="12"/>
    </row>
    <row r="12193" spans="32:32" x14ac:dyDescent="0.2">
      <c r="AF12193" s="12"/>
    </row>
    <row r="12194" spans="32:32" x14ac:dyDescent="0.2">
      <c r="AF12194" s="12"/>
    </row>
    <row r="12195" spans="32:32" x14ac:dyDescent="0.2">
      <c r="AF12195" s="12"/>
    </row>
    <row r="12196" spans="32:32" x14ac:dyDescent="0.2">
      <c r="AF12196" s="12"/>
    </row>
    <row r="12197" spans="32:32" x14ac:dyDescent="0.2">
      <c r="AF12197" s="12"/>
    </row>
    <row r="12198" spans="32:32" x14ac:dyDescent="0.2">
      <c r="AF12198" s="12"/>
    </row>
    <row r="12199" spans="32:32" x14ac:dyDescent="0.2">
      <c r="AF12199" s="12"/>
    </row>
    <row r="12200" spans="32:32" x14ac:dyDescent="0.2">
      <c r="AF12200" s="12"/>
    </row>
    <row r="12201" spans="32:32" x14ac:dyDescent="0.2">
      <c r="AF12201" s="12"/>
    </row>
    <row r="12202" spans="32:32" x14ac:dyDescent="0.2">
      <c r="AF12202" s="12"/>
    </row>
    <row r="12203" spans="32:32" x14ac:dyDescent="0.2">
      <c r="AF12203" s="12"/>
    </row>
    <row r="12204" spans="32:32" x14ac:dyDescent="0.2">
      <c r="AF12204" s="12"/>
    </row>
    <row r="12205" spans="32:32" x14ac:dyDescent="0.2">
      <c r="AF12205" s="12"/>
    </row>
    <row r="12206" spans="32:32" x14ac:dyDescent="0.2">
      <c r="AF12206" s="12"/>
    </row>
    <row r="12207" spans="32:32" x14ac:dyDescent="0.2">
      <c r="AF12207" s="12"/>
    </row>
    <row r="12208" spans="32:32" x14ac:dyDescent="0.2">
      <c r="AF12208" s="12"/>
    </row>
    <row r="12209" spans="32:32" x14ac:dyDescent="0.2">
      <c r="AF12209" s="12"/>
    </row>
    <row r="12210" spans="32:32" x14ac:dyDescent="0.2">
      <c r="AF12210" s="12"/>
    </row>
    <row r="12211" spans="32:32" x14ac:dyDescent="0.2">
      <c r="AF12211" s="12"/>
    </row>
    <row r="12212" spans="32:32" x14ac:dyDescent="0.2">
      <c r="AF12212" s="12"/>
    </row>
    <row r="12213" spans="32:32" x14ac:dyDescent="0.2">
      <c r="AF12213" s="12"/>
    </row>
    <row r="12214" spans="32:32" x14ac:dyDescent="0.2">
      <c r="AF12214" s="12"/>
    </row>
    <row r="12215" spans="32:32" x14ac:dyDescent="0.2">
      <c r="AF12215" s="12"/>
    </row>
    <row r="12216" spans="32:32" x14ac:dyDescent="0.2">
      <c r="AF12216" s="12"/>
    </row>
    <row r="12217" spans="32:32" x14ac:dyDescent="0.2">
      <c r="AF12217" s="12"/>
    </row>
    <row r="12218" spans="32:32" x14ac:dyDescent="0.2">
      <c r="AF12218" s="12"/>
    </row>
    <row r="12219" spans="32:32" x14ac:dyDescent="0.2">
      <c r="AF12219" s="12"/>
    </row>
    <row r="12220" spans="32:32" x14ac:dyDescent="0.2">
      <c r="AF12220" s="12"/>
    </row>
    <row r="12221" spans="32:32" x14ac:dyDescent="0.2">
      <c r="AF12221" s="12"/>
    </row>
    <row r="12222" spans="32:32" x14ac:dyDescent="0.2">
      <c r="AF12222" s="12"/>
    </row>
    <row r="12223" spans="32:32" x14ac:dyDescent="0.2">
      <c r="AF12223" s="12"/>
    </row>
    <row r="12224" spans="32:32" x14ac:dyDescent="0.2">
      <c r="AF12224" s="12"/>
    </row>
    <row r="12225" spans="32:32" x14ac:dyDescent="0.2">
      <c r="AF12225" s="12"/>
    </row>
    <row r="12226" spans="32:32" x14ac:dyDescent="0.2">
      <c r="AF12226" s="12"/>
    </row>
    <row r="12227" spans="32:32" x14ac:dyDescent="0.2">
      <c r="AF12227" s="12"/>
    </row>
    <row r="12228" spans="32:32" x14ac:dyDescent="0.2">
      <c r="AF12228" s="12"/>
    </row>
    <row r="12229" spans="32:32" x14ac:dyDescent="0.2">
      <c r="AF12229" s="12"/>
    </row>
    <row r="12230" spans="32:32" x14ac:dyDescent="0.2">
      <c r="AF12230" s="12"/>
    </row>
    <row r="12231" spans="32:32" x14ac:dyDescent="0.2">
      <c r="AF12231" s="12"/>
    </row>
    <row r="12232" spans="32:32" x14ac:dyDescent="0.2">
      <c r="AF12232" s="12"/>
    </row>
    <row r="12233" spans="32:32" x14ac:dyDescent="0.2">
      <c r="AF12233" s="12"/>
    </row>
    <row r="12234" spans="32:32" x14ac:dyDescent="0.2">
      <c r="AF12234" s="12"/>
    </row>
    <row r="12235" spans="32:32" x14ac:dyDescent="0.2">
      <c r="AF12235" s="12"/>
    </row>
    <row r="12236" spans="32:32" x14ac:dyDescent="0.2">
      <c r="AF12236" s="12"/>
    </row>
    <row r="12237" spans="32:32" x14ac:dyDescent="0.2">
      <c r="AF12237" s="12"/>
    </row>
    <row r="12238" spans="32:32" x14ac:dyDescent="0.2">
      <c r="AF12238" s="12"/>
    </row>
    <row r="12239" spans="32:32" x14ac:dyDescent="0.2">
      <c r="AF12239" s="12"/>
    </row>
    <row r="12240" spans="32:32" x14ac:dyDescent="0.2">
      <c r="AF12240" s="12"/>
    </row>
    <row r="12241" spans="32:32" x14ac:dyDescent="0.2">
      <c r="AF12241" s="12"/>
    </row>
    <row r="12242" spans="32:32" x14ac:dyDescent="0.2">
      <c r="AF12242" s="12"/>
    </row>
    <row r="12243" spans="32:32" x14ac:dyDescent="0.2">
      <c r="AF12243" s="12"/>
    </row>
    <row r="12244" spans="32:32" x14ac:dyDescent="0.2">
      <c r="AF12244" s="12"/>
    </row>
    <row r="12245" spans="32:32" x14ac:dyDescent="0.2">
      <c r="AF12245" s="12"/>
    </row>
    <row r="12246" spans="32:32" x14ac:dyDescent="0.2">
      <c r="AF12246" s="12"/>
    </row>
    <row r="12247" spans="32:32" x14ac:dyDescent="0.2">
      <c r="AF12247" s="12"/>
    </row>
    <row r="12248" spans="32:32" x14ac:dyDescent="0.2">
      <c r="AF12248" s="12"/>
    </row>
    <row r="12249" spans="32:32" x14ac:dyDescent="0.2">
      <c r="AF12249" s="12"/>
    </row>
    <row r="12250" spans="32:32" x14ac:dyDescent="0.2">
      <c r="AF12250" s="12"/>
    </row>
    <row r="12251" spans="32:32" x14ac:dyDescent="0.2">
      <c r="AF12251" s="12"/>
    </row>
    <row r="12252" spans="32:32" x14ac:dyDescent="0.2">
      <c r="AF12252" s="12"/>
    </row>
    <row r="12253" spans="32:32" x14ac:dyDescent="0.2">
      <c r="AF12253" s="12"/>
    </row>
    <row r="12254" spans="32:32" x14ac:dyDescent="0.2">
      <c r="AF12254" s="12"/>
    </row>
    <row r="12255" spans="32:32" x14ac:dyDescent="0.2">
      <c r="AF12255" s="12"/>
    </row>
    <row r="12256" spans="32:32" x14ac:dyDescent="0.2">
      <c r="AF12256" s="12"/>
    </row>
    <row r="12257" spans="32:32" x14ac:dyDescent="0.2">
      <c r="AF12257" s="12"/>
    </row>
    <row r="12258" spans="32:32" x14ac:dyDescent="0.2">
      <c r="AF12258" s="12"/>
    </row>
    <row r="12259" spans="32:32" x14ac:dyDescent="0.2">
      <c r="AF12259" s="12"/>
    </row>
    <row r="12260" spans="32:32" x14ac:dyDescent="0.2">
      <c r="AF12260" s="12"/>
    </row>
    <row r="12261" spans="32:32" x14ac:dyDescent="0.2">
      <c r="AF12261" s="12"/>
    </row>
    <row r="12262" spans="32:32" x14ac:dyDescent="0.2">
      <c r="AF12262" s="12"/>
    </row>
    <row r="12263" spans="32:32" x14ac:dyDescent="0.2">
      <c r="AF12263" s="12"/>
    </row>
    <row r="12264" spans="32:32" x14ac:dyDescent="0.2">
      <c r="AF12264" s="12"/>
    </row>
    <row r="12265" spans="32:32" x14ac:dyDescent="0.2">
      <c r="AF12265" s="12"/>
    </row>
    <row r="12266" spans="32:32" x14ac:dyDescent="0.2">
      <c r="AF12266" s="12"/>
    </row>
    <row r="12267" spans="32:32" x14ac:dyDescent="0.2">
      <c r="AF12267" s="12"/>
    </row>
    <row r="12268" spans="32:32" x14ac:dyDescent="0.2">
      <c r="AF12268" s="12"/>
    </row>
    <row r="12269" spans="32:32" x14ac:dyDescent="0.2">
      <c r="AF12269" s="12"/>
    </row>
    <row r="12270" spans="32:32" x14ac:dyDescent="0.2">
      <c r="AF12270" s="12"/>
    </row>
    <row r="12271" spans="32:32" x14ac:dyDescent="0.2">
      <c r="AF12271" s="12"/>
    </row>
    <row r="12272" spans="32:32" x14ac:dyDescent="0.2">
      <c r="AF12272" s="12"/>
    </row>
    <row r="12273" spans="32:32" x14ac:dyDescent="0.2">
      <c r="AF12273" s="12"/>
    </row>
    <row r="12274" spans="32:32" x14ac:dyDescent="0.2">
      <c r="AF12274" s="12"/>
    </row>
    <row r="12275" spans="32:32" x14ac:dyDescent="0.2">
      <c r="AF12275" s="12"/>
    </row>
    <row r="12276" spans="32:32" x14ac:dyDescent="0.2">
      <c r="AF12276" s="12"/>
    </row>
    <row r="12277" spans="32:32" x14ac:dyDescent="0.2">
      <c r="AF12277" s="12"/>
    </row>
    <row r="12278" spans="32:32" x14ac:dyDescent="0.2">
      <c r="AF12278" s="12"/>
    </row>
    <row r="12279" spans="32:32" x14ac:dyDescent="0.2">
      <c r="AF12279" s="12"/>
    </row>
    <row r="12280" spans="32:32" x14ac:dyDescent="0.2">
      <c r="AF12280" s="12"/>
    </row>
    <row r="12281" spans="32:32" x14ac:dyDescent="0.2">
      <c r="AF12281" s="12"/>
    </row>
    <row r="12282" spans="32:32" x14ac:dyDescent="0.2">
      <c r="AF12282" s="12"/>
    </row>
    <row r="12283" spans="32:32" x14ac:dyDescent="0.2">
      <c r="AF12283" s="12"/>
    </row>
    <row r="12284" spans="32:32" x14ac:dyDescent="0.2">
      <c r="AF12284" s="12"/>
    </row>
    <row r="12285" spans="32:32" x14ac:dyDescent="0.2">
      <c r="AF12285" s="12"/>
    </row>
    <row r="12286" spans="32:32" x14ac:dyDescent="0.2">
      <c r="AF12286" s="12"/>
    </row>
    <row r="12287" spans="32:32" x14ac:dyDescent="0.2">
      <c r="AF12287" s="12"/>
    </row>
    <row r="12288" spans="32:32" x14ac:dyDescent="0.2">
      <c r="AF12288" s="12"/>
    </row>
    <row r="12289" spans="32:32" x14ac:dyDescent="0.2">
      <c r="AF12289" s="12"/>
    </row>
    <row r="12290" spans="32:32" x14ac:dyDescent="0.2">
      <c r="AF12290" s="12"/>
    </row>
    <row r="12291" spans="32:32" x14ac:dyDescent="0.2">
      <c r="AF12291" s="12"/>
    </row>
    <row r="12292" spans="32:32" x14ac:dyDescent="0.2">
      <c r="AF12292" s="12"/>
    </row>
    <row r="12293" spans="32:32" x14ac:dyDescent="0.2">
      <c r="AF12293" s="12"/>
    </row>
    <row r="12294" spans="32:32" x14ac:dyDescent="0.2">
      <c r="AF12294" s="12"/>
    </row>
    <row r="12295" spans="32:32" x14ac:dyDescent="0.2">
      <c r="AF12295" s="12"/>
    </row>
    <row r="12296" spans="32:32" x14ac:dyDescent="0.2">
      <c r="AF12296" s="12"/>
    </row>
    <row r="12297" spans="32:32" x14ac:dyDescent="0.2">
      <c r="AF12297" s="12"/>
    </row>
    <row r="12298" spans="32:32" x14ac:dyDescent="0.2">
      <c r="AF12298" s="12"/>
    </row>
    <row r="12299" spans="32:32" x14ac:dyDescent="0.2">
      <c r="AF12299" s="12"/>
    </row>
    <row r="12300" spans="32:32" x14ac:dyDescent="0.2">
      <c r="AF12300" s="12"/>
    </row>
    <row r="12301" spans="32:32" x14ac:dyDescent="0.2">
      <c r="AF12301" s="12"/>
    </row>
    <row r="12302" spans="32:32" x14ac:dyDescent="0.2">
      <c r="AF12302" s="12"/>
    </row>
    <row r="12303" spans="32:32" x14ac:dyDescent="0.2">
      <c r="AF12303" s="12"/>
    </row>
    <row r="12304" spans="32:32" x14ac:dyDescent="0.2">
      <c r="AF12304" s="12"/>
    </row>
    <row r="12305" spans="32:32" x14ac:dyDescent="0.2">
      <c r="AF12305" s="12"/>
    </row>
    <row r="12306" spans="32:32" x14ac:dyDescent="0.2">
      <c r="AF12306" s="12"/>
    </row>
    <row r="12307" spans="32:32" x14ac:dyDescent="0.2">
      <c r="AF12307" s="12"/>
    </row>
    <row r="12308" spans="32:32" x14ac:dyDescent="0.2">
      <c r="AF12308" s="12"/>
    </row>
    <row r="12309" spans="32:32" x14ac:dyDescent="0.2">
      <c r="AF12309" s="12"/>
    </row>
    <row r="12310" spans="32:32" x14ac:dyDescent="0.2">
      <c r="AF12310" s="12"/>
    </row>
    <row r="12311" spans="32:32" x14ac:dyDescent="0.2">
      <c r="AF12311" s="12"/>
    </row>
    <row r="12312" spans="32:32" x14ac:dyDescent="0.2">
      <c r="AF12312" s="12"/>
    </row>
    <row r="12313" spans="32:32" x14ac:dyDescent="0.2">
      <c r="AF12313" s="12"/>
    </row>
    <row r="12314" spans="32:32" x14ac:dyDescent="0.2">
      <c r="AF12314" s="12"/>
    </row>
    <row r="12315" spans="32:32" x14ac:dyDescent="0.2">
      <c r="AF12315" s="12"/>
    </row>
    <row r="12316" spans="32:32" x14ac:dyDescent="0.2">
      <c r="AF12316" s="12"/>
    </row>
    <row r="12317" spans="32:32" x14ac:dyDescent="0.2">
      <c r="AF12317" s="12"/>
    </row>
    <row r="12318" spans="32:32" x14ac:dyDescent="0.2">
      <c r="AF12318" s="12"/>
    </row>
    <row r="12319" spans="32:32" x14ac:dyDescent="0.2">
      <c r="AF12319" s="12"/>
    </row>
    <row r="12320" spans="32:32" x14ac:dyDescent="0.2">
      <c r="AF12320" s="12"/>
    </row>
    <row r="12321" spans="32:32" x14ac:dyDescent="0.2">
      <c r="AF12321" s="12"/>
    </row>
    <row r="12322" spans="32:32" x14ac:dyDescent="0.2">
      <c r="AF12322" s="12"/>
    </row>
    <row r="12323" spans="32:32" x14ac:dyDescent="0.2">
      <c r="AF12323" s="12"/>
    </row>
    <row r="12324" spans="32:32" x14ac:dyDescent="0.2">
      <c r="AF12324" s="12"/>
    </row>
    <row r="12325" spans="32:32" x14ac:dyDescent="0.2">
      <c r="AF12325" s="12"/>
    </row>
    <row r="12326" spans="32:32" x14ac:dyDescent="0.2">
      <c r="AF12326" s="12"/>
    </row>
    <row r="12327" spans="32:32" x14ac:dyDescent="0.2">
      <c r="AF12327" s="12"/>
    </row>
    <row r="12328" spans="32:32" x14ac:dyDescent="0.2">
      <c r="AF12328" s="12"/>
    </row>
    <row r="12329" spans="32:32" x14ac:dyDescent="0.2">
      <c r="AF12329" s="12"/>
    </row>
    <row r="12330" spans="32:32" x14ac:dyDescent="0.2">
      <c r="AF12330" s="12"/>
    </row>
    <row r="12331" spans="32:32" x14ac:dyDescent="0.2">
      <c r="AF12331" s="12"/>
    </row>
    <row r="12332" spans="32:32" x14ac:dyDescent="0.2">
      <c r="AF12332" s="12"/>
    </row>
    <row r="12333" spans="32:32" x14ac:dyDescent="0.2">
      <c r="AF12333" s="12"/>
    </row>
    <row r="12334" spans="32:32" x14ac:dyDescent="0.2">
      <c r="AF12334" s="12"/>
    </row>
    <row r="12335" spans="32:32" x14ac:dyDescent="0.2">
      <c r="AF12335" s="12"/>
    </row>
    <row r="12336" spans="32:32" x14ac:dyDescent="0.2">
      <c r="AF12336" s="12"/>
    </row>
    <row r="12337" spans="32:32" x14ac:dyDescent="0.2">
      <c r="AF12337" s="12"/>
    </row>
    <row r="12338" spans="32:32" x14ac:dyDescent="0.2">
      <c r="AF12338" s="12"/>
    </row>
    <row r="12339" spans="32:32" x14ac:dyDescent="0.2">
      <c r="AF12339" s="12"/>
    </row>
    <row r="12340" spans="32:32" x14ac:dyDescent="0.2">
      <c r="AF12340" s="12"/>
    </row>
    <row r="12341" spans="32:32" x14ac:dyDescent="0.2">
      <c r="AF12341" s="12"/>
    </row>
    <row r="12342" spans="32:32" x14ac:dyDescent="0.2">
      <c r="AF12342" s="12"/>
    </row>
    <row r="12343" spans="32:32" x14ac:dyDescent="0.2">
      <c r="AF12343" s="12"/>
    </row>
    <row r="12344" spans="32:32" x14ac:dyDescent="0.2">
      <c r="AF12344" s="12"/>
    </row>
    <row r="12345" spans="32:32" x14ac:dyDescent="0.2">
      <c r="AF12345" s="12"/>
    </row>
    <row r="12346" spans="32:32" x14ac:dyDescent="0.2">
      <c r="AF12346" s="12"/>
    </row>
    <row r="12347" spans="32:32" x14ac:dyDescent="0.2">
      <c r="AF12347" s="12"/>
    </row>
    <row r="12348" spans="32:32" x14ac:dyDescent="0.2">
      <c r="AF12348" s="12"/>
    </row>
    <row r="12349" spans="32:32" x14ac:dyDescent="0.2">
      <c r="AF12349" s="12"/>
    </row>
    <row r="12350" spans="32:32" x14ac:dyDescent="0.2">
      <c r="AF12350" s="12"/>
    </row>
    <row r="12351" spans="32:32" x14ac:dyDescent="0.2">
      <c r="AF12351" s="12"/>
    </row>
    <row r="12352" spans="32:32" x14ac:dyDescent="0.2">
      <c r="AF12352" s="12"/>
    </row>
    <row r="12353" spans="32:32" x14ac:dyDescent="0.2">
      <c r="AF12353" s="12"/>
    </row>
    <row r="12354" spans="32:32" x14ac:dyDescent="0.2">
      <c r="AF12354" s="12"/>
    </row>
    <row r="12355" spans="32:32" x14ac:dyDescent="0.2">
      <c r="AF12355" s="12"/>
    </row>
    <row r="12356" spans="32:32" x14ac:dyDescent="0.2">
      <c r="AF12356" s="12"/>
    </row>
    <row r="12357" spans="32:32" x14ac:dyDescent="0.2">
      <c r="AF12357" s="12"/>
    </row>
    <row r="12358" spans="32:32" x14ac:dyDescent="0.2">
      <c r="AF12358" s="12"/>
    </row>
    <row r="12359" spans="32:32" x14ac:dyDescent="0.2">
      <c r="AF12359" s="12"/>
    </row>
    <row r="12360" spans="32:32" x14ac:dyDescent="0.2">
      <c r="AF12360" s="12"/>
    </row>
    <row r="12361" spans="32:32" x14ac:dyDescent="0.2">
      <c r="AF12361" s="12"/>
    </row>
    <row r="12362" spans="32:32" x14ac:dyDescent="0.2">
      <c r="AF12362" s="12"/>
    </row>
    <row r="12363" spans="32:32" x14ac:dyDescent="0.2">
      <c r="AF12363" s="12"/>
    </row>
    <row r="12364" spans="32:32" x14ac:dyDescent="0.2">
      <c r="AF12364" s="12"/>
    </row>
    <row r="12365" spans="32:32" x14ac:dyDescent="0.2">
      <c r="AF12365" s="12"/>
    </row>
    <row r="12366" spans="32:32" x14ac:dyDescent="0.2">
      <c r="AF12366" s="12"/>
    </row>
    <row r="12367" spans="32:32" x14ac:dyDescent="0.2">
      <c r="AF12367" s="12"/>
    </row>
    <row r="12368" spans="32:32" x14ac:dyDescent="0.2">
      <c r="AF12368" s="12"/>
    </row>
    <row r="12369" spans="32:32" x14ac:dyDescent="0.2">
      <c r="AF12369" s="12"/>
    </row>
    <row r="12370" spans="32:32" x14ac:dyDescent="0.2">
      <c r="AF12370" s="12"/>
    </row>
    <row r="12371" spans="32:32" x14ac:dyDescent="0.2">
      <c r="AF12371" s="12"/>
    </row>
    <row r="12372" spans="32:32" x14ac:dyDescent="0.2">
      <c r="AF12372" s="12"/>
    </row>
    <row r="12373" spans="32:32" x14ac:dyDescent="0.2">
      <c r="AF12373" s="12"/>
    </row>
    <row r="12374" spans="32:32" x14ac:dyDescent="0.2">
      <c r="AF12374" s="12"/>
    </row>
    <row r="12375" spans="32:32" x14ac:dyDescent="0.2">
      <c r="AF12375" s="12"/>
    </row>
    <row r="12376" spans="32:32" x14ac:dyDescent="0.2">
      <c r="AF12376" s="12"/>
    </row>
    <row r="12377" spans="32:32" x14ac:dyDescent="0.2">
      <c r="AF12377" s="12"/>
    </row>
    <row r="12378" spans="32:32" x14ac:dyDescent="0.2">
      <c r="AF12378" s="12"/>
    </row>
    <row r="12379" spans="32:32" x14ac:dyDescent="0.2">
      <c r="AF12379" s="12"/>
    </row>
    <row r="12380" spans="32:32" x14ac:dyDescent="0.2">
      <c r="AF12380" s="12"/>
    </row>
    <row r="12381" spans="32:32" x14ac:dyDescent="0.2">
      <c r="AF12381" s="12"/>
    </row>
    <row r="12382" spans="32:32" x14ac:dyDescent="0.2">
      <c r="AF12382" s="12"/>
    </row>
    <row r="12383" spans="32:32" x14ac:dyDescent="0.2">
      <c r="AF12383" s="12"/>
    </row>
    <row r="12384" spans="32:32" x14ac:dyDescent="0.2">
      <c r="AF12384" s="12"/>
    </row>
    <row r="12385" spans="32:32" x14ac:dyDescent="0.2">
      <c r="AF12385" s="12"/>
    </row>
    <row r="12386" spans="32:32" x14ac:dyDescent="0.2">
      <c r="AF12386" s="12"/>
    </row>
    <row r="12387" spans="32:32" x14ac:dyDescent="0.2">
      <c r="AF12387" s="12"/>
    </row>
    <row r="12388" spans="32:32" x14ac:dyDescent="0.2">
      <c r="AF12388" s="12"/>
    </row>
    <row r="12389" spans="32:32" x14ac:dyDescent="0.2">
      <c r="AF12389" s="12"/>
    </row>
    <row r="12390" spans="32:32" x14ac:dyDescent="0.2">
      <c r="AF12390" s="12"/>
    </row>
    <row r="12391" spans="32:32" x14ac:dyDescent="0.2">
      <c r="AF12391" s="12"/>
    </row>
    <row r="12392" spans="32:32" x14ac:dyDescent="0.2">
      <c r="AF12392" s="12"/>
    </row>
    <row r="12393" spans="32:32" x14ac:dyDescent="0.2">
      <c r="AF12393" s="12"/>
    </row>
    <row r="12394" spans="32:32" x14ac:dyDescent="0.2">
      <c r="AF12394" s="12"/>
    </row>
    <row r="12395" spans="32:32" x14ac:dyDescent="0.2">
      <c r="AF12395" s="12"/>
    </row>
    <row r="12396" spans="32:32" x14ac:dyDescent="0.2">
      <c r="AF12396" s="12"/>
    </row>
    <row r="12397" spans="32:32" x14ac:dyDescent="0.2">
      <c r="AF12397" s="12"/>
    </row>
    <row r="12398" spans="32:32" x14ac:dyDescent="0.2">
      <c r="AF12398" s="12"/>
    </row>
    <row r="12399" spans="32:32" x14ac:dyDescent="0.2">
      <c r="AF12399" s="12"/>
    </row>
    <row r="12400" spans="32:32" x14ac:dyDescent="0.2">
      <c r="AF12400" s="12"/>
    </row>
    <row r="12401" spans="32:32" x14ac:dyDescent="0.2">
      <c r="AF12401" s="12"/>
    </row>
    <row r="12402" spans="32:32" x14ac:dyDescent="0.2">
      <c r="AF12402" s="12"/>
    </row>
    <row r="12403" spans="32:32" x14ac:dyDescent="0.2">
      <c r="AF12403" s="12"/>
    </row>
    <row r="12404" spans="32:32" x14ac:dyDescent="0.2">
      <c r="AF12404" s="12"/>
    </row>
    <row r="12405" spans="32:32" x14ac:dyDescent="0.2">
      <c r="AF12405" s="12"/>
    </row>
    <row r="12406" spans="32:32" x14ac:dyDescent="0.2">
      <c r="AF12406" s="12"/>
    </row>
    <row r="12407" spans="32:32" x14ac:dyDescent="0.2">
      <c r="AF12407" s="12"/>
    </row>
    <row r="12408" spans="32:32" x14ac:dyDescent="0.2">
      <c r="AF12408" s="12"/>
    </row>
    <row r="12409" spans="32:32" x14ac:dyDescent="0.2">
      <c r="AF12409" s="12"/>
    </row>
    <row r="12410" spans="32:32" x14ac:dyDescent="0.2">
      <c r="AF12410" s="12"/>
    </row>
    <row r="12411" spans="32:32" x14ac:dyDescent="0.2">
      <c r="AF12411" s="12"/>
    </row>
    <row r="12412" spans="32:32" x14ac:dyDescent="0.2">
      <c r="AF12412" s="12"/>
    </row>
    <row r="12413" spans="32:32" x14ac:dyDescent="0.2">
      <c r="AF12413" s="12"/>
    </row>
    <row r="12414" spans="32:32" x14ac:dyDescent="0.2">
      <c r="AF12414" s="12"/>
    </row>
    <row r="12415" spans="32:32" x14ac:dyDescent="0.2">
      <c r="AF12415" s="12"/>
    </row>
    <row r="12416" spans="32:32" x14ac:dyDescent="0.2">
      <c r="AF12416" s="12"/>
    </row>
    <row r="12417" spans="32:32" x14ac:dyDescent="0.2">
      <c r="AF12417" s="12"/>
    </row>
    <row r="12418" spans="32:32" x14ac:dyDescent="0.2">
      <c r="AF12418" s="12"/>
    </row>
    <row r="12419" spans="32:32" x14ac:dyDescent="0.2">
      <c r="AF12419" s="12"/>
    </row>
    <row r="12420" spans="32:32" x14ac:dyDescent="0.2">
      <c r="AF12420" s="12"/>
    </row>
    <row r="12421" spans="32:32" x14ac:dyDescent="0.2">
      <c r="AF12421" s="12"/>
    </row>
    <row r="12422" spans="32:32" x14ac:dyDescent="0.2">
      <c r="AF12422" s="12"/>
    </row>
    <row r="12423" spans="32:32" x14ac:dyDescent="0.2">
      <c r="AF12423" s="12"/>
    </row>
    <row r="12424" spans="32:32" x14ac:dyDescent="0.2">
      <c r="AF12424" s="12"/>
    </row>
    <row r="12425" spans="32:32" x14ac:dyDescent="0.2">
      <c r="AF12425" s="12"/>
    </row>
    <row r="12426" spans="32:32" x14ac:dyDescent="0.2">
      <c r="AF12426" s="12"/>
    </row>
    <row r="12427" spans="32:32" x14ac:dyDescent="0.2">
      <c r="AF12427" s="12"/>
    </row>
    <row r="12428" spans="32:32" x14ac:dyDescent="0.2">
      <c r="AF12428" s="12"/>
    </row>
    <row r="12429" spans="32:32" x14ac:dyDescent="0.2">
      <c r="AF12429" s="12"/>
    </row>
    <row r="12430" spans="32:32" x14ac:dyDescent="0.2">
      <c r="AF12430" s="12"/>
    </row>
    <row r="12431" spans="32:32" x14ac:dyDescent="0.2">
      <c r="AF12431" s="12"/>
    </row>
    <row r="12432" spans="32:32" x14ac:dyDescent="0.2">
      <c r="AF12432" s="12"/>
    </row>
    <row r="12433" spans="32:32" x14ac:dyDescent="0.2">
      <c r="AF12433" s="12"/>
    </row>
    <row r="12434" spans="32:32" x14ac:dyDescent="0.2">
      <c r="AF12434" s="12"/>
    </row>
    <row r="12435" spans="32:32" x14ac:dyDescent="0.2">
      <c r="AF12435" s="12"/>
    </row>
    <row r="12436" spans="32:32" x14ac:dyDescent="0.2">
      <c r="AF12436" s="12"/>
    </row>
    <row r="12437" spans="32:32" x14ac:dyDescent="0.2">
      <c r="AF12437" s="12"/>
    </row>
    <row r="12438" spans="32:32" x14ac:dyDescent="0.2">
      <c r="AF12438" s="12"/>
    </row>
    <row r="12439" spans="32:32" x14ac:dyDescent="0.2">
      <c r="AF12439" s="12"/>
    </row>
    <row r="12440" spans="32:32" x14ac:dyDescent="0.2">
      <c r="AF12440" s="12"/>
    </row>
    <row r="12441" spans="32:32" x14ac:dyDescent="0.2">
      <c r="AF12441" s="12"/>
    </row>
    <row r="12442" spans="32:32" x14ac:dyDescent="0.2">
      <c r="AF12442" s="12"/>
    </row>
    <row r="12443" spans="32:32" x14ac:dyDescent="0.2">
      <c r="AF12443" s="12"/>
    </row>
    <row r="12444" spans="32:32" x14ac:dyDescent="0.2">
      <c r="AF12444" s="12"/>
    </row>
    <row r="12445" spans="32:32" x14ac:dyDescent="0.2">
      <c r="AF12445" s="12"/>
    </row>
    <row r="12446" spans="32:32" x14ac:dyDescent="0.2">
      <c r="AF12446" s="12"/>
    </row>
    <row r="12447" spans="32:32" x14ac:dyDescent="0.2">
      <c r="AF12447" s="12"/>
    </row>
    <row r="12448" spans="32:32" x14ac:dyDescent="0.2">
      <c r="AF12448" s="12"/>
    </row>
    <row r="12449" spans="32:32" x14ac:dyDescent="0.2">
      <c r="AF12449" s="12"/>
    </row>
    <row r="12450" spans="32:32" x14ac:dyDescent="0.2">
      <c r="AF12450" s="12"/>
    </row>
    <row r="12451" spans="32:32" x14ac:dyDescent="0.2">
      <c r="AF12451" s="12"/>
    </row>
    <row r="12452" spans="32:32" x14ac:dyDescent="0.2">
      <c r="AF12452" s="12"/>
    </row>
    <row r="12453" spans="32:32" x14ac:dyDescent="0.2">
      <c r="AF12453" s="12"/>
    </row>
    <row r="12454" spans="32:32" x14ac:dyDescent="0.2">
      <c r="AF12454" s="12"/>
    </row>
    <row r="12455" spans="32:32" x14ac:dyDescent="0.2">
      <c r="AF12455" s="12"/>
    </row>
    <row r="12456" spans="32:32" x14ac:dyDescent="0.2">
      <c r="AF12456" s="12"/>
    </row>
    <row r="12457" spans="32:32" x14ac:dyDescent="0.2">
      <c r="AF12457" s="12"/>
    </row>
    <row r="12458" spans="32:32" x14ac:dyDescent="0.2">
      <c r="AF12458" s="12"/>
    </row>
    <row r="12459" spans="32:32" x14ac:dyDescent="0.2">
      <c r="AF12459" s="12"/>
    </row>
    <row r="12460" spans="32:32" x14ac:dyDescent="0.2">
      <c r="AF12460" s="12"/>
    </row>
    <row r="12461" spans="32:32" x14ac:dyDescent="0.2">
      <c r="AF12461" s="12"/>
    </row>
    <row r="12462" spans="32:32" x14ac:dyDescent="0.2">
      <c r="AF12462" s="12"/>
    </row>
    <row r="12463" spans="32:32" x14ac:dyDescent="0.2">
      <c r="AF12463" s="12"/>
    </row>
    <row r="12464" spans="32:32" x14ac:dyDescent="0.2">
      <c r="AF12464" s="12"/>
    </row>
    <row r="12465" spans="32:32" x14ac:dyDescent="0.2">
      <c r="AF12465" s="12"/>
    </row>
    <row r="12466" spans="32:32" x14ac:dyDescent="0.2">
      <c r="AF12466" s="12"/>
    </row>
    <row r="12467" spans="32:32" x14ac:dyDescent="0.2">
      <c r="AF12467" s="12"/>
    </row>
    <row r="12468" spans="32:32" x14ac:dyDescent="0.2">
      <c r="AF12468" s="12"/>
    </row>
    <row r="12469" spans="32:32" x14ac:dyDescent="0.2">
      <c r="AF12469" s="12"/>
    </row>
    <row r="12470" spans="32:32" x14ac:dyDescent="0.2">
      <c r="AF12470" s="12"/>
    </row>
    <row r="12471" spans="32:32" x14ac:dyDescent="0.2">
      <c r="AF12471" s="12"/>
    </row>
    <row r="12472" spans="32:32" x14ac:dyDescent="0.2">
      <c r="AF12472" s="12"/>
    </row>
    <row r="12473" spans="32:32" x14ac:dyDescent="0.2">
      <c r="AF12473" s="12"/>
    </row>
    <row r="12474" spans="32:32" x14ac:dyDescent="0.2">
      <c r="AF12474" s="12"/>
    </row>
    <row r="12475" spans="32:32" x14ac:dyDescent="0.2">
      <c r="AF12475" s="12"/>
    </row>
    <row r="12476" spans="32:32" x14ac:dyDescent="0.2">
      <c r="AF12476" s="12"/>
    </row>
    <row r="12477" spans="32:32" x14ac:dyDescent="0.2">
      <c r="AF12477" s="12"/>
    </row>
    <row r="12478" spans="32:32" x14ac:dyDescent="0.2">
      <c r="AF12478" s="12"/>
    </row>
    <row r="12479" spans="32:32" x14ac:dyDescent="0.2">
      <c r="AF12479" s="12"/>
    </row>
    <row r="12480" spans="32:32" x14ac:dyDescent="0.2">
      <c r="AF12480" s="12"/>
    </row>
    <row r="12481" spans="32:32" x14ac:dyDescent="0.2">
      <c r="AF12481" s="12"/>
    </row>
    <row r="12482" spans="32:32" x14ac:dyDescent="0.2">
      <c r="AF12482" s="12"/>
    </row>
    <row r="12483" spans="32:32" x14ac:dyDescent="0.2">
      <c r="AF12483" s="12"/>
    </row>
    <row r="12484" spans="32:32" x14ac:dyDescent="0.2">
      <c r="AF12484" s="12"/>
    </row>
    <row r="12485" spans="32:32" x14ac:dyDescent="0.2">
      <c r="AF12485" s="12"/>
    </row>
    <row r="12486" spans="32:32" x14ac:dyDescent="0.2">
      <c r="AF12486" s="12"/>
    </row>
    <row r="12487" spans="32:32" x14ac:dyDescent="0.2">
      <c r="AF12487" s="12"/>
    </row>
    <row r="12488" spans="32:32" x14ac:dyDescent="0.2">
      <c r="AF12488" s="12"/>
    </row>
    <row r="12489" spans="32:32" x14ac:dyDescent="0.2">
      <c r="AF12489" s="12"/>
    </row>
    <row r="12490" spans="32:32" x14ac:dyDescent="0.2">
      <c r="AF12490" s="12"/>
    </row>
    <row r="12491" spans="32:32" x14ac:dyDescent="0.2">
      <c r="AF12491" s="12"/>
    </row>
    <row r="12492" spans="32:32" x14ac:dyDescent="0.2">
      <c r="AF12492" s="12"/>
    </row>
    <row r="12493" spans="32:32" x14ac:dyDescent="0.2">
      <c r="AF12493" s="12"/>
    </row>
    <row r="12494" spans="32:32" x14ac:dyDescent="0.2">
      <c r="AF12494" s="12"/>
    </row>
    <row r="12495" spans="32:32" x14ac:dyDescent="0.2">
      <c r="AF12495" s="12"/>
    </row>
    <row r="12496" spans="32:32" x14ac:dyDescent="0.2">
      <c r="AF12496" s="12"/>
    </row>
    <row r="12497" spans="32:32" x14ac:dyDescent="0.2">
      <c r="AF12497" s="12"/>
    </row>
    <row r="12498" spans="32:32" x14ac:dyDescent="0.2">
      <c r="AF12498" s="12"/>
    </row>
    <row r="12499" spans="32:32" x14ac:dyDescent="0.2">
      <c r="AF12499" s="12"/>
    </row>
    <row r="12500" spans="32:32" x14ac:dyDescent="0.2">
      <c r="AF12500" s="12"/>
    </row>
    <row r="12501" spans="32:32" x14ac:dyDescent="0.2">
      <c r="AF12501" s="12"/>
    </row>
    <row r="12502" spans="32:32" x14ac:dyDescent="0.2">
      <c r="AF12502" s="12"/>
    </row>
    <row r="12503" spans="32:32" x14ac:dyDescent="0.2">
      <c r="AF12503" s="12"/>
    </row>
    <row r="12504" spans="32:32" x14ac:dyDescent="0.2">
      <c r="AF12504" s="12"/>
    </row>
    <row r="12505" spans="32:32" x14ac:dyDescent="0.2">
      <c r="AF12505" s="12"/>
    </row>
    <row r="12506" spans="32:32" x14ac:dyDescent="0.2">
      <c r="AF12506" s="12"/>
    </row>
    <row r="12507" spans="32:32" x14ac:dyDescent="0.2">
      <c r="AF12507" s="12"/>
    </row>
    <row r="12508" spans="32:32" x14ac:dyDescent="0.2">
      <c r="AF12508" s="12"/>
    </row>
    <row r="12509" spans="32:32" x14ac:dyDescent="0.2">
      <c r="AF12509" s="12"/>
    </row>
    <row r="12510" spans="32:32" x14ac:dyDescent="0.2">
      <c r="AF12510" s="12"/>
    </row>
    <row r="12511" spans="32:32" x14ac:dyDescent="0.2">
      <c r="AF12511" s="12"/>
    </row>
    <row r="12512" spans="32:32" x14ac:dyDescent="0.2">
      <c r="AF12512" s="12"/>
    </row>
    <row r="12513" spans="32:32" x14ac:dyDescent="0.2">
      <c r="AF12513" s="12"/>
    </row>
    <row r="12514" spans="32:32" x14ac:dyDescent="0.2">
      <c r="AF12514" s="12"/>
    </row>
    <row r="12515" spans="32:32" x14ac:dyDescent="0.2">
      <c r="AF12515" s="12"/>
    </row>
    <row r="12516" spans="32:32" x14ac:dyDescent="0.2">
      <c r="AF12516" s="12"/>
    </row>
    <row r="12517" spans="32:32" x14ac:dyDescent="0.2">
      <c r="AF12517" s="12"/>
    </row>
    <row r="12518" spans="32:32" x14ac:dyDescent="0.2">
      <c r="AF12518" s="12"/>
    </row>
    <row r="12519" spans="32:32" x14ac:dyDescent="0.2">
      <c r="AF12519" s="12"/>
    </row>
    <row r="12520" spans="32:32" x14ac:dyDescent="0.2">
      <c r="AF12520" s="12"/>
    </row>
    <row r="12521" spans="32:32" x14ac:dyDescent="0.2">
      <c r="AF12521" s="12"/>
    </row>
    <row r="12522" spans="32:32" x14ac:dyDescent="0.2">
      <c r="AF12522" s="12"/>
    </row>
    <row r="12523" spans="32:32" x14ac:dyDescent="0.2">
      <c r="AF12523" s="12"/>
    </row>
    <row r="12524" spans="32:32" x14ac:dyDescent="0.2">
      <c r="AF12524" s="12"/>
    </row>
    <row r="12525" spans="32:32" x14ac:dyDescent="0.2">
      <c r="AF12525" s="12"/>
    </row>
    <row r="12526" spans="32:32" x14ac:dyDescent="0.2">
      <c r="AF12526" s="12"/>
    </row>
    <row r="12527" spans="32:32" x14ac:dyDescent="0.2">
      <c r="AF12527" s="12"/>
    </row>
    <row r="12528" spans="32:32" x14ac:dyDescent="0.2">
      <c r="AF12528" s="12"/>
    </row>
    <row r="12529" spans="32:32" x14ac:dyDescent="0.2">
      <c r="AF12529" s="12"/>
    </row>
    <row r="12530" spans="32:32" x14ac:dyDescent="0.2">
      <c r="AF12530" s="12"/>
    </row>
    <row r="12531" spans="32:32" x14ac:dyDescent="0.2">
      <c r="AF12531" s="12"/>
    </row>
    <row r="12532" spans="32:32" x14ac:dyDescent="0.2">
      <c r="AF12532" s="12"/>
    </row>
    <row r="12533" spans="32:32" x14ac:dyDescent="0.2">
      <c r="AF12533" s="12"/>
    </row>
    <row r="12534" spans="32:32" x14ac:dyDescent="0.2">
      <c r="AF12534" s="12"/>
    </row>
    <row r="12535" spans="32:32" x14ac:dyDescent="0.2">
      <c r="AF12535" s="12"/>
    </row>
    <row r="12536" spans="32:32" x14ac:dyDescent="0.2">
      <c r="AF12536" s="12"/>
    </row>
    <row r="12537" spans="32:32" x14ac:dyDescent="0.2">
      <c r="AF12537" s="12"/>
    </row>
    <row r="12538" spans="32:32" x14ac:dyDescent="0.2">
      <c r="AF12538" s="12"/>
    </row>
    <row r="12539" spans="32:32" x14ac:dyDescent="0.2">
      <c r="AF12539" s="12"/>
    </row>
    <row r="12540" spans="32:32" x14ac:dyDescent="0.2">
      <c r="AF12540" s="12"/>
    </row>
    <row r="12541" spans="32:32" x14ac:dyDescent="0.2">
      <c r="AF12541" s="12"/>
    </row>
    <row r="12542" spans="32:32" x14ac:dyDescent="0.2">
      <c r="AF12542" s="12"/>
    </row>
    <row r="12543" spans="32:32" x14ac:dyDescent="0.2">
      <c r="AF12543" s="12"/>
    </row>
    <row r="12544" spans="32:32" x14ac:dyDescent="0.2">
      <c r="AF12544" s="12"/>
    </row>
    <row r="12545" spans="32:32" x14ac:dyDescent="0.2">
      <c r="AF12545" s="12"/>
    </row>
    <row r="12546" spans="32:32" x14ac:dyDescent="0.2">
      <c r="AF12546" s="12"/>
    </row>
    <row r="12547" spans="32:32" x14ac:dyDescent="0.2">
      <c r="AF12547" s="12"/>
    </row>
    <row r="12548" spans="32:32" x14ac:dyDescent="0.2">
      <c r="AF12548" s="12"/>
    </row>
    <row r="12549" spans="32:32" x14ac:dyDescent="0.2">
      <c r="AF12549" s="12"/>
    </row>
    <row r="12550" spans="32:32" x14ac:dyDescent="0.2">
      <c r="AF12550" s="12"/>
    </row>
    <row r="12551" spans="32:32" x14ac:dyDescent="0.2">
      <c r="AF12551" s="12"/>
    </row>
    <row r="12552" spans="32:32" x14ac:dyDescent="0.2">
      <c r="AF12552" s="12"/>
    </row>
    <row r="12553" spans="32:32" x14ac:dyDescent="0.2">
      <c r="AF12553" s="12"/>
    </row>
    <row r="12554" spans="32:32" x14ac:dyDescent="0.2">
      <c r="AF12554" s="12"/>
    </row>
    <row r="12555" spans="32:32" x14ac:dyDescent="0.2">
      <c r="AF12555" s="12"/>
    </row>
    <row r="12556" spans="32:32" x14ac:dyDescent="0.2">
      <c r="AF12556" s="12"/>
    </row>
    <row r="12557" spans="32:32" x14ac:dyDescent="0.2">
      <c r="AF12557" s="12"/>
    </row>
    <row r="12558" spans="32:32" x14ac:dyDescent="0.2">
      <c r="AF12558" s="12"/>
    </row>
    <row r="12559" spans="32:32" x14ac:dyDescent="0.2">
      <c r="AF12559" s="12"/>
    </row>
    <row r="12560" spans="32:32" x14ac:dyDescent="0.2">
      <c r="AF12560" s="12"/>
    </row>
    <row r="12561" spans="32:32" x14ac:dyDescent="0.2">
      <c r="AF12561" s="12"/>
    </row>
    <row r="12562" spans="32:32" x14ac:dyDescent="0.2">
      <c r="AF12562" s="12"/>
    </row>
    <row r="12563" spans="32:32" x14ac:dyDescent="0.2">
      <c r="AF12563" s="12"/>
    </row>
    <row r="12564" spans="32:32" x14ac:dyDescent="0.2">
      <c r="AF12564" s="12"/>
    </row>
    <row r="12565" spans="32:32" x14ac:dyDescent="0.2">
      <c r="AF12565" s="12"/>
    </row>
    <row r="12566" spans="32:32" x14ac:dyDescent="0.2">
      <c r="AF12566" s="12"/>
    </row>
    <row r="12567" spans="32:32" x14ac:dyDescent="0.2">
      <c r="AF12567" s="12"/>
    </row>
    <row r="12568" spans="32:32" x14ac:dyDescent="0.2">
      <c r="AF12568" s="12"/>
    </row>
    <row r="12569" spans="32:32" x14ac:dyDescent="0.2">
      <c r="AF12569" s="12"/>
    </row>
    <row r="12570" spans="32:32" x14ac:dyDescent="0.2">
      <c r="AF12570" s="12"/>
    </row>
    <row r="12571" spans="32:32" x14ac:dyDescent="0.2">
      <c r="AF12571" s="12"/>
    </row>
    <row r="12572" spans="32:32" x14ac:dyDescent="0.2">
      <c r="AF12572" s="12"/>
    </row>
    <row r="12573" spans="32:32" x14ac:dyDescent="0.2">
      <c r="AF12573" s="12"/>
    </row>
    <row r="12574" spans="32:32" x14ac:dyDescent="0.2">
      <c r="AF12574" s="12"/>
    </row>
    <row r="12575" spans="32:32" x14ac:dyDescent="0.2">
      <c r="AF12575" s="12"/>
    </row>
    <row r="12576" spans="32:32" x14ac:dyDescent="0.2">
      <c r="AF12576" s="12"/>
    </row>
    <row r="12577" spans="32:32" x14ac:dyDescent="0.2">
      <c r="AF12577" s="12"/>
    </row>
    <row r="12578" spans="32:32" x14ac:dyDescent="0.2">
      <c r="AF12578" s="12"/>
    </row>
    <row r="12579" spans="32:32" x14ac:dyDescent="0.2">
      <c r="AF12579" s="12"/>
    </row>
    <row r="12580" spans="32:32" x14ac:dyDescent="0.2">
      <c r="AF12580" s="12"/>
    </row>
    <row r="12581" spans="32:32" x14ac:dyDescent="0.2">
      <c r="AF12581" s="12"/>
    </row>
    <row r="12582" spans="32:32" x14ac:dyDescent="0.2">
      <c r="AF12582" s="12"/>
    </row>
    <row r="12583" spans="32:32" x14ac:dyDescent="0.2">
      <c r="AF12583" s="12"/>
    </row>
    <row r="12584" spans="32:32" x14ac:dyDescent="0.2">
      <c r="AF12584" s="12"/>
    </row>
    <row r="12585" spans="32:32" x14ac:dyDescent="0.2">
      <c r="AF12585" s="12"/>
    </row>
    <row r="12586" spans="32:32" x14ac:dyDescent="0.2">
      <c r="AF12586" s="12"/>
    </row>
    <row r="12587" spans="32:32" x14ac:dyDescent="0.2">
      <c r="AF12587" s="12"/>
    </row>
    <row r="12588" spans="32:32" x14ac:dyDescent="0.2">
      <c r="AF12588" s="12"/>
    </row>
    <row r="12589" spans="32:32" x14ac:dyDescent="0.2">
      <c r="AF12589" s="12"/>
    </row>
    <row r="12590" spans="32:32" x14ac:dyDescent="0.2">
      <c r="AF12590" s="12"/>
    </row>
    <row r="12591" spans="32:32" x14ac:dyDescent="0.2">
      <c r="AF12591" s="12"/>
    </row>
    <row r="12592" spans="32:32" x14ac:dyDescent="0.2">
      <c r="AF12592" s="12"/>
    </row>
    <row r="12593" spans="32:32" x14ac:dyDescent="0.2">
      <c r="AF12593" s="12"/>
    </row>
    <row r="12594" spans="32:32" x14ac:dyDescent="0.2">
      <c r="AF12594" s="12"/>
    </row>
    <row r="12595" spans="32:32" x14ac:dyDescent="0.2">
      <c r="AF12595" s="12"/>
    </row>
    <row r="12596" spans="32:32" x14ac:dyDescent="0.2">
      <c r="AF12596" s="12"/>
    </row>
    <row r="12597" spans="32:32" x14ac:dyDescent="0.2">
      <c r="AF12597" s="12"/>
    </row>
    <row r="12598" spans="32:32" x14ac:dyDescent="0.2">
      <c r="AF12598" s="12"/>
    </row>
    <row r="12599" spans="32:32" x14ac:dyDescent="0.2">
      <c r="AF12599" s="12"/>
    </row>
    <row r="12600" spans="32:32" x14ac:dyDescent="0.2">
      <c r="AF12600" s="12"/>
    </row>
    <row r="12601" spans="32:32" x14ac:dyDescent="0.2">
      <c r="AF12601" s="12"/>
    </row>
    <row r="12602" spans="32:32" x14ac:dyDescent="0.2">
      <c r="AF12602" s="12"/>
    </row>
    <row r="12603" spans="32:32" x14ac:dyDescent="0.2">
      <c r="AF12603" s="12"/>
    </row>
    <row r="12604" spans="32:32" x14ac:dyDescent="0.2">
      <c r="AF12604" s="12"/>
    </row>
    <row r="12605" spans="32:32" x14ac:dyDescent="0.2">
      <c r="AF12605" s="12"/>
    </row>
    <row r="12606" spans="32:32" x14ac:dyDescent="0.2">
      <c r="AF12606" s="12"/>
    </row>
    <row r="12607" spans="32:32" x14ac:dyDescent="0.2">
      <c r="AF12607" s="12"/>
    </row>
    <row r="12608" spans="32:32" x14ac:dyDescent="0.2">
      <c r="AF12608" s="12"/>
    </row>
    <row r="12609" spans="32:32" x14ac:dyDescent="0.2">
      <c r="AF12609" s="12"/>
    </row>
    <row r="12610" spans="32:32" x14ac:dyDescent="0.2">
      <c r="AF12610" s="12"/>
    </row>
    <row r="12611" spans="32:32" x14ac:dyDescent="0.2">
      <c r="AF12611" s="12"/>
    </row>
    <row r="12612" spans="32:32" x14ac:dyDescent="0.2">
      <c r="AF12612" s="12"/>
    </row>
    <row r="12613" spans="32:32" x14ac:dyDescent="0.2">
      <c r="AF12613" s="12"/>
    </row>
    <row r="12614" spans="32:32" x14ac:dyDescent="0.2">
      <c r="AF12614" s="12"/>
    </row>
    <row r="12615" spans="32:32" x14ac:dyDescent="0.2">
      <c r="AF12615" s="12"/>
    </row>
    <row r="12616" spans="32:32" x14ac:dyDescent="0.2">
      <c r="AF12616" s="12"/>
    </row>
    <row r="12617" spans="32:32" x14ac:dyDescent="0.2">
      <c r="AF12617" s="12"/>
    </row>
    <row r="12618" spans="32:32" x14ac:dyDescent="0.2">
      <c r="AF12618" s="12"/>
    </row>
    <row r="12619" spans="32:32" x14ac:dyDescent="0.2">
      <c r="AF12619" s="12"/>
    </row>
    <row r="12620" spans="32:32" x14ac:dyDescent="0.2">
      <c r="AF12620" s="12"/>
    </row>
    <row r="12621" spans="32:32" x14ac:dyDescent="0.2">
      <c r="AF12621" s="12"/>
    </row>
    <row r="12622" spans="32:32" x14ac:dyDescent="0.2">
      <c r="AF12622" s="12"/>
    </row>
    <row r="12623" spans="32:32" x14ac:dyDescent="0.2">
      <c r="AF12623" s="12"/>
    </row>
    <row r="12624" spans="32:32" x14ac:dyDescent="0.2">
      <c r="AF12624" s="12"/>
    </row>
    <row r="12625" spans="32:32" x14ac:dyDescent="0.2">
      <c r="AF12625" s="12"/>
    </row>
    <row r="12626" spans="32:32" x14ac:dyDescent="0.2">
      <c r="AF12626" s="12"/>
    </row>
    <row r="12627" spans="32:32" x14ac:dyDescent="0.2">
      <c r="AF12627" s="12"/>
    </row>
    <row r="12628" spans="32:32" x14ac:dyDescent="0.2">
      <c r="AF12628" s="12"/>
    </row>
    <row r="12629" spans="32:32" x14ac:dyDescent="0.2">
      <c r="AF12629" s="12"/>
    </row>
    <row r="12630" spans="32:32" x14ac:dyDescent="0.2">
      <c r="AF12630" s="12"/>
    </row>
    <row r="12631" spans="32:32" x14ac:dyDescent="0.2">
      <c r="AF12631" s="12"/>
    </row>
    <row r="12632" spans="32:32" x14ac:dyDescent="0.2">
      <c r="AF12632" s="12"/>
    </row>
    <row r="12633" spans="32:32" x14ac:dyDescent="0.2">
      <c r="AF12633" s="12"/>
    </row>
    <row r="12634" spans="32:32" x14ac:dyDescent="0.2">
      <c r="AF12634" s="12"/>
    </row>
    <row r="12635" spans="32:32" x14ac:dyDescent="0.2">
      <c r="AF12635" s="12"/>
    </row>
    <row r="12636" spans="32:32" x14ac:dyDescent="0.2">
      <c r="AF12636" s="12"/>
    </row>
    <row r="12637" spans="32:32" x14ac:dyDescent="0.2">
      <c r="AF12637" s="12"/>
    </row>
    <row r="12638" spans="32:32" x14ac:dyDescent="0.2">
      <c r="AF12638" s="12"/>
    </row>
    <row r="12639" spans="32:32" x14ac:dyDescent="0.2">
      <c r="AF12639" s="12"/>
    </row>
    <row r="12640" spans="32:32" x14ac:dyDescent="0.2">
      <c r="AF12640" s="12"/>
    </row>
    <row r="12641" spans="32:32" x14ac:dyDescent="0.2">
      <c r="AF12641" s="12"/>
    </row>
    <row r="12642" spans="32:32" x14ac:dyDescent="0.2">
      <c r="AF12642" s="12"/>
    </row>
    <row r="12643" spans="32:32" x14ac:dyDescent="0.2">
      <c r="AF12643" s="12"/>
    </row>
    <row r="12644" spans="32:32" x14ac:dyDescent="0.2">
      <c r="AF12644" s="12"/>
    </row>
    <row r="12645" spans="32:32" x14ac:dyDescent="0.2">
      <c r="AF12645" s="12"/>
    </row>
    <row r="12646" spans="32:32" x14ac:dyDescent="0.2">
      <c r="AF12646" s="12"/>
    </row>
    <row r="12647" spans="32:32" x14ac:dyDescent="0.2">
      <c r="AF12647" s="12"/>
    </row>
    <row r="12648" spans="32:32" x14ac:dyDescent="0.2">
      <c r="AF12648" s="12"/>
    </row>
    <row r="12649" spans="32:32" x14ac:dyDescent="0.2">
      <c r="AF12649" s="12"/>
    </row>
    <row r="12650" spans="32:32" x14ac:dyDescent="0.2">
      <c r="AF12650" s="12"/>
    </row>
    <row r="12651" spans="32:32" x14ac:dyDescent="0.2">
      <c r="AF12651" s="12"/>
    </row>
    <row r="12652" spans="32:32" x14ac:dyDescent="0.2">
      <c r="AF12652" s="12"/>
    </row>
    <row r="12653" spans="32:32" x14ac:dyDescent="0.2">
      <c r="AF12653" s="12"/>
    </row>
    <row r="12654" spans="32:32" x14ac:dyDescent="0.2">
      <c r="AF12654" s="12"/>
    </row>
    <row r="12655" spans="32:32" x14ac:dyDescent="0.2">
      <c r="AF12655" s="12"/>
    </row>
    <row r="12656" spans="32:32" x14ac:dyDescent="0.2">
      <c r="AF12656" s="12"/>
    </row>
    <row r="12657" spans="32:32" x14ac:dyDescent="0.2">
      <c r="AF12657" s="12"/>
    </row>
    <row r="12658" spans="32:32" x14ac:dyDescent="0.2">
      <c r="AF12658" s="12"/>
    </row>
    <row r="12659" spans="32:32" x14ac:dyDescent="0.2">
      <c r="AF12659" s="12"/>
    </row>
    <row r="12660" spans="32:32" x14ac:dyDescent="0.2">
      <c r="AF12660" s="12"/>
    </row>
    <row r="12661" spans="32:32" x14ac:dyDescent="0.2">
      <c r="AF12661" s="12"/>
    </row>
    <row r="12662" spans="32:32" x14ac:dyDescent="0.2">
      <c r="AF12662" s="12"/>
    </row>
    <row r="12663" spans="32:32" x14ac:dyDescent="0.2">
      <c r="AF12663" s="12"/>
    </row>
    <row r="12664" spans="32:32" x14ac:dyDescent="0.2">
      <c r="AF12664" s="12"/>
    </row>
    <row r="12665" spans="32:32" x14ac:dyDescent="0.2">
      <c r="AF12665" s="12"/>
    </row>
    <row r="12666" spans="32:32" x14ac:dyDescent="0.2">
      <c r="AF12666" s="12"/>
    </row>
    <row r="12667" spans="32:32" x14ac:dyDescent="0.2">
      <c r="AF12667" s="12"/>
    </row>
    <row r="12668" spans="32:32" x14ac:dyDescent="0.2">
      <c r="AF12668" s="12"/>
    </row>
    <row r="12669" spans="32:32" x14ac:dyDescent="0.2">
      <c r="AF12669" s="12"/>
    </row>
    <row r="12670" spans="32:32" x14ac:dyDescent="0.2">
      <c r="AF12670" s="12"/>
    </row>
    <row r="12671" spans="32:32" x14ac:dyDescent="0.2">
      <c r="AF12671" s="12"/>
    </row>
    <row r="12672" spans="32:32" x14ac:dyDescent="0.2">
      <c r="AF12672" s="12"/>
    </row>
    <row r="12673" spans="32:32" x14ac:dyDescent="0.2">
      <c r="AF12673" s="12"/>
    </row>
    <row r="12674" spans="32:32" x14ac:dyDescent="0.2">
      <c r="AF12674" s="12"/>
    </row>
    <row r="12675" spans="32:32" x14ac:dyDescent="0.2">
      <c r="AF12675" s="12"/>
    </row>
    <row r="12676" spans="32:32" x14ac:dyDescent="0.2">
      <c r="AF12676" s="12"/>
    </row>
    <row r="12677" spans="32:32" x14ac:dyDescent="0.2">
      <c r="AF12677" s="12"/>
    </row>
    <row r="12678" spans="32:32" x14ac:dyDescent="0.2">
      <c r="AF12678" s="12"/>
    </row>
    <row r="12679" spans="32:32" x14ac:dyDescent="0.2">
      <c r="AF12679" s="12"/>
    </row>
    <row r="12680" spans="32:32" x14ac:dyDescent="0.2">
      <c r="AF12680" s="12"/>
    </row>
    <row r="12681" spans="32:32" x14ac:dyDescent="0.2">
      <c r="AF12681" s="12"/>
    </row>
    <row r="12682" spans="32:32" x14ac:dyDescent="0.2">
      <c r="AF12682" s="12"/>
    </row>
    <row r="12683" spans="32:32" x14ac:dyDescent="0.2">
      <c r="AF12683" s="12"/>
    </row>
    <row r="12684" spans="32:32" x14ac:dyDescent="0.2">
      <c r="AF12684" s="12"/>
    </row>
    <row r="12685" spans="32:32" x14ac:dyDescent="0.2">
      <c r="AF12685" s="12"/>
    </row>
    <row r="12686" spans="32:32" x14ac:dyDescent="0.2">
      <c r="AF12686" s="12"/>
    </row>
    <row r="12687" spans="32:32" x14ac:dyDescent="0.2">
      <c r="AF12687" s="12"/>
    </row>
    <row r="12688" spans="32:32" x14ac:dyDescent="0.2">
      <c r="AF12688" s="12"/>
    </row>
    <row r="12689" spans="32:32" x14ac:dyDescent="0.2">
      <c r="AF12689" s="12"/>
    </row>
    <row r="12690" spans="32:32" x14ac:dyDescent="0.2">
      <c r="AF12690" s="12"/>
    </row>
    <row r="12691" spans="32:32" x14ac:dyDescent="0.2">
      <c r="AF12691" s="12"/>
    </row>
    <row r="12692" spans="32:32" x14ac:dyDescent="0.2">
      <c r="AF12692" s="12"/>
    </row>
    <row r="12693" spans="32:32" x14ac:dyDescent="0.2">
      <c r="AF12693" s="12"/>
    </row>
    <row r="12694" spans="32:32" x14ac:dyDescent="0.2">
      <c r="AF12694" s="12"/>
    </row>
    <row r="12695" spans="32:32" x14ac:dyDescent="0.2">
      <c r="AF12695" s="12"/>
    </row>
    <row r="12696" spans="32:32" x14ac:dyDescent="0.2">
      <c r="AF12696" s="12"/>
    </row>
    <row r="12697" spans="32:32" x14ac:dyDescent="0.2">
      <c r="AF12697" s="12"/>
    </row>
    <row r="12698" spans="32:32" x14ac:dyDescent="0.2">
      <c r="AF12698" s="12"/>
    </row>
    <row r="12699" spans="32:32" x14ac:dyDescent="0.2">
      <c r="AF12699" s="12"/>
    </row>
    <row r="12700" spans="32:32" x14ac:dyDescent="0.2">
      <c r="AF12700" s="12"/>
    </row>
    <row r="12701" spans="32:32" x14ac:dyDescent="0.2">
      <c r="AF12701" s="12"/>
    </row>
    <row r="12702" spans="32:32" x14ac:dyDescent="0.2">
      <c r="AF12702" s="12"/>
    </row>
    <row r="12703" spans="32:32" x14ac:dyDescent="0.2">
      <c r="AF12703" s="12"/>
    </row>
    <row r="12704" spans="32:32" x14ac:dyDescent="0.2">
      <c r="AF12704" s="12"/>
    </row>
    <row r="12705" spans="32:32" x14ac:dyDescent="0.2">
      <c r="AF12705" s="12"/>
    </row>
    <row r="12706" spans="32:32" x14ac:dyDescent="0.2">
      <c r="AF12706" s="12"/>
    </row>
    <row r="12707" spans="32:32" x14ac:dyDescent="0.2">
      <c r="AF12707" s="12"/>
    </row>
    <row r="12708" spans="32:32" x14ac:dyDescent="0.2">
      <c r="AF12708" s="12"/>
    </row>
    <row r="12709" spans="32:32" x14ac:dyDescent="0.2">
      <c r="AF12709" s="12"/>
    </row>
    <row r="12710" spans="32:32" x14ac:dyDescent="0.2">
      <c r="AF12710" s="12"/>
    </row>
    <row r="12711" spans="32:32" x14ac:dyDescent="0.2">
      <c r="AF12711" s="12"/>
    </row>
    <row r="12712" spans="32:32" x14ac:dyDescent="0.2">
      <c r="AF12712" s="12"/>
    </row>
    <row r="12713" spans="32:32" x14ac:dyDescent="0.2">
      <c r="AF12713" s="12"/>
    </row>
    <row r="12714" spans="32:32" x14ac:dyDescent="0.2">
      <c r="AF12714" s="12"/>
    </row>
    <row r="12715" spans="32:32" x14ac:dyDescent="0.2">
      <c r="AF12715" s="12"/>
    </row>
    <row r="12716" spans="32:32" x14ac:dyDescent="0.2">
      <c r="AF12716" s="12"/>
    </row>
    <row r="12717" spans="32:32" x14ac:dyDescent="0.2">
      <c r="AF12717" s="12"/>
    </row>
    <row r="12718" spans="32:32" x14ac:dyDescent="0.2">
      <c r="AF12718" s="12"/>
    </row>
    <row r="12719" spans="32:32" x14ac:dyDescent="0.2">
      <c r="AF12719" s="12"/>
    </row>
    <row r="12720" spans="32:32" x14ac:dyDescent="0.2">
      <c r="AF12720" s="12"/>
    </row>
    <row r="12721" spans="32:32" x14ac:dyDescent="0.2">
      <c r="AF12721" s="12"/>
    </row>
    <row r="12722" spans="32:32" x14ac:dyDescent="0.2">
      <c r="AF12722" s="12"/>
    </row>
    <row r="12723" spans="32:32" x14ac:dyDescent="0.2">
      <c r="AF12723" s="12"/>
    </row>
    <row r="12724" spans="32:32" x14ac:dyDescent="0.2">
      <c r="AF12724" s="12"/>
    </row>
    <row r="12725" spans="32:32" x14ac:dyDescent="0.2">
      <c r="AF12725" s="12"/>
    </row>
    <row r="12726" spans="32:32" x14ac:dyDescent="0.2">
      <c r="AF12726" s="12"/>
    </row>
    <row r="12727" spans="32:32" x14ac:dyDescent="0.2">
      <c r="AF12727" s="12"/>
    </row>
    <row r="12728" spans="32:32" x14ac:dyDescent="0.2">
      <c r="AF12728" s="12"/>
    </row>
    <row r="12729" spans="32:32" x14ac:dyDescent="0.2">
      <c r="AF12729" s="12"/>
    </row>
    <row r="12730" spans="32:32" x14ac:dyDescent="0.2">
      <c r="AF12730" s="12"/>
    </row>
    <row r="12731" spans="32:32" x14ac:dyDescent="0.2">
      <c r="AF12731" s="12"/>
    </row>
    <row r="12732" spans="32:32" x14ac:dyDescent="0.2">
      <c r="AF12732" s="12"/>
    </row>
    <row r="12733" spans="32:32" x14ac:dyDescent="0.2">
      <c r="AF12733" s="12"/>
    </row>
    <row r="12734" spans="32:32" x14ac:dyDescent="0.2">
      <c r="AF12734" s="12"/>
    </row>
    <row r="12735" spans="32:32" x14ac:dyDescent="0.2">
      <c r="AF12735" s="12"/>
    </row>
    <row r="12736" spans="32:32" x14ac:dyDescent="0.2">
      <c r="AF12736" s="12"/>
    </row>
    <row r="12737" spans="32:32" x14ac:dyDescent="0.2">
      <c r="AF12737" s="12"/>
    </row>
    <row r="12738" spans="32:32" x14ac:dyDescent="0.2">
      <c r="AF12738" s="12"/>
    </row>
    <row r="12739" spans="32:32" x14ac:dyDescent="0.2">
      <c r="AF12739" s="12"/>
    </row>
    <row r="12740" spans="32:32" x14ac:dyDescent="0.2">
      <c r="AF12740" s="12"/>
    </row>
    <row r="12741" spans="32:32" x14ac:dyDescent="0.2">
      <c r="AF12741" s="12"/>
    </row>
    <row r="12742" spans="32:32" x14ac:dyDescent="0.2">
      <c r="AF12742" s="12"/>
    </row>
    <row r="12743" spans="32:32" x14ac:dyDescent="0.2">
      <c r="AF12743" s="12"/>
    </row>
    <row r="12744" spans="32:32" x14ac:dyDescent="0.2">
      <c r="AF12744" s="12"/>
    </row>
    <row r="12745" spans="32:32" x14ac:dyDescent="0.2">
      <c r="AF12745" s="12"/>
    </row>
    <row r="12746" spans="32:32" x14ac:dyDescent="0.2">
      <c r="AF12746" s="12"/>
    </row>
    <row r="12747" spans="32:32" x14ac:dyDescent="0.2">
      <c r="AF12747" s="12"/>
    </row>
    <row r="12748" spans="32:32" x14ac:dyDescent="0.2">
      <c r="AF12748" s="12"/>
    </row>
    <row r="12749" spans="32:32" x14ac:dyDescent="0.2">
      <c r="AF12749" s="12"/>
    </row>
    <row r="12750" spans="32:32" x14ac:dyDescent="0.2">
      <c r="AF12750" s="12"/>
    </row>
    <row r="12751" spans="32:32" x14ac:dyDescent="0.2">
      <c r="AF12751" s="12"/>
    </row>
    <row r="12752" spans="32:32" x14ac:dyDescent="0.2">
      <c r="AF12752" s="12"/>
    </row>
    <row r="12753" spans="32:32" x14ac:dyDescent="0.2">
      <c r="AF12753" s="12"/>
    </row>
    <row r="12754" spans="32:32" x14ac:dyDescent="0.2">
      <c r="AF12754" s="12"/>
    </row>
    <row r="12755" spans="32:32" x14ac:dyDescent="0.2">
      <c r="AF12755" s="12"/>
    </row>
    <row r="12756" spans="32:32" x14ac:dyDescent="0.2">
      <c r="AF12756" s="12"/>
    </row>
    <row r="12757" spans="32:32" x14ac:dyDescent="0.2">
      <c r="AF12757" s="12"/>
    </row>
    <row r="12758" spans="32:32" x14ac:dyDescent="0.2">
      <c r="AF12758" s="12"/>
    </row>
    <row r="12759" spans="32:32" x14ac:dyDescent="0.2">
      <c r="AF12759" s="12"/>
    </row>
    <row r="12760" spans="32:32" x14ac:dyDescent="0.2">
      <c r="AF12760" s="12"/>
    </row>
    <row r="12761" spans="32:32" x14ac:dyDescent="0.2">
      <c r="AF12761" s="12"/>
    </row>
    <row r="12762" spans="32:32" x14ac:dyDescent="0.2">
      <c r="AF12762" s="12"/>
    </row>
    <row r="12763" spans="32:32" x14ac:dyDescent="0.2">
      <c r="AF12763" s="12"/>
    </row>
    <row r="12764" spans="32:32" x14ac:dyDescent="0.2">
      <c r="AF12764" s="12"/>
    </row>
    <row r="12765" spans="32:32" x14ac:dyDescent="0.2">
      <c r="AF12765" s="12"/>
    </row>
    <row r="12766" spans="32:32" x14ac:dyDescent="0.2">
      <c r="AF12766" s="12"/>
    </row>
    <row r="12767" spans="32:32" x14ac:dyDescent="0.2">
      <c r="AF12767" s="12"/>
    </row>
    <row r="12768" spans="32:32" x14ac:dyDescent="0.2">
      <c r="AF12768" s="12"/>
    </row>
    <row r="12769" spans="32:32" x14ac:dyDescent="0.2">
      <c r="AF12769" s="12"/>
    </row>
    <row r="12770" spans="32:32" x14ac:dyDescent="0.2">
      <c r="AF12770" s="12"/>
    </row>
    <row r="12771" spans="32:32" x14ac:dyDescent="0.2">
      <c r="AF12771" s="12"/>
    </row>
    <row r="12772" spans="32:32" x14ac:dyDescent="0.2">
      <c r="AF12772" s="12"/>
    </row>
    <row r="12773" spans="32:32" x14ac:dyDescent="0.2">
      <c r="AF12773" s="12"/>
    </row>
    <row r="12774" spans="32:32" x14ac:dyDescent="0.2">
      <c r="AF12774" s="12"/>
    </row>
    <row r="12775" spans="32:32" x14ac:dyDescent="0.2">
      <c r="AF12775" s="12"/>
    </row>
    <row r="12776" spans="32:32" x14ac:dyDescent="0.2">
      <c r="AF12776" s="12"/>
    </row>
    <row r="12777" spans="32:32" x14ac:dyDescent="0.2">
      <c r="AF12777" s="12"/>
    </row>
    <row r="12778" spans="32:32" x14ac:dyDescent="0.2">
      <c r="AF12778" s="12"/>
    </row>
    <row r="12779" spans="32:32" x14ac:dyDescent="0.2">
      <c r="AF12779" s="12"/>
    </row>
    <row r="12780" spans="32:32" x14ac:dyDescent="0.2">
      <c r="AF12780" s="12"/>
    </row>
    <row r="12781" spans="32:32" x14ac:dyDescent="0.2">
      <c r="AF12781" s="12"/>
    </row>
    <row r="12782" spans="32:32" x14ac:dyDescent="0.2">
      <c r="AF12782" s="12"/>
    </row>
    <row r="12783" spans="32:32" x14ac:dyDescent="0.2">
      <c r="AF12783" s="12"/>
    </row>
    <row r="12784" spans="32:32" x14ac:dyDescent="0.2">
      <c r="AF12784" s="12"/>
    </row>
    <row r="12785" spans="32:32" x14ac:dyDescent="0.2">
      <c r="AF12785" s="12"/>
    </row>
    <row r="12786" spans="32:32" x14ac:dyDescent="0.2">
      <c r="AF12786" s="12"/>
    </row>
    <row r="12787" spans="32:32" x14ac:dyDescent="0.2">
      <c r="AF12787" s="12"/>
    </row>
    <row r="12788" spans="32:32" x14ac:dyDescent="0.2">
      <c r="AF12788" s="12"/>
    </row>
    <row r="12789" spans="32:32" x14ac:dyDescent="0.2">
      <c r="AF12789" s="12"/>
    </row>
    <row r="12790" spans="32:32" x14ac:dyDescent="0.2">
      <c r="AF12790" s="12"/>
    </row>
    <row r="12791" spans="32:32" x14ac:dyDescent="0.2">
      <c r="AF12791" s="12"/>
    </row>
    <row r="12792" spans="32:32" x14ac:dyDescent="0.2">
      <c r="AF12792" s="12"/>
    </row>
    <row r="12793" spans="32:32" x14ac:dyDescent="0.2">
      <c r="AF12793" s="12"/>
    </row>
    <row r="12794" spans="32:32" x14ac:dyDescent="0.2">
      <c r="AF12794" s="12"/>
    </row>
    <row r="12795" spans="32:32" x14ac:dyDescent="0.2">
      <c r="AF12795" s="12"/>
    </row>
    <row r="12796" spans="32:32" x14ac:dyDescent="0.2">
      <c r="AF12796" s="12"/>
    </row>
    <row r="12797" spans="32:32" x14ac:dyDescent="0.2">
      <c r="AF12797" s="12"/>
    </row>
    <row r="12798" spans="32:32" x14ac:dyDescent="0.2">
      <c r="AF12798" s="12"/>
    </row>
    <row r="12799" spans="32:32" x14ac:dyDescent="0.2">
      <c r="AF12799" s="12"/>
    </row>
    <row r="12800" spans="32:32" x14ac:dyDescent="0.2">
      <c r="AF12800" s="12"/>
    </row>
    <row r="12801" spans="32:32" x14ac:dyDescent="0.2">
      <c r="AF12801" s="12"/>
    </row>
    <row r="12802" spans="32:32" x14ac:dyDescent="0.2">
      <c r="AF12802" s="12"/>
    </row>
    <row r="12803" spans="32:32" x14ac:dyDescent="0.2">
      <c r="AF12803" s="12"/>
    </row>
    <row r="12804" spans="32:32" x14ac:dyDescent="0.2">
      <c r="AF12804" s="12"/>
    </row>
    <row r="12805" spans="32:32" x14ac:dyDescent="0.2">
      <c r="AF12805" s="12"/>
    </row>
    <row r="12806" spans="32:32" x14ac:dyDescent="0.2">
      <c r="AF12806" s="12"/>
    </row>
    <row r="12807" spans="32:32" x14ac:dyDescent="0.2">
      <c r="AF12807" s="12"/>
    </row>
    <row r="12808" spans="32:32" x14ac:dyDescent="0.2">
      <c r="AF12808" s="12"/>
    </row>
    <row r="12809" spans="32:32" x14ac:dyDescent="0.2">
      <c r="AF12809" s="12"/>
    </row>
    <row r="12810" spans="32:32" x14ac:dyDescent="0.2">
      <c r="AF12810" s="12"/>
    </row>
    <row r="12811" spans="32:32" x14ac:dyDescent="0.2">
      <c r="AF12811" s="12"/>
    </row>
    <row r="12812" spans="32:32" x14ac:dyDescent="0.2">
      <c r="AF12812" s="12"/>
    </row>
    <row r="12813" spans="32:32" x14ac:dyDescent="0.2">
      <c r="AF12813" s="12"/>
    </row>
    <row r="12814" spans="32:32" x14ac:dyDescent="0.2">
      <c r="AF12814" s="12"/>
    </row>
    <row r="12815" spans="32:32" x14ac:dyDescent="0.2">
      <c r="AF12815" s="12"/>
    </row>
    <row r="12816" spans="32:32" x14ac:dyDescent="0.2">
      <c r="AF12816" s="12"/>
    </row>
    <row r="12817" spans="32:32" x14ac:dyDescent="0.2">
      <c r="AF12817" s="12"/>
    </row>
    <row r="12818" spans="32:32" x14ac:dyDescent="0.2">
      <c r="AF12818" s="12"/>
    </row>
    <row r="12819" spans="32:32" x14ac:dyDescent="0.2">
      <c r="AF12819" s="12"/>
    </row>
    <row r="12820" spans="32:32" x14ac:dyDescent="0.2">
      <c r="AF12820" s="12"/>
    </row>
    <row r="12821" spans="32:32" x14ac:dyDescent="0.2">
      <c r="AF12821" s="12"/>
    </row>
    <row r="12822" spans="32:32" x14ac:dyDescent="0.2">
      <c r="AF12822" s="12"/>
    </row>
    <row r="12823" spans="32:32" x14ac:dyDescent="0.2">
      <c r="AF12823" s="12"/>
    </row>
    <row r="12824" spans="32:32" x14ac:dyDescent="0.2">
      <c r="AF12824" s="12"/>
    </row>
    <row r="12825" spans="32:32" x14ac:dyDescent="0.2">
      <c r="AF12825" s="12"/>
    </row>
    <row r="12826" spans="32:32" x14ac:dyDescent="0.2">
      <c r="AF12826" s="12"/>
    </row>
    <row r="12827" spans="32:32" x14ac:dyDescent="0.2">
      <c r="AF12827" s="12"/>
    </row>
    <row r="12828" spans="32:32" x14ac:dyDescent="0.2">
      <c r="AF12828" s="12"/>
    </row>
    <row r="12829" spans="32:32" x14ac:dyDescent="0.2">
      <c r="AF12829" s="12"/>
    </row>
    <row r="12830" spans="32:32" x14ac:dyDescent="0.2">
      <c r="AF12830" s="12"/>
    </row>
    <row r="12831" spans="32:32" x14ac:dyDescent="0.2">
      <c r="AF12831" s="12"/>
    </row>
    <row r="12832" spans="32:32" x14ac:dyDescent="0.2">
      <c r="AF12832" s="12"/>
    </row>
    <row r="12833" spans="32:32" x14ac:dyDescent="0.2">
      <c r="AF12833" s="12"/>
    </row>
    <row r="12834" spans="32:32" x14ac:dyDescent="0.2">
      <c r="AF12834" s="12"/>
    </row>
    <row r="12835" spans="32:32" x14ac:dyDescent="0.2">
      <c r="AF12835" s="12"/>
    </row>
    <row r="12836" spans="32:32" x14ac:dyDescent="0.2">
      <c r="AF12836" s="12"/>
    </row>
    <row r="12837" spans="32:32" x14ac:dyDescent="0.2">
      <c r="AF12837" s="12"/>
    </row>
    <row r="12838" spans="32:32" x14ac:dyDescent="0.2">
      <c r="AF12838" s="12"/>
    </row>
    <row r="12839" spans="32:32" x14ac:dyDescent="0.2">
      <c r="AF12839" s="12"/>
    </row>
    <row r="12840" spans="32:32" x14ac:dyDescent="0.2">
      <c r="AF12840" s="12"/>
    </row>
    <row r="12841" spans="32:32" x14ac:dyDescent="0.2">
      <c r="AF12841" s="12"/>
    </row>
    <row r="12842" spans="32:32" x14ac:dyDescent="0.2">
      <c r="AF12842" s="12"/>
    </row>
    <row r="12843" spans="32:32" x14ac:dyDescent="0.2">
      <c r="AF12843" s="12"/>
    </row>
    <row r="12844" spans="32:32" x14ac:dyDescent="0.2">
      <c r="AF12844" s="12"/>
    </row>
    <row r="12845" spans="32:32" x14ac:dyDescent="0.2">
      <c r="AF12845" s="12"/>
    </row>
    <row r="12846" spans="32:32" x14ac:dyDescent="0.2">
      <c r="AF12846" s="12"/>
    </row>
    <row r="12847" spans="32:32" x14ac:dyDescent="0.2">
      <c r="AF12847" s="12"/>
    </row>
    <row r="12848" spans="32:32" x14ac:dyDescent="0.2">
      <c r="AF12848" s="12"/>
    </row>
    <row r="12849" spans="32:32" x14ac:dyDescent="0.2">
      <c r="AF12849" s="12"/>
    </row>
    <row r="12850" spans="32:32" x14ac:dyDescent="0.2">
      <c r="AF12850" s="12"/>
    </row>
    <row r="12851" spans="32:32" x14ac:dyDescent="0.2">
      <c r="AF12851" s="12"/>
    </row>
    <row r="12852" spans="32:32" x14ac:dyDescent="0.2">
      <c r="AF12852" s="12"/>
    </row>
    <row r="12853" spans="32:32" x14ac:dyDescent="0.2">
      <c r="AF12853" s="12"/>
    </row>
    <row r="12854" spans="32:32" x14ac:dyDescent="0.2">
      <c r="AF12854" s="12"/>
    </row>
    <row r="12855" spans="32:32" x14ac:dyDescent="0.2">
      <c r="AF12855" s="12"/>
    </row>
    <row r="12856" spans="32:32" x14ac:dyDescent="0.2">
      <c r="AF12856" s="12"/>
    </row>
    <row r="12857" spans="32:32" x14ac:dyDescent="0.2">
      <c r="AF12857" s="12"/>
    </row>
    <row r="12858" spans="32:32" x14ac:dyDescent="0.2">
      <c r="AF12858" s="12"/>
    </row>
    <row r="12859" spans="32:32" x14ac:dyDescent="0.2">
      <c r="AF12859" s="12"/>
    </row>
    <row r="12860" spans="32:32" x14ac:dyDescent="0.2">
      <c r="AF12860" s="12"/>
    </row>
    <row r="12861" spans="32:32" x14ac:dyDescent="0.2">
      <c r="AF12861" s="12"/>
    </row>
    <row r="12862" spans="32:32" x14ac:dyDescent="0.2">
      <c r="AF12862" s="12"/>
    </row>
    <row r="12863" spans="32:32" x14ac:dyDescent="0.2">
      <c r="AF12863" s="12"/>
    </row>
    <row r="12864" spans="32:32" x14ac:dyDescent="0.2">
      <c r="AF12864" s="12"/>
    </row>
    <row r="12865" spans="32:32" x14ac:dyDescent="0.2">
      <c r="AF12865" s="12"/>
    </row>
    <row r="12866" spans="32:32" x14ac:dyDescent="0.2">
      <c r="AF12866" s="12"/>
    </row>
    <row r="12867" spans="32:32" x14ac:dyDescent="0.2">
      <c r="AF12867" s="12"/>
    </row>
    <row r="12868" spans="32:32" x14ac:dyDescent="0.2">
      <c r="AF12868" s="12"/>
    </row>
    <row r="12869" spans="32:32" x14ac:dyDescent="0.2">
      <c r="AF12869" s="12"/>
    </row>
    <row r="12870" spans="32:32" x14ac:dyDescent="0.2">
      <c r="AF12870" s="12"/>
    </row>
    <row r="12871" spans="32:32" x14ac:dyDescent="0.2">
      <c r="AF12871" s="12"/>
    </row>
    <row r="12872" spans="32:32" x14ac:dyDescent="0.2">
      <c r="AF12872" s="12"/>
    </row>
    <row r="12873" spans="32:32" x14ac:dyDescent="0.2">
      <c r="AF12873" s="12"/>
    </row>
    <row r="12874" spans="32:32" x14ac:dyDescent="0.2">
      <c r="AF12874" s="12"/>
    </row>
    <row r="12875" spans="32:32" x14ac:dyDescent="0.2">
      <c r="AF12875" s="12"/>
    </row>
    <row r="12876" spans="32:32" x14ac:dyDescent="0.2">
      <c r="AF12876" s="12"/>
    </row>
    <row r="12877" spans="32:32" x14ac:dyDescent="0.2">
      <c r="AF12877" s="12"/>
    </row>
    <row r="12878" spans="32:32" x14ac:dyDescent="0.2">
      <c r="AF12878" s="12"/>
    </row>
    <row r="12879" spans="32:32" x14ac:dyDescent="0.2">
      <c r="AF12879" s="12"/>
    </row>
    <row r="12880" spans="32:32" x14ac:dyDescent="0.2">
      <c r="AF12880" s="12"/>
    </row>
    <row r="12881" spans="32:32" x14ac:dyDescent="0.2">
      <c r="AF12881" s="12"/>
    </row>
    <row r="12882" spans="32:32" x14ac:dyDescent="0.2">
      <c r="AF12882" s="12"/>
    </row>
    <row r="12883" spans="32:32" x14ac:dyDescent="0.2">
      <c r="AF12883" s="12"/>
    </row>
    <row r="12884" spans="32:32" x14ac:dyDescent="0.2">
      <c r="AF12884" s="12"/>
    </row>
    <row r="12885" spans="32:32" x14ac:dyDescent="0.2">
      <c r="AF12885" s="12"/>
    </row>
    <row r="12886" spans="32:32" x14ac:dyDescent="0.2">
      <c r="AF12886" s="12"/>
    </row>
    <row r="12887" spans="32:32" x14ac:dyDescent="0.2">
      <c r="AF12887" s="12"/>
    </row>
    <row r="12888" spans="32:32" x14ac:dyDescent="0.2">
      <c r="AF12888" s="12"/>
    </row>
    <row r="12889" spans="32:32" x14ac:dyDescent="0.2">
      <c r="AF12889" s="12"/>
    </row>
    <row r="12890" spans="32:32" x14ac:dyDescent="0.2">
      <c r="AF12890" s="12"/>
    </row>
    <row r="12891" spans="32:32" x14ac:dyDescent="0.2">
      <c r="AF12891" s="12"/>
    </row>
    <row r="12892" spans="32:32" x14ac:dyDescent="0.2">
      <c r="AF12892" s="12"/>
    </row>
    <row r="12893" spans="32:32" x14ac:dyDescent="0.2">
      <c r="AF12893" s="12"/>
    </row>
    <row r="12894" spans="32:32" x14ac:dyDescent="0.2">
      <c r="AF12894" s="12"/>
    </row>
    <row r="12895" spans="32:32" x14ac:dyDescent="0.2">
      <c r="AF12895" s="12"/>
    </row>
    <row r="12896" spans="32:32" x14ac:dyDescent="0.2">
      <c r="AF12896" s="12"/>
    </row>
    <row r="12897" spans="32:32" x14ac:dyDescent="0.2">
      <c r="AF12897" s="12"/>
    </row>
    <row r="12898" spans="32:32" x14ac:dyDescent="0.2">
      <c r="AF12898" s="12"/>
    </row>
    <row r="12899" spans="32:32" x14ac:dyDescent="0.2">
      <c r="AF12899" s="12"/>
    </row>
    <row r="12900" spans="32:32" x14ac:dyDescent="0.2">
      <c r="AF12900" s="12"/>
    </row>
    <row r="12901" spans="32:32" x14ac:dyDescent="0.2">
      <c r="AF12901" s="12"/>
    </row>
    <row r="12902" spans="32:32" x14ac:dyDescent="0.2">
      <c r="AF12902" s="12"/>
    </row>
    <row r="12903" spans="32:32" x14ac:dyDescent="0.2">
      <c r="AF12903" s="12"/>
    </row>
    <row r="12904" spans="32:32" x14ac:dyDescent="0.2">
      <c r="AF12904" s="12"/>
    </row>
    <row r="12905" spans="32:32" x14ac:dyDescent="0.2">
      <c r="AF12905" s="12"/>
    </row>
    <row r="12906" spans="32:32" x14ac:dyDescent="0.2">
      <c r="AF12906" s="12"/>
    </row>
    <row r="12907" spans="32:32" x14ac:dyDescent="0.2">
      <c r="AF12907" s="12"/>
    </row>
    <row r="12908" spans="32:32" x14ac:dyDescent="0.2">
      <c r="AF12908" s="12"/>
    </row>
    <row r="12909" spans="32:32" x14ac:dyDescent="0.2">
      <c r="AF12909" s="12"/>
    </row>
    <row r="12910" spans="32:32" x14ac:dyDescent="0.2">
      <c r="AF12910" s="12"/>
    </row>
    <row r="12911" spans="32:32" x14ac:dyDescent="0.2">
      <c r="AF12911" s="12"/>
    </row>
    <row r="12912" spans="32:32" x14ac:dyDescent="0.2">
      <c r="AF12912" s="12"/>
    </row>
    <row r="12913" spans="32:32" x14ac:dyDescent="0.2">
      <c r="AF12913" s="12"/>
    </row>
    <row r="12914" spans="32:32" x14ac:dyDescent="0.2">
      <c r="AF12914" s="12"/>
    </row>
    <row r="12915" spans="32:32" x14ac:dyDescent="0.2">
      <c r="AF12915" s="12"/>
    </row>
    <row r="12916" spans="32:32" x14ac:dyDescent="0.2">
      <c r="AF12916" s="12"/>
    </row>
    <row r="12917" spans="32:32" x14ac:dyDescent="0.2">
      <c r="AF12917" s="12"/>
    </row>
    <row r="12918" spans="32:32" x14ac:dyDescent="0.2">
      <c r="AF12918" s="12"/>
    </row>
    <row r="12919" spans="32:32" x14ac:dyDescent="0.2">
      <c r="AF12919" s="12"/>
    </row>
    <row r="12920" spans="32:32" x14ac:dyDescent="0.2">
      <c r="AF12920" s="12"/>
    </row>
    <row r="12921" spans="32:32" x14ac:dyDescent="0.2">
      <c r="AF12921" s="12"/>
    </row>
    <row r="12922" spans="32:32" x14ac:dyDescent="0.2">
      <c r="AF12922" s="12"/>
    </row>
    <row r="12923" spans="32:32" x14ac:dyDescent="0.2">
      <c r="AF12923" s="12"/>
    </row>
    <row r="12924" spans="32:32" x14ac:dyDescent="0.2">
      <c r="AF12924" s="12"/>
    </row>
    <row r="12925" spans="32:32" x14ac:dyDescent="0.2">
      <c r="AF12925" s="12"/>
    </row>
    <row r="12926" spans="32:32" x14ac:dyDescent="0.2">
      <c r="AF12926" s="12"/>
    </row>
    <row r="12927" spans="32:32" x14ac:dyDescent="0.2">
      <c r="AF12927" s="12"/>
    </row>
    <row r="12928" spans="32:32" x14ac:dyDescent="0.2">
      <c r="AF12928" s="12"/>
    </row>
    <row r="12929" spans="32:32" x14ac:dyDescent="0.2">
      <c r="AF12929" s="12"/>
    </row>
    <row r="12930" spans="32:32" x14ac:dyDescent="0.2">
      <c r="AF12930" s="12"/>
    </row>
    <row r="12931" spans="32:32" x14ac:dyDescent="0.2">
      <c r="AF12931" s="12"/>
    </row>
    <row r="12932" spans="32:32" x14ac:dyDescent="0.2">
      <c r="AF12932" s="12"/>
    </row>
    <row r="12933" spans="32:32" x14ac:dyDescent="0.2">
      <c r="AF12933" s="12"/>
    </row>
    <row r="12934" spans="32:32" x14ac:dyDescent="0.2">
      <c r="AF12934" s="12"/>
    </row>
    <row r="12935" spans="32:32" x14ac:dyDescent="0.2">
      <c r="AF12935" s="12"/>
    </row>
    <row r="12936" spans="32:32" x14ac:dyDescent="0.2">
      <c r="AF12936" s="12"/>
    </row>
    <row r="12937" spans="32:32" x14ac:dyDescent="0.2">
      <c r="AF12937" s="12"/>
    </row>
    <row r="12938" spans="32:32" x14ac:dyDescent="0.2">
      <c r="AF12938" s="12"/>
    </row>
    <row r="12939" spans="32:32" x14ac:dyDescent="0.2">
      <c r="AF12939" s="12"/>
    </row>
    <row r="12940" spans="32:32" x14ac:dyDescent="0.2">
      <c r="AF12940" s="12"/>
    </row>
    <row r="12941" spans="32:32" x14ac:dyDescent="0.2">
      <c r="AF12941" s="12"/>
    </row>
    <row r="12942" spans="32:32" x14ac:dyDescent="0.2">
      <c r="AF12942" s="12"/>
    </row>
    <row r="12943" spans="32:32" x14ac:dyDescent="0.2">
      <c r="AF12943" s="12"/>
    </row>
    <row r="12944" spans="32:32" x14ac:dyDescent="0.2">
      <c r="AF12944" s="12"/>
    </row>
    <row r="12945" spans="32:32" x14ac:dyDescent="0.2">
      <c r="AF12945" s="12"/>
    </row>
    <row r="12946" spans="32:32" x14ac:dyDescent="0.2">
      <c r="AF12946" s="12"/>
    </row>
    <row r="12947" spans="32:32" x14ac:dyDescent="0.2">
      <c r="AF12947" s="12"/>
    </row>
    <row r="12948" spans="32:32" x14ac:dyDescent="0.2">
      <c r="AF12948" s="12"/>
    </row>
    <row r="12949" spans="32:32" x14ac:dyDescent="0.2">
      <c r="AF12949" s="12"/>
    </row>
    <row r="12950" spans="32:32" x14ac:dyDescent="0.2">
      <c r="AF12950" s="12"/>
    </row>
    <row r="12951" spans="32:32" x14ac:dyDescent="0.2">
      <c r="AF12951" s="12"/>
    </row>
    <row r="12952" spans="32:32" x14ac:dyDescent="0.2">
      <c r="AF12952" s="12"/>
    </row>
    <row r="12953" spans="32:32" x14ac:dyDescent="0.2">
      <c r="AF12953" s="12"/>
    </row>
    <row r="12954" spans="32:32" x14ac:dyDescent="0.2">
      <c r="AF12954" s="12"/>
    </row>
    <row r="12955" spans="32:32" x14ac:dyDescent="0.2">
      <c r="AF12955" s="12"/>
    </row>
    <row r="12956" spans="32:32" x14ac:dyDescent="0.2">
      <c r="AF12956" s="12"/>
    </row>
    <row r="12957" spans="32:32" x14ac:dyDescent="0.2">
      <c r="AF12957" s="12"/>
    </row>
    <row r="12958" spans="32:32" x14ac:dyDescent="0.2">
      <c r="AF12958" s="12"/>
    </row>
    <row r="12959" spans="32:32" x14ac:dyDescent="0.2">
      <c r="AF12959" s="12"/>
    </row>
    <row r="12960" spans="32:32" x14ac:dyDescent="0.2">
      <c r="AF12960" s="12"/>
    </row>
    <row r="12961" spans="32:32" x14ac:dyDescent="0.2">
      <c r="AF12961" s="12"/>
    </row>
    <row r="12962" spans="32:32" x14ac:dyDescent="0.2">
      <c r="AF12962" s="12"/>
    </row>
    <row r="12963" spans="32:32" x14ac:dyDescent="0.2">
      <c r="AF12963" s="12"/>
    </row>
    <row r="12964" spans="32:32" x14ac:dyDescent="0.2">
      <c r="AF12964" s="12"/>
    </row>
    <row r="12965" spans="32:32" x14ac:dyDescent="0.2">
      <c r="AF12965" s="12"/>
    </row>
    <row r="12966" spans="32:32" x14ac:dyDescent="0.2">
      <c r="AF12966" s="12"/>
    </row>
    <row r="12967" spans="32:32" x14ac:dyDescent="0.2">
      <c r="AF12967" s="12"/>
    </row>
    <row r="12968" spans="32:32" x14ac:dyDescent="0.2">
      <c r="AF12968" s="12"/>
    </row>
    <row r="12969" spans="32:32" x14ac:dyDescent="0.2">
      <c r="AF12969" s="12"/>
    </row>
    <row r="12970" spans="32:32" x14ac:dyDescent="0.2">
      <c r="AF12970" s="12"/>
    </row>
    <row r="12971" spans="32:32" x14ac:dyDescent="0.2">
      <c r="AF12971" s="12"/>
    </row>
    <row r="12972" spans="32:32" x14ac:dyDescent="0.2">
      <c r="AF12972" s="12"/>
    </row>
    <row r="12973" spans="32:32" x14ac:dyDescent="0.2">
      <c r="AF12973" s="12"/>
    </row>
    <row r="12974" spans="32:32" x14ac:dyDescent="0.2">
      <c r="AF12974" s="12"/>
    </row>
    <row r="12975" spans="32:32" x14ac:dyDescent="0.2">
      <c r="AF12975" s="12"/>
    </row>
    <row r="12976" spans="32:32" x14ac:dyDescent="0.2">
      <c r="AF12976" s="12"/>
    </row>
    <row r="12977" spans="32:32" x14ac:dyDescent="0.2">
      <c r="AF12977" s="12"/>
    </row>
    <row r="12978" spans="32:32" x14ac:dyDescent="0.2">
      <c r="AF12978" s="12"/>
    </row>
    <row r="12979" spans="32:32" x14ac:dyDescent="0.2">
      <c r="AF12979" s="12"/>
    </row>
    <row r="12980" spans="32:32" x14ac:dyDescent="0.2">
      <c r="AF12980" s="12"/>
    </row>
    <row r="12981" spans="32:32" x14ac:dyDescent="0.2">
      <c r="AF12981" s="12"/>
    </row>
    <row r="12982" spans="32:32" x14ac:dyDescent="0.2">
      <c r="AF12982" s="12"/>
    </row>
    <row r="12983" spans="32:32" x14ac:dyDescent="0.2">
      <c r="AF12983" s="12"/>
    </row>
    <row r="12984" spans="32:32" x14ac:dyDescent="0.2">
      <c r="AF12984" s="12"/>
    </row>
    <row r="12985" spans="32:32" x14ac:dyDescent="0.2">
      <c r="AF12985" s="12"/>
    </row>
    <row r="12986" spans="32:32" x14ac:dyDescent="0.2">
      <c r="AF12986" s="12"/>
    </row>
    <row r="12987" spans="32:32" x14ac:dyDescent="0.2">
      <c r="AF12987" s="12"/>
    </row>
    <row r="12988" spans="32:32" x14ac:dyDescent="0.2">
      <c r="AF12988" s="12"/>
    </row>
    <row r="12989" spans="32:32" x14ac:dyDescent="0.2">
      <c r="AF12989" s="12"/>
    </row>
    <row r="12990" spans="32:32" x14ac:dyDescent="0.2">
      <c r="AF12990" s="12"/>
    </row>
    <row r="12991" spans="32:32" x14ac:dyDescent="0.2">
      <c r="AF12991" s="12"/>
    </row>
    <row r="12992" spans="32:32" x14ac:dyDescent="0.2">
      <c r="AF12992" s="12"/>
    </row>
    <row r="12993" spans="32:32" x14ac:dyDescent="0.2">
      <c r="AF12993" s="12"/>
    </row>
    <row r="12994" spans="32:32" x14ac:dyDescent="0.2">
      <c r="AF12994" s="12"/>
    </row>
    <row r="12995" spans="32:32" x14ac:dyDescent="0.2">
      <c r="AF12995" s="12"/>
    </row>
    <row r="12996" spans="32:32" x14ac:dyDescent="0.2">
      <c r="AF12996" s="12"/>
    </row>
    <row r="12997" spans="32:32" x14ac:dyDescent="0.2">
      <c r="AF12997" s="12"/>
    </row>
    <row r="12998" spans="32:32" x14ac:dyDescent="0.2">
      <c r="AF12998" s="12"/>
    </row>
    <row r="12999" spans="32:32" x14ac:dyDescent="0.2">
      <c r="AF12999" s="12"/>
    </row>
    <row r="13000" spans="32:32" x14ac:dyDescent="0.2">
      <c r="AF13000" s="12"/>
    </row>
    <row r="13001" spans="32:32" x14ac:dyDescent="0.2">
      <c r="AF13001" s="12"/>
    </row>
    <row r="13002" spans="32:32" x14ac:dyDescent="0.2">
      <c r="AF13002" s="12"/>
    </row>
    <row r="13003" spans="32:32" x14ac:dyDescent="0.2">
      <c r="AF13003" s="12"/>
    </row>
    <row r="13004" spans="32:32" x14ac:dyDescent="0.2">
      <c r="AF13004" s="12"/>
    </row>
    <row r="13005" spans="32:32" x14ac:dyDescent="0.2">
      <c r="AF13005" s="12"/>
    </row>
    <row r="13006" spans="32:32" x14ac:dyDescent="0.2">
      <c r="AF13006" s="12"/>
    </row>
    <row r="13007" spans="32:32" x14ac:dyDescent="0.2">
      <c r="AF13007" s="12"/>
    </row>
    <row r="13008" spans="32:32" x14ac:dyDescent="0.2">
      <c r="AF13008" s="12"/>
    </row>
    <row r="13009" spans="32:32" x14ac:dyDescent="0.2">
      <c r="AF13009" s="12"/>
    </row>
    <row r="13010" spans="32:32" x14ac:dyDescent="0.2">
      <c r="AF13010" s="12"/>
    </row>
    <row r="13011" spans="32:32" x14ac:dyDescent="0.2">
      <c r="AF13011" s="12"/>
    </row>
    <row r="13012" spans="32:32" x14ac:dyDescent="0.2">
      <c r="AF13012" s="12"/>
    </row>
    <row r="13013" spans="32:32" x14ac:dyDescent="0.2">
      <c r="AF13013" s="12"/>
    </row>
    <row r="13014" spans="32:32" x14ac:dyDescent="0.2">
      <c r="AF13014" s="12"/>
    </row>
    <row r="13015" spans="32:32" x14ac:dyDescent="0.2">
      <c r="AF13015" s="12"/>
    </row>
    <row r="13016" spans="32:32" x14ac:dyDescent="0.2">
      <c r="AF13016" s="12"/>
    </row>
    <row r="13017" spans="32:32" x14ac:dyDescent="0.2">
      <c r="AF13017" s="12"/>
    </row>
    <row r="13018" spans="32:32" x14ac:dyDescent="0.2">
      <c r="AF13018" s="12"/>
    </row>
    <row r="13019" spans="32:32" x14ac:dyDescent="0.2">
      <c r="AF13019" s="12"/>
    </row>
    <row r="13020" spans="32:32" x14ac:dyDescent="0.2">
      <c r="AF13020" s="12"/>
    </row>
    <row r="13021" spans="32:32" x14ac:dyDescent="0.2">
      <c r="AF13021" s="12"/>
    </row>
    <row r="13022" spans="32:32" x14ac:dyDescent="0.2">
      <c r="AF13022" s="12"/>
    </row>
    <row r="13023" spans="32:32" x14ac:dyDescent="0.2">
      <c r="AF13023" s="12"/>
    </row>
    <row r="13024" spans="32:32" x14ac:dyDescent="0.2">
      <c r="AF13024" s="12"/>
    </row>
    <row r="13025" spans="32:32" x14ac:dyDescent="0.2">
      <c r="AF13025" s="12"/>
    </row>
    <row r="13026" spans="32:32" x14ac:dyDescent="0.2">
      <c r="AF13026" s="12"/>
    </row>
    <row r="13027" spans="32:32" x14ac:dyDescent="0.2">
      <c r="AF13027" s="12"/>
    </row>
    <row r="13028" spans="32:32" x14ac:dyDescent="0.2">
      <c r="AF13028" s="12"/>
    </row>
    <row r="13029" spans="32:32" x14ac:dyDescent="0.2">
      <c r="AF13029" s="12"/>
    </row>
    <row r="13030" spans="32:32" x14ac:dyDescent="0.2">
      <c r="AF13030" s="12"/>
    </row>
    <row r="13031" spans="32:32" x14ac:dyDescent="0.2">
      <c r="AF13031" s="12"/>
    </row>
    <row r="13032" spans="32:32" x14ac:dyDescent="0.2">
      <c r="AF13032" s="12"/>
    </row>
    <row r="13033" spans="32:32" x14ac:dyDescent="0.2">
      <c r="AF13033" s="12"/>
    </row>
    <row r="13034" spans="32:32" x14ac:dyDescent="0.2">
      <c r="AF13034" s="12"/>
    </row>
    <row r="13035" spans="32:32" x14ac:dyDescent="0.2">
      <c r="AF13035" s="12"/>
    </row>
    <row r="13036" spans="32:32" x14ac:dyDescent="0.2">
      <c r="AF13036" s="12"/>
    </row>
    <row r="13037" spans="32:32" x14ac:dyDescent="0.2">
      <c r="AF13037" s="12"/>
    </row>
    <row r="13038" spans="32:32" x14ac:dyDescent="0.2">
      <c r="AF13038" s="12"/>
    </row>
    <row r="13039" spans="32:32" x14ac:dyDescent="0.2">
      <c r="AF13039" s="12"/>
    </row>
    <row r="13040" spans="32:32" x14ac:dyDescent="0.2">
      <c r="AF13040" s="12"/>
    </row>
    <row r="13041" spans="32:32" x14ac:dyDescent="0.2">
      <c r="AF13041" s="12"/>
    </row>
    <row r="13042" spans="32:32" x14ac:dyDescent="0.2">
      <c r="AF13042" s="12"/>
    </row>
    <row r="13043" spans="32:32" x14ac:dyDescent="0.2">
      <c r="AF13043" s="12"/>
    </row>
    <row r="13044" spans="32:32" x14ac:dyDescent="0.2">
      <c r="AF13044" s="12"/>
    </row>
    <row r="13045" spans="32:32" x14ac:dyDescent="0.2">
      <c r="AF13045" s="12"/>
    </row>
    <row r="13046" spans="32:32" x14ac:dyDescent="0.2">
      <c r="AF13046" s="12"/>
    </row>
    <row r="13047" spans="32:32" x14ac:dyDescent="0.2">
      <c r="AF13047" s="12"/>
    </row>
    <row r="13048" spans="32:32" x14ac:dyDescent="0.2">
      <c r="AF13048" s="12"/>
    </row>
    <row r="13049" spans="32:32" x14ac:dyDescent="0.2">
      <c r="AF13049" s="12"/>
    </row>
    <row r="13050" spans="32:32" x14ac:dyDescent="0.2">
      <c r="AF13050" s="12"/>
    </row>
    <row r="13051" spans="32:32" x14ac:dyDescent="0.2">
      <c r="AF13051" s="12"/>
    </row>
    <row r="13052" spans="32:32" x14ac:dyDescent="0.2">
      <c r="AF13052" s="12"/>
    </row>
    <row r="13053" spans="32:32" x14ac:dyDescent="0.2">
      <c r="AF13053" s="12"/>
    </row>
    <row r="13054" spans="32:32" x14ac:dyDescent="0.2">
      <c r="AF13054" s="12"/>
    </row>
    <row r="13055" spans="32:32" x14ac:dyDescent="0.2">
      <c r="AF13055" s="12"/>
    </row>
    <row r="13056" spans="32:32" x14ac:dyDescent="0.2">
      <c r="AF13056" s="12"/>
    </row>
    <row r="13057" spans="32:32" x14ac:dyDescent="0.2">
      <c r="AF13057" s="12"/>
    </row>
    <row r="13058" spans="32:32" x14ac:dyDescent="0.2">
      <c r="AF13058" s="12"/>
    </row>
    <row r="13059" spans="32:32" x14ac:dyDescent="0.2">
      <c r="AF13059" s="12"/>
    </row>
    <row r="13060" spans="32:32" x14ac:dyDescent="0.2">
      <c r="AF13060" s="12"/>
    </row>
    <row r="13061" spans="32:32" x14ac:dyDescent="0.2">
      <c r="AF13061" s="12"/>
    </row>
    <row r="13062" spans="32:32" x14ac:dyDescent="0.2">
      <c r="AF13062" s="12"/>
    </row>
    <row r="13063" spans="32:32" x14ac:dyDescent="0.2">
      <c r="AF13063" s="12"/>
    </row>
    <row r="13064" spans="32:32" x14ac:dyDescent="0.2">
      <c r="AF13064" s="12"/>
    </row>
    <row r="13065" spans="32:32" x14ac:dyDescent="0.2">
      <c r="AF13065" s="12"/>
    </row>
    <row r="13066" spans="32:32" x14ac:dyDescent="0.2">
      <c r="AF13066" s="12"/>
    </row>
    <row r="13067" spans="32:32" x14ac:dyDescent="0.2">
      <c r="AF13067" s="12"/>
    </row>
    <row r="13068" spans="32:32" x14ac:dyDescent="0.2">
      <c r="AF13068" s="12"/>
    </row>
    <row r="13069" spans="32:32" x14ac:dyDescent="0.2">
      <c r="AF13069" s="12"/>
    </row>
    <row r="13070" spans="32:32" x14ac:dyDescent="0.2">
      <c r="AF13070" s="12"/>
    </row>
    <row r="13071" spans="32:32" x14ac:dyDescent="0.2">
      <c r="AF13071" s="12"/>
    </row>
    <row r="13072" spans="32:32" x14ac:dyDescent="0.2">
      <c r="AF13072" s="12"/>
    </row>
    <row r="13073" spans="32:32" x14ac:dyDescent="0.2">
      <c r="AF13073" s="12"/>
    </row>
    <row r="13074" spans="32:32" x14ac:dyDescent="0.2">
      <c r="AF13074" s="12"/>
    </row>
    <row r="13075" spans="32:32" x14ac:dyDescent="0.2">
      <c r="AF13075" s="12"/>
    </row>
    <row r="13076" spans="32:32" x14ac:dyDescent="0.2">
      <c r="AF13076" s="12"/>
    </row>
    <row r="13077" spans="32:32" x14ac:dyDescent="0.2">
      <c r="AF13077" s="12"/>
    </row>
    <row r="13078" spans="32:32" x14ac:dyDescent="0.2">
      <c r="AF13078" s="12"/>
    </row>
    <row r="13079" spans="32:32" x14ac:dyDescent="0.2">
      <c r="AF13079" s="12"/>
    </row>
    <row r="13080" spans="32:32" x14ac:dyDescent="0.2">
      <c r="AF13080" s="12"/>
    </row>
    <row r="13081" spans="32:32" x14ac:dyDescent="0.2">
      <c r="AF13081" s="12"/>
    </row>
    <row r="13082" spans="32:32" x14ac:dyDescent="0.2">
      <c r="AF13082" s="12"/>
    </row>
    <row r="13083" spans="32:32" x14ac:dyDescent="0.2">
      <c r="AF13083" s="12"/>
    </row>
    <row r="13084" spans="32:32" x14ac:dyDescent="0.2">
      <c r="AF13084" s="12"/>
    </row>
    <row r="13085" spans="32:32" x14ac:dyDescent="0.2">
      <c r="AF13085" s="12"/>
    </row>
    <row r="13086" spans="32:32" x14ac:dyDescent="0.2">
      <c r="AF13086" s="12"/>
    </row>
    <row r="13087" spans="32:32" x14ac:dyDescent="0.2">
      <c r="AF13087" s="12"/>
    </row>
    <row r="13088" spans="32:32" x14ac:dyDescent="0.2">
      <c r="AF13088" s="12"/>
    </row>
    <row r="13089" spans="32:32" x14ac:dyDescent="0.2">
      <c r="AF13089" s="12"/>
    </row>
    <row r="13090" spans="32:32" x14ac:dyDescent="0.2">
      <c r="AF13090" s="12"/>
    </row>
    <row r="13091" spans="32:32" x14ac:dyDescent="0.2">
      <c r="AF13091" s="12"/>
    </row>
    <row r="13092" spans="32:32" x14ac:dyDescent="0.2">
      <c r="AF13092" s="12"/>
    </row>
    <row r="13093" spans="32:32" x14ac:dyDescent="0.2">
      <c r="AF13093" s="12"/>
    </row>
    <row r="13094" spans="32:32" x14ac:dyDescent="0.2">
      <c r="AF13094" s="12"/>
    </row>
    <row r="13095" spans="32:32" x14ac:dyDescent="0.2">
      <c r="AF13095" s="12"/>
    </row>
    <row r="13096" spans="32:32" x14ac:dyDescent="0.2">
      <c r="AF13096" s="12"/>
    </row>
    <row r="13097" spans="32:32" x14ac:dyDescent="0.2">
      <c r="AF13097" s="12"/>
    </row>
    <row r="13098" spans="32:32" x14ac:dyDescent="0.2">
      <c r="AF13098" s="12"/>
    </row>
    <row r="13099" spans="32:32" x14ac:dyDescent="0.2">
      <c r="AF13099" s="12"/>
    </row>
    <row r="13100" spans="32:32" x14ac:dyDescent="0.2">
      <c r="AF13100" s="12"/>
    </row>
    <row r="13101" spans="32:32" x14ac:dyDescent="0.2">
      <c r="AF13101" s="12"/>
    </row>
    <row r="13102" spans="32:32" x14ac:dyDescent="0.2">
      <c r="AF13102" s="12"/>
    </row>
    <row r="13103" spans="32:32" x14ac:dyDescent="0.2">
      <c r="AF13103" s="12"/>
    </row>
    <row r="13104" spans="32:32" x14ac:dyDescent="0.2">
      <c r="AF13104" s="12"/>
    </row>
    <row r="13105" spans="32:32" x14ac:dyDescent="0.2">
      <c r="AF13105" s="12"/>
    </row>
    <row r="13106" spans="32:32" x14ac:dyDescent="0.2">
      <c r="AF13106" s="12"/>
    </row>
    <row r="13107" spans="32:32" x14ac:dyDescent="0.2">
      <c r="AF13107" s="12"/>
    </row>
    <row r="13108" spans="32:32" x14ac:dyDescent="0.2">
      <c r="AF13108" s="12"/>
    </row>
    <row r="13109" spans="32:32" x14ac:dyDescent="0.2">
      <c r="AF13109" s="12"/>
    </row>
    <row r="13110" spans="32:32" x14ac:dyDescent="0.2">
      <c r="AF13110" s="12"/>
    </row>
    <row r="13111" spans="32:32" x14ac:dyDescent="0.2">
      <c r="AF13111" s="12"/>
    </row>
    <row r="13112" spans="32:32" x14ac:dyDescent="0.2">
      <c r="AF13112" s="12"/>
    </row>
    <row r="13113" spans="32:32" x14ac:dyDescent="0.2">
      <c r="AF13113" s="12"/>
    </row>
    <row r="13114" spans="32:32" x14ac:dyDescent="0.2">
      <c r="AF13114" s="12"/>
    </row>
    <row r="13115" spans="32:32" x14ac:dyDescent="0.2">
      <c r="AF13115" s="12"/>
    </row>
    <row r="13116" spans="32:32" x14ac:dyDescent="0.2">
      <c r="AF13116" s="12"/>
    </row>
    <row r="13117" spans="32:32" x14ac:dyDescent="0.2">
      <c r="AF13117" s="12"/>
    </row>
    <row r="13118" spans="32:32" x14ac:dyDescent="0.2">
      <c r="AF13118" s="12"/>
    </row>
    <row r="13119" spans="32:32" x14ac:dyDescent="0.2">
      <c r="AF13119" s="12"/>
    </row>
    <row r="13120" spans="32:32" x14ac:dyDescent="0.2">
      <c r="AF13120" s="12"/>
    </row>
    <row r="13121" spans="32:32" x14ac:dyDescent="0.2">
      <c r="AF13121" s="12"/>
    </row>
    <row r="13122" spans="32:32" x14ac:dyDescent="0.2">
      <c r="AF13122" s="12"/>
    </row>
    <row r="13123" spans="32:32" x14ac:dyDescent="0.2">
      <c r="AF13123" s="12"/>
    </row>
    <row r="13124" spans="32:32" x14ac:dyDescent="0.2">
      <c r="AF13124" s="12"/>
    </row>
    <row r="13125" spans="32:32" x14ac:dyDescent="0.2">
      <c r="AF13125" s="12"/>
    </row>
    <row r="13126" spans="32:32" x14ac:dyDescent="0.2">
      <c r="AF13126" s="12"/>
    </row>
    <row r="13127" spans="32:32" x14ac:dyDescent="0.2">
      <c r="AF13127" s="12"/>
    </row>
    <row r="13128" spans="32:32" x14ac:dyDescent="0.2">
      <c r="AF13128" s="12"/>
    </row>
    <row r="13129" spans="32:32" x14ac:dyDescent="0.2">
      <c r="AF13129" s="12"/>
    </row>
    <row r="13130" spans="32:32" x14ac:dyDescent="0.2">
      <c r="AF13130" s="12"/>
    </row>
    <row r="13131" spans="32:32" x14ac:dyDescent="0.2">
      <c r="AF13131" s="12"/>
    </row>
    <row r="13132" spans="32:32" x14ac:dyDescent="0.2">
      <c r="AF13132" s="12"/>
    </row>
    <row r="13133" spans="32:32" x14ac:dyDescent="0.2">
      <c r="AF13133" s="12"/>
    </row>
    <row r="13134" spans="32:32" x14ac:dyDescent="0.2">
      <c r="AF13134" s="12"/>
    </row>
    <row r="13135" spans="32:32" x14ac:dyDescent="0.2">
      <c r="AF13135" s="12"/>
    </row>
    <row r="13136" spans="32:32" x14ac:dyDescent="0.2">
      <c r="AF13136" s="12"/>
    </row>
    <row r="13137" spans="32:32" x14ac:dyDescent="0.2">
      <c r="AF13137" s="12"/>
    </row>
    <row r="13138" spans="32:32" x14ac:dyDescent="0.2">
      <c r="AF13138" s="12"/>
    </row>
    <row r="13139" spans="32:32" x14ac:dyDescent="0.2">
      <c r="AF13139" s="12"/>
    </row>
    <row r="13140" spans="32:32" x14ac:dyDescent="0.2">
      <c r="AF13140" s="12"/>
    </row>
    <row r="13141" spans="32:32" x14ac:dyDescent="0.2">
      <c r="AF13141" s="12"/>
    </row>
    <row r="13142" spans="32:32" x14ac:dyDescent="0.2">
      <c r="AF13142" s="12"/>
    </row>
    <row r="13143" spans="32:32" x14ac:dyDescent="0.2">
      <c r="AF13143" s="12"/>
    </row>
    <row r="13144" spans="32:32" x14ac:dyDescent="0.2">
      <c r="AF13144" s="12"/>
    </row>
    <row r="13145" spans="32:32" x14ac:dyDescent="0.2">
      <c r="AF13145" s="12"/>
    </row>
    <row r="13146" spans="32:32" x14ac:dyDescent="0.2">
      <c r="AF13146" s="12"/>
    </row>
    <row r="13147" spans="32:32" x14ac:dyDescent="0.2">
      <c r="AF13147" s="12"/>
    </row>
    <row r="13148" spans="32:32" x14ac:dyDescent="0.2">
      <c r="AF13148" s="12"/>
    </row>
    <row r="13149" spans="32:32" x14ac:dyDescent="0.2">
      <c r="AF13149" s="12"/>
    </row>
    <row r="13150" spans="32:32" x14ac:dyDescent="0.2">
      <c r="AF13150" s="12"/>
    </row>
    <row r="13151" spans="32:32" x14ac:dyDescent="0.2">
      <c r="AF13151" s="12"/>
    </row>
    <row r="13152" spans="32:32" x14ac:dyDescent="0.2">
      <c r="AF13152" s="12"/>
    </row>
    <row r="13153" spans="32:32" x14ac:dyDescent="0.2">
      <c r="AF13153" s="12"/>
    </row>
    <row r="13154" spans="32:32" x14ac:dyDescent="0.2">
      <c r="AF13154" s="12"/>
    </row>
    <row r="13155" spans="32:32" x14ac:dyDescent="0.2">
      <c r="AF13155" s="12"/>
    </row>
    <row r="13156" spans="32:32" x14ac:dyDescent="0.2">
      <c r="AF13156" s="12"/>
    </row>
    <row r="13157" spans="32:32" x14ac:dyDescent="0.2">
      <c r="AF13157" s="12"/>
    </row>
    <row r="13158" spans="32:32" x14ac:dyDescent="0.2">
      <c r="AF13158" s="12"/>
    </row>
    <row r="13159" spans="32:32" x14ac:dyDescent="0.2">
      <c r="AF13159" s="12"/>
    </row>
    <row r="13160" spans="32:32" x14ac:dyDescent="0.2">
      <c r="AF13160" s="12"/>
    </row>
    <row r="13161" spans="32:32" x14ac:dyDescent="0.2">
      <c r="AF13161" s="12"/>
    </row>
    <row r="13162" spans="32:32" x14ac:dyDescent="0.2">
      <c r="AF13162" s="12"/>
    </row>
    <row r="13163" spans="32:32" x14ac:dyDescent="0.2">
      <c r="AF13163" s="12"/>
    </row>
    <row r="13164" spans="32:32" x14ac:dyDescent="0.2">
      <c r="AF13164" s="12"/>
    </row>
    <row r="13165" spans="32:32" x14ac:dyDescent="0.2">
      <c r="AF13165" s="12"/>
    </row>
    <row r="13166" spans="32:32" x14ac:dyDescent="0.2">
      <c r="AF13166" s="12"/>
    </row>
    <row r="13167" spans="32:32" x14ac:dyDescent="0.2">
      <c r="AF13167" s="12"/>
    </row>
    <row r="13168" spans="32:32" x14ac:dyDescent="0.2">
      <c r="AF13168" s="12"/>
    </row>
    <row r="13169" spans="32:32" x14ac:dyDescent="0.2">
      <c r="AF13169" s="12"/>
    </row>
    <row r="13170" spans="32:32" x14ac:dyDescent="0.2">
      <c r="AF13170" s="12"/>
    </row>
    <row r="13171" spans="32:32" x14ac:dyDescent="0.2">
      <c r="AF13171" s="12"/>
    </row>
    <row r="13172" spans="32:32" x14ac:dyDescent="0.2">
      <c r="AF13172" s="12"/>
    </row>
    <row r="13173" spans="32:32" x14ac:dyDescent="0.2">
      <c r="AF13173" s="12"/>
    </row>
    <row r="13174" spans="32:32" x14ac:dyDescent="0.2">
      <c r="AF13174" s="12"/>
    </row>
    <row r="13175" spans="32:32" x14ac:dyDescent="0.2">
      <c r="AF13175" s="12"/>
    </row>
    <row r="13176" spans="32:32" x14ac:dyDescent="0.2">
      <c r="AF13176" s="12"/>
    </row>
    <row r="13177" spans="32:32" x14ac:dyDescent="0.2">
      <c r="AF13177" s="12"/>
    </row>
    <row r="13178" spans="32:32" x14ac:dyDescent="0.2">
      <c r="AF13178" s="12"/>
    </row>
    <row r="13179" spans="32:32" x14ac:dyDescent="0.2">
      <c r="AF13179" s="12"/>
    </row>
    <row r="13180" spans="32:32" x14ac:dyDescent="0.2">
      <c r="AF13180" s="12"/>
    </row>
    <row r="13181" spans="32:32" x14ac:dyDescent="0.2">
      <c r="AF13181" s="12"/>
    </row>
    <row r="13182" spans="32:32" x14ac:dyDescent="0.2">
      <c r="AF13182" s="12"/>
    </row>
    <row r="13183" spans="32:32" x14ac:dyDescent="0.2">
      <c r="AF13183" s="12"/>
    </row>
    <row r="13184" spans="32:32" x14ac:dyDescent="0.2">
      <c r="AF13184" s="12"/>
    </row>
    <row r="13185" spans="32:32" x14ac:dyDescent="0.2">
      <c r="AF13185" s="12"/>
    </row>
    <row r="13186" spans="32:32" x14ac:dyDescent="0.2">
      <c r="AF13186" s="12"/>
    </row>
    <row r="13187" spans="32:32" x14ac:dyDescent="0.2">
      <c r="AF13187" s="12"/>
    </row>
    <row r="13188" spans="32:32" x14ac:dyDescent="0.2">
      <c r="AF13188" s="12"/>
    </row>
    <row r="13189" spans="32:32" x14ac:dyDescent="0.2">
      <c r="AF13189" s="12"/>
    </row>
    <row r="13190" spans="32:32" x14ac:dyDescent="0.2">
      <c r="AF13190" s="12"/>
    </row>
    <row r="13191" spans="32:32" x14ac:dyDescent="0.2">
      <c r="AF13191" s="12"/>
    </row>
    <row r="13192" spans="32:32" x14ac:dyDescent="0.2">
      <c r="AF13192" s="12"/>
    </row>
    <row r="13193" spans="32:32" x14ac:dyDescent="0.2">
      <c r="AF13193" s="12"/>
    </row>
    <row r="13194" spans="32:32" x14ac:dyDescent="0.2">
      <c r="AF13194" s="12"/>
    </row>
    <row r="13195" spans="32:32" x14ac:dyDescent="0.2">
      <c r="AF13195" s="12"/>
    </row>
    <row r="13196" spans="32:32" x14ac:dyDescent="0.2">
      <c r="AF13196" s="12"/>
    </row>
    <row r="13197" spans="32:32" x14ac:dyDescent="0.2">
      <c r="AF13197" s="12"/>
    </row>
    <row r="13198" spans="32:32" x14ac:dyDescent="0.2">
      <c r="AF13198" s="12"/>
    </row>
    <row r="13199" spans="32:32" x14ac:dyDescent="0.2">
      <c r="AF13199" s="12"/>
    </row>
    <row r="13200" spans="32:32" x14ac:dyDescent="0.2">
      <c r="AF13200" s="12"/>
    </row>
    <row r="13201" spans="32:32" x14ac:dyDescent="0.2">
      <c r="AF13201" s="12"/>
    </row>
    <row r="13202" spans="32:32" x14ac:dyDescent="0.2">
      <c r="AF13202" s="12"/>
    </row>
    <row r="13203" spans="32:32" x14ac:dyDescent="0.2">
      <c r="AF13203" s="12"/>
    </row>
    <row r="13204" spans="32:32" x14ac:dyDescent="0.2">
      <c r="AF13204" s="12"/>
    </row>
    <row r="13205" spans="32:32" x14ac:dyDescent="0.2">
      <c r="AF13205" s="12"/>
    </row>
    <row r="13206" spans="32:32" x14ac:dyDescent="0.2">
      <c r="AF13206" s="12"/>
    </row>
    <row r="13207" spans="32:32" x14ac:dyDescent="0.2">
      <c r="AF13207" s="12"/>
    </row>
    <row r="13208" spans="32:32" x14ac:dyDescent="0.2">
      <c r="AF13208" s="12"/>
    </row>
    <row r="13209" spans="32:32" x14ac:dyDescent="0.2">
      <c r="AF13209" s="12"/>
    </row>
    <row r="13210" spans="32:32" x14ac:dyDescent="0.2">
      <c r="AF13210" s="12"/>
    </row>
    <row r="13211" spans="32:32" x14ac:dyDescent="0.2">
      <c r="AF13211" s="12"/>
    </row>
    <row r="13212" spans="32:32" x14ac:dyDescent="0.2">
      <c r="AF13212" s="12"/>
    </row>
    <row r="13213" spans="32:32" x14ac:dyDescent="0.2">
      <c r="AF13213" s="12"/>
    </row>
    <row r="13214" spans="32:32" x14ac:dyDescent="0.2">
      <c r="AF13214" s="12"/>
    </row>
    <row r="13215" spans="32:32" x14ac:dyDescent="0.2">
      <c r="AF13215" s="12"/>
    </row>
    <row r="13216" spans="32:32" x14ac:dyDescent="0.2">
      <c r="AF13216" s="12"/>
    </row>
    <row r="13217" spans="32:32" x14ac:dyDescent="0.2">
      <c r="AF13217" s="12"/>
    </row>
    <row r="13218" spans="32:32" x14ac:dyDescent="0.2">
      <c r="AF13218" s="12"/>
    </row>
    <row r="13219" spans="32:32" x14ac:dyDescent="0.2">
      <c r="AF13219" s="12"/>
    </row>
    <row r="13220" spans="32:32" x14ac:dyDescent="0.2">
      <c r="AF13220" s="12"/>
    </row>
    <row r="13221" spans="32:32" x14ac:dyDescent="0.2">
      <c r="AF13221" s="12"/>
    </row>
    <row r="13222" spans="32:32" x14ac:dyDescent="0.2">
      <c r="AF13222" s="12"/>
    </row>
    <row r="13223" spans="32:32" x14ac:dyDescent="0.2">
      <c r="AF13223" s="12"/>
    </row>
    <row r="13224" spans="32:32" x14ac:dyDescent="0.2">
      <c r="AF13224" s="12"/>
    </row>
    <row r="13225" spans="32:32" x14ac:dyDescent="0.2">
      <c r="AF13225" s="12"/>
    </row>
    <row r="13226" spans="32:32" x14ac:dyDescent="0.2">
      <c r="AF13226" s="12"/>
    </row>
    <row r="13227" spans="32:32" x14ac:dyDescent="0.2">
      <c r="AF13227" s="12"/>
    </row>
    <row r="13228" spans="32:32" x14ac:dyDescent="0.2">
      <c r="AF13228" s="12"/>
    </row>
    <row r="13229" spans="32:32" x14ac:dyDescent="0.2">
      <c r="AF13229" s="12"/>
    </row>
    <row r="13230" spans="32:32" x14ac:dyDescent="0.2">
      <c r="AF13230" s="12"/>
    </row>
    <row r="13231" spans="32:32" x14ac:dyDescent="0.2">
      <c r="AF13231" s="12"/>
    </row>
    <row r="13232" spans="32:32" x14ac:dyDescent="0.2">
      <c r="AF13232" s="12"/>
    </row>
    <row r="13233" spans="32:32" x14ac:dyDescent="0.2">
      <c r="AF13233" s="12"/>
    </row>
    <row r="13234" spans="32:32" x14ac:dyDescent="0.2">
      <c r="AF13234" s="12"/>
    </row>
    <row r="13235" spans="32:32" x14ac:dyDescent="0.2">
      <c r="AF13235" s="12"/>
    </row>
    <row r="13236" spans="32:32" x14ac:dyDescent="0.2">
      <c r="AF13236" s="12"/>
    </row>
    <row r="13237" spans="32:32" x14ac:dyDescent="0.2">
      <c r="AF13237" s="12"/>
    </row>
    <row r="13238" spans="32:32" x14ac:dyDescent="0.2">
      <c r="AF13238" s="12"/>
    </row>
    <row r="13239" spans="32:32" x14ac:dyDescent="0.2">
      <c r="AF13239" s="12"/>
    </row>
    <row r="13240" spans="32:32" x14ac:dyDescent="0.2">
      <c r="AF13240" s="12"/>
    </row>
    <row r="13241" spans="32:32" x14ac:dyDescent="0.2">
      <c r="AF13241" s="12"/>
    </row>
    <row r="13242" spans="32:32" x14ac:dyDescent="0.2">
      <c r="AF13242" s="12"/>
    </row>
    <row r="13243" spans="32:32" x14ac:dyDescent="0.2">
      <c r="AF13243" s="12"/>
    </row>
    <row r="13244" spans="32:32" x14ac:dyDescent="0.2">
      <c r="AF13244" s="12"/>
    </row>
    <row r="13245" spans="32:32" x14ac:dyDescent="0.2">
      <c r="AF13245" s="12"/>
    </row>
    <row r="13246" spans="32:32" x14ac:dyDescent="0.2">
      <c r="AF13246" s="12"/>
    </row>
    <row r="13247" spans="32:32" x14ac:dyDescent="0.2">
      <c r="AF13247" s="12"/>
    </row>
    <row r="13248" spans="32:32" x14ac:dyDescent="0.2">
      <c r="AF13248" s="12"/>
    </row>
    <row r="13249" spans="32:32" x14ac:dyDescent="0.2">
      <c r="AF13249" s="12"/>
    </row>
    <row r="13250" spans="32:32" x14ac:dyDescent="0.2">
      <c r="AF13250" s="12"/>
    </row>
    <row r="13251" spans="32:32" x14ac:dyDescent="0.2">
      <c r="AF13251" s="12"/>
    </row>
    <row r="13252" spans="32:32" x14ac:dyDescent="0.2">
      <c r="AF13252" s="12"/>
    </row>
    <row r="13253" spans="32:32" x14ac:dyDescent="0.2">
      <c r="AF13253" s="12"/>
    </row>
    <row r="13254" spans="32:32" x14ac:dyDescent="0.2">
      <c r="AF13254" s="12"/>
    </row>
    <row r="13255" spans="32:32" x14ac:dyDescent="0.2">
      <c r="AF13255" s="12"/>
    </row>
    <row r="13256" spans="32:32" x14ac:dyDescent="0.2">
      <c r="AF13256" s="12"/>
    </row>
    <row r="13257" spans="32:32" x14ac:dyDescent="0.2">
      <c r="AF13257" s="12"/>
    </row>
    <row r="13258" spans="32:32" x14ac:dyDescent="0.2">
      <c r="AF13258" s="12"/>
    </row>
    <row r="13259" spans="32:32" x14ac:dyDescent="0.2">
      <c r="AF13259" s="12"/>
    </row>
    <row r="13260" spans="32:32" x14ac:dyDescent="0.2">
      <c r="AF13260" s="12"/>
    </row>
    <row r="13261" spans="32:32" x14ac:dyDescent="0.2">
      <c r="AF13261" s="12"/>
    </row>
    <row r="13262" spans="32:32" x14ac:dyDescent="0.2">
      <c r="AF13262" s="12"/>
    </row>
    <row r="13263" spans="32:32" x14ac:dyDescent="0.2">
      <c r="AF13263" s="12"/>
    </row>
    <row r="13264" spans="32:32" x14ac:dyDescent="0.2">
      <c r="AF13264" s="12"/>
    </row>
    <row r="13265" spans="32:32" x14ac:dyDescent="0.2">
      <c r="AF13265" s="12"/>
    </row>
    <row r="13266" spans="32:32" x14ac:dyDescent="0.2">
      <c r="AF13266" s="12"/>
    </row>
    <row r="13267" spans="32:32" x14ac:dyDescent="0.2">
      <c r="AF13267" s="12"/>
    </row>
    <row r="13268" spans="32:32" x14ac:dyDescent="0.2">
      <c r="AF13268" s="12"/>
    </row>
    <row r="13269" spans="32:32" x14ac:dyDescent="0.2">
      <c r="AF13269" s="12"/>
    </row>
    <row r="13270" spans="32:32" x14ac:dyDescent="0.2">
      <c r="AF13270" s="12"/>
    </row>
    <row r="13271" spans="32:32" x14ac:dyDescent="0.2">
      <c r="AF13271" s="12"/>
    </row>
    <row r="13272" spans="32:32" x14ac:dyDescent="0.2">
      <c r="AF13272" s="12"/>
    </row>
    <row r="13273" spans="32:32" x14ac:dyDescent="0.2">
      <c r="AF13273" s="12"/>
    </row>
    <row r="13274" spans="32:32" x14ac:dyDescent="0.2">
      <c r="AF13274" s="12"/>
    </row>
    <row r="13275" spans="32:32" x14ac:dyDescent="0.2">
      <c r="AF13275" s="12"/>
    </row>
    <row r="13276" spans="32:32" x14ac:dyDescent="0.2">
      <c r="AF13276" s="12"/>
    </row>
    <row r="13277" spans="32:32" x14ac:dyDescent="0.2">
      <c r="AF13277" s="12"/>
    </row>
    <row r="13278" spans="32:32" x14ac:dyDescent="0.2">
      <c r="AF13278" s="12"/>
    </row>
    <row r="13279" spans="32:32" x14ac:dyDescent="0.2">
      <c r="AF13279" s="12"/>
    </row>
    <row r="13280" spans="32:32" x14ac:dyDescent="0.2">
      <c r="AF13280" s="12"/>
    </row>
    <row r="13281" spans="32:32" x14ac:dyDescent="0.2">
      <c r="AF13281" s="12"/>
    </row>
    <row r="13282" spans="32:32" x14ac:dyDescent="0.2">
      <c r="AF13282" s="12"/>
    </row>
    <row r="13283" spans="32:32" x14ac:dyDescent="0.2">
      <c r="AF13283" s="12"/>
    </row>
    <row r="13284" spans="32:32" x14ac:dyDescent="0.2">
      <c r="AF13284" s="12"/>
    </row>
    <row r="13285" spans="32:32" x14ac:dyDescent="0.2">
      <c r="AF13285" s="12"/>
    </row>
    <row r="13286" spans="32:32" x14ac:dyDescent="0.2">
      <c r="AF13286" s="12"/>
    </row>
    <row r="13287" spans="32:32" x14ac:dyDescent="0.2">
      <c r="AF13287" s="12"/>
    </row>
    <row r="13288" spans="32:32" x14ac:dyDescent="0.2">
      <c r="AF13288" s="12"/>
    </row>
    <row r="13289" spans="32:32" x14ac:dyDescent="0.2">
      <c r="AF13289" s="12"/>
    </row>
    <row r="13290" spans="32:32" x14ac:dyDescent="0.2">
      <c r="AF13290" s="12"/>
    </row>
    <row r="13291" spans="32:32" x14ac:dyDescent="0.2">
      <c r="AF13291" s="12"/>
    </row>
    <row r="13292" spans="32:32" x14ac:dyDescent="0.2">
      <c r="AF13292" s="12"/>
    </row>
    <row r="13293" spans="32:32" x14ac:dyDescent="0.2">
      <c r="AF13293" s="12"/>
    </row>
    <row r="13294" spans="32:32" x14ac:dyDescent="0.2">
      <c r="AF13294" s="12"/>
    </row>
    <row r="13295" spans="32:32" x14ac:dyDescent="0.2">
      <c r="AF13295" s="12"/>
    </row>
    <row r="13296" spans="32:32" x14ac:dyDescent="0.2">
      <c r="AF13296" s="12"/>
    </row>
    <row r="13297" spans="32:32" x14ac:dyDescent="0.2">
      <c r="AF13297" s="12"/>
    </row>
    <row r="13298" spans="32:32" x14ac:dyDescent="0.2">
      <c r="AF13298" s="12"/>
    </row>
    <row r="13299" spans="32:32" x14ac:dyDescent="0.2">
      <c r="AF13299" s="12"/>
    </row>
    <row r="13300" spans="32:32" x14ac:dyDescent="0.2">
      <c r="AF13300" s="12"/>
    </row>
    <row r="13301" spans="32:32" x14ac:dyDescent="0.2">
      <c r="AF13301" s="12"/>
    </row>
    <row r="13302" spans="32:32" x14ac:dyDescent="0.2">
      <c r="AF13302" s="12"/>
    </row>
    <row r="13303" spans="32:32" x14ac:dyDescent="0.2">
      <c r="AF13303" s="12"/>
    </row>
    <row r="13304" spans="32:32" x14ac:dyDescent="0.2">
      <c r="AF13304" s="12"/>
    </row>
    <row r="13305" spans="32:32" x14ac:dyDescent="0.2">
      <c r="AF13305" s="12"/>
    </row>
    <row r="13306" spans="32:32" x14ac:dyDescent="0.2">
      <c r="AF13306" s="12"/>
    </row>
    <row r="13307" spans="32:32" x14ac:dyDescent="0.2">
      <c r="AF13307" s="12"/>
    </row>
    <row r="13308" spans="32:32" x14ac:dyDescent="0.2">
      <c r="AF13308" s="12"/>
    </row>
    <row r="13309" spans="32:32" x14ac:dyDescent="0.2">
      <c r="AF13309" s="12"/>
    </row>
    <row r="13310" spans="32:32" x14ac:dyDescent="0.2">
      <c r="AF13310" s="12"/>
    </row>
    <row r="13311" spans="32:32" x14ac:dyDescent="0.2">
      <c r="AF13311" s="12"/>
    </row>
    <row r="13312" spans="32:32" x14ac:dyDescent="0.2">
      <c r="AF13312" s="12"/>
    </row>
    <row r="13313" spans="32:32" x14ac:dyDescent="0.2">
      <c r="AF13313" s="12"/>
    </row>
    <row r="13314" spans="32:32" x14ac:dyDescent="0.2">
      <c r="AF13314" s="12"/>
    </row>
    <row r="13315" spans="32:32" x14ac:dyDescent="0.2">
      <c r="AF13315" s="12"/>
    </row>
    <row r="13316" spans="32:32" x14ac:dyDescent="0.2">
      <c r="AF13316" s="12"/>
    </row>
    <row r="13317" spans="32:32" x14ac:dyDescent="0.2">
      <c r="AF13317" s="12"/>
    </row>
    <row r="13318" spans="32:32" x14ac:dyDescent="0.2">
      <c r="AF13318" s="12"/>
    </row>
    <row r="13319" spans="32:32" x14ac:dyDescent="0.2">
      <c r="AF13319" s="12"/>
    </row>
    <row r="13320" spans="32:32" x14ac:dyDescent="0.2">
      <c r="AF13320" s="12"/>
    </row>
    <row r="13321" spans="32:32" x14ac:dyDescent="0.2">
      <c r="AF13321" s="12"/>
    </row>
    <row r="13322" spans="32:32" x14ac:dyDescent="0.2">
      <c r="AF13322" s="12"/>
    </row>
    <row r="13323" spans="32:32" x14ac:dyDescent="0.2">
      <c r="AF13323" s="12"/>
    </row>
    <row r="13324" spans="32:32" x14ac:dyDescent="0.2">
      <c r="AF13324" s="12"/>
    </row>
    <row r="13325" spans="32:32" x14ac:dyDescent="0.2">
      <c r="AF13325" s="12"/>
    </row>
    <row r="13326" spans="32:32" x14ac:dyDescent="0.2">
      <c r="AF13326" s="12"/>
    </row>
    <row r="13327" spans="32:32" x14ac:dyDescent="0.2">
      <c r="AF13327" s="12"/>
    </row>
    <row r="13328" spans="32:32" x14ac:dyDescent="0.2">
      <c r="AF13328" s="12"/>
    </row>
    <row r="13329" spans="32:32" x14ac:dyDescent="0.2">
      <c r="AF13329" s="12"/>
    </row>
    <row r="13330" spans="32:32" x14ac:dyDescent="0.2">
      <c r="AF13330" s="12"/>
    </row>
    <row r="13331" spans="32:32" x14ac:dyDescent="0.2">
      <c r="AF13331" s="12"/>
    </row>
    <row r="13332" spans="32:32" x14ac:dyDescent="0.2">
      <c r="AF13332" s="12"/>
    </row>
    <row r="13333" spans="32:32" x14ac:dyDescent="0.2">
      <c r="AF13333" s="12"/>
    </row>
    <row r="13334" spans="32:32" x14ac:dyDescent="0.2">
      <c r="AF13334" s="12"/>
    </row>
    <row r="13335" spans="32:32" x14ac:dyDescent="0.2">
      <c r="AF13335" s="12"/>
    </row>
    <row r="13336" spans="32:32" x14ac:dyDescent="0.2">
      <c r="AF13336" s="12"/>
    </row>
    <row r="13337" spans="32:32" x14ac:dyDescent="0.2">
      <c r="AF13337" s="12"/>
    </row>
    <row r="13338" spans="32:32" x14ac:dyDescent="0.2">
      <c r="AF13338" s="12"/>
    </row>
    <row r="13339" spans="32:32" x14ac:dyDescent="0.2">
      <c r="AF13339" s="12"/>
    </row>
    <row r="13340" spans="32:32" x14ac:dyDescent="0.2">
      <c r="AF13340" s="12"/>
    </row>
    <row r="13341" spans="32:32" x14ac:dyDescent="0.2">
      <c r="AF13341" s="12"/>
    </row>
    <row r="13342" spans="32:32" x14ac:dyDescent="0.2">
      <c r="AF13342" s="12"/>
    </row>
    <row r="13343" spans="32:32" x14ac:dyDescent="0.2">
      <c r="AF13343" s="12"/>
    </row>
    <row r="13344" spans="32:32" x14ac:dyDescent="0.2">
      <c r="AF13344" s="12"/>
    </row>
    <row r="13345" spans="32:32" x14ac:dyDescent="0.2">
      <c r="AF13345" s="12"/>
    </row>
    <row r="13346" spans="32:32" x14ac:dyDescent="0.2">
      <c r="AF13346" s="12"/>
    </row>
    <row r="13347" spans="32:32" x14ac:dyDescent="0.2">
      <c r="AF13347" s="12"/>
    </row>
    <row r="13348" spans="32:32" x14ac:dyDescent="0.2">
      <c r="AF13348" s="12"/>
    </row>
    <row r="13349" spans="32:32" x14ac:dyDescent="0.2">
      <c r="AF13349" s="12"/>
    </row>
    <row r="13350" spans="32:32" x14ac:dyDescent="0.2">
      <c r="AF13350" s="12"/>
    </row>
    <row r="13351" spans="32:32" x14ac:dyDescent="0.2">
      <c r="AF13351" s="12"/>
    </row>
    <row r="13352" spans="32:32" x14ac:dyDescent="0.2">
      <c r="AF13352" s="12"/>
    </row>
    <row r="13353" spans="32:32" x14ac:dyDescent="0.2">
      <c r="AF13353" s="12"/>
    </row>
    <row r="13354" spans="32:32" x14ac:dyDescent="0.2">
      <c r="AF13354" s="12"/>
    </row>
    <row r="13355" spans="32:32" x14ac:dyDescent="0.2">
      <c r="AF13355" s="12"/>
    </row>
    <row r="13356" spans="32:32" x14ac:dyDescent="0.2">
      <c r="AF13356" s="12"/>
    </row>
    <row r="13357" spans="32:32" x14ac:dyDescent="0.2">
      <c r="AF13357" s="12"/>
    </row>
    <row r="13358" spans="32:32" x14ac:dyDescent="0.2">
      <c r="AF13358" s="12"/>
    </row>
    <row r="13359" spans="32:32" x14ac:dyDescent="0.2">
      <c r="AF13359" s="12"/>
    </row>
    <row r="13360" spans="32:32" x14ac:dyDescent="0.2">
      <c r="AF13360" s="12"/>
    </row>
    <row r="13361" spans="32:32" x14ac:dyDescent="0.2">
      <c r="AF13361" s="12"/>
    </row>
    <row r="13362" spans="32:32" x14ac:dyDescent="0.2">
      <c r="AF13362" s="12"/>
    </row>
    <row r="13363" spans="32:32" x14ac:dyDescent="0.2">
      <c r="AF13363" s="12"/>
    </row>
    <row r="13364" spans="32:32" x14ac:dyDescent="0.2">
      <c r="AF13364" s="12"/>
    </row>
    <row r="13365" spans="32:32" x14ac:dyDescent="0.2">
      <c r="AF13365" s="12"/>
    </row>
    <row r="13366" spans="32:32" x14ac:dyDescent="0.2">
      <c r="AF13366" s="12"/>
    </row>
    <row r="13367" spans="32:32" x14ac:dyDescent="0.2">
      <c r="AF13367" s="12"/>
    </row>
    <row r="13368" spans="32:32" x14ac:dyDescent="0.2">
      <c r="AF13368" s="12"/>
    </row>
    <row r="13369" spans="32:32" x14ac:dyDescent="0.2">
      <c r="AF13369" s="12"/>
    </row>
    <row r="13370" spans="32:32" x14ac:dyDescent="0.2">
      <c r="AF13370" s="12"/>
    </row>
    <row r="13371" spans="32:32" x14ac:dyDescent="0.2">
      <c r="AF13371" s="12"/>
    </row>
    <row r="13372" spans="32:32" x14ac:dyDescent="0.2">
      <c r="AF13372" s="12"/>
    </row>
    <row r="13373" spans="32:32" x14ac:dyDescent="0.2">
      <c r="AF13373" s="12"/>
    </row>
    <row r="13374" spans="32:32" x14ac:dyDescent="0.2">
      <c r="AF13374" s="12"/>
    </row>
    <row r="13375" spans="32:32" x14ac:dyDescent="0.2">
      <c r="AF13375" s="12"/>
    </row>
    <row r="13376" spans="32:32" x14ac:dyDescent="0.2">
      <c r="AF13376" s="12"/>
    </row>
    <row r="13377" spans="32:32" x14ac:dyDescent="0.2">
      <c r="AF13377" s="12"/>
    </row>
    <row r="13378" spans="32:32" x14ac:dyDescent="0.2">
      <c r="AF13378" s="12"/>
    </row>
    <row r="13379" spans="32:32" x14ac:dyDescent="0.2">
      <c r="AF13379" s="12"/>
    </row>
    <row r="13380" spans="32:32" x14ac:dyDescent="0.2">
      <c r="AF13380" s="12"/>
    </row>
    <row r="13381" spans="32:32" x14ac:dyDescent="0.2">
      <c r="AF13381" s="12"/>
    </row>
    <row r="13382" spans="32:32" x14ac:dyDescent="0.2">
      <c r="AF13382" s="12"/>
    </row>
    <row r="13383" spans="32:32" x14ac:dyDescent="0.2">
      <c r="AF13383" s="12"/>
    </row>
    <row r="13384" spans="32:32" x14ac:dyDescent="0.2">
      <c r="AF13384" s="12"/>
    </row>
    <row r="13385" spans="32:32" x14ac:dyDescent="0.2">
      <c r="AF13385" s="12"/>
    </row>
    <row r="13386" spans="32:32" x14ac:dyDescent="0.2">
      <c r="AF13386" s="12"/>
    </row>
    <row r="13387" spans="32:32" x14ac:dyDescent="0.2">
      <c r="AF13387" s="12"/>
    </row>
    <row r="13388" spans="32:32" x14ac:dyDescent="0.2">
      <c r="AF13388" s="12"/>
    </row>
    <row r="13389" spans="32:32" x14ac:dyDescent="0.2">
      <c r="AF13389" s="12"/>
    </row>
    <row r="13390" spans="32:32" x14ac:dyDescent="0.2">
      <c r="AF13390" s="12"/>
    </row>
    <row r="13391" spans="32:32" x14ac:dyDescent="0.2">
      <c r="AF13391" s="12"/>
    </row>
    <row r="13392" spans="32:32" x14ac:dyDescent="0.2">
      <c r="AF13392" s="12"/>
    </row>
    <row r="13393" spans="32:32" x14ac:dyDescent="0.2">
      <c r="AF13393" s="12"/>
    </row>
    <row r="13394" spans="32:32" x14ac:dyDescent="0.2">
      <c r="AF13394" s="12"/>
    </row>
    <row r="13395" spans="32:32" x14ac:dyDescent="0.2">
      <c r="AF13395" s="12"/>
    </row>
    <row r="13396" spans="32:32" x14ac:dyDescent="0.2">
      <c r="AF13396" s="12"/>
    </row>
    <row r="13397" spans="32:32" x14ac:dyDescent="0.2">
      <c r="AF13397" s="12"/>
    </row>
    <row r="13398" spans="32:32" x14ac:dyDescent="0.2">
      <c r="AF13398" s="12"/>
    </row>
    <row r="13399" spans="32:32" x14ac:dyDescent="0.2">
      <c r="AF13399" s="12"/>
    </row>
    <row r="13400" spans="32:32" x14ac:dyDescent="0.2">
      <c r="AF13400" s="12"/>
    </row>
    <row r="13401" spans="32:32" x14ac:dyDescent="0.2">
      <c r="AF13401" s="12"/>
    </row>
    <row r="13402" spans="32:32" x14ac:dyDescent="0.2">
      <c r="AF13402" s="12"/>
    </row>
    <row r="13403" spans="32:32" x14ac:dyDescent="0.2">
      <c r="AF13403" s="12"/>
    </row>
    <row r="13404" spans="32:32" x14ac:dyDescent="0.2">
      <c r="AF13404" s="12"/>
    </row>
    <row r="13405" spans="32:32" x14ac:dyDescent="0.2">
      <c r="AF13405" s="12"/>
    </row>
    <row r="13406" spans="32:32" x14ac:dyDescent="0.2">
      <c r="AF13406" s="12"/>
    </row>
    <row r="13407" spans="32:32" x14ac:dyDescent="0.2">
      <c r="AF13407" s="12"/>
    </row>
    <row r="13408" spans="32:32" x14ac:dyDescent="0.2">
      <c r="AF13408" s="12"/>
    </row>
    <row r="13409" spans="32:32" x14ac:dyDescent="0.2">
      <c r="AF13409" s="12"/>
    </row>
    <row r="13410" spans="32:32" x14ac:dyDescent="0.2">
      <c r="AF13410" s="12"/>
    </row>
    <row r="13411" spans="32:32" x14ac:dyDescent="0.2">
      <c r="AF13411" s="12"/>
    </row>
    <row r="13412" spans="32:32" x14ac:dyDescent="0.2">
      <c r="AF13412" s="12"/>
    </row>
    <row r="13413" spans="32:32" x14ac:dyDescent="0.2">
      <c r="AF13413" s="12"/>
    </row>
    <row r="13414" spans="32:32" x14ac:dyDescent="0.2">
      <c r="AF13414" s="12"/>
    </row>
    <row r="13415" spans="32:32" x14ac:dyDescent="0.2">
      <c r="AF13415" s="12"/>
    </row>
    <row r="13416" spans="32:32" x14ac:dyDescent="0.2">
      <c r="AF13416" s="12"/>
    </row>
    <row r="13417" spans="32:32" x14ac:dyDescent="0.2">
      <c r="AF13417" s="12"/>
    </row>
    <row r="13418" spans="32:32" x14ac:dyDescent="0.2">
      <c r="AF13418" s="12"/>
    </row>
    <row r="13419" spans="32:32" x14ac:dyDescent="0.2">
      <c r="AF13419" s="12"/>
    </row>
    <row r="13420" spans="32:32" x14ac:dyDescent="0.2">
      <c r="AF13420" s="12"/>
    </row>
    <row r="13421" spans="32:32" x14ac:dyDescent="0.2">
      <c r="AF13421" s="12"/>
    </row>
    <row r="13422" spans="32:32" x14ac:dyDescent="0.2">
      <c r="AF13422" s="12"/>
    </row>
    <row r="13423" spans="32:32" x14ac:dyDescent="0.2">
      <c r="AF13423" s="12"/>
    </row>
    <row r="13424" spans="32:32" x14ac:dyDescent="0.2">
      <c r="AF13424" s="12"/>
    </row>
    <row r="13425" spans="32:32" x14ac:dyDescent="0.2">
      <c r="AF13425" s="12"/>
    </row>
    <row r="13426" spans="32:32" x14ac:dyDescent="0.2">
      <c r="AF13426" s="12"/>
    </row>
    <row r="13427" spans="32:32" x14ac:dyDescent="0.2">
      <c r="AF13427" s="12"/>
    </row>
    <row r="13428" spans="32:32" x14ac:dyDescent="0.2">
      <c r="AF13428" s="12"/>
    </row>
    <row r="13429" spans="32:32" x14ac:dyDescent="0.2">
      <c r="AF13429" s="12"/>
    </row>
    <row r="13430" spans="32:32" x14ac:dyDescent="0.2">
      <c r="AF13430" s="12"/>
    </row>
    <row r="13431" spans="32:32" x14ac:dyDescent="0.2">
      <c r="AF13431" s="12"/>
    </row>
    <row r="13432" spans="32:32" x14ac:dyDescent="0.2">
      <c r="AF13432" s="12"/>
    </row>
    <row r="13433" spans="32:32" x14ac:dyDescent="0.2">
      <c r="AF13433" s="12"/>
    </row>
    <row r="13434" spans="32:32" x14ac:dyDescent="0.2">
      <c r="AF13434" s="12"/>
    </row>
    <row r="13435" spans="32:32" x14ac:dyDescent="0.2">
      <c r="AF13435" s="12"/>
    </row>
    <row r="13436" spans="32:32" x14ac:dyDescent="0.2">
      <c r="AF13436" s="12"/>
    </row>
    <row r="13437" spans="32:32" x14ac:dyDescent="0.2">
      <c r="AF13437" s="12"/>
    </row>
    <row r="13438" spans="32:32" x14ac:dyDescent="0.2">
      <c r="AF13438" s="12"/>
    </row>
    <row r="13439" spans="32:32" x14ac:dyDescent="0.2">
      <c r="AF13439" s="12"/>
    </row>
    <row r="13440" spans="32:32" x14ac:dyDescent="0.2">
      <c r="AF13440" s="12"/>
    </row>
    <row r="13441" spans="32:32" x14ac:dyDescent="0.2">
      <c r="AF13441" s="12"/>
    </row>
    <row r="13442" spans="32:32" x14ac:dyDescent="0.2">
      <c r="AF13442" s="12"/>
    </row>
    <row r="13443" spans="32:32" x14ac:dyDescent="0.2">
      <c r="AF13443" s="12"/>
    </row>
    <row r="13444" spans="32:32" x14ac:dyDescent="0.2">
      <c r="AF13444" s="12"/>
    </row>
    <row r="13445" spans="32:32" x14ac:dyDescent="0.2">
      <c r="AF13445" s="12"/>
    </row>
    <row r="13446" spans="32:32" x14ac:dyDescent="0.2">
      <c r="AF13446" s="12"/>
    </row>
    <row r="13447" spans="32:32" x14ac:dyDescent="0.2">
      <c r="AF13447" s="12"/>
    </row>
    <row r="13448" spans="32:32" x14ac:dyDescent="0.2">
      <c r="AF13448" s="12"/>
    </row>
    <row r="13449" spans="32:32" x14ac:dyDescent="0.2">
      <c r="AF13449" s="12"/>
    </row>
    <row r="13450" spans="32:32" x14ac:dyDescent="0.2">
      <c r="AF13450" s="12"/>
    </row>
    <row r="13451" spans="32:32" x14ac:dyDescent="0.2">
      <c r="AF13451" s="12"/>
    </row>
    <row r="13452" spans="32:32" x14ac:dyDescent="0.2">
      <c r="AF13452" s="12"/>
    </row>
    <row r="13453" spans="32:32" x14ac:dyDescent="0.2">
      <c r="AF13453" s="12"/>
    </row>
    <row r="13454" spans="32:32" x14ac:dyDescent="0.2">
      <c r="AF13454" s="12"/>
    </row>
    <row r="13455" spans="32:32" x14ac:dyDescent="0.2">
      <c r="AF13455" s="12"/>
    </row>
    <row r="13456" spans="32:32" x14ac:dyDescent="0.2">
      <c r="AF13456" s="12"/>
    </row>
    <row r="13457" spans="32:32" x14ac:dyDescent="0.2">
      <c r="AF13457" s="12"/>
    </row>
    <row r="13458" spans="32:32" x14ac:dyDescent="0.2">
      <c r="AF13458" s="12"/>
    </row>
    <row r="13459" spans="32:32" x14ac:dyDescent="0.2">
      <c r="AF13459" s="12"/>
    </row>
    <row r="13460" spans="32:32" x14ac:dyDescent="0.2">
      <c r="AF13460" s="12"/>
    </row>
    <row r="13461" spans="32:32" x14ac:dyDescent="0.2">
      <c r="AF13461" s="12"/>
    </row>
    <row r="13462" spans="32:32" x14ac:dyDescent="0.2">
      <c r="AF13462" s="12"/>
    </row>
    <row r="13463" spans="32:32" x14ac:dyDescent="0.2">
      <c r="AF13463" s="12"/>
    </row>
    <row r="13464" spans="32:32" x14ac:dyDescent="0.2">
      <c r="AF13464" s="12"/>
    </row>
    <row r="13465" spans="32:32" x14ac:dyDescent="0.2">
      <c r="AF13465" s="12"/>
    </row>
    <row r="13466" spans="32:32" x14ac:dyDescent="0.2">
      <c r="AF13466" s="12"/>
    </row>
    <row r="13467" spans="32:32" x14ac:dyDescent="0.2">
      <c r="AF13467" s="12"/>
    </row>
    <row r="13468" spans="32:32" x14ac:dyDescent="0.2">
      <c r="AF13468" s="12"/>
    </row>
    <row r="13469" spans="32:32" x14ac:dyDescent="0.2">
      <c r="AF13469" s="12"/>
    </row>
    <row r="13470" spans="32:32" x14ac:dyDescent="0.2">
      <c r="AF13470" s="12"/>
    </row>
    <row r="13471" spans="32:32" x14ac:dyDescent="0.2">
      <c r="AF13471" s="12"/>
    </row>
    <row r="13472" spans="32:32" x14ac:dyDescent="0.2">
      <c r="AF13472" s="12"/>
    </row>
    <row r="13473" spans="32:32" x14ac:dyDescent="0.2">
      <c r="AF13473" s="12"/>
    </row>
    <row r="13474" spans="32:32" x14ac:dyDescent="0.2">
      <c r="AF13474" s="12"/>
    </row>
    <row r="13475" spans="32:32" x14ac:dyDescent="0.2">
      <c r="AF13475" s="12"/>
    </row>
    <row r="13476" spans="32:32" x14ac:dyDescent="0.2">
      <c r="AF13476" s="12"/>
    </row>
    <row r="13477" spans="32:32" x14ac:dyDescent="0.2">
      <c r="AF13477" s="12"/>
    </row>
    <row r="13478" spans="32:32" x14ac:dyDescent="0.2">
      <c r="AF13478" s="12"/>
    </row>
    <row r="13479" spans="32:32" x14ac:dyDescent="0.2">
      <c r="AF13479" s="12"/>
    </row>
    <row r="13480" spans="32:32" x14ac:dyDescent="0.2">
      <c r="AF13480" s="12"/>
    </row>
    <row r="13481" spans="32:32" x14ac:dyDescent="0.2">
      <c r="AF13481" s="12"/>
    </row>
    <row r="13482" spans="32:32" x14ac:dyDescent="0.2">
      <c r="AF13482" s="12"/>
    </row>
    <row r="13483" spans="32:32" x14ac:dyDescent="0.2">
      <c r="AF13483" s="12"/>
    </row>
    <row r="13484" spans="32:32" x14ac:dyDescent="0.2">
      <c r="AF13484" s="12"/>
    </row>
    <row r="13485" spans="32:32" x14ac:dyDescent="0.2">
      <c r="AF13485" s="12"/>
    </row>
    <row r="13486" spans="32:32" x14ac:dyDescent="0.2">
      <c r="AF13486" s="12"/>
    </row>
    <row r="13487" spans="32:32" x14ac:dyDescent="0.2">
      <c r="AF13487" s="12"/>
    </row>
    <row r="13488" spans="32:32" x14ac:dyDescent="0.2">
      <c r="AF13488" s="12"/>
    </row>
    <row r="13489" spans="32:32" x14ac:dyDescent="0.2">
      <c r="AF13489" s="12"/>
    </row>
    <row r="13490" spans="32:32" x14ac:dyDescent="0.2">
      <c r="AF13490" s="12"/>
    </row>
    <row r="13491" spans="32:32" x14ac:dyDescent="0.2">
      <c r="AF13491" s="12"/>
    </row>
    <row r="13492" spans="32:32" x14ac:dyDescent="0.2">
      <c r="AF13492" s="12"/>
    </row>
    <row r="13493" spans="32:32" x14ac:dyDescent="0.2">
      <c r="AF13493" s="12"/>
    </row>
    <row r="13494" spans="32:32" x14ac:dyDescent="0.2">
      <c r="AF13494" s="12"/>
    </row>
    <row r="13495" spans="32:32" x14ac:dyDescent="0.2">
      <c r="AF13495" s="12"/>
    </row>
    <row r="13496" spans="32:32" x14ac:dyDescent="0.2">
      <c r="AF13496" s="12"/>
    </row>
    <row r="13497" spans="32:32" x14ac:dyDescent="0.2">
      <c r="AF13497" s="12"/>
    </row>
    <row r="13498" spans="32:32" x14ac:dyDescent="0.2">
      <c r="AF13498" s="12"/>
    </row>
    <row r="13499" spans="32:32" x14ac:dyDescent="0.2">
      <c r="AF13499" s="12"/>
    </row>
    <row r="13500" spans="32:32" x14ac:dyDescent="0.2">
      <c r="AF13500" s="12"/>
    </row>
    <row r="13501" spans="32:32" x14ac:dyDescent="0.2">
      <c r="AF13501" s="12"/>
    </row>
    <row r="13502" spans="32:32" x14ac:dyDescent="0.2">
      <c r="AF13502" s="12"/>
    </row>
    <row r="13503" spans="32:32" x14ac:dyDescent="0.2">
      <c r="AF13503" s="12"/>
    </row>
    <row r="13504" spans="32:32" x14ac:dyDescent="0.2">
      <c r="AF13504" s="12"/>
    </row>
    <row r="13505" spans="32:32" x14ac:dyDescent="0.2">
      <c r="AF13505" s="12"/>
    </row>
    <row r="13506" spans="32:32" x14ac:dyDescent="0.2">
      <c r="AF13506" s="12"/>
    </row>
    <row r="13507" spans="32:32" x14ac:dyDescent="0.2">
      <c r="AF13507" s="12"/>
    </row>
    <row r="13508" spans="32:32" x14ac:dyDescent="0.2">
      <c r="AF13508" s="12"/>
    </row>
    <row r="13509" spans="32:32" x14ac:dyDescent="0.2">
      <c r="AF13509" s="12"/>
    </row>
    <row r="13510" spans="32:32" x14ac:dyDescent="0.2">
      <c r="AF13510" s="12"/>
    </row>
    <row r="13511" spans="32:32" x14ac:dyDescent="0.2">
      <c r="AF13511" s="12"/>
    </row>
    <row r="13512" spans="32:32" x14ac:dyDescent="0.2">
      <c r="AF13512" s="12"/>
    </row>
    <row r="13513" spans="32:32" x14ac:dyDescent="0.2">
      <c r="AF13513" s="12"/>
    </row>
    <row r="13514" spans="32:32" x14ac:dyDescent="0.2">
      <c r="AF13514" s="12"/>
    </row>
    <row r="13515" spans="32:32" x14ac:dyDescent="0.2">
      <c r="AF13515" s="12"/>
    </row>
    <row r="13516" spans="32:32" x14ac:dyDescent="0.2">
      <c r="AF13516" s="12"/>
    </row>
    <row r="13517" spans="32:32" x14ac:dyDescent="0.2">
      <c r="AF13517" s="12"/>
    </row>
    <row r="13518" spans="32:32" x14ac:dyDescent="0.2">
      <c r="AF13518" s="12"/>
    </row>
    <row r="13519" spans="32:32" x14ac:dyDescent="0.2">
      <c r="AF13519" s="12"/>
    </row>
    <row r="13520" spans="32:32" x14ac:dyDescent="0.2">
      <c r="AF13520" s="12"/>
    </row>
    <row r="13521" spans="32:32" x14ac:dyDescent="0.2">
      <c r="AF13521" s="12"/>
    </row>
    <row r="13522" spans="32:32" x14ac:dyDescent="0.2">
      <c r="AF13522" s="12"/>
    </row>
    <row r="13523" spans="32:32" x14ac:dyDescent="0.2">
      <c r="AF13523" s="12"/>
    </row>
    <row r="13524" spans="32:32" x14ac:dyDescent="0.2">
      <c r="AF13524" s="12"/>
    </row>
    <row r="13525" spans="32:32" x14ac:dyDescent="0.2">
      <c r="AF13525" s="12"/>
    </row>
    <row r="13526" spans="32:32" x14ac:dyDescent="0.2">
      <c r="AF13526" s="12"/>
    </row>
    <row r="13527" spans="32:32" x14ac:dyDescent="0.2">
      <c r="AF13527" s="12"/>
    </row>
    <row r="13528" spans="32:32" x14ac:dyDescent="0.2">
      <c r="AF13528" s="12"/>
    </row>
    <row r="13529" spans="32:32" x14ac:dyDescent="0.2">
      <c r="AF13529" s="12"/>
    </row>
    <row r="13530" spans="32:32" x14ac:dyDescent="0.2">
      <c r="AF13530" s="12"/>
    </row>
    <row r="13531" spans="32:32" x14ac:dyDescent="0.2">
      <c r="AF13531" s="12"/>
    </row>
    <row r="13532" spans="32:32" x14ac:dyDescent="0.2">
      <c r="AF13532" s="12"/>
    </row>
    <row r="13533" spans="32:32" x14ac:dyDescent="0.2">
      <c r="AF13533" s="12"/>
    </row>
    <row r="13534" spans="32:32" x14ac:dyDescent="0.2">
      <c r="AF13534" s="12"/>
    </row>
    <row r="13535" spans="32:32" x14ac:dyDescent="0.2">
      <c r="AF13535" s="12"/>
    </row>
    <row r="13536" spans="32:32" x14ac:dyDescent="0.2">
      <c r="AF13536" s="12"/>
    </row>
    <row r="13537" spans="32:32" x14ac:dyDescent="0.2">
      <c r="AF13537" s="12"/>
    </row>
    <row r="13538" spans="32:32" x14ac:dyDescent="0.2">
      <c r="AF13538" s="12"/>
    </row>
    <row r="13539" spans="32:32" x14ac:dyDescent="0.2">
      <c r="AF13539" s="12"/>
    </row>
    <row r="13540" spans="32:32" x14ac:dyDescent="0.2">
      <c r="AF13540" s="12"/>
    </row>
    <row r="13541" spans="32:32" x14ac:dyDescent="0.2">
      <c r="AF13541" s="12"/>
    </row>
    <row r="13542" spans="32:32" x14ac:dyDescent="0.2">
      <c r="AF13542" s="12"/>
    </row>
    <row r="13543" spans="32:32" x14ac:dyDescent="0.2">
      <c r="AF13543" s="12"/>
    </row>
    <row r="13544" spans="32:32" x14ac:dyDescent="0.2">
      <c r="AF13544" s="12"/>
    </row>
    <row r="13545" spans="32:32" x14ac:dyDescent="0.2">
      <c r="AF13545" s="12"/>
    </row>
    <row r="13546" spans="32:32" x14ac:dyDescent="0.2">
      <c r="AF13546" s="12"/>
    </row>
    <row r="13547" spans="32:32" x14ac:dyDescent="0.2">
      <c r="AF13547" s="12"/>
    </row>
    <row r="13548" spans="32:32" x14ac:dyDescent="0.2">
      <c r="AF13548" s="12"/>
    </row>
    <row r="13549" spans="32:32" x14ac:dyDescent="0.2">
      <c r="AF13549" s="12"/>
    </row>
    <row r="13550" spans="32:32" x14ac:dyDescent="0.2">
      <c r="AF13550" s="12"/>
    </row>
    <row r="13551" spans="32:32" x14ac:dyDescent="0.2">
      <c r="AF13551" s="12"/>
    </row>
    <row r="13552" spans="32:32" x14ac:dyDescent="0.2">
      <c r="AF13552" s="12"/>
    </row>
    <row r="13553" spans="32:32" x14ac:dyDescent="0.2">
      <c r="AF13553" s="12"/>
    </row>
    <row r="13554" spans="32:32" x14ac:dyDescent="0.2">
      <c r="AF13554" s="12"/>
    </row>
    <row r="13555" spans="32:32" x14ac:dyDescent="0.2">
      <c r="AF13555" s="12"/>
    </row>
    <row r="13556" spans="32:32" x14ac:dyDescent="0.2">
      <c r="AF13556" s="12"/>
    </row>
    <row r="13557" spans="32:32" x14ac:dyDescent="0.2">
      <c r="AF13557" s="12"/>
    </row>
    <row r="13558" spans="32:32" x14ac:dyDescent="0.2">
      <c r="AF13558" s="12"/>
    </row>
    <row r="13559" spans="32:32" x14ac:dyDescent="0.2">
      <c r="AF13559" s="12"/>
    </row>
    <row r="13560" spans="32:32" x14ac:dyDescent="0.2">
      <c r="AF13560" s="12"/>
    </row>
    <row r="13561" spans="32:32" x14ac:dyDescent="0.2">
      <c r="AF13561" s="12"/>
    </row>
    <row r="13562" spans="32:32" x14ac:dyDescent="0.2">
      <c r="AF13562" s="12"/>
    </row>
    <row r="13563" spans="32:32" x14ac:dyDescent="0.2">
      <c r="AF13563" s="12"/>
    </row>
    <row r="13564" spans="32:32" x14ac:dyDescent="0.2">
      <c r="AF13564" s="12"/>
    </row>
    <row r="13565" spans="32:32" x14ac:dyDescent="0.2">
      <c r="AF13565" s="12"/>
    </row>
    <row r="13566" spans="32:32" x14ac:dyDescent="0.2">
      <c r="AF13566" s="12"/>
    </row>
    <row r="13567" spans="32:32" x14ac:dyDescent="0.2">
      <c r="AF13567" s="12"/>
    </row>
    <row r="13568" spans="32:32" x14ac:dyDescent="0.2">
      <c r="AF13568" s="12"/>
    </row>
    <row r="13569" spans="32:32" x14ac:dyDescent="0.2">
      <c r="AF13569" s="12"/>
    </row>
    <row r="13570" spans="32:32" x14ac:dyDescent="0.2">
      <c r="AF13570" s="12"/>
    </row>
    <row r="13571" spans="32:32" x14ac:dyDescent="0.2">
      <c r="AF13571" s="12"/>
    </row>
    <row r="13572" spans="32:32" x14ac:dyDescent="0.2">
      <c r="AF13572" s="12"/>
    </row>
    <row r="13573" spans="32:32" x14ac:dyDescent="0.2">
      <c r="AF13573" s="12"/>
    </row>
    <row r="13574" spans="32:32" x14ac:dyDescent="0.2">
      <c r="AF13574" s="12"/>
    </row>
    <row r="13575" spans="32:32" x14ac:dyDescent="0.2">
      <c r="AF13575" s="12"/>
    </row>
    <row r="13576" spans="32:32" x14ac:dyDescent="0.2">
      <c r="AF13576" s="12"/>
    </row>
    <row r="13577" spans="32:32" x14ac:dyDescent="0.2">
      <c r="AF13577" s="12"/>
    </row>
    <row r="13578" spans="32:32" x14ac:dyDescent="0.2">
      <c r="AF13578" s="12"/>
    </row>
    <row r="13579" spans="32:32" x14ac:dyDescent="0.2">
      <c r="AF13579" s="12"/>
    </row>
    <row r="13580" spans="32:32" x14ac:dyDescent="0.2">
      <c r="AF13580" s="12"/>
    </row>
    <row r="13581" spans="32:32" x14ac:dyDescent="0.2">
      <c r="AF13581" s="12"/>
    </row>
    <row r="13582" spans="32:32" x14ac:dyDescent="0.2">
      <c r="AF13582" s="12"/>
    </row>
    <row r="13583" spans="32:32" x14ac:dyDescent="0.2">
      <c r="AF13583" s="12"/>
    </row>
    <row r="13584" spans="32:32" x14ac:dyDescent="0.2">
      <c r="AF13584" s="12"/>
    </row>
    <row r="13585" spans="32:32" x14ac:dyDescent="0.2">
      <c r="AF13585" s="12"/>
    </row>
    <row r="13586" spans="32:32" x14ac:dyDescent="0.2">
      <c r="AF13586" s="12"/>
    </row>
    <row r="13587" spans="32:32" x14ac:dyDescent="0.2">
      <c r="AF13587" s="12"/>
    </row>
    <row r="13588" spans="32:32" x14ac:dyDescent="0.2">
      <c r="AF13588" s="12"/>
    </row>
    <row r="13589" spans="32:32" x14ac:dyDescent="0.2">
      <c r="AF13589" s="12"/>
    </row>
    <row r="13590" spans="32:32" x14ac:dyDescent="0.2">
      <c r="AF13590" s="12"/>
    </row>
    <row r="13591" spans="32:32" x14ac:dyDescent="0.2">
      <c r="AF13591" s="12"/>
    </row>
    <row r="13592" spans="32:32" x14ac:dyDescent="0.2">
      <c r="AF13592" s="12"/>
    </row>
    <row r="13593" spans="32:32" x14ac:dyDescent="0.2">
      <c r="AF13593" s="12"/>
    </row>
    <row r="13594" spans="32:32" x14ac:dyDescent="0.2">
      <c r="AF13594" s="12"/>
    </row>
    <row r="13595" spans="32:32" x14ac:dyDescent="0.2">
      <c r="AF13595" s="12"/>
    </row>
    <row r="13596" spans="32:32" x14ac:dyDescent="0.2">
      <c r="AF13596" s="12"/>
    </row>
    <row r="13597" spans="32:32" x14ac:dyDescent="0.2">
      <c r="AF13597" s="12"/>
    </row>
    <row r="13598" spans="32:32" x14ac:dyDescent="0.2">
      <c r="AF13598" s="12"/>
    </row>
    <row r="13599" spans="32:32" x14ac:dyDescent="0.2">
      <c r="AF13599" s="12"/>
    </row>
    <row r="13600" spans="32:32" x14ac:dyDescent="0.2">
      <c r="AF13600" s="12"/>
    </row>
    <row r="13601" spans="32:32" x14ac:dyDescent="0.2">
      <c r="AF13601" s="12"/>
    </row>
    <row r="13602" spans="32:32" x14ac:dyDescent="0.2">
      <c r="AF13602" s="12"/>
    </row>
    <row r="13603" spans="32:32" x14ac:dyDescent="0.2">
      <c r="AF13603" s="12"/>
    </row>
    <row r="13604" spans="32:32" x14ac:dyDescent="0.2">
      <c r="AF13604" s="12"/>
    </row>
    <row r="13605" spans="32:32" x14ac:dyDescent="0.2">
      <c r="AF13605" s="12"/>
    </row>
    <row r="13606" spans="32:32" x14ac:dyDescent="0.2">
      <c r="AF13606" s="12"/>
    </row>
    <row r="13607" spans="32:32" x14ac:dyDescent="0.2">
      <c r="AF13607" s="12"/>
    </row>
    <row r="13608" spans="32:32" x14ac:dyDescent="0.2">
      <c r="AF13608" s="12"/>
    </row>
    <row r="13609" spans="32:32" x14ac:dyDescent="0.2">
      <c r="AF13609" s="12"/>
    </row>
    <row r="13610" spans="32:32" x14ac:dyDescent="0.2">
      <c r="AF13610" s="12"/>
    </row>
    <row r="13611" spans="32:32" x14ac:dyDescent="0.2">
      <c r="AF13611" s="12"/>
    </row>
    <row r="13612" spans="32:32" x14ac:dyDescent="0.2">
      <c r="AF13612" s="12"/>
    </row>
    <row r="13613" spans="32:32" x14ac:dyDescent="0.2">
      <c r="AF13613" s="12"/>
    </row>
    <row r="13614" spans="32:32" x14ac:dyDescent="0.2">
      <c r="AF13614" s="12"/>
    </row>
    <row r="13615" spans="32:32" x14ac:dyDescent="0.2">
      <c r="AF13615" s="12"/>
    </row>
    <row r="13616" spans="32:32" x14ac:dyDescent="0.2">
      <c r="AF13616" s="12"/>
    </row>
    <row r="13617" spans="32:32" x14ac:dyDescent="0.2">
      <c r="AF13617" s="12"/>
    </row>
    <row r="13618" spans="32:32" x14ac:dyDescent="0.2">
      <c r="AF13618" s="12"/>
    </row>
    <row r="13619" spans="32:32" x14ac:dyDescent="0.2">
      <c r="AF13619" s="12"/>
    </row>
    <row r="13620" spans="32:32" x14ac:dyDescent="0.2">
      <c r="AF13620" s="12"/>
    </row>
    <row r="13621" spans="32:32" x14ac:dyDescent="0.2">
      <c r="AF13621" s="12"/>
    </row>
    <row r="13622" spans="32:32" x14ac:dyDescent="0.2">
      <c r="AF13622" s="12"/>
    </row>
    <row r="13623" spans="32:32" x14ac:dyDescent="0.2">
      <c r="AF13623" s="12"/>
    </row>
    <row r="13624" spans="32:32" x14ac:dyDescent="0.2">
      <c r="AF13624" s="12"/>
    </row>
    <row r="13625" spans="32:32" x14ac:dyDescent="0.2">
      <c r="AF13625" s="12"/>
    </row>
    <row r="13626" spans="32:32" x14ac:dyDescent="0.2">
      <c r="AF13626" s="12"/>
    </row>
    <row r="13627" spans="32:32" x14ac:dyDescent="0.2">
      <c r="AF13627" s="12"/>
    </row>
    <row r="13628" spans="32:32" x14ac:dyDescent="0.2">
      <c r="AF13628" s="12"/>
    </row>
    <row r="13629" spans="32:32" x14ac:dyDescent="0.2">
      <c r="AF13629" s="12"/>
    </row>
    <row r="13630" spans="32:32" x14ac:dyDescent="0.2">
      <c r="AF13630" s="12"/>
    </row>
    <row r="13631" spans="32:32" x14ac:dyDescent="0.2">
      <c r="AF13631" s="12"/>
    </row>
    <row r="13632" spans="32:32" x14ac:dyDescent="0.2">
      <c r="AF13632" s="12"/>
    </row>
    <row r="13633" spans="32:32" x14ac:dyDescent="0.2">
      <c r="AF13633" s="12"/>
    </row>
    <row r="13634" spans="32:32" x14ac:dyDescent="0.2">
      <c r="AF13634" s="12"/>
    </row>
    <row r="13635" spans="32:32" x14ac:dyDescent="0.2">
      <c r="AF13635" s="12"/>
    </row>
    <row r="13636" spans="32:32" x14ac:dyDescent="0.2">
      <c r="AF13636" s="12"/>
    </row>
    <row r="13637" spans="32:32" x14ac:dyDescent="0.2">
      <c r="AF13637" s="12"/>
    </row>
    <row r="13638" spans="32:32" x14ac:dyDescent="0.2">
      <c r="AF13638" s="12"/>
    </row>
    <row r="13639" spans="32:32" x14ac:dyDescent="0.2">
      <c r="AF13639" s="12"/>
    </row>
    <row r="13640" spans="32:32" x14ac:dyDescent="0.2">
      <c r="AF13640" s="12"/>
    </row>
    <row r="13641" spans="32:32" x14ac:dyDescent="0.2">
      <c r="AF13641" s="12"/>
    </row>
    <row r="13642" spans="32:32" x14ac:dyDescent="0.2">
      <c r="AF13642" s="12"/>
    </row>
    <row r="13643" spans="32:32" x14ac:dyDescent="0.2">
      <c r="AF13643" s="12"/>
    </row>
    <row r="13644" spans="32:32" x14ac:dyDescent="0.2">
      <c r="AF13644" s="12"/>
    </row>
    <row r="13645" spans="32:32" x14ac:dyDescent="0.2">
      <c r="AF13645" s="12"/>
    </row>
    <row r="13646" spans="32:32" x14ac:dyDescent="0.2">
      <c r="AF13646" s="12"/>
    </row>
    <row r="13647" spans="32:32" x14ac:dyDescent="0.2">
      <c r="AF13647" s="12"/>
    </row>
    <row r="13648" spans="32:32" x14ac:dyDescent="0.2">
      <c r="AF13648" s="12"/>
    </row>
    <row r="13649" spans="32:32" x14ac:dyDescent="0.2">
      <c r="AF13649" s="12"/>
    </row>
    <row r="13650" spans="32:32" x14ac:dyDescent="0.2">
      <c r="AF13650" s="12"/>
    </row>
    <row r="13651" spans="32:32" x14ac:dyDescent="0.2">
      <c r="AF13651" s="12"/>
    </row>
    <row r="13652" spans="32:32" x14ac:dyDescent="0.2">
      <c r="AF13652" s="12"/>
    </row>
    <row r="13653" spans="32:32" x14ac:dyDescent="0.2">
      <c r="AF13653" s="12"/>
    </row>
    <row r="13654" spans="32:32" x14ac:dyDescent="0.2">
      <c r="AF13654" s="12"/>
    </row>
    <row r="13655" spans="32:32" x14ac:dyDescent="0.2">
      <c r="AF13655" s="12"/>
    </row>
    <row r="13656" spans="32:32" x14ac:dyDescent="0.2">
      <c r="AF13656" s="12"/>
    </row>
    <row r="13657" spans="32:32" x14ac:dyDescent="0.2">
      <c r="AF13657" s="12"/>
    </row>
    <row r="13658" spans="32:32" x14ac:dyDescent="0.2">
      <c r="AF13658" s="12"/>
    </row>
    <row r="13659" spans="32:32" x14ac:dyDescent="0.2">
      <c r="AF13659" s="12"/>
    </row>
    <row r="13660" spans="32:32" x14ac:dyDescent="0.2">
      <c r="AF13660" s="12"/>
    </row>
    <row r="13661" spans="32:32" x14ac:dyDescent="0.2">
      <c r="AF13661" s="12"/>
    </row>
    <row r="13662" spans="32:32" x14ac:dyDescent="0.2">
      <c r="AF13662" s="12"/>
    </row>
    <row r="13663" spans="32:32" x14ac:dyDescent="0.2">
      <c r="AF13663" s="12"/>
    </row>
    <row r="13664" spans="32:32" x14ac:dyDescent="0.2">
      <c r="AF13664" s="12"/>
    </row>
    <row r="13665" spans="32:32" x14ac:dyDescent="0.2">
      <c r="AF13665" s="12"/>
    </row>
    <row r="13666" spans="32:32" x14ac:dyDescent="0.2">
      <c r="AF13666" s="12"/>
    </row>
    <row r="13667" spans="32:32" x14ac:dyDescent="0.2">
      <c r="AF13667" s="12"/>
    </row>
    <row r="13668" spans="32:32" x14ac:dyDescent="0.2">
      <c r="AF13668" s="12"/>
    </row>
    <row r="13669" spans="32:32" x14ac:dyDescent="0.2">
      <c r="AF13669" s="12"/>
    </row>
    <row r="13670" spans="32:32" x14ac:dyDescent="0.2">
      <c r="AF13670" s="12"/>
    </row>
    <row r="13671" spans="32:32" x14ac:dyDescent="0.2">
      <c r="AF13671" s="12"/>
    </row>
    <row r="13672" spans="32:32" x14ac:dyDescent="0.2">
      <c r="AF13672" s="12"/>
    </row>
    <row r="13673" spans="32:32" x14ac:dyDescent="0.2">
      <c r="AF13673" s="12"/>
    </row>
    <row r="13674" spans="32:32" x14ac:dyDescent="0.2">
      <c r="AF13674" s="12"/>
    </row>
    <row r="13675" spans="32:32" x14ac:dyDescent="0.2">
      <c r="AF13675" s="12"/>
    </row>
    <row r="13676" spans="32:32" x14ac:dyDescent="0.2">
      <c r="AF13676" s="12"/>
    </row>
    <row r="13677" spans="32:32" x14ac:dyDescent="0.2">
      <c r="AF13677" s="12"/>
    </row>
    <row r="13678" spans="32:32" x14ac:dyDescent="0.2">
      <c r="AF13678" s="12"/>
    </row>
    <row r="13679" spans="32:32" x14ac:dyDescent="0.2">
      <c r="AF13679" s="12"/>
    </row>
    <row r="13680" spans="32:32" x14ac:dyDescent="0.2">
      <c r="AF13680" s="12"/>
    </row>
    <row r="13681" spans="32:32" x14ac:dyDescent="0.2">
      <c r="AF13681" s="12"/>
    </row>
    <row r="13682" spans="32:32" x14ac:dyDescent="0.2">
      <c r="AF13682" s="12"/>
    </row>
    <row r="13683" spans="32:32" x14ac:dyDescent="0.2">
      <c r="AF13683" s="12"/>
    </row>
    <row r="13684" spans="32:32" x14ac:dyDescent="0.2">
      <c r="AF13684" s="12"/>
    </row>
    <row r="13685" spans="32:32" x14ac:dyDescent="0.2">
      <c r="AF13685" s="12"/>
    </row>
    <row r="13686" spans="32:32" x14ac:dyDescent="0.2">
      <c r="AF13686" s="12"/>
    </row>
    <row r="13687" spans="32:32" x14ac:dyDescent="0.2">
      <c r="AF13687" s="12"/>
    </row>
    <row r="13688" spans="32:32" x14ac:dyDescent="0.2">
      <c r="AF13688" s="12"/>
    </row>
    <row r="13689" spans="32:32" x14ac:dyDescent="0.2">
      <c r="AF13689" s="12"/>
    </row>
    <row r="13690" spans="32:32" x14ac:dyDescent="0.2">
      <c r="AF13690" s="12"/>
    </row>
    <row r="13691" spans="32:32" x14ac:dyDescent="0.2">
      <c r="AF13691" s="12"/>
    </row>
    <row r="13692" spans="32:32" x14ac:dyDescent="0.2">
      <c r="AF13692" s="12"/>
    </row>
    <row r="13693" spans="32:32" x14ac:dyDescent="0.2">
      <c r="AF13693" s="12"/>
    </row>
    <row r="13694" spans="32:32" x14ac:dyDescent="0.2">
      <c r="AF13694" s="12"/>
    </row>
    <row r="13695" spans="32:32" x14ac:dyDescent="0.2">
      <c r="AF13695" s="12"/>
    </row>
    <row r="13696" spans="32:32" x14ac:dyDescent="0.2">
      <c r="AF13696" s="12"/>
    </row>
    <row r="13697" spans="32:32" x14ac:dyDescent="0.2">
      <c r="AF13697" s="12"/>
    </row>
    <row r="13698" spans="32:32" x14ac:dyDescent="0.2">
      <c r="AF13698" s="12"/>
    </row>
    <row r="13699" spans="32:32" x14ac:dyDescent="0.2">
      <c r="AF13699" s="12"/>
    </row>
    <row r="13700" spans="32:32" x14ac:dyDescent="0.2">
      <c r="AF13700" s="12"/>
    </row>
    <row r="13701" spans="32:32" x14ac:dyDescent="0.2">
      <c r="AF13701" s="12"/>
    </row>
    <row r="13702" spans="32:32" x14ac:dyDescent="0.2">
      <c r="AF13702" s="12"/>
    </row>
    <row r="13703" spans="32:32" x14ac:dyDescent="0.2">
      <c r="AF13703" s="12"/>
    </row>
    <row r="13704" spans="32:32" x14ac:dyDescent="0.2">
      <c r="AF13704" s="12"/>
    </row>
    <row r="13705" spans="32:32" x14ac:dyDescent="0.2">
      <c r="AF13705" s="12"/>
    </row>
    <row r="13706" spans="32:32" x14ac:dyDescent="0.2">
      <c r="AF13706" s="12"/>
    </row>
    <row r="13707" spans="32:32" x14ac:dyDescent="0.2">
      <c r="AF13707" s="12"/>
    </row>
    <row r="13708" spans="32:32" x14ac:dyDescent="0.2">
      <c r="AF13708" s="12"/>
    </row>
    <row r="13709" spans="32:32" x14ac:dyDescent="0.2">
      <c r="AF13709" s="12"/>
    </row>
    <row r="13710" spans="32:32" x14ac:dyDescent="0.2">
      <c r="AF13710" s="12"/>
    </row>
    <row r="13711" spans="32:32" x14ac:dyDescent="0.2">
      <c r="AF13711" s="12"/>
    </row>
    <row r="13712" spans="32:32" x14ac:dyDescent="0.2">
      <c r="AF13712" s="12"/>
    </row>
    <row r="13713" spans="32:32" x14ac:dyDescent="0.2">
      <c r="AF13713" s="12"/>
    </row>
    <row r="13714" spans="32:32" x14ac:dyDescent="0.2">
      <c r="AF13714" s="12"/>
    </row>
    <row r="13715" spans="32:32" x14ac:dyDescent="0.2">
      <c r="AF13715" s="12"/>
    </row>
    <row r="13716" spans="32:32" x14ac:dyDescent="0.2">
      <c r="AF13716" s="12"/>
    </row>
    <row r="13717" spans="32:32" x14ac:dyDescent="0.2">
      <c r="AF13717" s="12"/>
    </row>
    <row r="13718" spans="32:32" x14ac:dyDescent="0.2">
      <c r="AF13718" s="12"/>
    </row>
    <row r="13719" spans="32:32" x14ac:dyDescent="0.2">
      <c r="AF13719" s="12"/>
    </row>
    <row r="13720" spans="32:32" x14ac:dyDescent="0.2">
      <c r="AF13720" s="12"/>
    </row>
    <row r="13721" spans="32:32" x14ac:dyDescent="0.2">
      <c r="AF13721" s="12"/>
    </row>
    <row r="13722" spans="32:32" x14ac:dyDescent="0.2">
      <c r="AF13722" s="12"/>
    </row>
    <row r="13723" spans="32:32" x14ac:dyDescent="0.2">
      <c r="AF13723" s="12"/>
    </row>
    <row r="13724" spans="32:32" x14ac:dyDescent="0.2">
      <c r="AF13724" s="12"/>
    </row>
    <row r="13725" spans="32:32" x14ac:dyDescent="0.2">
      <c r="AF13725" s="12"/>
    </row>
    <row r="13726" spans="32:32" x14ac:dyDescent="0.2">
      <c r="AF13726" s="12"/>
    </row>
    <row r="13727" spans="32:32" x14ac:dyDescent="0.2">
      <c r="AF13727" s="12"/>
    </row>
    <row r="13728" spans="32:32" x14ac:dyDescent="0.2">
      <c r="AF13728" s="12"/>
    </row>
    <row r="13729" spans="32:32" x14ac:dyDescent="0.2">
      <c r="AF13729" s="12"/>
    </row>
    <row r="13730" spans="32:32" x14ac:dyDescent="0.2">
      <c r="AF13730" s="12"/>
    </row>
    <row r="13731" spans="32:32" x14ac:dyDescent="0.2">
      <c r="AF13731" s="12"/>
    </row>
    <row r="13732" spans="32:32" x14ac:dyDescent="0.2">
      <c r="AF13732" s="12"/>
    </row>
    <row r="13733" spans="32:32" x14ac:dyDescent="0.2">
      <c r="AF13733" s="12"/>
    </row>
    <row r="13734" spans="32:32" x14ac:dyDescent="0.2">
      <c r="AF13734" s="12"/>
    </row>
    <row r="13735" spans="32:32" x14ac:dyDescent="0.2">
      <c r="AF13735" s="12"/>
    </row>
    <row r="13736" spans="32:32" x14ac:dyDescent="0.2">
      <c r="AF13736" s="12"/>
    </row>
    <row r="13737" spans="32:32" x14ac:dyDescent="0.2">
      <c r="AF13737" s="12"/>
    </row>
    <row r="13738" spans="32:32" x14ac:dyDescent="0.2">
      <c r="AF13738" s="12"/>
    </row>
    <row r="13739" spans="32:32" x14ac:dyDescent="0.2">
      <c r="AF13739" s="12"/>
    </row>
    <row r="13740" spans="32:32" x14ac:dyDescent="0.2">
      <c r="AF13740" s="12"/>
    </row>
    <row r="13741" spans="32:32" x14ac:dyDescent="0.2">
      <c r="AF13741" s="12"/>
    </row>
    <row r="13742" spans="32:32" x14ac:dyDescent="0.2">
      <c r="AF13742" s="12"/>
    </row>
    <row r="13743" spans="32:32" x14ac:dyDescent="0.2">
      <c r="AF13743" s="12"/>
    </row>
    <row r="13744" spans="32:32" x14ac:dyDescent="0.2">
      <c r="AF13744" s="12"/>
    </row>
    <row r="13745" spans="32:32" x14ac:dyDescent="0.2">
      <c r="AF13745" s="12"/>
    </row>
    <row r="13746" spans="32:32" x14ac:dyDescent="0.2">
      <c r="AF13746" s="12"/>
    </row>
    <row r="13747" spans="32:32" x14ac:dyDescent="0.2">
      <c r="AF13747" s="12"/>
    </row>
    <row r="13748" spans="32:32" x14ac:dyDescent="0.2">
      <c r="AF13748" s="12"/>
    </row>
    <row r="13749" spans="32:32" x14ac:dyDescent="0.2">
      <c r="AF13749" s="12"/>
    </row>
    <row r="13750" spans="32:32" x14ac:dyDescent="0.2">
      <c r="AF13750" s="12"/>
    </row>
    <row r="13751" spans="32:32" x14ac:dyDescent="0.2">
      <c r="AF13751" s="12"/>
    </row>
    <row r="13752" spans="32:32" x14ac:dyDescent="0.2">
      <c r="AF13752" s="12"/>
    </row>
    <row r="13753" spans="32:32" x14ac:dyDescent="0.2">
      <c r="AF13753" s="12"/>
    </row>
    <row r="13754" spans="32:32" x14ac:dyDescent="0.2">
      <c r="AF13754" s="12"/>
    </row>
    <row r="13755" spans="32:32" x14ac:dyDescent="0.2">
      <c r="AF13755" s="12"/>
    </row>
    <row r="13756" spans="32:32" x14ac:dyDescent="0.2">
      <c r="AF13756" s="12"/>
    </row>
    <row r="13757" spans="32:32" x14ac:dyDescent="0.2">
      <c r="AF13757" s="12"/>
    </row>
    <row r="13758" spans="32:32" x14ac:dyDescent="0.2">
      <c r="AF13758" s="12"/>
    </row>
    <row r="13759" spans="32:32" x14ac:dyDescent="0.2">
      <c r="AF13759" s="12"/>
    </row>
    <row r="13760" spans="32:32" x14ac:dyDescent="0.2">
      <c r="AF13760" s="12"/>
    </row>
    <row r="13761" spans="32:32" x14ac:dyDescent="0.2">
      <c r="AF13761" s="12"/>
    </row>
    <row r="13762" spans="32:32" x14ac:dyDescent="0.2">
      <c r="AF13762" s="12"/>
    </row>
    <row r="13763" spans="32:32" x14ac:dyDescent="0.2">
      <c r="AF13763" s="12"/>
    </row>
    <row r="13764" spans="32:32" x14ac:dyDescent="0.2">
      <c r="AF13764" s="12"/>
    </row>
    <row r="13765" spans="32:32" x14ac:dyDescent="0.2">
      <c r="AF13765" s="12"/>
    </row>
    <row r="13766" spans="32:32" x14ac:dyDescent="0.2">
      <c r="AF13766" s="12"/>
    </row>
    <row r="13767" spans="32:32" x14ac:dyDescent="0.2">
      <c r="AF13767" s="12"/>
    </row>
    <row r="13768" spans="32:32" x14ac:dyDescent="0.2">
      <c r="AF13768" s="12"/>
    </row>
    <row r="13769" spans="32:32" x14ac:dyDescent="0.2">
      <c r="AF13769" s="12"/>
    </row>
    <row r="13770" spans="32:32" x14ac:dyDescent="0.2">
      <c r="AF13770" s="12"/>
    </row>
    <row r="13771" spans="32:32" x14ac:dyDescent="0.2">
      <c r="AF13771" s="12"/>
    </row>
    <row r="13772" spans="32:32" x14ac:dyDescent="0.2">
      <c r="AF13772" s="12"/>
    </row>
    <row r="13773" spans="32:32" x14ac:dyDescent="0.2">
      <c r="AF13773" s="12"/>
    </row>
    <row r="13774" spans="32:32" x14ac:dyDescent="0.2">
      <c r="AF13774" s="12"/>
    </row>
    <row r="13775" spans="32:32" x14ac:dyDescent="0.2">
      <c r="AF13775" s="12"/>
    </row>
    <row r="13776" spans="32:32" x14ac:dyDescent="0.2">
      <c r="AF13776" s="12"/>
    </row>
    <row r="13777" spans="32:32" x14ac:dyDescent="0.2">
      <c r="AF13777" s="12"/>
    </row>
    <row r="13778" spans="32:32" x14ac:dyDescent="0.2">
      <c r="AF13778" s="12"/>
    </row>
    <row r="13779" spans="32:32" x14ac:dyDescent="0.2">
      <c r="AF13779" s="12"/>
    </row>
    <row r="13780" spans="32:32" x14ac:dyDescent="0.2">
      <c r="AF13780" s="12"/>
    </row>
    <row r="13781" spans="32:32" x14ac:dyDescent="0.2">
      <c r="AF13781" s="12"/>
    </row>
    <row r="13782" spans="32:32" x14ac:dyDescent="0.2">
      <c r="AF13782" s="12"/>
    </row>
    <row r="13783" spans="32:32" x14ac:dyDescent="0.2">
      <c r="AF13783" s="12"/>
    </row>
    <row r="13784" spans="32:32" x14ac:dyDescent="0.2">
      <c r="AF13784" s="12"/>
    </row>
    <row r="13785" spans="32:32" x14ac:dyDescent="0.2">
      <c r="AF13785" s="12"/>
    </row>
    <row r="13786" spans="32:32" x14ac:dyDescent="0.2">
      <c r="AF13786" s="12"/>
    </row>
    <row r="13787" spans="32:32" x14ac:dyDescent="0.2">
      <c r="AF13787" s="12"/>
    </row>
    <row r="13788" spans="32:32" x14ac:dyDescent="0.2">
      <c r="AF13788" s="12"/>
    </row>
    <row r="13789" spans="32:32" x14ac:dyDescent="0.2">
      <c r="AF13789" s="12"/>
    </row>
    <row r="13790" spans="32:32" x14ac:dyDescent="0.2">
      <c r="AF13790" s="12"/>
    </row>
    <row r="13791" spans="32:32" x14ac:dyDescent="0.2">
      <c r="AF13791" s="12"/>
    </row>
    <row r="13792" spans="32:32" x14ac:dyDescent="0.2">
      <c r="AF13792" s="12"/>
    </row>
    <row r="13793" spans="32:32" x14ac:dyDescent="0.2">
      <c r="AF13793" s="12"/>
    </row>
    <row r="13794" spans="32:32" x14ac:dyDescent="0.2">
      <c r="AF13794" s="12"/>
    </row>
    <row r="13795" spans="32:32" x14ac:dyDescent="0.2">
      <c r="AF13795" s="12"/>
    </row>
    <row r="13796" spans="32:32" x14ac:dyDescent="0.2">
      <c r="AF13796" s="12"/>
    </row>
    <row r="13797" spans="32:32" x14ac:dyDescent="0.2">
      <c r="AF13797" s="12"/>
    </row>
    <row r="13798" spans="32:32" x14ac:dyDescent="0.2">
      <c r="AF13798" s="12"/>
    </row>
    <row r="13799" spans="32:32" x14ac:dyDescent="0.2">
      <c r="AF13799" s="12"/>
    </row>
    <row r="13800" spans="32:32" x14ac:dyDescent="0.2">
      <c r="AF13800" s="12"/>
    </row>
    <row r="13801" spans="32:32" x14ac:dyDescent="0.2">
      <c r="AF13801" s="12"/>
    </row>
    <row r="13802" spans="32:32" x14ac:dyDescent="0.2">
      <c r="AF13802" s="12"/>
    </row>
    <row r="13803" spans="32:32" x14ac:dyDescent="0.2">
      <c r="AF13803" s="12"/>
    </row>
    <row r="13804" spans="32:32" x14ac:dyDescent="0.2">
      <c r="AF13804" s="12"/>
    </row>
    <row r="13805" spans="32:32" x14ac:dyDescent="0.2">
      <c r="AF13805" s="12"/>
    </row>
    <row r="13806" spans="32:32" x14ac:dyDescent="0.2">
      <c r="AF13806" s="12"/>
    </row>
    <row r="13807" spans="32:32" x14ac:dyDescent="0.2">
      <c r="AF13807" s="12"/>
    </row>
    <row r="13808" spans="32:32" x14ac:dyDescent="0.2">
      <c r="AF13808" s="12"/>
    </row>
    <row r="13809" spans="32:32" x14ac:dyDescent="0.2">
      <c r="AF13809" s="12"/>
    </row>
    <row r="13810" spans="32:32" x14ac:dyDescent="0.2">
      <c r="AF13810" s="12"/>
    </row>
    <row r="13811" spans="32:32" x14ac:dyDescent="0.2">
      <c r="AF13811" s="12"/>
    </row>
    <row r="13812" spans="32:32" x14ac:dyDescent="0.2">
      <c r="AF13812" s="12"/>
    </row>
    <row r="13813" spans="32:32" x14ac:dyDescent="0.2">
      <c r="AF13813" s="12"/>
    </row>
    <row r="13814" spans="32:32" x14ac:dyDescent="0.2">
      <c r="AF13814" s="12"/>
    </row>
    <row r="13815" spans="32:32" x14ac:dyDescent="0.2">
      <c r="AF13815" s="12"/>
    </row>
    <row r="13816" spans="32:32" x14ac:dyDescent="0.2">
      <c r="AF13816" s="12"/>
    </row>
    <row r="13817" spans="32:32" x14ac:dyDescent="0.2">
      <c r="AF13817" s="12"/>
    </row>
    <row r="13818" spans="32:32" x14ac:dyDescent="0.2">
      <c r="AF13818" s="12"/>
    </row>
    <row r="13819" spans="32:32" x14ac:dyDescent="0.2">
      <c r="AF13819" s="12"/>
    </row>
    <row r="13820" spans="32:32" x14ac:dyDescent="0.2">
      <c r="AF13820" s="12"/>
    </row>
    <row r="13821" spans="32:32" x14ac:dyDescent="0.2">
      <c r="AF13821" s="12"/>
    </row>
    <row r="13822" spans="32:32" x14ac:dyDescent="0.2">
      <c r="AF13822" s="12"/>
    </row>
    <row r="13823" spans="32:32" x14ac:dyDescent="0.2">
      <c r="AF13823" s="12"/>
    </row>
    <row r="13824" spans="32:32" x14ac:dyDescent="0.2">
      <c r="AF13824" s="12"/>
    </row>
    <row r="13825" spans="32:32" x14ac:dyDescent="0.2">
      <c r="AF13825" s="12"/>
    </row>
    <row r="13826" spans="32:32" x14ac:dyDescent="0.2">
      <c r="AF13826" s="12"/>
    </row>
    <row r="13827" spans="32:32" x14ac:dyDescent="0.2">
      <c r="AF13827" s="12"/>
    </row>
    <row r="13828" spans="32:32" x14ac:dyDescent="0.2">
      <c r="AF13828" s="12"/>
    </row>
    <row r="13829" spans="32:32" x14ac:dyDescent="0.2">
      <c r="AF13829" s="12"/>
    </row>
    <row r="13830" spans="32:32" x14ac:dyDescent="0.2">
      <c r="AF13830" s="12"/>
    </row>
    <row r="13831" spans="32:32" x14ac:dyDescent="0.2">
      <c r="AF13831" s="12"/>
    </row>
    <row r="13832" spans="32:32" x14ac:dyDescent="0.2">
      <c r="AF13832" s="12"/>
    </row>
    <row r="13833" spans="32:32" x14ac:dyDescent="0.2">
      <c r="AF13833" s="12"/>
    </row>
    <row r="13834" spans="32:32" x14ac:dyDescent="0.2">
      <c r="AF13834" s="12"/>
    </row>
    <row r="13835" spans="32:32" x14ac:dyDescent="0.2">
      <c r="AF13835" s="12"/>
    </row>
    <row r="13836" spans="32:32" x14ac:dyDescent="0.2">
      <c r="AF13836" s="12"/>
    </row>
    <row r="13837" spans="32:32" x14ac:dyDescent="0.2">
      <c r="AF13837" s="12"/>
    </row>
    <row r="13838" spans="32:32" x14ac:dyDescent="0.2">
      <c r="AF13838" s="12"/>
    </row>
    <row r="13839" spans="32:32" x14ac:dyDescent="0.2">
      <c r="AF13839" s="12"/>
    </row>
    <row r="13840" spans="32:32" x14ac:dyDescent="0.2">
      <c r="AF13840" s="12"/>
    </row>
    <row r="13841" spans="32:32" x14ac:dyDescent="0.2">
      <c r="AF13841" s="12"/>
    </row>
    <row r="13842" spans="32:32" x14ac:dyDescent="0.2">
      <c r="AF13842" s="12"/>
    </row>
    <row r="13843" spans="32:32" x14ac:dyDescent="0.2">
      <c r="AF13843" s="12"/>
    </row>
    <row r="13844" spans="32:32" x14ac:dyDescent="0.2">
      <c r="AF13844" s="12"/>
    </row>
    <row r="13845" spans="32:32" x14ac:dyDescent="0.2">
      <c r="AF13845" s="12"/>
    </row>
    <row r="13846" spans="32:32" x14ac:dyDescent="0.2">
      <c r="AF13846" s="12"/>
    </row>
    <row r="13847" spans="32:32" x14ac:dyDescent="0.2">
      <c r="AF13847" s="12"/>
    </row>
    <row r="13848" spans="32:32" x14ac:dyDescent="0.2">
      <c r="AF13848" s="12"/>
    </row>
    <row r="13849" spans="32:32" x14ac:dyDescent="0.2">
      <c r="AF13849" s="12"/>
    </row>
    <row r="13850" spans="32:32" x14ac:dyDescent="0.2">
      <c r="AF13850" s="12"/>
    </row>
    <row r="13851" spans="32:32" x14ac:dyDescent="0.2">
      <c r="AF13851" s="12"/>
    </row>
    <row r="13852" spans="32:32" x14ac:dyDescent="0.2">
      <c r="AF13852" s="12"/>
    </row>
    <row r="13853" spans="32:32" x14ac:dyDescent="0.2">
      <c r="AF13853" s="12"/>
    </row>
    <row r="13854" spans="32:32" x14ac:dyDescent="0.2">
      <c r="AF13854" s="12"/>
    </row>
    <row r="13855" spans="32:32" x14ac:dyDescent="0.2">
      <c r="AF13855" s="12"/>
    </row>
    <row r="13856" spans="32:32" x14ac:dyDescent="0.2">
      <c r="AF13856" s="12"/>
    </row>
    <row r="13857" spans="32:32" x14ac:dyDescent="0.2">
      <c r="AF13857" s="12"/>
    </row>
    <row r="13858" spans="32:32" x14ac:dyDescent="0.2">
      <c r="AF13858" s="12"/>
    </row>
    <row r="13859" spans="32:32" x14ac:dyDescent="0.2">
      <c r="AF13859" s="12"/>
    </row>
    <row r="13860" spans="32:32" x14ac:dyDescent="0.2">
      <c r="AF13860" s="12"/>
    </row>
    <row r="13861" spans="32:32" x14ac:dyDescent="0.2">
      <c r="AF13861" s="12"/>
    </row>
    <row r="13862" spans="32:32" x14ac:dyDescent="0.2">
      <c r="AF13862" s="12"/>
    </row>
    <row r="13863" spans="32:32" x14ac:dyDescent="0.2">
      <c r="AF13863" s="12"/>
    </row>
    <row r="13864" spans="32:32" x14ac:dyDescent="0.2">
      <c r="AF13864" s="12"/>
    </row>
    <row r="13865" spans="32:32" x14ac:dyDescent="0.2">
      <c r="AF13865" s="12"/>
    </row>
    <row r="13866" spans="32:32" x14ac:dyDescent="0.2">
      <c r="AF13866" s="12"/>
    </row>
    <row r="13867" spans="32:32" x14ac:dyDescent="0.2">
      <c r="AF13867" s="12"/>
    </row>
    <row r="13868" spans="32:32" x14ac:dyDescent="0.2">
      <c r="AF13868" s="12"/>
    </row>
    <row r="13869" spans="32:32" x14ac:dyDescent="0.2">
      <c r="AF13869" s="12"/>
    </row>
    <row r="13870" spans="32:32" x14ac:dyDescent="0.2">
      <c r="AF13870" s="12"/>
    </row>
    <row r="13871" spans="32:32" x14ac:dyDescent="0.2">
      <c r="AF13871" s="12"/>
    </row>
    <row r="13872" spans="32:32" x14ac:dyDescent="0.2">
      <c r="AF13872" s="12"/>
    </row>
    <row r="13873" spans="32:32" x14ac:dyDescent="0.2">
      <c r="AF13873" s="12"/>
    </row>
    <row r="13874" spans="32:32" x14ac:dyDescent="0.2">
      <c r="AF13874" s="12"/>
    </row>
    <row r="13875" spans="32:32" x14ac:dyDescent="0.2">
      <c r="AF13875" s="12"/>
    </row>
    <row r="13876" spans="32:32" x14ac:dyDescent="0.2">
      <c r="AF13876" s="12"/>
    </row>
    <row r="13877" spans="32:32" x14ac:dyDescent="0.2">
      <c r="AF13877" s="12"/>
    </row>
    <row r="13878" spans="32:32" x14ac:dyDescent="0.2">
      <c r="AF13878" s="12"/>
    </row>
    <row r="13879" spans="32:32" x14ac:dyDescent="0.2">
      <c r="AF13879" s="12"/>
    </row>
    <row r="13880" spans="32:32" x14ac:dyDescent="0.2">
      <c r="AF13880" s="12"/>
    </row>
    <row r="13881" spans="32:32" x14ac:dyDescent="0.2">
      <c r="AF13881" s="12"/>
    </row>
    <row r="13882" spans="32:32" x14ac:dyDescent="0.2">
      <c r="AF13882" s="12"/>
    </row>
    <row r="13883" spans="32:32" x14ac:dyDescent="0.2">
      <c r="AF13883" s="12"/>
    </row>
    <row r="13884" spans="32:32" x14ac:dyDescent="0.2">
      <c r="AF13884" s="12"/>
    </row>
    <row r="13885" spans="32:32" x14ac:dyDescent="0.2">
      <c r="AF13885" s="12"/>
    </row>
    <row r="13886" spans="32:32" x14ac:dyDescent="0.2">
      <c r="AF13886" s="12"/>
    </row>
    <row r="13887" spans="32:32" x14ac:dyDescent="0.2">
      <c r="AF13887" s="12"/>
    </row>
    <row r="13888" spans="32:32" x14ac:dyDescent="0.2">
      <c r="AF13888" s="12"/>
    </row>
    <row r="13889" spans="32:32" x14ac:dyDescent="0.2">
      <c r="AF13889" s="12"/>
    </row>
    <row r="13890" spans="32:32" x14ac:dyDescent="0.2">
      <c r="AF13890" s="12"/>
    </row>
    <row r="13891" spans="32:32" x14ac:dyDescent="0.2">
      <c r="AF13891" s="12"/>
    </row>
    <row r="13892" spans="32:32" x14ac:dyDescent="0.2">
      <c r="AF13892" s="12"/>
    </row>
    <row r="13893" spans="32:32" x14ac:dyDescent="0.2">
      <c r="AF13893" s="12"/>
    </row>
    <row r="13894" spans="32:32" x14ac:dyDescent="0.2">
      <c r="AF13894" s="12"/>
    </row>
    <row r="13895" spans="32:32" x14ac:dyDescent="0.2">
      <c r="AF13895" s="12"/>
    </row>
    <row r="13896" spans="32:32" x14ac:dyDescent="0.2">
      <c r="AF13896" s="12"/>
    </row>
    <row r="13897" spans="32:32" x14ac:dyDescent="0.2">
      <c r="AF13897" s="12"/>
    </row>
    <row r="13898" spans="32:32" x14ac:dyDescent="0.2">
      <c r="AF13898" s="12"/>
    </row>
    <row r="13899" spans="32:32" x14ac:dyDescent="0.2">
      <c r="AF13899" s="12"/>
    </row>
    <row r="13900" spans="32:32" x14ac:dyDescent="0.2">
      <c r="AF13900" s="12"/>
    </row>
    <row r="13901" spans="32:32" x14ac:dyDescent="0.2">
      <c r="AF13901" s="12"/>
    </row>
    <row r="13902" spans="32:32" x14ac:dyDescent="0.2">
      <c r="AF13902" s="12"/>
    </row>
    <row r="13903" spans="32:32" x14ac:dyDescent="0.2">
      <c r="AF13903" s="12"/>
    </row>
    <row r="13904" spans="32:32" x14ac:dyDescent="0.2">
      <c r="AF13904" s="12"/>
    </row>
    <row r="13905" spans="32:32" x14ac:dyDescent="0.2">
      <c r="AF13905" s="12"/>
    </row>
    <row r="13906" spans="32:32" x14ac:dyDescent="0.2">
      <c r="AF13906" s="12"/>
    </row>
    <row r="13907" spans="32:32" x14ac:dyDescent="0.2">
      <c r="AF13907" s="12"/>
    </row>
    <row r="13908" spans="32:32" x14ac:dyDescent="0.2">
      <c r="AF13908" s="12"/>
    </row>
    <row r="13909" spans="32:32" x14ac:dyDescent="0.2">
      <c r="AF13909" s="12"/>
    </row>
    <row r="13910" spans="32:32" x14ac:dyDescent="0.2">
      <c r="AF13910" s="12"/>
    </row>
    <row r="13911" spans="32:32" x14ac:dyDescent="0.2">
      <c r="AF13911" s="12"/>
    </row>
    <row r="13912" spans="32:32" x14ac:dyDescent="0.2">
      <c r="AF13912" s="12"/>
    </row>
    <row r="13913" spans="32:32" x14ac:dyDescent="0.2">
      <c r="AF13913" s="12"/>
    </row>
    <row r="13914" spans="32:32" x14ac:dyDescent="0.2">
      <c r="AF13914" s="12"/>
    </row>
    <row r="13915" spans="32:32" x14ac:dyDescent="0.2">
      <c r="AF13915" s="12"/>
    </row>
    <row r="13916" spans="32:32" x14ac:dyDescent="0.2">
      <c r="AF13916" s="12"/>
    </row>
    <row r="13917" spans="32:32" x14ac:dyDescent="0.2">
      <c r="AF13917" s="12"/>
    </row>
    <row r="13918" spans="32:32" x14ac:dyDescent="0.2">
      <c r="AF13918" s="12"/>
    </row>
    <row r="13919" spans="32:32" x14ac:dyDescent="0.2">
      <c r="AF13919" s="12"/>
    </row>
    <row r="13920" spans="32:32" x14ac:dyDescent="0.2">
      <c r="AF13920" s="12"/>
    </row>
    <row r="13921" spans="32:32" x14ac:dyDescent="0.2">
      <c r="AF13921" s="12"/>
    </row>
    <row r="13922" spans="32:32" x14ac:dyDescent="0.2">
      <c r="AF13922" s="12"/>
    </row>
    <row r="13923" spans="32:32" x14ac:dyDescent="0.2">
      <c r="AF13923" s="12"/>
    </row>
    <row r="13924" spans="32:32" x14ac:dyDescent="0.2">
      <c r="AF13924" s="12"/>
    </row>
    <row r="13925" spans="32:32" x14ac:dyDescent="0.2">
      <c r="AF13925" s="12"/>
    </row>
    <row r="13926" spans="32:32" x14ac:dyDescent="0.2">
      <c r="AF13926" s="12"/>
    </row>
    <row r="13927" spans="32:32" x14ac:dyDescent="0.2">
      <c r="AF13927" s="12"/>
    </row>
    <row r="13928" spans="32:32" x14ac:dyDescent="0.2">
      <c r="AF13928" s="12"/>
    </row>
    <row r="13929" spans="32:32" x14ac:dyDescent="0.2">
      <c r="AF13929" s="12"/>
    </row>
    <row r="13930" spans="32:32" x14ac:dyDescent="0.2">
      <c r="AF13930" s="12"/>
    </row>
    <row r="13931" spans="32:32" x14ac:dyDescent="0.2">
      <c r="AF13931" s="12"/>
    </row>
    <row r="13932" spans="32:32" x14ac:dyDescent="0.2">
      <c r="AF13932" s="12"/>
    </row>
    <row r="13933" spans="32:32" x14ac:dyDescent="0.2">
      <c r="AF13933" s="12"/>
    </row>
    <row r="13934" spans="32:32" x14ac:dyDescent="0.2">
      <c r="AF13934" s="12"/>
    </row>
    <row r="13935" spans="32:32" x14ac:dyDescent="0.2">
      <c r="AF13935" s="12"/>
    </row>
    <row r="13936" spans="32:32" x14ac:dyDescent="0.2">
      <c r="AF13936" s="12"/>
    </row>
    <row r="13937" spans="32:32" x14ac:dyDescent="0.2">
      <c r="AF13937" s="12"/>
    </row>
    <row r="13938" spans="32:32" x14ac:dyDescent="0.2">
      <c r="AF13938" s="12"/>
    </row>
    <row r="13939" spans="32:32" x14ac:dyDescent="0.2">
      <c r="AF13939" s="12"/>
    </row>
    <row r="13940" spans="32:32" x14ac:dyDescent="0.2">
      <c r="AF13940" s="12"/>
    </row>
    <row r="13941" spans="32:32" x14ac:dyDescent="0.2">
      <c r="AF13941" s="12"/>
    </row>
    <row r="13942" spans="32:32" x14ac:dyDescent="0.2">
      <c r="AF13942" s="12"/>
    </row>
    <row r="13943" spans="32:32" x14ac:dyDescent="0.2">
      <c r="AF13943" s="12"/>
    </row>
    <row r="13944" spans="32:32" x14ac:dyDescent="0.2">
      <c r="AF13944" s="12"/>
    </row>
    <row r="13945" spans="32:32" x14ac:dyDescent="0.2">
      <c r="AF13945" s="12"/>
    </row>
    <row r="13946" spans="32:32" x14ac:dyDescent="0.2">
      <c r="AF13946" s="12"/>
    </row>
    <row r="13947" spans="32:32" x14ac:dyDescent="0.2">
      <c r="AF13947" s="12"/>
    </row>
    <row r="13948" spans="32:32" x14ac:dyDescent="0.2">
      <c r="AF13948" s="12"/>
    </row>
    <row r="13949" spans="32:32" x14ac:dyDescent="0.2">
      <c r="AF13949" s="12"/>
    </row>
    <row r="13950" spans="32:32" x14ac:dyDescent="0.2">
      <c r="AF13950" s="12"/>
    </row>
    <row r="13951" spans="32:32" x14ac:dyDescent="0.2">
      <c r="AF13951" s="12"/>
    </row>
    <row r="13952" spans="32:32" x14ac:dyDescent="0.2">
      <c r="AF13952" s="12"/>
    </row>
    <row r="13953" spans="32:32" x14ac:dyDescent="0.2">
      <c r="AF13953" s="12"/>
    </row>
    <row r="13954" spans="32:32" x14ac:dyDescent="0.2">
      <c r="AF13954" s="12"/>
    </row>
    <row r="13955" spans="32:32" x14ac:dyDescent="0.2">
      <c r="AF13955" s="12"/>
    </row>
    <row r="13956" spans="32:32" x14ac:dyDescent="0.2">
      <c r="AF13956" s="12"/>
    </row>
    <row r="13957" spans="32:32" x14ac:dyDescent="0.2">
      <c r="AF13957" s="12"/>
    </row>
    <row r="13958" spans="32:32" x14ac:dyDescent="0.2">
      <c r="AF13958" s="12"/>
    </row>
    <row r="13959" spans="32:32" x14ac:dyDescent="0.2">
      <c r="AF13959" s="12"/>
    </row>
    <row r="13960" spans="32:32" x14ac:dyDescent="0.2">
      <c r="AF13960" s="12"/>
    </row>
    <row r="13961" spans="32:32" x14ac:dyDescent="0.2">
      <c r="AF13961" s="12"/>
    </row>
    <row r="13962" spans="32:32" x14ac:dyDescent="0.2">
      <c r="AF13962" s="12"/>
    </row>
    <row r="13963" spans="32:32" x14ac:dyDescent="0.2">
      <c r="AF13963" s="12"/>
    </row>
    <row r="13964" spans="32:32" x14ac:dyDescent="0.2">
      <c r="AF13964" s="12"/>
    </row>
    <row r="13965" spans="32:32" x14ac:dyDescent="0.2">
      <c r="AF13965" s="12"/>
    </row>
    <row r="13966" spans="32:32" x14ac:dyDescent="0.2">
      <c r="AF13966" s="12"/>
    </row>
    <row r="13967" spans="32:32" x14ac:dyDescent="0.2">
      <c r="AF13967" s="12"/>
    </row>
    <row r="13968" spans="32:32" x14ac:dyDescent="0.2">
      <c r="AF13968" s="12"/>
    </row>
    <row r="13969" spans="32:32" x14ac:dyDescent="0.2">
      <c r="AF13969" s="12"/>
    </row>
    <row r="13970" spans="32:32" x14ac:dyDescent="0.2">
      <c r="AF13970" s="12"/>
    </row>
    <row r="13971" spans="32:32" x14ac:dyDescent="0.2">
      <c r="AF13971" s="12"/>
    </row>
    <row r="13972" spans="32:32" x14ac:dyDescent="0.2">
      <c r="AF13972" s="12"/>
    </row>
    <row r="13973" spans="32:32" x14ac:dyDescent="0.2">
      <c r="AF13973" s="12"/>
    </row>
    <row r="13974" spans="32:32" x14ac:dyDescent="0.2">
      <c r="AF13974" s="12"/>
    </row>
    <row r="13975" spans="32:32" x14ac:dyDescent="0.2">
      <c r="AF13975" s="12"/>
    </row>
    <row r="13976" spans="32:32" x14ac:dyDescent="0.2">
      <c r="AF13976" s="12"/>
    </row>
    <row r="13977" spans="32:32" x14ac:dyDescent="0.2">
      <c r="AF13977" s="12"/>
    </row>
    <row r="13978" spans="32:32" x14ac:dyDescent="0.2">
      <c r="AF13978" s="12"/>
    </row>
    <row r="13979" spans="32:32" x14ac:dyDescent="0.2">
      <c r="AF13979" s="12"/>
    </row>
    <row r="13980" spans="32:32" x14ac:dyDescent="0.2">
      <c r="AF13980" s="12"/>
    </row>
    <row r="13981" spans="32:32" x14ac:dyDescent="0.2">
      <c r="AF13981" s="12"/>
    </row>
    <row r="13982" spans="32:32" x14ac:dyDescent="0.2">
      <c r="AF13982" s="12"/>
    </row>
    <row r="13983" spans="32:32" x14ac:dyDescent="0.2">
      <c r="AF13983" s="12"/>
    </row>
    <row r="13984" spans="32:32" x14ac:dyDescent="0.2">
      <c r="AF13984" s="12"/>
    </row>
    <row r="13985" spans="32:32" x14ac:dyDescent="0.2">
      <c r="AF13985" s="12"/>
    </row>
    <row r="13986" spans="32:32" x14ac:dyDescent="0.2">
      <c r="AF13986" s="12"/>
    </row>
    <row r="13987" spans="32:32" x14ac:dyDescent="0.2">
      <c r="AF13987" s="12"/>
    </row>
    <row r="13988" spans="32:32" x14ac:dyDescent="0.2">
      <c r="AF13988" s="12"/>
    </row>
    <row r="13989" spans="32:32" x14ac:dyDescent="0.2">
      <c r="AF13989" s="12"/>
    </row>
    <row r="13990" spans="32:32" x14ac:dyDescent="0.2">
      <c r="AF13990" s="12"/>
    </row>
    <row r="13991" spans="32:32" x14ac:dyDescent="0.2">
      <c r="AF13991" s="12"/>
    </row>
    <row r="13992" spans="32:32" x14ac:dyDescent="0.2">
      <c r="AF13992" s="12"/>
    </row>
    <row r="13993" spans="32:32" x14ac:dyDescent="0.2">
      <c r="AF13993" s="12"/>
    </row>
    <row r="13994" spans="32:32" x14ac:dyDescent="0.2">
      <c r="AF13994" s="12"/>
    </row>
    <row r="13995" spans="32:32" x14ac:dyDescent="0.2">
      <c r="AF13995" s="12"/>
    </row>
    <row r="13996" spans="32:32" x14ac:dyDescent="0.2">
      <c r="AF13996" s="12"/>
    </row>
    <row r="13997" spans="32:32" x14ac:dyDescent="0.2">
      <c r="AF13997" s="12"/>
    </row>
    <row r="13998" spans="32:32" x14ac:dyDescent="0.2">
      <c r="AF13998" s="12"/>
    </row>
    <row r="13999" spans="32:32" x14ac:dyDescent="0.2">
      <c r="AF13999" s="12"/>
    </row>
    <row r="14000" spans="32:32" x14ac:dyDescent="0.2">
      <c r="AF14000" s="12"/>
    </row>
    <row r="14001" spans="32:32" x14ac:dyDescent="0.2">
      <c r="AF14001" s="12"/>
    </row>
    <row r="14002" spans="32:32" x14ac:dyDescent="0.2">
      <c r="AF14002" s="12"/>
    </row>
    <row r="14003" spans="32:32" x14ac:dyDescent="0.2">
      <c r="AF14003" s="12"/>
    </row>
    <row r="14004" spans="32:32" x14ac:dyDescent="0.2">
      <c r="AF14004" s="12"/>
    </row>
    <row r="14005" spans="32:32" x14ac:dyDescent="0.2">
      <c r="AF14005" s="12"/>
    </row>
    <row r="14006" spans="32:32" x14ac:dyDescent="0.2">
      <c r="AF14006" s="12"/>
    </row>
    <row r="14007" spans="32:32" x14ac:dyDescent="0.2">
      <c r="AF14007" s="12"/>
    </row>
    <row r="14008" spans="32:32" x14ac:dyDescent="0.2">
      <c r="AF14008" s="12"/>
    </row>
    <row r="14009" spans="32:32" x14ac:dyDescent="0.2">
      <c r="AF14009" s="12"/>
    </row>
    <row r="14010" spans="32:32" x14ac:dyDescent="0.2">
      <c r="AF14010" s="12"/>
    </row>
    <row r="14011" spans="32:32" x14ac:dyDescent="0.2">
      <c r="AF14011" s="12"/>
    </row>
    <row r="14012" spans="32:32" x14ac:dyDescent="0.2">
      <c r="AF14012" s="12"/>
    </row>
    <row r="14013" spans="32:32" x14ac:dyDescent="0.2">
      <c r="AF14013" s="12"/>
    </row>
    <row r="14014" spans="32:32" x14ac:dyDescent="0.2">
      <c r="AF14014" s="12"/>
    </row>
    <row r="14015" spans="32:32" x14ac:dyDescent="0.2">
      <c r="AF14015" s="12"/>
    </row>
    <row r="14016" spans="32:32" x14ac:dyDescent="0.2">
      <c r="AF14016" s="12"/>
    </row>
    <row r="14017" spans="32:32" x14ac:dyDescent="0.2">
      <c r="AF14017" s="12"/>
    </row>
    <row r="14018" spans="32:32" x14ac:dyDescent="0.2">
      <c r="AF14018" s="12"/>
    </row>
    <row r="14019" spans="32:32" x14ac:dyDescent="0.2">
      <c r="AF14019" s="12"/>
    </row>
    <row r="14020" spans="32:32" x14ac:dyDescent="0.2">
      <c r="AF14020" s="12"/>
    </row>
    <row r="14021" spans="32:32" x14ac:dyDescent="0.2">
      <c r="AF14021" s="12"/>
    </row>
    <row r="14022" spans="32:32" x14ac:dyDescent="0.2">
      <c r="AF14022" s="12"/>
    </row>
    <row r="14023" spans="32:32" x14ac:dyDescent="0.2">
      <c r="AF14023" s="12"/>
    </row>
    <row r="14024" spans="32:32" x14ac:dyDescent="0.2">
      <c r="AF14024" s="12"/>
    </row>
    <row r="14025" spans="32:32" x14ac:dyDescent="0.2">
      <c r="AF14025" s="12"/>
    </row>
    <row r="14026" spans="32:32" x14ac:dyDescent="0.2">
      <c r="AF14026" s="12"/>
    </row>
    <row r="14027" spans="32:32" x14ac:dyDescent="0.2">
      <c r="AF14027" s="12"/>
    </row>
    <row r="14028" spans="32:32" x14ac:dyDescent="0.2">
      <c r="AF14028" s="12"/>
    </row>
    <row r="14029" spans="32:32" x14ac:dyDescent="0.2">
      <c r="AF14029" s="12"/>
    </row>
    <row r="14030" spans="32:32" x14ac:dyDescent="0.2">
      <c r="AF14030" s="12"/>
    </row>
    <row r="14031" spans="32:32" x14ac:dyDescent="0.2">
      <c r="AF14031" s="12"/>
    </row>
    <row r="14032" spans="32:32" x14ac:dyDescent="0.2">
      <c r="AF14032" s="12"/>
    </row>
    <row r="14033" spans="32:32" x14ac:dyDescent="0.2">
      <c r="AF14033" s="12"/>
    </row>
    <row r="14034" spans="32:32" x14ac:dyDescent="0.2">
      <c r="AF14034" s="12"/>
    </row>
    <row r="14035" spans="32:32" x14ac:dyDescent="0.2">
      <c r="AF14035" s="12"/>
    </row>
    <row r="14036" spans="32:32" x14ac:dyDescent="0.2">
      <c r="AF14036" s="12"/>
    </row>
    <row r="14037" spans="32:32" x14ac:dyDescent="0.2">
      <c r="AF14037" s="12"/>
    </row>
    <row r="14038" spans="32:32" x14ac:dyDescent="0.2">
      <c r="AF14038" s="12"/>
    </row>
    <row r="14039" spans="32:32" x14ac:dyDescent="0.2">
      <c r="AF14039" s="12"/>
    </row>
    <row r="14040" spans="32:32" x14ac:dyDescent="0.2">
      <c r="AF14040" s="12"/>
    </row>
    <row r="14041" spans="32:32" x14ac:dyDescent="0.2">
      <c r="AF14041" s="12"/>
    </row>
    <row r="14042" spans="32:32" x14ac:dyDescent="0.2">
      <c r="AF14042" s="12"/>
    </row>
    <row r="14043" spans="32:32" x14ac:dyDescent="0.2">
      <c r="AF14043" s="12"/>
    </row>
    <row r="14044" spans="32:32" x14ac:dyDescent="0.2">
      <c r="AF14044" s="12"/>
    </row>
    <row r="14045" spans="32:32" x14ac:dyDescent="0.2">
      <c r="AF14045" s="12"/>
    </row>
    <row r="14046" spans="32:32" x14ac:dyDescent="0.2">
      <c r="AF14046" s="12"/>
    </row>
    <row r="14047" spans="32:32" x14ac:dyDescent="0.2">
      <c r="AF14047" s="12"/>
    </row>
    <row r="14048" spans="32:32" x14ac:dyDescent="0.2">
      <c r="AF14048" s="12"/>
    </row>
    <row r="14049" spans="32:32" x14ac:dyDescent="0.2">
      <c r="AF14049" s="12"/>
    </row>
    <row r="14050" spans="32:32" x14ac:dyDescent="0.2">
      <c r="AF14050" s="12"/>
    </row>
    <row r="14051" spans="32:32" x14ac:dyDescent="0.2">
      <c r="AF14051" s="12"/>
    </row>
    <row r="14052" spans="32:32" x14ac:dyDescent="0.2">
      <c r="AF14052" s="12"/>
    </row>
    <row r="14053" spans="32:32" x14ac:dyDescent="0.2">
      <c r="AF14053" s="12"/>
    </row>
    <row r="14054" spans="32:32" x14ac:dyDescent="0.2">
      <c r="AF14054" s="12"/>
    </row>
    <row r="14055" spans="32:32" x14ac:dyDescent="0.2">
      <c r="AF14055" s="12"/>
    </row>
    <row r="14056" spans="32:32" x14ac:dyDescent="0.2">
      <c r="AF14056" s="12"/>
    </row>
    <row r="14057" spans="32:32" x14ac:dyDescent="0.2">
      <c r="AF14057" s="12"/>
    </row>
    <row r="14058" spans="32:32" x14ac:dyDescent="0.2">
      <c r="AF14058" s="12"/>
    </row>
    <row r="14059" spans="32:32" x14ac:dyDescent="0.2">
      <c r="AF14059" s="12"/>
    </row>
    <row r="14060" spans="32:32" x14ac:dyDescent="0.2">
      <c r="AF14060" s="12"/>
    </row>
    <row r="14061" spans="32:32" x14ac:dyDescent="0.2">
      <c r="AF14061" s="12"/>
    </row>
    <row r="14062" spans="32:32" x14ac:dyDescent="0.2">
      <c r="AF14062" s="12"/>
    </row>
    <row r="14063" spans="32:32" x14ac:dyDescent="0.2">
      <c r="AF14063" s="12"/>
    </row>
    <row r="14064" spans="32:32" x14ac:dyDescent="0.2">
      <c r="AF14064" s="12"/>
    </row>
    <row r="14065" spans="32:32" x14ac:dyDescent="0.2">
      <c r="AF14065" s="12"/>
    </row>
    <row r="14066" spans="32:32" x14ac:dyDescent="0.2">
      <c r="AF14066" s="12"/>
    </row>
    <row r="14067" spans="32:32" x14ac:dyDescent="0.2">
      <c r="AF14067" s="12"/>
    </row>
    <row r="14068" spans="32:32" x14ac:dyDescent="0.2">
      <c r="AF14068" s="12"/>
    </row>
    <row r="14069" spans="32:32" x14ac:dyDescent="0.2">
      <c r="AF14069" s="12"/>
    </row>
    <row r="14070" spans="32:32" x14ac:dyDescent="0.2">
      <c r="AF14070" s="12"/>
    </row>
    <row r="14071" spans="32:32" x14ac:dyDescent="0.2">
      <c r="AF14071" s="12"/>
    </row>
    <row r="14072" spans="32:32" x14ac:dyDescent="0.2">
      <c r="AF14072" s="12"/>
    </row>
    <row r="14073" spans="32:32" x14ac:dyDescent="0.2">
      <c r="AF14073" s="12"/>
    </row>
    <row r="14074" spans="32:32" x14ac:dyDescent="0.2">
      <c r="AF14074" s="12"/>
    </row>
    <row r="14075" spans="32:32" x14ac:dyDescent="0.2">
      <c r="AF14075" s="12"/>
    </row>
    <row r="14076" spans="32:32" x14ac:dyDescent="0.2">
      <c r="AF14076" s="12"/>
    </row>
    <row r="14077" spans="32:32" x14ac:dyDescent="0.2">
      <c r="AF14077" s="12"/>
    </row>
    <row r="14078" spans="32:32" x14ac:dyDescent="0.2">
      <c r="AF14078" s="12"/>
    </row>
    <row r="14079" spans="32:32" x14ac:dyDescent="0.2">
      <c r="AF14079" s="12"/>
    </row>
    <row r="14080" spans="32:32" x14ac:dyDescent="0.2">
      <c r="AF14080" s="12"/>
    </row>
    <row r="14081" spans="32:32" x14ac:dyDescent="0.2">
      <c r="AF14081" s="12"/>
    </row>
    <row r="14082" spans="32:32" x14ac:dyDescent="0.2">
      <c r="AF14082" s="12"/>
    </row>
    <row r="14083" spans="32:32" x14ac:dyDescent="0.2">
      <c r="AF14083" s="12"/>
    </row>
    <row r="14084" spans="32:32" x14ac:dyDescent="0.2">
      <c r="AF14084" s="12"/>
    </row>
    <row r="14085" spans="32:32" x14ac:dyDescent="0.2">
      <c r="AF14085" s="12"/>
    </row>
    <row r="14086" spans="32:32" x14ac:dyDescent="0.2">
      <c r="AF14086" s="12"/>
    </row>
    <row r="14087" spans="32:32" x14ac:dyDescent="0.2">
      <c r="AF14087" s="12"/>
    </row>
    <row r="14088" spans="32:32" x14ac:dyDescent="0.2">
      <c r="AF14088" s="12"/>
    </row>
    <row r="14089" spans="32:32" x14ac:dyDescent="0.2">
      <c r="AF14089" s="12"/>
    </row>
    <row r="14090" spans="32:32" x14ac:dyDescent="0.2">
      <c r="AF14090" s="12"/>
    </row>
    <row r="14091" spans="32:32" x14ac:dyDescent="0.2">
      <c r="AF14091" s="12"/>
    </row>
    <row r="14092" spans="32:32" x14ac:dyDescent="0.2">
      <c r="AF14092" s="12"/>
    </row>
    <row r="14093" spans="32:32" x14ac:dyDescent="0.2">
      <c r="AF14093" s="12"/>
    </row>
    <row r="14094" spans="32:32" x14ac:dyDescent="0.2">
      <c r="AF14094" s="12"/>
    </row>
    <row r="14095" spans="32:32" x14ac:dyDescent="0.2">
      <c r="AF14095" s="12"/>
    </row>
    <row r="14096" spans="32:32" x14ac:dyDescent="0.2">
      <c r="AF14096" s="12"/>
    </row>
    <row r="14097" spans="32:32" x14ac:dyDescent="0.2">
      <c r="AF14097" s="12"/>
    </row>
    <row r="14098" spans="32:32" x14ac:dyDescent="0.2">
      <c r="AF14098" s="12"/>
    </row>
    <row r="14099" spans="32:32" x14ac:dyDescent="0.2">
      <c r="AF14099" s="12"/>
    </row>
    <row r="14100" spans="32:32" x14ac:dyDescent="0.2">
      <c r="AF14100" s="12"/>
    </row>
    <row r="14101" spans="32:32" x14ac:dyDescent="0.2">
      <c r="AF14101" s="12"/>
    </row>
    <row r="14102" spans="32:32" x14ac:dyDescent="0.2">
      <c r="AF14102" s="12"/>
    </row>
    <row r="14103" spans="32:32" x14ac:dyDescent="0.2">
      <c r="AF14103" s="12"/>
    </row>
    <row r="14104" spans="32:32" x14ac:dyDescent="0.2">
      <c r="AF14104" s="12"/>
    </row>
    <row r="14105" spans="32:32" x14ac:dyDescent="0.2">
      <c r="AF14105" s="12"/>
    </row>
    <row r="14106" spans="32:32" x14ac:dyDescent="0.2">
      <c r="AF14106" s="12"/>
    </row>
    <row r="14107" spans="32:32" x14ac:dyDescent="0.2">
      <c r="AF14107" s="12"/>
    </row>
    <row r="14108" spans="32:32" x14ac:dyDescent="0.2">
      <c r="AF14108" s="12"/>
    </row>
    <row r="14109" spans="32:32" x14ac:dyDescent="0.2">
      <c r="AF14109" s="12"/>
    </row>
    <row r="14110" spans="32:32" x14ac:dyDescent="0.2">
      <c r="AF14110" s="12"/>
    </row>
    <row r="14111" spans="32:32" x14ac:dyDescent="0.2">
      <c r="AF14111" s="12"/>
    </row>
    <row r="14112" spans="32:32" x14ac:dyDescent="0.2">
      <c r="AF14112" s="12"/>
    </row>
    <row r="14113" spans="32:32" x14ac:dyDescent="0.2">
      <c r="AF14113" s="12"/>
    </row>
    <row r="14114" spans="32:32" x14ac:dyDescent="0.2">
      <c r="AF14114" s="12"/>
    </row>
    <row r="14115" spans="32:32" x14ac:dyDescent="0.2">
      <c r="AF14115" s="12"/>
    </row>
    <row r="14116" spans="32:32" x14ac:dyDescent="0.2">
      <c r="AF14116" s="12"/>
    </row>
    <row r="14117" spans="32:32" x14ac:dyDescent="0.2">
      <c r="AF14117" s="12"/>
    </row>
    <row r="14118" spans="32:32" x14ac:dyDescent="0.2">
      <c r="AF14118" s="12"/>
    </row>
    <row r="14119" spans="32:32" x14ac:dyDescent="0.2">
      <c r="AF14119" s="12"/>
    </row>
    <row r="14120" spans="32:32" x14ac:dyDescent="0.2">
      <c r="AF14120" s="12"/>
    </row>
    <row r="14121" spans="32:32" x14ac:dyDescent="0.2">
      <c r="AF14121" s="12"/>
    </row>
    <row r="14122" spans="32:32" x14ac:dyDescent="0.2">
      <c r="AF14122" s="12"/>
    </row>
    <row r="14123" spans="32:32" x14ac:dyDescent="0.2">
      <c r="AF14123" s="12"/>
    </row>
    <row r="14124" spans="32:32" x14ac:dyDescent="0.2">
      <c r="AF14124" s="12"/>
    </row>
    <row r="14125" spans="32:32" x14ac:dyDescent="0.2">
      <c r="AF14125" s="12"/>
    </row>
    <row r="14126" spans="32:32" x14ac:dyDescent="0.2">
      <c r="AF14126" s="12"/>
    </row>
    <row r="14127" spans="32:32" x14ac:dyDescent="0.2">
      <c r="AF14127" s="12"/>
    </row>
    <row r="14128" spans="32:32" x14ac:dyDescent="0.2">
      <c r="AF14128" s="12"/>
    </row>
    <row r="14129" spans="32:32" x14ac:dyDescent="0.2">
      <c r="AF14129" s="12"/>
    </row>
    <row r="14130" spans="32:32" x14ac:dyDescent="0.2">
      <c r="AF14130" s="12"/>
    </row>
    <row r="14131" spans="32:32" x14ac:dyDescent="0.2">
      <c r="AF14131" s="12"/>
    </row>
    <row r="14132" spans="32:32" x14ac:dyDescent="0.2">
      <c r="AF14132" s="12"/>
    </row>
    <row r="14133" spans="32:32" x14ac:dyDescent="0.2">
      <c r="AF14133" s="12"/>
    </row>
    <row r="14134" spans="32:32" x14ac:dyDescent="0.2">
      <c r="AF14134" s="12"/>
    </row>
    <row r="14135" spans="32:32" x14ac:dyDescent="0.2">
      <c r="AF14135" s="12"/>
    </row>
    <row r="14136" spans="32:32" x14ac:dyDescent="0.2">
      <c r="AF14136" s="12"/>
    </row>
    <row r="14137" spans="32:32" x14ac:dyDescent="0.2">
      <c r="AF14137" s="12"/>
    </row>
    <row r="14138" spans="32:32" x14ac:dyDescent="0.2">
      <c r="AF14138" s="12"/>
    </row>
    <row r="14139" spans="32:32" x14ac:dyDescent="0.2">
      <c r="AF14139" s="12"/>
    </row>
    <row r="14140" spans="32:32" x14ac:dyDescent="0.2">
      <c r="AF14140" s="12"/>
    </row>
    <row r="14141" spans="32:32" x14ac:dyDescent="0.2">
      <c r="AF14141" s="12"/>
    </row>
    <row r="14142" spans="32:32" x14ac:dyDescent="0.2">
      <c r="AF14142" s="12"/>
    </row>
    <row r="14143" spans="32:32" x14ac:dyDescent="0.2">
      <c r="AF14143" s="12"/>
    </row>
    <row r="14144" spans="32:32" x14ac:dyDescent="0.2">
      <c r="AF14144" s="12"/>
    </row>
    <row r="14145" spans="32:32" x14ac:dyDescent="0.2">
      <c r="AF14145" s="12"/>
    </row>
    <row r="14146" spans="32:32" x14ac:dyDescent="0.2">
      <c r="AF14146" s="12"/>
    </row>
    <row r="14147" spans="32:32" x14ac:dyDescent="0.2">
      <c r="AF14147" s="12"/>
    </row>
    <row r="14148" spans="32:32" x14ac:dyDescent="0.2">
      <c r="AF14148" s="12"/>
    </row>
    <row r="14149" spans="32:32" x14ac:dyDescent="0.2">
      <c r="AF14149" s="12"/>
    </row>
    <row r="14150" spans="32:32" x14ac:dyDescent="0.2">
      <c r="AF14150" s="12"/>
    </row>
    <row r="14151" spans="32:32" x14ac:dyDescent="0.2">
      <c r="AF14151" s="12"/>
    </row>
    <row r="14152" spans="32:32" x14ac:dyDescent="0.2">
      <c r="AF14152" s="12"/>
    </row>
    <row r="14153" spans="32:32" x14ac:dyDescent="0.2">
      <c r="AF14153" s="12"/>
    </row>
    <row r="14154" spans="32:32" x14ac:dyDescent="0.2">
      <c r="AF14154" s="12"/>
    </row>
    <row r="14155" spans="32:32" x14ac:dyDescent="0.2">
      <c r="AF14155" s="12"/>
    </row>
    <row r="14156" spans="32:32" x14ac:dyDescent="0.2">
      <c r="AF14156" s="12"/>
    </row>
    <row r="14157" spans="32:32" x14ac:dyDescent="0.2">
      <c r="AF14157" s="12"/>
    </row>
    <row r="14158" spans="32:32" x14ac:dyDescent="0.2">
      <c r="AF14158" s="12"/>
    </row>
    <row r="14159" spans="32:32" x14ac:dyDescent="0.2">
      <c r="AF14159" s="12"/>
    </row>
    <row r="14160" spans="32:32" x14ac:dyDescent="0.2">
      <c r="AF14160" s="12"/>
    </row>
    <row r="14161" spans="32:32" x14ac:dyDescent="0.2">
      <c r="AF14161" s="12"/>
    </row>
    <row r="14162" spans="32:32" x14ac:dyDescent="0.2">
      <c r="AF14162" s="12"/>
    </row>
    <row r="14163" spans="32:32" x14ac:dyDescent="0.2">
      <c r="AF14163" s="12"/>
    </row>
    <row r="14164" spans="32:32" x14ac:dyDescent="0.2">
      <c r="AF14164" s="12"/>
    </row>
    <row r="14165" spans="32:32" x14ac:dyDescent="0.2">
      <c r="AF14165" s="12"/>
    </row>
    <row r="14166" spans="32:32" x14ac:dyDescent="0.2">
      <c r="AF14166" s="12"/>
    </row>
    <row r="14167" spans="32:32" x14ac:dyDescent="0.2">
      <c r="AF14167" s="12"/>
    </row>
    <row r="14168" spans="32:32" x14ac:dyDescent="0.2">
      <c r="AF14168" s="12"/>
    </row>
    <row r="14169" spans="32:32" x14ac:dyDescent="0.2">
      <c r="AF14169" s="12"/>
    </row>
    <row r="14170" spans="32:32" x14ac:dyDescent="0.2">
      <c r="AF14170" s="12"/>
    </row>
    <row r="14171" spans="32:32" x14ac:dyDescent="0.2">
      <c r="AF14171" s="12"/>
    </row>
    <row r="14172" spans="32:32" x14ac:dyDescent="0.2">
      <c r="AF14172" s="12"/>
    </row>
    <row r="14173" spans="32:32" x14ac:dyDescent="0.2">
      <c r="AF14173" s="12"/>
    </row>
    <row r="14174" spans="32:32" x14ac:dyDescent="0.2">
      <c r="AF14174" s="12"/>
    </row>
    <row r="14175" spans="32:32" x14ac:dyDescent="0.2">
      <c r="AF14175" s="12"/>
    </row>
    <row r="14176" spans="32:32" x14ac:dyDescent="0.2">
      <c r="AF14176" s="12"/>
    </row>
    <row r="14177" spans="32:32" x14ac:dyDescent="0.2">
      <c r="AF14177" s="12"/>
    </row>
    <row r="14178" spans="32:32" x14ac:dyDescent="0.2">
      <c r="AF14178" s="12"/>
    </row>
    <row r="14179" spans="32:32" x14ac:dyDescent="0.2">
      <c r="AF14179" s="12"/>
    </row>
    <row r="14180" spans="32:32" x14ac:dyDescent="0.2">
      <c r="AF14180" s="12"/>
    </row>
    <row r="14181" spans="32:32" x14ac:dyDescent="0.2">
      <c r="AF14181" s="12"/>
    </row>
    <row r="14182" spans="32:32" x14ac:dyDescent="0.2">
      <c r="AF14182" s="12"/>
    </row>
    <row r="14183" spans="32:32" x14ac:dyDescent="0.2">
      <c r="AF14183" s="12"/>
    </row>
    <row r="14184" spans="32:32" x14ac:dyDescent="0.2">
      <c r="AF14184" s="12"/>
    </row>
    <row r="14185" spans="32:32" x14ac:dyDescent="0.2">
      <c r="AF14185" s="12"/>
    </row>
    <row r="14186" spans="32:32" x14ac:dyDescent="0.2">
      <c r="AF14186" s="12"/>
    </row>
    <row r="14187" spans="32:32" x14ac:dyDescent="0.2">
      <c r="AF14187" s="12"/>
    </row>
    <row r="14188" spans="32:32" x14ac:dyDescent="0.2">
      <c r="AF14188" s="12"/>
    </row>
    <row r="14189" spans="32:32" x14ac:dyDescent="0.2">
      <c r="AF14189" s="12"/>
    </row>
    <row r="14190" spans="32:32" x14ac:dyDescent="0.2">
      <c r="AF14190" s="12"/>
    </row>
    <row r="14191" spans="32:32" x14ac:dyDescent="0.2">
      <c r="AF14191" s="12"/>
    </row>
    <row r="14192" spans="32:32" x14ac:dyDescent="0.2">
      <c r="AF14192" s="12"/>
    </row>
    <row r="14193" spans="32:32" x14ac:dyDescent="0.2">
      <c r="AF14193" s="12"/>
    </row>
    <row r="14194" spans="32:32" x14ac:dyDescent="0.2">
      <c r="AF14194" s="12"/>
    </row>
    <row r="14195" spans="32:32" x14ac:dyDescent="0.2">
      <c r="AF14195" s="12"/>
    </row>
    <row r="14196" spans="32:32" x14ac:dyDescent="0.2">
      <c r="AF14196" s="12"/>
    </row>
    <row r="14197" spans="32:32" x14ac:dyDescent="0.2">
      <c r="AF14197" s="12"/>
    </row>
    <row r="14198" spans="32:32" x14ac:dyDescent="0.2">
      <c r="AF14198" s="12"/>
    </row>
    <row r="14199" spans="32:32" x14ac:dyDescent="0.2">
      <c r="AF14199" s="12"/>
    </row>
    <row r="14200" spans="32:32" x14ac:dyDescent="0.2">
      <c r="AF14200" s="12"/>
    </row>
    <row r="14201" spans="32:32" x14ac:dyDescent="0.2">
      <c r="AF14201" s="12"/>
    </row>
    <row r="14202" spans="32:32" x14ac:dyDescent="0.2">
      <c r="AF14202" s="12"/>
    </row>
    <row r="14203" spans="32:32" x14ac:dyDescent="0.2">
      <c r="AF14203" s="12"/>
    </row>
    <row r="14204" spans="32:32" x14ac:dyDescent="0.2">
      <c r="AF14204" s="12"/>
    </row>
    <row r="14205" spans="32:32" x14ac:dyDescent="0.2">
      <c r="AF14205" s="12"/>
    </row>
    <row r="14206" spans="32:32" x14ac:dyDescent="0.2">
      <c r="AF14206" s="12"/>
    </row>
    <row r="14207" spans="32:32" x14ac:dyDescent="0.2">
      <c r="AF14207" s="12"/>
    </row>
    <row r="14208" spans="32:32" x14ac:dyDescent="0.2">
      <c r="AF14208" s="12"/>
    </row>
    <row r="14209" spans="32:32" x14ac:dyDescent="0.2">
      <c r="AF14209" s="12"/>
    </row>
    <row r="14210" spans="32:32" x14ac:dyDescent="0.2">
      <c r="AF14210" s="12"/>
    </row>
    <row r="14211" spans="32:32" x14ac:dyDescent="0.2">
      <c r="AF14211" s="12"/>
    </row>
    <row r="14212" spans="32:32" x14ac:dyDescent="0.2">
      <c r="AF14212" s="12"/>
    </row>
    <row r="14213" spans="32:32" x14ac:dyDescent="0.2">
      <c r="AF14213" s="12"/>
    </row>
    <row r="14214" spans="32:32" x14ac:dyDescent="0.2">
      <c r="AF14214" s="12"/>
    </row>
    <row r="14215" spans="32:32" x14ac:dyDescent="0.2">
      <c r="AF14215" s="12"/>
    </row>
    <row r="14216" spans="32:32" x14ac:dyDescent="0.2">
      <c r="AF14216" s="12"/>
    </row>
    <row r="14217" spans="32:32" x14ac:dyDescent="0.2">
      <c r="AF14217" s="12"/>
    </row>
    <row r="14218" spans="32:32" x14ac:dyDescent="0.2">
      <c r="AF14218" s="12"/>
    </row>
    <row r="14219" spans="32:32" x14ac:dyDescent="0.2">
      <c r="AF14219" s="12"/>
    </row>
    <row r="14220" spans="32:32" x14ac:dyDescent="0.2">
      <c r="AF14220" s="12"/>
    </row>
    <row r="14221" spans="32:32" x14ac:dyDescent="0.2">
      <c r="AF14221" s="12"/>
    </row>
    <row r="14222" spans="32:32" x14ac:dyDescent="0.2">
      <c r="AF14222" s="12"/>
    </row>
    <row r="14223" spans="32:32" x14ac:dyDescent="0.2">
      <c r="AF14223" s="12"/>
    </row>
    <row r="14224" spans="32:32" x14ac:dyDescent="0.2">
      <c r="AF14224" s="12"/>
    </row>
    <row r="14225" spans="32:32" x14ac:dyDescent="0.2">
      <c r="AF14225" s="12"/>
    </row>
    <row r="14226" spans="32:32" x14ac:dyDescent="0.2">
      <c r="AF14226" s="12"/>
    </row>
    <row r="14227" spans="32:32" x14ac:dyDescent="0.2">
      <c r="AF14227" s="12"/>
    </row>
    <row r="14228" spans="32:32" x14ac:dyDescent="0.2">
      <c r="AF14228" s="12"/>
    </row>
    <row r="14229" spans="32:32" x14ac:dyDescent="0.2">
      <c r="AF14229" s="12"/>
    </row>
    <row r="14230" spans="32:32" x14ac:dyDescent="0.2">
      <c r="AF14230" s="12"/>
    </row>
    <row r="14231" spans="32:32" x14ac:dyDescent="0.2">
      <c r="AF14231" s="12"/>
    </row>
    <row r="14232" spans="32:32" x14ac:dyDescent="0.2">
      <c r="AF14232" s="12"/>
    </row>
    <row r="14233" spans="32:32" x14ac:dyDescent="0.2">
      <c r="AF14233" s="12"/>
    </row>
    <row r="14234" spans="32:32" x14ac:dyDescent="0.2">
      <c r="AF14234" s="12"/>
    </row>
    <row r="14235" spans="32:32" x14ac:dyDescent="0.2">
      <c r="AF14235" s="12"/>
    </row>
    <row r="14236" spans="32:32" x14ac:dyDescent="0.2">
      <c r="AF14236" s="12"/>
    </row>
    <row r="14237" spans="32:32" x14ac:dyDescent="0.2">
      <c r="AF14237" s="12"/>
    </row>
    <row r="14238" spans="32:32" x14ac:dyDescent="0.2">
      <c r="AF14238" s="12"/>
    </row>
    <row r="14239" spans="32:32" x14ac:dyDescent="0.2">
      <c r="AF14239" s="12"/>
    </row>
    <row r="14240" spans="32:32" x14ac:dyDescent="0.2">
      <c r="AF14240" s="12"/>
    </row>
    <row r="14241" spans="32:32" x14ac:dyDescent="0.2">
      <c r="AF14241" s="12"/>
    </row>
    <row r="14242" spans="32:32" x14ac:dyDescent="0.2">
      <c r="AF14242" s="12"/>
    </row>
    <row r="14243" spans="32:32" x14ac:dyDescent="0.2">
      <c r="AF14243" s="12"/>
    </row>
    <row r="14244" spans="32:32" x14ac:dyDescent="0.2">
      <c r="AF14244" s="12"/>
    </row>
    <row r="14245" spans="32:32" x14ac:dyDescent="0.2">
      <c r="AF14245" s="12"/>
    </row>
    <row r="14246" spans="32:32" x14ac:dyDescent="0.2">
      <c r="AF14246" s="12"/>
    </row>
    <row r="14247" spans="32:32" x14ac:dyDescent="0.2">
      <c r="AF14247" s="12"/>
    </row>
    <row r="14248" spans="32:32" x14ac:dyDescent="0.2">
      <c r="AF14248" s="12"/>
    </row>
    <row r="14249" spans="32:32" x14ac:dyDescent="0.2">
      <c r="AF14249" s="12"/>
    </row>
    <row r="14250" spans="32:32" x14ac:dyDescent="0.2">
      <c r="AF14250" s="12"/>
    </row>
    <row r="14251" spans="32:32" x14ac:dyDescent="0.2">
      <c r="AF14251" s="12"/>
    </row>
    <row r="14252" spans="32:32" x14ac:dyDescent="0.2">
      <c r="AF14252" s="12"/>
    </row>
    <row r="14253" spans="32:32" x14ac:dyDescent="0.2">
      <c r="AF14253" s="12"/>
    </row>
    <row r="14254" spans="32:32" x14ac:dyDescent="0.2">
      <c r="AF14254" s="12"/>
    </row>
    <row r="14255" spans="32:32" x14ac:dyDescent="0.2">
      <c r="AF14255" s="12"/>
    </row>
    <row r="14256" spans="32:32" x14ac:dyDescent="0.2">
      <c r="AF14256" s="12"/>
    </row>
    <row r="14257" spans="32:32" x14ac:dyDescent="0.2">
      <c r="AF14257" s="12"/>
    </row>
    <row r="14258" spans="32:32" x14ac:dyDescent="0.2">
      <c r="AF14258" s="12"/>
    </row>
    <row r="14259" spans="32:32" x14ac:dyDescent="0.2">
      <c r="AF14259" s="12"/>
    </row>
    <row r="14260" spans="32:32" x14ac:dyDescent="0.2">
      <c r="AF14260" s="12"/>
    </row>
    <row r="14261" spans="32:32" x14ac:dyDescent="0.2">
      <c r="AF14261" s="12"/>
    </row>
    <row r="14262" spans="32:32" x14ac:dyDescent="0.2">
      <c r="AF14262" s="12"/>
    </row>
    <row r="14263" spans="32:32" x14ac:dyDescent="0.2">
      <c r="AF14263" s="12"/>
    </row>
    <row r="14264" spans="32:32" x14ac:dyDescent="0.2">
      <c r="AF14264" s="12"/>
    </row>
    <row r="14265" spans="32:32" x14ac:dyDescent="0.2">
      <c r="AF14265" s="12"/>
    </row>
    <row r="14266" spans="32:32" x14ac:dyDescent="0.2">
      <c r="AF14266" s="12"/>
    </row>
    <row r="14267" spans="32:32" x14ac:dyDescent="0.2">
      <c r="AF14267" s="12"/>
    </row>
    <row r="14268" spans="32:32" x14ac:dyDescent="0.2">
      <c r="AF14268" s="12"/>
    </row>
    <row r="14269" spans="32:32" x14ac:dyDescent="0.2">
      <c r="AF14269" s="12"/>
    </row>
    <row r="14270" spans="32:32" x14ac:dyDescent="0.2">
      <c r="AF14270" s="12"/>
    </row>
    <row r="14271" spans="32:32" x14ac:dyDescent="0.2">
      <c r="AF14271" s="12"/>
    </row>
    <row r="14272" spans="32:32" x14ac:dyDescent="0.2">
      <c r="AF14272" s="12"/>
    </row>
    <row r="14273" spans="32:32" x14ac:dyDescent="0.2">
      <c r="AF14273" s="12"/>
    </row>
    <row r="14274" spans="32:32" x14ac:dyDescent="0.2">
      <c r="AF14274" s="12"/>
    </row>
    <row r="14275" spans="32:32" x14ac:dyDescent="0.2">
      <c r="AF14275" s="12"/>
    </row>
    <row r="14276" spans="32:32" x14ac:dyDescent="0.2">
      <c r="AF14276" s="12"/>
    </row>
    <row r="14277" spans="32:32" x14ac:dyDescent="0.2">
      <c r="AF14277" s="12"/>
    </row>
    <row r="14278" spans="32:32" x14ac:dyDescent="0.2">
      <c r="AF14278" s="12"/>
    </row>
    <row r="14279" spans="32:32" x14ac:dyDescent="0.2">
      <c r="AF14279" s="12"/>
    </row>
    <row r="14280" spans="32:32" x14ac:dyDescent="0.2">
      <c r="AF14280" s="12"/>
    </row>
    <row r="14281" spans="32:32" x14ac:dyDescent="0.2">
      <c r="AF14281" s="12"/>
    </row>
    <row r="14282" spans="32:32" x14ac:dyDescent="0.2">
      <c r="AF14282" s="12"/>
    </row>
    <row r="14283" spans="32:32" x14ac:dyDescent="0.2">
      <c r="AF14283" s="12"/>
    </row>
    <row r="14284" spans="32:32" x14ac:dyDescent="0.2">
      <c r="AF14284" s="12"/>
    </row>
    <row r="14285" spans="32:32" x14ac:dyDescent="0.2">
      <c r="AF14285" s="12"/>
    </row>
    <row r="14286" spans="32:32" x14ac:dyDescent="0.2">
      <c r="AF14286" s="12"/>
    </row>
    <row r="14287" spans="32:32" x14ac:dyDescent="0.2">
      <c r="AF14287" s="12"/>
    </row>
    <row r="14288" spans="32:32" x14ac:dyDescent="0.2">
      <c r="AF14288" s="12"/>
    </row>
    <row r="14289" spans="32:32" x14ac:dyDescent="0.2">
      <c r="AF14289" s="12"/>
    </row>
    <row r="14290" spans="32:32" x14ac:dyDescent="0.2">
      <c r="AF14290" s="12"/>
    </row>
    <row r="14291" spans="32:32" x14ac:dyDescent="0.2">
      <c r="AF14291" s="12"/>
    </row>
    <row r="14292" spans="32:32" x14ac:dyDescent="0.2">
      <c r="AF14292" s="12"/>
    </row>
    <row r="14293" spans="32:32" x14ac:dyDescent="0.2">
      <c r="AF14293" s="12"/>
    </row>
    <row r="14294" spans="32:32" x14ac:dyDescent="0.2">
      <c r="AF14294" s="12"/>
    </row>
    <row r="14295" spans="32:32" x14ac:dyDescent="0.2">
      <c r="AF14295" s="12"/>
    </row>
    <row r="14296" spans="32:32" x14ac:dyDescent="0.2">
      <c r="AF14296" s="12"/>
    </row>
    <row r="14297" spans="32:32" x14ac:dyDescent="0.2">
      <c r="AF14297" s="12"/>
    </row>
    <row r="14298" spans="32:32" x14ac:dyDescent="0.2">
      <c r="AF14298" s="12"/>
    </row>
    <row r="14299" spans="32:32" x14ac:dyDescent="0.2">
      <c r="AF14299" s="12"/>
    </row>
    <row r="14300" spans="32:32" x14ac:dyDescent="0.2">
      <c r="AF14300" s="12"/>
    </row>
    <row r="14301" spans="32:32" x14ac:dyDescent="0.2">
      <c r="AF14301" s="12"/>
    </row>
    <row r="14302" spans="32:32" x14ac:dyDescent="0.2">
      <c r="AF14302" s="12"/>
    </row>
    <row r="14303" spans="32:32" x14ac:dyDescent="0.2">
      <c r="AF14303" s="12"/>
    </row>
    <row r="14304" spans="32:32" x14ac:dyDescent="0.2">
      <c r="AF14304" s="12"/>
    </row>
    <row r="14305" spans="32:32" x14ac:dyDescent="0.2">
      <c r="AF14305" s="12"/>
    </row>
    <row r="14306" spans="32:32" x14ac:dyDescent="0.2">
      <c r="AF14306" s="12"/>
    </row>
    <row r="14307" spans="32:32" x14ac:dyDescent="0.2">
      <c r="AF14307" s="12"/>
    </row>
    <row r="14308" spans="32:32" x14ac:dyDescent="0.2">
      <c r="AF14308" s="12"/>
    </row>
    <row r="14309" spans="32:32" x14ac:dyDescent="0.2">
      <c r="AF14309" s="12"/>
    </row>
    <row r="14310" spans="32:32" x14ac:dyDescent="0.2">
      <c r="AF14310" s="12"/>
    </row>
    <row r="14311" spans="32:32" x14ac:dyDescent="0.2">
      <c r="AF14311" s="12"/>
    </row>
    <row r="14312" spans="32:32" x14ac:dyDescent="0.2">
      <c r="AF14312" s="12"/>
    </row>
    <row r="14313" spans="32:32" x14ac:dyDescent="0.2">
      <c r="AF14313" s="12"/>
    </row>
    <row r="14314" spans="32:32" x14ac:dyDescent="0.2">
      <c r="AF14314" s="12"/>
    </row>
    <row r="14315" spans="32:32" x14ac:dyDescent="0.2">
      <c r="AF14315" s="12"/>
    </row>
    <row r="14316" spans="32:32" x14ac:dyDescent="0.2">
      <c r="AF14316" s="12"/>
    </row>
    <row r="14317" spans="32:32" x14ac:dyDescent="0.2">
      <c r="AF14317" s="12"/>
    </row>
    <row r="14318" spans="32:32" x14ac:dyDescent="0.2">
      <c r="AF14318" s="12"/>
    </row>
    <row r="14319" spans="32:32" x14ac:dyDescent="0.2">
      <c r="AF14319" s="12"/>
    </row>
    <row r="14320" spans="32:32" x14ac:dyDescent="0.2">
      <c r="AF14320" s="12"/>
    </row>
    <row r="14321" spans="32:32" x14ac:dyDescent="0.2">
      <c r="AF14321" s="12"/>
    </row>
    <row r="14322" spans="32:32" x14ac:dyDescent="0.2">
      <c r="AF14322" s="12"/>
    </row>
    <row r="14323" spans="32:32" x14ac:dyDescent="0.2">
      <c r="AF14323" s="12"/>
    </row>
    <row r="14324" spans="32:32" x14ac:dyDescent="0.2">
      <c r="AF14324" s="12"/>
    </row>
    <row r="14325" spans="32:32" x14ac:dyDescent="0.2">
      <c r="AF14325" s="12"/>
    </row>
    <row r="14326" spans="32:32" x14ac:dyDescent="0.2">
      <c r="AF14326" s="12"/>
    </row>
    <row r="14327" spans="32:32" x14ac:dyDescent="0.2">
      <c r="AF14327" s="12"/>
    </row>
    <row r="14328" spans="32:32" x14ac:dyDescent="0.2">
      <c r="AF14328" s="12"/>
    </row>
    <row r="14329" spans="32:32" x14ac:dyDescent="0.2">
      <c r="AF14329" s="12"/>
    </row>
    <row r="14330" spans="32:32" x14ac:dyDescent="0.2">
      <c r="AF14330" s="12"/>
    </row>
    <row r="14331" spans="32:32" x14ac:dyDescent="0.2">
      <c r="AF14331" s="12"/>
    </row>
    <row r="14332" spans="32:32" x14ac:dyDescent="0.2">
      <c r="AF14332" s="12"/>
    </row>
    <row r="14333" spans="32:32" x14ac:dyDescent="0.2">
      <c r="AF14333" s="12"/>
    </row>
    <row r="14334" spans="32:32" x14ac:dyDescent="0.2">
      <c r="AF14334" s="12"/>
    </row>
    <row r="14335" spans="32:32" x14ac:dyDescent="0.2">
      <c r="AF14335" s="12"/>
    </row>
    <row r="14336" spans="32:32" x14ac:dyDescent="0.2">
      <c r="AF14336" s="12"/>
    </row>
    <row r="14337" spans="32:32" x14ac:dyDescent="0.2">
      <c r="AF14337" s="12"/>
    </row>
    <row r="14338" spans="32:32" x14ac:dyDescent="0.2">
      <c r="AF14338" s="12"/>
    </row>
    <row r="14339" spans="32:32" x14ac:dyDescent="0.2">
      <c r="AF14339" s="12"/>
    </row>
    <row r="14340" spans="32:32" x14ac:dyDescent="0.2">
      <c r="AF14340" s="12"/>
    </row>
    <row r="14341" spans="32:32" x14ac:dyDescent="0.2">
      <c r="AF14341" s="12"/>
    </row>
    <row r="14342" spans="32:32" x14ac:dyDescent="0.2">
      <c r="AF14342" s="12"/>
    </row>
    <row r="14343" spans="32:32" x14ac:dyDescent="0.2">
      <c r="AF14343" s="12"/>
    </row>
    <row r="14344" spans="32:32" x14ac:dyDescent="0.2">
      <c r="AF14344" s="12"/>
    </row>
    <row r="14345" spans="32:32" x14ac:dyDescent="0.2">
      <c r="AF14345" s="12"/>
    </row>
    <row r="14346" spans="32:32" x14ac:dyDescent="0.2">
      <c r="AF14346" s="12"/>
    </row>
    <row r="14347" spans="32:32" x14ac:dyDescent="0.2">
      <c r="AF14347" s="12"/>
    </row>
    <row r="14348" spans="32:32" x14ac:dyDescent="0.2">
      <c r="AF14348" s="12"/>
    </row>
    <row r="14349" spans="32:32" x14ac:dyDescent="0.2">
      <c r="AF14349" s="12"/>
    </row>
    <row r="14350" spans="32:32" x14ac:dyDescent="0.2">
      <c r="AF14350" s="12"/>
    </row>
    <row r="14351" spans="32:32" x14ac:dyDescent="0.2">
      <c r="AF14351" s="12"/>
    </row>
    <row r="14352" spans="32:32" x14ac:dyDescent="0.2">
      <c r="AF14352" s="12"/>
    </row>
    <row r="14353" spans="32:32" x14ac:dyDescent="0.2">
      <c r="AF14353" s="12"/>
    </row>
    <row r="14354" spans="32:32" x14ac:dyDescent="0.2">
      <c r="AF14354" s="12"/>
    </row>
    <row r="14355" spans="32:32" x14ac:dyDescent="0.2">
      <c r="AF14355" s="12"/>
    </row>
    <row r="14356" spans="32:32" x14ac:dyDescent="0.2">
      <c r="AF14356" s="12"/>
    </row>
    <row r="14357" spans="32:32" x14ac:dyDescent="0.2">
      <c r="AF14357" s="12"/>
    </row>
    <row r="14358" spans="32:32" x14ac:dyDescent="0.2">
      <c r="AF14358" s="12"/>
    </row>
    <row r="14359" spans="32:32" x14ac:dyDescent="0.2">
      <c r="AF14359" s="12"/>
    </row>
    <row r="14360" spans="32:32" x14ac:dyDescent="0.2">
      <c r="AF14360" s="12"/>
    </row>
    <row r="14361" spans="32:32" x14ac:dyDescent="0.2">
      <c r="AF14361" s="12"/>
    </row>
    <row r="14362" spans="32:32" x14ac:dyDescent="0.2">
      <c r="AF14362" s="12"/>
    </row>
    <row r="14363" spans="32:32" x14ac:dyDescent="0.2">
      <c r="AF14363" s="12"/>
    </row>
    <row r="14364" spans="32:32" x14ac:dyDescent="0.2">
      <c r="AF14364" s="12"/>
    </row>
    <row r="14365" spans="32:32" x14ac:dyDescent="0.2">
      <c r="AF14365" s="12"/>
    </row>
    <row r="14366" spans="32:32" x14ac:dyDescent="0.2">
      <c r="AF14366" s="12"/>
    </row>
    <row r="14367" spans="32:32" x14ac:dyDescent="0.2">
      <c r="AF14367" s="12"/>
    </row>
    <row r="14368" spans="32:32" x14ac:dyDescent="0.2">
      <c r="AF14368" s="12"/>
    </row>
    <row r="14369" spans="32:32" x14ac:dyDescent="0.2">
      <c r="AF14369" s="12"/>
    </row>
    <row r="14370" spans="32:32" x14ac:dyDescent="0.2">
      <c r="AF14370" s="12"/>
    </row>
    <row r="14371" spans="32:32" x14ac:dyDescent="0.2">
      <c r="AF14371" s="12"/>
    </row>
    <row r="14372" spans="32:32" x14ac:dyDescent="0.2">
      <c r="AF14372" s="12"/>
    </row>
    <row r="14373" spans="32:32" x14ac:dyDescent="0.2">
      <c r="AF14373" s="12"/>
    </row>
    <row r="14374" spans="32:32" x14ac:dyDescent="0.2">
      <c r="AF14374" s="12"/>
    </row>
    <row r="14375" spans="32:32" x14ac:dyDescent="0.2">
      <c r="AF14375" s="12"/>
    </row>
    <row r="14376" spans="32:32" x14ac:dyDescent="0.2">
      <c r="AF14376" s="12"/>
    </row>
    <row r="14377" spans="32:32" x14ac:dyDescent="0.2">
      <c r="AF14377" s="12"/>
    </row>
    <row r="14378" spans="32:32" x14ac:dyDescent="0.2">
      <c r="AF14378" s="12"/>
    </row>
    <row r="14379" spans="32:32" x14ac:dyDescent="0.2">
      <c r="AF14379" s="12"/>
    </row>
    <row r="14380" spans="32:32" x14ac:dyDescent="0.2">
      <c r="AF14380" s="12"/>
    </row>
    <row r="14381" spans="32:32" x14ac:dyDescent="0.2">
      <c r="AF14381" s="12"/>
    </row>
    <row r="14382" spans="32:32" x14ac:dyDescent="0.2">
      <c r="AF14382" s="12"/>
    </row>
    <row r="14383" spans="32:32" x14ac:dyDescent="0.2">
      <c r="AF14383" s="12"/>
    </row>
    <row r="14384" spans="32:32" x14ac:dyDescent="0.2">
      <c r="AF14384" s="12"/>
    </row>
    <row r="14385" spans="32:32" x14ac:dyDescent="0.2">
      <c r="AF14385" s="12"/>
    </row>
    <row r="14386" spans="32:32" x14ac:dyDescent="0.2">
      <c r="AF14386" s="12"/>
    </row>
    <row r="14387" spans="32:32" x14ac:dyDescent="0.2">
      <c r="AF14387" s="12"/>
    </row>
    <row r="14388" spans="32:32" x14ac:dyDescent="0.2">
      <c r="AF14388" s="12"/>
    </row>
    <row r="14389" spans="32:32" x14ac:dyDescent="0.2">
      <c r="AF14389" s="12"/>
    </row>
    <row r="14390" spans="32:32" x14ac:dyDescent="0.2">
      <c r="AF14390" s="12"/>
    </row>
    <row r="14391" spans="32:32" x14ac:dyDescent="0.2">
      <c r="AF14391" s="12"/>
    </row>
    <row r="14392" spans="32:32" x14ac:dyDescent="0.2">
      <c r="AF14392" s="12"/>
    </row>
    <row r="14393" spans="32:32" x14ac:dyDescent="0.2">
      <c r="AF14393" s="12"/>
    </row>
    <row r="14394" spans="32:32" x14ac:dyDescent="0.2">
      <c r="AF14394" s="12"/>
    </row>
    <row r="14395" spans="32:32" x14ac:dyDescent="0.2">
      <c r="AF14395" s="12"/>
    </row>
    <row r="14396" spans="32:32" x14ac:dyDescent="0.2">
      <c r="AF14396" s="12"/>
    </row>
    <row r="14397" spans="32:32" x14ac:dyDescent="0.2">
      <c r="AF14397" s="12"/>
    </row>
    <row r="14398" spans="32:32" x14ac:dyDescent="0.2">
      <c r="AF14398" s="12"/>
    </row>
    <row r="14399" spans="32:32" x14ac:dyDescent="0.2">
      <c r="AF14399" s="12"/>
    </row>
    <row r="14400" spans="32:32" x14ac:dyDescent="0.2">
      <c r="AF14400" s="12"/>
    </row>
    <row r="14401" spans="32:32" x14ac:dyDescent="0.2">
      <c r="AF14401" s="12"/>
    </row>
    <row r="14402" spans="32:32" x14ac:dyDescent="0.2">
      <c r="AF14402" s="12"/>
    </row>
    <row r="14403" spans="32:32" x14ac:dyDescent="0.2">
      <c r="AF14403" s="12"/>
    </row>
    <row r="14404" spans="32:32" x14ac:dyDescent="0.2">
      <c r="AF14404" s="12"/>
    </row>
    <row r="14405" spans="32:32" x14ac:dyDescent="0.2">
      <c r="AF14405" s="12"/>
    </row>
    <row r="14406" spans="32:32" x14ac:dyDescent="0.2">
      <c r="AF14406" s="12"/>
    </row>
    <row r="14407" spans="32:32" x14ac:dyDescent="0.2">
      <c r="AF14407" s="12"/>
    </row>
    <row r="14408" spans="32:32" x14ac:dyDescent="0.2">
      <c r="AF14408" s="12"/>
    </row>
    <row r="14409" spans="32:32" x14ac:dyDescent="0.2">
      <c r="AF14409" s="12"/>
    </row>
    <row r="14410" spans="32:32" x14ac:dyDescent="0.2">
      <c r="AF14410" s="12"/>
    </row>
    <row r="14411" spans="32:32" x14ac:dyDescent="0.2">
      <c r="AF14411" s="12"/>
    </row>
    <row r="14412" spans="32:32" x14ac:dyDescent="0.2">
      <c r="AF14412" s="12"/>
    </row>
    <row r="14413" spans="32:32" x14ac:dyDescent="0.2">
      <c r="AF14413" s="12"/>
    </row>
    <row r="14414" spans="32:32" x14ac:dyDescent="0.2">
      <c r="AF14414" s="12"/>
    </row>
    <row r="14415" spans="32:32" x14ac:dyDescent="0.2">
      <c r="AF14415" s="12"/>
    </row>
    <row r="14416" spans="32:32" x14ac:dyDescent="0.2">
      <c r="AF14416" s="12"/>
    </row>
    <row r="14417" spans="32:32" x14ac:dyDescent="0.2">
      <c r="AF14417" s="12"/>
    </row>
    <row r="14418" spans="32:32" x14ac:dyDescent="0.2">
      <c r="AF14418" s="12"/>
    </row>
    <row r="14419" spans="32:32" x14ac:dyDescent="0.2">
      <c r="AF14419" s="12"/>
    </row>
    <row r="14420" spans="32:32" x14ac:dyDescent="0.2">
      <c r="AF14420" s="12"/>
    </row>
    <row r="14421" spans="32:32" x14ac:dyDescent="0.2">
      <c r="AF14421" s="12"/>
    </row>
    <row r="14422" spans="32:32" x14ac:dyDescent="0.2">
      <c r="AF14422" s="12"/>
    </row>
    <row r="14423" spans="32:32" x14ac:dyDescent="0.2">
      <c r="AF14423" s="12"/>
    </row>
    <row r="14424" spans="32:32" x14ac:dyDescent="0.2">
      <c r="AF14424" s="12"/>
    </row>
    <row r="14425" spans="32:32" x14ac:dyDescent="0.2">
      <c r="AF14425" s="12"/>
    </row>
    <row r="14426" spans="32:32" x14ac:dyDescent="0.2">
      <c r="AF14426" s="12"/>
    </row>
    <row r="14427" spans="32:32" x14ac:dyDescent="0.2">
      <c r="AF14427" s="12"/>
    </row>
    <row r="14428" spans="32:32" x14ac:dyDescent="0.2">
      <c r="AF14428" s="12"/>
    </row>
    <row r="14429" spans="32:32" x14ac:dyDescent="0.2">
      <c r="AF14429" s="12"/>
    </row>
    <row r="14430" spans="32:32" x14ac:dyDescent="0.2">
      <c r="AF14430" s="12"/>
    </row>
    <row r="14431" spans="32:32" x14ac:dyDescent="0.2">
      <c r="AF14431" s="12"/>
    </row>
    <row r="14432" spans="32:32" x14ac:dyDescent="0.2">
      <c r="AF14432" s="12"/>
    </row>
    <row r="14433" spans="32:32" x14ac:dyDescent="0.2">
      <c r="AF14433" s="12"/>
    </row>
    <row r="14434" spans="32:32" x14ac:dyDescent="0.2">
      <c r="AF14434" s="12"/>
    </row>
    <row r="14435" spans="32:32" x14ac:dyDescent="0.2">
      <c r="AF14435" s="12"/>
    </row>
    <row r="14436" spans="32:32" x14ac:dyDescent="0.2">
      <c r="AF14436" s="12"/>
    </row>
    <row r="14437" spans="32:32" x14ac:dyDescent="0.2">
      <c r="AF14437" s="12"/>
    </row>
    <row r="14438" spans="32:32" x14ac:dyDescent="0.2">
      <c r="AF14438" s="12"/>
    </row>
    <row r="14439" spans="32:32" x14ac:dyDescent="0.2">
      <c r="AF14439" s="12"/>
    </row>
    <row r="14440" spans="32:32" x14ac:dyDescent="0.2">
      <c r="AF14440" s="12"/>
    </row>
    <row r="14441" spans="32:32" x14ac:dyDescent="0.2">
      <c r="AF14441" s="12"/>
    </row>
    <row r="14442" spans="32:32" x14ac:dyDescent="0.2">
      <c r="AF14442" s="12"/>
    </row>
    <row r="14443" spans="32:32" x14ac:dyDescent="0.2">
      <c r="AF14443" s="12"/>
    </row>
    <row r="14444" spans="32:32" x14ac:dyDescent="0.2">
      <c r="AF14444" s="12"/>
    </row>
    <row r="14445" spans="32:32" x14ac:dyDescent="0.2">
      <c r="AF14445" s="12"/>
    </row>
    <row r="14446" spans="32:32" x14ac:dyDescent="0.2">
      <c r="AF14446" s="12"/>
    </row>
    <row r="14447" spans="32:32" x14ac:dyDescent="0.2">
      <c r="AF14447" s="12"/>
    </row>
    <row r="14448" spans="32:32" x14ac:dyDescent="0.2">
      <c r="AF14448" s="12"/>
    </row>
    <row r="14449" spans="32:32" x14ac:dyDescent="0.2">
      <c r="AF14449" s="12"/>
    </row>
    <row r="14450" spans="32:32" x14ac:dyDescent="0.2">
      <c r="AF14450" s="12"/>
    </row>
    <row r="14451" spans="32:32" x14ac:dyDescent="0.2">
      <c r="AF14451" s="12"/>
    </row>
    <row r="14452" spans="32:32" x14ac:dyDescent="0.2">
      <c r="AF14452" s="12"/>
    </row>
    <row r="14453" spans="32:32" x14ac:dyDescent="0.2">
      <c r="AF14453" s="12"/>
    </row>
    <row r="14454" spans="32:32" x14ac:dyDescent="0.2">
      <c r="AF14454" s="12"/>
    </row>
    <row r="14455" spans="32:32" x14ac:dyDescent="0.2">
      <c r="AF14455" s="12"/>
    </row>
    <row r="14456" spans="32:32" x14ac:dyDescent="0.2">
      <c r="AF14456" s="12"/>
    </row>
    <row r="14457" spans="32:32" x14ac:dyDescent="0.2">
      <c r="AF14457" s="12"/>
    </row>
    <row r="14458" spans="32:32" x14ac:dyDescent="0.2">
      <c r="AF14458" s="12"/>
    </row>
    <row r="14459" spans="32:32" x14ac:dyDescent="0.2">
      <c r="AF14459" s="12"/>
    </row>
    <row r="14460" spans="32:32" x14ac:dyDescent="0.2">
      <c r="AF14460" s="12"/>
    </row>
    <row r="14461" spans="32:32" x14ac:dyDescent="0.2">
      <c r="AF14461" s="12"/>
    </row>
    <row r="14462" spans="32:32" x14ac:dyDescent="0.2">
      <c r="AF14462" s="12"/>
    </row>
    <row r="14463" spans="32:32" x14ac:dyDescent="0.2">
      <c r="AF14463" s="12"/>
    </row>
    <row r="14464" spans="32:32" x14ac:dyDescent="0.2">
      <c r="AF14464" s="12"/>
    </row>
    <row r="14465" spans="32:32" x14ac:dyDescent="0.2">
      <c r="AF14465" s="12"/>
    </row>
    <row r="14466" spans="32:32" x14ac:dyDescent="0.2">
      <c r="AF14466" s="12"/>
    </row>
    <row r="14467" spans="32:32" x14ac:dyDescent="0.2">
      <c r="AF14467" s="12"/>
    </row>
    <row r="14468" spans="32:32" x14ac:dyDescent="0.2">
      <c r="AF14468" s="12"/>
    </row>
    <row r="14469" spans="32:32" x14ac:dyDescent="0.2">
      <c r="AF14469" s="12"/>
    </row>
    <row r="14470" spans="32:32" x14ac:dyDescent="0.2">
      <c r="AF14470" s="12"/>
    </row>
    <row r="14471" spans="32:32" x14ac:dyDescent="0.2">
      <c r="AF14471" s="12"/>
    </row>
    <row r="14472" spans="32:32" x14ac:dyDescent="0.2">
      <c r="AF14472" s="12"/>
    </row>
    <row r="14473" spans="32:32" x14ac:dyDescent="0.2">
      <c r="AF14473" s="12"/>
    </row>
    <row r="14474" spans="32:32" x14ac:dyDescent="0.2">
      <c r="AF14474" s="12"/>
    </row>
    <row r="14475" spans="32:32" x14ac:dyDescent="0.2">
      <c r="AF14475" s="12"/>
    </row>
    <row r="14476" spans="32:32" x14ac:dyDescent="0.2">
      <c r="AF14476" s="12"/>
    </row>
    <row r="14477" spans="32:32" x14ac:dyDescent="0.2">
      <c r="AF14477" s="12"/>
    </row>
    <row r="14478" spans="32:32" x14ac:dyDescent="0.2">
      <c r="AF14478" s="12"/>
    </row>
    <row r="14479" spans="32:32" x14ac:dyDescent="0.2">
      <c r="AF14479" s="12"/>
    </row>
    <row r="14480" spans="32:32" x14ac:dyDescent="0.2">
      <c r="AF14480" s="12"/>
    </row>
    <row r="14481" spans="32:32" x14ac:dyDescent="0.2">
      <c r="AF14481" s="12"/>
    </row>
    <row r="14482" spans="32:32" x14ac:dyDescent="0.2">
      <c r="AF14482" s="12"/>
    </row>
    <row r="14483" spans="32:32" x14ac:dyDescent="0.2">
      <c r="AF14483" s="12"/>
    </row>
    <row r="14484" spans="32:32" x14ac:dyDescent="0.2">
      <c r="AF14484" s="12"/>
    </row>
    <row r="14485" spans="32:32" x14ac:dyDescent="0.2">
      <c r="AF14485" s="12"/>
    </row>
    <row r="14486" spans="32:32" x14ac:dyDescent="0.2">
      <c r="AF14486" s="12"/>
    </row>
    <row r="14487" spans="32:32" x14ac:dyDescent="0.2">
      <c r="AF14487" s="12"/>
    </row>
    <row r="14488" spans="32:32" x14ac:dyDescent="0.2">
      <c r="AF14488" s="12"/>
    </row>
    <row r="14489" spans="32:32" x14ac:dyDescent="0.2">
      <c r="AF14489" s="12"/>
    </row>
    <row r="14490" spans="32:32" x14ac:dyDescent="0.2">
      <c r="AF14490" s="12"/>
    </row>
    <row r="14491" spans="32:32" x14ac:dyDescent="0.2">
      <c r="AF14491" s="12"/>
    </row>
    <row r="14492" spans="32:32" x14ac:dyDescent="0.2">
      <c r="AF14492" s="12"/>
    </row>
    <row r="14493" spans="32:32" x14ac:dyDescent="0.2">
      <c r="AF14493" s="12"/>
    </row>
    <row r="14494" spans="32:32" x14ac:dyDescent="0.2">
      <c r="AF14494" s="12"/>
    </row>
    <row r="14495" spans="32:32" x14ac:dyDescent="0.2">
      <c r="AF14495" s="12"/>
    </row>
    <row r="14496" spans="32:32" x14ac:dyDescent="0.2">
      <c r="AF14496" s="12"/>
    </row>
    <row r="14497" spans="32:32" x14ac:dyDescent="0.2">
      <c r="AF14497" s="12"/>
    </row>
    <row r="14498" spans="32:32" x14ac:dyDescent="0.2">
      <c r="AF14498" s="12"/>
    </row>
    <row r="14499" spans="32:32" x14ac:dyDescent="0.2">
      <c r="AF14499" s="12"/>
    </row>
    <row r="14500" spans="32:32" x14ac:dyDescent="0.2">
      <c r="AF14500" s="12"/>
    </row>
    <row r="14501" spans="32:32" x14ac:dyDescent="0.2">
      <c r="AF14501" s="12"/>
    </row>
    <row r="14502" spans="32:32" x14ac:dyDescent="0.2">
      <c r="AF14502" s="12"/>
    </row>
    <row r="14503" spans="32:32" x14ac:dyDescent="0.2">
      <c r="AF14503" s="12"/>
    </row>
    <row r="14504" spans="32:32" x14ac:dyDescent="0.2">
      <c r="AF14504" s="12"/>
    </row>
    <row r="14505" spans="32:32" x14ac:dyDescent="0.2">
      <c r="AF14505" s="12"/>
    </row>
    <row r="14506" spans="32:32" x14ac:dyDescent="0.2">
      <c r="AF14506" s="12"/>
    </row>
    <row r="14507" spans="32:32" x14ac:dyDescent="0.2">
      <c r="AF14507" s="12"/>
    </row>
    <row r="14508" spans="32:32" x14ac:dyDescent="0.2">
      <c r="AF14508" s="12"/>
    </row>
    <row r="14509" spans="32:32" x14ac:dyDescent="0.2">
      <c r="AF14509" s="12"/>
    </row>
    <row r="14510" spans="32:32" x14ac:dyDescent="0.2">
      <c r="AF14510" s="12"/>
    </row>
    <row r="14511" spans="32:32" x14ac:dyDescent="0.2">
      <c r="AF14511" s="12"/>
    </row>
    <row r="14512" spans="32:32" x14ac:dyDescent="0.2">
      <c r="AF14512" s="12"/>
    </row>
    <row r="14513" spans="32:32" x14ac:dyDescent="0.2">
      <c r="AF14513" s="12"/>
    </row>
    <row r="14514" spans="32:32" x14ac:dyDescent="0.2">
      <c r="AF14514" s="12"/>
    </row>
    <row r="14515" spans="32:32" x14ac:dyDescent="0.2">
      <c r="AF14515" s="12"/>
    </row>
    <row r="14516" spans="32:32" x14ac:dyDescent="0.2">
      <c r="AF14516" s="12"/>
    </row>
    <row r="14517" spans="32:32" x14ac:dyDescent="0.2">
      <c r="AF14517" s="12"/>
    </row>
    <row r="14518" spans="32:32" x14ac:dyDescent="0.2">
      <c r="AF14518" s="12"/>
    </row>
    <row r="14519" spans="32:32" x14ac:dyDescent="0.2">
      <c r="AF14519" s="12"/>
    </row>
    <row r="14520" spans="32:32" x14ac:dyDescent="0.2">
      <c r="AF14520" s="12"/>
    </row>
    <row r="14521" spans="32:32" x14ac:dyDescent="0.2">
      <c r="AF14521" s="12"/>
    </row>
    <row r="14522" spans="32:32" x14ac:dyDescent="0.2">
      <c r="AF14522" s="12"/>
    </row>
    <row r="14523" spans="32:32" x14ac:dyDescent="0.2">
      <c r="AF14523" s="12"/>
    </row>
    <row r="14524" spans="32:32" x14ac:dyDescent="0.2">
      <c r="AF14524" s="12"/>
    </row>
    <row r="14525" spans="32:32" x14ac:dyDescent="0.2">
      <c r="AF14525" s="12"/>
    </row>
    <row r="14526" spans="32:32" x14ac:dyDescent="0.2">
      <c r="AF14526" s="12"/>
    </row>
    <row r="14527" spans="32:32" x14ac:dyDescent="0.2">
      <c r="AF14527" s="12"/>
    </row>
    <row r="14528" spans="32:32" x14ac:dyDescent="0.2">
      <c r="AF14528" s="12"/>
    </row>
    <row r="14529" spans="32:32" x14ac:dyDescent="0.2">
      <c r="AF14529" s="12"/>
    </row>
    <row r="14530" spans="32:32" x14ac:dyDescent="0.2">
      <c r="AF14530" s="12"/>
    </row>
    <row r="14531" spans="32:32" x14ac:dyDescent="0.2">
      <c r="AF14531" s="12"/>
    </row>
    <row r="14532" spans="32:32" x14ac:dyDescent="0.2">
      <c r="AF14532" s="12"/>
    </row>
    <row r="14533" spans="32:32" x14ac:dyDescent="0.2">
      <c r="AF14533" s="12"/>
    </row>
    <row r="14534" spans="32:32" x14ac:dyDescent="0.2">
      <c r="AF14534" s="12"/>
    </row>
    <row r="14535" spans="32:32" x14ac:dyDescent="0.2">
      <c r="AF14535" s="12"/>
    </row>
    <row r="14536" spans="32:32" x14ac:dyDescent="0.2">
      <c r="AF14536" s="12"/>
    </row>
    <row r="14537" spans="32:32" x14ac:dyDescent="0.2">
      <c r="AF14537" s="12"/>
    </row>
    <row r="14538" spans="32:32" x14ac:dyDescent="0.2">
      <c r="AF14538" s="12"/>
    </row>
    <row r="14539" spans="32:32" x14ac:dyDescent="0.2">
      <c r="AF14539" s="12"/>
    </row>
    <row r="14540" spans="32:32" x14ac:dyDescent="0.2">
      <c r="AF14540" s="12"/>
    </row>
    <row r="14541" spans="32:32" x14ac:dyDescent="0.2">
      <c r="AF14541" s="12"/>
    </row>
    <row r="14542" spans="32:32" x14ac:dyDescent="0.2">
      <c r="AF14542" s="12"/>
    </row>
    <row r="14543" spans="32:32" x14ac:dyDescent="0.2">
      <c r="AF14543" s="12"/>
    </row>
    <row r="14544" spans="32:32" x14ac:dyDescent="0.2">
      <c r="AF14544" s="12"/>
    </row>
    <row r="14545" spans="32:32" x14ac:dyDescent="0.2">
      <c r="AF14545" s="12"/>
    </row>
    <row r="14546" spans="32:32" x14ac:dyDescent="0.2">
      <c r="AF14546" s="12"/>
    </row>
    <row r="14547" spans="32:32" x14ac:dyDescent="0.2">
      <c r="AF14547" s="12"/>
    </row>
    <row r="14548" spans="32:32" x14ac:dyDescent="0.2">
      <c r="AF14548" s="12"/>
    </row>
    <row r="14549" spans="32:32" x14ac:dyDescent="0.2">
      <c r="AF14549" s="12"/>
    </row>
    <row r="14550" spans="32:32" x14ac:dyDescent="0.2">
      <c r="AF14550" s="12"/>
    </row>
    <row r="14551" spans="32:32" x14ac:dyDescent="0.2">
      <c r="AF14551" s="12"/>
    </row>
    <row r="14552" spans="32:32" x14ac:dyDescent="0.2">
      <c r="AF14552" s="12"/>
    </row>
    <row r="14553" spans="32:32" x14ac:dyDescent="0.2">
      <c r="AF14553" s="12"/>
    </row>
    <row r="14554" spans="32:32" x14ac:dyDescent="0.2">
      <c r="AF14554" s="12"/>
    </row>
    <row r="14555" spans="32:32" x14ac:dyDescent="0.2">
      <c r="AF14555" s="12"/>
    </row>
    <row r="14556" spans="32:32" x14ac:dyDescent="0.2">
      <c r="AF14556" s="12"/>
    </row>
    <row r="14557" spans="32:32" x14ac:dyDescent="0.2">
      <c r="AF14557" s="12"/>
    </row>
    <row r="14558" spans="32:32" x14ac:dyDescent="0.2">
      <c r="AF14558" s="12"/>
    </row>
    <row r="14559" spans="32:32" x14ac:dyDescent="0.2">
      <c r="AF14559" s="12"/>
    </row>
    <row r="14560" spans="32:32" x14ac:dyDescent="0.2">
      <c r="AF14560" s="12"/>
    </row>
    <row r="14561" spans="32:32" x14ac:dyDescent="0.2">
      <c r="AF14561" s="12"/>
    </row>
    <row r="14562" spans="32:32" x14ac:dyDescent="0.2">
      <c r="AF14562" s="12"/>
    </row>
    <row r="14563" spans="32:32" x14ac:dyDescent="0.2">
      <c r="AF14563" s="12"/>
    </row>
    <row r="14564" spans="32:32" x14ac:dyDescent="0.2">
      <c r="AF14564" s="12"/>
    </row>
    <row r="14565" spans="32:32" x14ac:dyDescent="0.2">
      <c r="AF14565" s="12"/>
    </row>
    <row r="14566" spans="32:32" x14ac:dyDescent="0.2">
      <c r="AF14566" s="12"/>
    </row>
    <row r="14567" spans="32:32" x14ac:dyDescent="0.2">
      <c r="AF14567" s="12"/>
    </row>
    <row r="14568" spans="32:32" x14ac:dyDescent="0.2">
      <c r="AF14568" s="12"/>
    </row>
    <row r="14569" spans="32:32" x14ac:dyDescent="0.2">
      <c r="AF14569" s="12"/>
    </row>
    <row r="14570" spans="32:32" x14ac:dyDescent="0.2">
      <c r="AF14570" s="12"/>
    </row>
    <row r="14571" spans="32:32" x14ac:dyDescent="0.2">
      <c r="AF14571" s="12"/>
    </row>
    <row r="14572" spans="32:32" x14ac:dyDescent="0.2">
      <c r="AF14572" s="12"/>
    </row>
    <row r="14573" spans="32:32" x14ac:dyDescent="0.2">
      <c r="AF14573" s="12"/>
    </row>
    <row r="14574" spans="32:32" x14ac:dyDescent="0.2">
      <c r="AF14574" s="12"/>
    </row>
    <row r="14575" spans="32:32" x14ac:dyDescent="0.2">
      <c r="AF14575" s="12"/>
    </row>
    <row r="14576" spans="32:32" x14ac:dyDescent="0.2">
      <c r="AF14576" s="12"/>
    </row>
    <row r="14577" spans="32:32" x14ac:dyDescent="0.2">
      <c r="AF14577" s="12"/>
    </row>
    <row r="14578" spans="32:32" x14ac:dyDescent="0.2">
      <c r="AF14578" s="12"/>
    </row>
    <row r="14579" spans="32:32" x14ac:dyDescent="0.2">
      <c r="AF14579" s="12"/>
    </row>
    <row r="14580" spans="32:32" x14ac:dyDescent="0.2">
      <c r="AF14580" s="12"/>
    </row>
    <row r="14581" spans="32:32" x14ac:dyDescent="0.2">
      <c r="AF14581" s="12"/>
    </row>
    <row r="14582" spans="32:32" x14ac:dyDescent="0.2">
      <c r="AF14582" s="12"/>
    </row>
    <row r="14583" spans="32:32" x14ac:dyDescent="0.2">
      <c r="AF14583" s="12"/>
    </row>
    <row r="14584" spans="32:32" x14ac:dyDescent="0.2">
      <c r="AF14584" s="12"/>
    </row>
    <row r="14585" spans="32:32" x14ac:dyDescent="0.2">
      <c r="AF14585" s="12"/>
    </row>
    <row r="14586" spans="32:32" x14ac:dyDescent="0.2">
      <c r="AF14586" s="12"/>
    </row>
    <row r="14587" spans="32:32" x14ac:dyDescent="0.2">
      <c r="AF14587" s="12"/>
    </row>
    <row r="14588" spans="32:32" x14ac:dyDescent="0.2">
      <c r="AF14588" s="12"/>
    </row>
    <row r="14589" spans="32:32" x14ac:dyDescent="0.2">
      <c r="AF14589" s="12"/>
    </row>
    <row r="14590" spans="32:32" x14ac:dyDescent="0.2">
      <c r="AF14590" s="12"/>
    </row>
    <row r="14591" spans="32:32" x14ac:dyDescent="0.2">
      <c r="AF14591" s="12"/>
    </row>
    <row r="14592" spans="32:32" x14ac:dyDescent="0.2">
      <c r="AF14592" s="12"/>
    </row>
    <row r="14593" spans="32:32" x14ac:dyDescent="0.2">
      <c r="AF14593" s="12"/>
    </row>
    <row r="14594" spans="32:32" x14ac:dyDescent="0.2">
      <c r="AF14594" s="12"/>
    </row>
    <row r="14595" spans="32:32" x14ac:dyDescent="0.2">
      <c r="AF14595" s="12"/>
    </row>
    <row r="14596" spans="32:32" x14ac:dyDescent="0.2">
      <c r="AF14596" s="12"/>
    </row>
    <row r="14597" spans="32:32" x14ac:dyDescent="0.2">
      <c r="AF14597" s="12"/>
    </row>
    <row r="14598" spans="32:32" x14ac:dyDescent="0.2">
      <c r="AF14598" s="12"/>
    </row>
    <row r="14599" spans="32:32" x14ac:dyDescent="0.2">
      <c r="AF14599" s="12"/>
    </row>
    <row r="14600" spans="32:32" x14ac:dyDescent="0.2">
      <c r="AF14600" s="12"/>
    </row>
    <row r="14601" spans="32:32" x14ac:dyDescent="0.2">
      <c r="AF14601" s="12"/>
    </row>
    <row r="14602" spans="32:32" x14ac:dyDescent="0.2">
      <c r="AF14602" s="12"/>
    </row>
    <row r="14603" spans="32:32" x14ac:dyDescent="0.2">
      <c r="AF14603" s="12"/>
    </row>
    <row r="14604" spans="32:32" x14ac:dyDescent="0.2">
      <c r="AF14604" s="12"/>
    </row>
    <row r="14605" spans="32:32" x14ac:dyDescent="0.2">
      <c r="AF14605" s="12"/>
    </row>
    <row r="14606" spans="32:32" x14ac:dyDescent="0.2">
      <c r="AF14606" s="12"/>
    </row>
    <row r="14607" spans="32:32" x14ac:dyDescent="0.2">
      <c r="AF14607" s="12"/>
    </row>
    <row r="14608" spans="32:32" x14ac:dyDescent="0.2">
      <c r="AF14608" s="12"/>
    </row>
    <row r="14609" spans="32:32" x14ac:dyDescent="0.2">
      <c r="AF14609" s="12"/>
    </row>
    <row r="14610" spans="32:32" x14ac:dyDescent="0.2">
      <c r="AF14610" s="12"/>
    </row>
    <row r="14611" spans="32:32" x14ac:dyDescent="0.2">
      <c r="AF14611" s="12"/>
    </row>
    <row r="14612" spans="32:32" x14ac:dyDescent="0.2">
      <c r="AF14612" s="12"/>
    </row>
    <row r="14613" spans="32:32" x14ac:dyDescent="0.2">
      <c r="AF14613" s="12"/>
    </row>
    <row r="14614" spans="32:32" x14ac:dyDescent="0.2">
      <c r="AF14614" s="12"/>
    </row>
    <row r="14615" spans="32:32" x14ac:dyDescent="0.2">
      <c r="AF14615" s="12"/>
    </row>
    <row r="14616" spans="32:32" x14ac:dyDescent="0.2">
      <c r="AF14616" s="12"/>
    </row>
    <row r="14617" spans="32:32" x14ac:dyDescent="0.2">
      <c r="AF14617" s="12"/>
    </row>
    <row r="14618" spans="32:32" x14ac:dyDescent="0.2">
      <c r="AF14618" s="12"/>
    </row>
    <row r="14619" spans="32:32" x14ac:dyDescent="0.2">
      <c r="AF14619" s="12"/>
    </row>
    <row r="14620" spans="32:32" x14ac:dyDescent="0.2">
      <c r="AF14620" s="12"/>
    </row>
    <row r="14621" spans="32:32" x14ac:dyDescent="0.2">
      <c r="AF14621" s="12"/>
    </row>
    <row r="14622" spans="32:32" x14ac:dyDescent="0.2">
      <c r="AF14622" s="12"/>
    </row>
    <row r="14623" spans="32:32" x14ac:dyDescent="0.2">
      <c r="AF14623" s="12"/>
    </row>
    <row r="14624" spans="32:32" x14ac:dyDescent="0.2">
      <c r="AF14624" s="12"/>
    </row>
    <row r="14625" spans="32:32" x14ac:dyDescent="0.2">
      <c r="AF14625" s="12"/>
    </row>
    <row r="14626" spans="32:32" x14ac:dyDescent="0.2">
      <c r="AF14626" s="12"/>
    </row>
    <row r="14627" spans="32:32" x14ac:dyDescent="0.2">
      <c r="AF14627" s="12"/>
    </row>
    <row r="14628" spans="32:32" x14ac:dyDescent="0.2">
      <c r="AF14628" s="12"/>
    </row>
    <row r="14629" spans="32:32" x14ac:dyDescent="0.2">
      <c r="AF14629" s="12"/>
    </row>
    <row r="14630" spans="32:32" x14ac:dyDescent="0.2">
      <c r="AF14630" s="12"/>
    </row>
    <row r="14631" spans="32:32" x14ac:dyDescent="0.2">
      <c r="AF14631" s="12"/>
    </row>
    <row r="14632" spans="32:32" x14ac:dyDescent="0.2">
      <c r="AF14632" s="12"/>
    </row>
    <row r="14633" spans="32:32" x14ac:dyDescent="0.2">
      <c r="AF14633" s="12"/>
    </row>
    <row r="14634" spans="32:32" x14ac:dyDescent="0.2">
      <c r="AF14634" s="12"/>
    </row>
    <row r="14635" spans="32:32" x14ac:dyDescent="0.2">
      <c r="AF14635" s="12"/>
    </row>
    <row r="14636" spans="32:32" x14ac:dyDescent="0.2">
      <c r="AF14636" s="12"/>
    </row>
    <row r="14637" spans="32:32" x14ac:dyDescent="0.2">
      <c r="AF14637" s="12"/>
    </row>
    <row r="14638" spans="32:32" x14ac:dyDescent="0.2">
      <c r="AF14638" s="12"/>
    </row>
    <row r="14639" spans="32:32" x14ac:dyDescent="0.2">
      <c r="AF14639" s="12"/>
    </row>
    <row r="14640" spans="32:32" x14ac:dyDescent="0.2">
      <c r="AF14640" s="12"/>
    </row>
    <row r="14641" spans="32:32" x14ac:dyDescent="0.2">
      <c r="AF14641" s="12"/>
    </row>
    <row r="14642" spans="32:32" x14ac:dyDescent="0.2">
      <c r="AF14642" s="12"/>
    </row>
    <row r="14643" spans="32:32" x14ac:dyDescent="0.2">
      <c r="AF14643" s="12"/>
    </row>
    <row r="14644" spans="32:32" x14ac:dyDescent="0.2">
      <c r="AF14644" s="12"/>
    </row>
    <row r="14645" spans="32:32" x14ac:dyDescent="0.2">
      <c r="AF14645" s="12"/>
    </row>
    <row r="14646" spans="32:32" x14ac:dyDescent="0.2">
      <c r="AF14646" s="12"/>
    </row>
    <row r="14647" spans="32:32" x14ac:dyDescent="0.2">
      <c r="AF14647" s="12"/>
    </row>
    <row r="14648" spans="32:32" x14ac:dyDescent="0.2">
      <c r="AF14648" s="12"/>
    </row>
    <row r="14649" spans="32:32" x14ac:dyDescent="0.2">
      <c r="AF14649" s="12"/>
    </row>
    <row r="14650" spans="32:32" x14ac:dyDescent="0.2">
      <c r="AF14650" s="12"/>
    </row>
    <row r="14651" spans="32:32" x14ac:dyDescent="0.2">
      <c r="AF14651" s="12"/>
    </row>
    <row r="14652" spans="32:32" x14ac:dyDescent="0.2">
      <c r="AF14652" s="12"/>
    </row>
    <row r="14653" spans="32:32" x14ac:dyDescent="0.2">
      <c r="AF14653" s="12"/>
    </row>
    <row r="14654" spans="32:32" x14ac:dyDescent="0.2">
      <c r="AF14654" s="12"/>
    </row>
    <row r="14655" spans="32:32" x14ac:dyDescent="0.2">
      <c r="AF14655" s="12"/>
    </row>
    <row r="14656" spans="32:32" x14ac:dyDescent="0.2">
      <c r="AF14656" s="12"/>
    </row>
    <row r="14657" spans="32:32" x14ac:dyDescent="0.2">
      <c r="AF14657" s="12"/>
    </row>
    <row r="14658" spans="32:32" x14ac:dyDescent="0.2">
      <c r="AF14658" s="12"/>
    </row>
    <row r="14659" spans="32:32" x14ac:dyDescent="0.2">
      <c r="AF14659" s="12"/>
    </row>
    <row r="14660" spans="32:32" x14ac:dyDescent="0.2">
      <c r="AF14660" s="12"/>
    </row>
    <row r="14661" spans="32:32" x14ac:dyDescent="0.2">
      <c r="AF14661" s="12"/>
    </row>
    <row r="14662" spans="32:32" x14ac:dyDescent="0.2">
      <c r="AF14662" s="12"/>
    </row>
    <row r="14663" spans="32:32" x14ac:dyDescent="0.2">
      <c r="AF14663" s="12"/>
    </row>
    <row r="14664" spans="32:32" x14ac:dyDescent="0.2">
      <c r="AF14664" s="12"/>
    </row>
    <row r="14665" spans="32:32" x14ac:dyDescent="0.2">
      <c r="AF14665" s="12"/>
    </row>
    <row r="14666" spans="32:32" x14ac:dyDescent="0.2">
      <c r="AF14666" s="12"/>
    </row>
    <row r="14667" spans="32:32" x14ac:dyDescent="0.2">
      <c r="AF14667" s="12"/>
    </row>
    <row r="14668" spans="32:32" x14ac:dyDescent="0.2">
      <c r="AF14668" s="12"/>
    </row>
    <row r="14669" spans="32:32" x14ac:dyDescent="0.2">
      <c r="AF14669" s="12"/>
    </row>
    <row r="14670" spans="32:32" x14ac:dyDescent="0.2">
      <c r="AF14670" s="12"/>
    </row>
    <row r="14671" spans="32:32" x14ac:dyDescent="0.2">
      <c r="AF14671" s="12"/>
    </row>
    <row r="14672" spans="32:32" x14ac:dyDescent="0.2">
      <c r="AF14672" s="12"/>
    </row>
    <row r="14673" spans="32:32" x14ac:dyDescent="0.2">
      <c r="AF14673" s="12"/>
    </row>
    <row r="14674" spans="32:32" x14ac:dyDescent="0.2">
      <c r="AF14674" s="12"/>
    </row>
    <row r="14675" spans="32:32" x14ac:dyDescent="0.2">
      <c r="AF14675" s="12"/>
    </row>
    <row r="14676" spans="32:32" x14ac:dyDescent="0.2">
      <c r="AF14676" s="12"/>
    </row>
    <row r="14677" spans="32:32" x14ac:dyDescent="0.2">
      <c r="AF14677" s="12"/>
    </row>
    <row r="14678" spans="32:32" x14ac:dyDescent="0.2">
      <c r="AF14678" s="12"/>
    </row>
    <row r="14679" spans="32:32" x14ac:dyDescent="0.2">
      <c r="AF14679" s="12"/>
    </row>
    <row r="14680" spans="32:32" x14ac:dyDescent="0.2">
      <c r="AF14680" s="12"/>
    </row>
    <row r="14681" spans="32:32" x14ac:dyDescent="0.2">
      <c r="AF14681" s="12"/>
    </row>
    <row r="14682" spans="32:32" x14ac:dyDescent="0.2">
      <c r="AF14682" s="12"/>
    </row>
    <row r="14683" spans="32:32" x14ac:dyDescent="0.2">
      <c r="AF14683" s="12"/>
    </row>
    <row r="14684" spans="32:32" x14ac:dyDescent="0.2">
      <c r="AF14684" s="12"/>
    </row>
    <row r="14685" spans="32:32" x14ac:dyDescent="0.2">
      <c r="AF14685" s="12"/>
    </row>
    <row r="14686" spans="32:32" x14ac:dyDescent="0.2">
      <c r="AF14686" s="12"/>
    </row>
    <row r="14687" spans="32:32" x14ac:dyDescent="0.2">
      <c r="AF14687" s="12"/>
    </row>
    <row r="14688" spans="32:32" x14ac:dyDescent="0.2">
      <c r="AF14688" s="12"/>
    </row>
    <row r="14689" spans="32:32" x14ac:dyDescent="0.2">
      <c r="AF14689" s="12"/>
    </row>
    <row r="14690" spans="32:32" x14ac:dyDescent="0.2">
      <c r="AF14690" s="12"/>
    </row>
    <row r="14691" spans="32:32" x14ac:dyDescent="0.2">
      <c r="AF14691" s="12"/>
    </row>
    <row r="14692" spans="32:32" x14ac:dyDescent="0.2">
      <c r="AF14692" s="12"/>
    </row>
    <row r="14693" spans="32:32" x14ac:dyDescent="0.2">
      <c r="AF14693" s="12"/>
    </row>
    <row r="14694" spans="32:32" x14ac:dyDescent="0.2">
      <c r="AF14694" s="12"/>
    </row>
    <row r="14695" spans="32:32" x14ac:dyDescent="0.2">
      <c r="AF14695" s="12"/>
    </row>
    <row r="14696" spans="32:32" x14ac:dyDescent="0.2">
      <c r="AF14696" s="12"/>
    </row>
    <row r="14697" spans="32:32" x14ac:dyDescent="0.2">
      <c r="AF14697" s="12"/>
    </row>
    <row r="14698" spans="32:32" x14ac:dyDescent="0.2">
      <c r="AF14698" s="12"/>
    </row>
    <row r="14699" spans="32:32" x14ac:dyDescent="0.2">
      <c r="AF14699" s="12"/>
    </row>
    <row r="14700" spans="32:32" x14ac:dyDescent="0.2">
      <c r="AF14700" s="12"/>
    </row>
    <row r="14701" spans="32:32" x14ac:dyDescent="0.2">
      <c r="AF14701" s="12"/>
    </row>
    <row r="14702" spans="32:32" x14ac:dyDescent="0.2">
      <c r="AF14702" s="12"/>
    </row>
    <row r="14703" spans="32:32" x14ac:dyDescent="0.2">
      <c r="AF14703" s="12"/>
    </row>
    <row r="14704" spans="32:32" x14ac:dyDescent="0.2">
      <c r="AF14704" s="12"/>
    </row>
    <row r="14705" spans="32:32" x14ac:dyDescent="0.2">
      <c r="AF14705" s="12"/>
    </row>
    <row r="14706" spans="32:32" x14ac:dyDescent="0.2">
      <c r="AF14706" s="12"/>
    </row>
    <row r="14707" spans="32:32" x14ac:dyDescent="0.2">
      <c r="AF14707" s="12"/>
    </row>
    <row r="14708" spans="32:32" x14ac:dyDescent="0.2">
      <c r="AF14708" s="12"/>
    </row>
    <row r="14709" spans="32:32" x14ac:dyDescent="0.2">
      <c r="AF14709" s="12"/>
    </row>
    <row r="14710" spans="32:32" x14ac:dyDescent="0.2">
      <c r="AF14710" s="12"/>
    </row>
    <row r="14711" spans="32:32" x14ac:dyDescent="0.2">
      <c r="AF14711" s="12"/>
    </row>
    <row r="14712" spans="32:32" x14ac:dyDescent="0.2">
      <c r="AF14712" s="12"/>
    </row>
    <row r="14713" spans="32:32" x14ac:dyDescent="0.2">
      <c r="AF14713" s="12"/>
    </row>
    <row r="14714" spans="32:32" x14ac:dyDescent="0.2">
      <c r="AF14714" s="12"/>
    </row>
    <row r="14715" spans="32:32" x14ac:dyDescent="0.2">
      <c r="AF14715" s="12"/>
    </row>
    <row r="14716" spans="32:32" x14ac:dyDescent="0.2">
      <c r="AF14716" s="12"/>
    </row>
    <row r="14717" spans="32:32" x14ac:dyDescent="0.2">
      <c r="AF14717" s="12"/>
    </row>
    <row r="14718" spans="32:32" x14ac:dyDescent="0.2">
      <c r="AF14718" s="12"/>
    </row>
    <row r="14719" spans="32:32" x14ac:dyDescent="0.2">
      <c r="AF14719" s="12"/>
    </row>
    <row r="14720" spans="32:32" x14ac:dyDescent="0.2">
      <c r="AF14720" s="12"/>
    </row>
    <row r="14721" spans="32:32" x14ac:dyDescent="0.2">
      <c r="AF14721" s="12"/>
    </row>
    <row r="14722" spans="32:32" x14ac:dyDescent="0.2">
      <c r="AF14722" s="12"/>
    </row>
    <row r="14723" spans="32:32" x14ac:dyDescent="0.2">
      <c r="AF14723" s="12"/>
    </row>
    <row r="14724" spans="32:32" x14ac:dyDescent="0.2">
      <c r="AF14724" s="12"/>
    </row>
    <row r="14725" spans="32:32" x14ac:dyDescent="0.2">
      <c r="AF14725" s="12"/>
    </row>
    <row r="14726" spans="32:32" x14ac:dyDescent="0.2">
      <c r="AF14726" s="12"/>
    </row>
    <row r="14727" spans="32:32" x14ac:dyDescent="0.2">
      <c r="AF14727" s="12"/>
    </row>
    <row r="14728" spans="32:32" x14ac:dyDescent="0.2">
      <c r="AF14728" s="12"/>
    </row>
    <row r="14729" spans="32:32" x14ac:dyDescent="0.2">
      <c r="AF14729" s="12"/>
    </row>
    <row r="14730" spans="32:32" x14ac:dyDescent="0.2">
      <c r="AF14730" s="12"/>
    </row>
    <row r="14731" spans="32:32" x14ac:dyDescent="0.2">
      <c r="AF14731" s="12"/>
    </row>
    <row r="14732" spans="32:32" x14ac:dyDescent="0.2">
      <c r="AF14732" s="12"/>
    </row>
    <row r="14733" spans="32:32" x14ac:dyDescent="0.2">
      <c r="AF14733" s="12"/>
    </row>
    <row r="14734" spans="32:32" x14ac:dyDescent="0.2">
      <c r="AF14734" s="12"/>
    </row>
    <row r="14735" spans="32:32" x14ac:dyDescent="0.2">
      <c r="AF14735" s="12"/>
    </row>
    <row r="14736" spans="32:32" x14ac:dyDescent="0.2">
      <c r="AF14736" s="12"/>
    </row>
    <row r="14737" spans="32:32" x14ac:dyDescent="0.2">
      <c r="AF14737" s="12"/>
    </row>
    <row r="14738" spans="32:32" x14ac:dyDescent="0.2">
      <c r="AF14738" s="12"/>
    </row>
    <row r="14739" spans="32:32" x14ac:dyDescent="0.2">
      <c r="AF14739" s="12"/>
    </row>
    <row r="14740" spans="32:32" x14ac:dyDescent="0.2">
      <c r="AF14740" s="12"/>
    </row>
    <row r="14741" spans="32:32" x14ac:dyDescent="0.2">
      <c r="AF14741" s="12"/>
    </row>
    <row r="14742" spans="32:32" x14ac:dyDescent="0.2">
      <c r="AF14742" s="12"/>
    </row>
    <row r="14743" spans="32:32" x14ac:dyDescent="0.2">
      <c r="AF14743" s="12"/>
    </row>
    <row r="14744" spans="32:32" x14ac:dyDescent="0.2">
      <c r="AF14744" s="12"/>
    </row>
    <row r="14745" spans="32:32" x14ac:dyDescent="0.2">
      <c r="AF14745" s="12"/>
    </row>
    <row r="14746" spans="32:32" x14ac:dyDescent="0.2">
      <c r="AF14746" s="12"/>
    </row>
    <row r="14747" spans="32:32" x14ac:dyDescent="0.2">
      <c r="AF14747" s="12"/>
    </row>
    <row r="14748" spans="32:32" x14ac:dyDescent="0.2">
      <c r="AF14748" s="12"/>
    </row>
    <row r="14749" spans="32:32" x14ac:dyDescent="0.2">
      <c r="AF14749" s="12"/>
    </row>
    <row r="14750" spans="32:32" x14ac:dyDescent="0.2">
      <c r="AF14750" s="12"/>
    </row>
    <row r="14751" spans="32:32" x14ac:dyDescent="0.2">
      <c r="AF14751" s="12"/>
    </row>
    <row r="14752" spans="32:32" x14ac:dyDescent="0.2">
      <c r="AF14752" s="12"/>
    </row>
    <row r="14753" spans="32:32" x14ac:dyDescent="0.2">
      <c r="AF14753" s="12"/>
    </row>
    <row r="14754" spans="32:32" x14ac:dyDescent="0.2">
      <c r="AF14754" s="12"/>
    </row>
    <row r="14755" spans="32:32" x14ac:dyDescent="0.2">
      <c r="AF14755" s="12"/>
    </row>
    <row r="14756" spans="32:32" x14ac:dyDescent="0.2">
      <c r="AF14756" s="12"/>
    </row>
    <row r="14757" spans="32:32" x14ac:dyDescent="0.2">
      <c r="AF14757" s="12"/>
    </row>
    <row r="14758" spans="32:32" x14ac:dyDescent="0.2">
      <c r="AF14758" s="12"/>
    </row>
    <row r="14759" spans="32:32" x14ac:dyDescent="0.2">
      <c r="AF14759" s="12"/>
    </row>
    <row r="14760" spans="32:32" x14ac:dyDescent="0.2">
      <c r="AF14760" s="12"/>
    </row>
    <row r="14761" spans="32:32" x14ac:dyDescent="0.2">
      <c r="AF14761" s="12"/>
    </row>
    <row r="14762" spans="32:32" x14ac:dyDescent="0.2">
      <c r="AF14762" s="12"/>
    </row>
    <row r="14763" spans="32:32" x14ac:dyDescent="0.2">
      <c r="AF14763" s="12"/>
    </row>
    <row r="14764" spans="32:32" x14ac:dyDescent="0.2">
      <c r="AF14764" s="12"/>
    </row>
    <row r="14765" spans="32:32" x14ac:dyDescent="0.2">
      <c r="AF14765" s="12"/>
    </row>
    <row r="14766" spans="32:32" x14ac:dyDescent="0.2">
      <c r="AF14766" s="12"/>
    </row>
    <row r="14767" spans="32:32" x14ac:dyDescent="0.2">
      <c r="AF14767" s="12"/>
    </row>
    <row r="14768" spans="32:32" x14ac:dyDescent="0.2">
      <c r="AF14768" s="12"/>
    </row>
    <row r="14769" spans="32:32" x14ac:dyDescent="0.2">
      <c r="AF14769" s="12"/>
    </row>
    <row r="14770" spans="32:32" x14ac:dyDescent="0.2">
      <c r="AF14770" s="12"/>
    </row>
    <row r="14771" spans="32:32" x14ac:dyDescent="0.2">
      <c r="AF14771" s="12"/>
    </row>
    <row r="14772" spans="32:32" x14ac:dyDescent="0.2">
      <c r="AF14772" s="12"/>
    </row>
    <row r="14773" spans="32:32" x14ac:dyDescent="0.2">
      <c r="AF14773" s="12"/>
    </row>
    <row r="14774" spans="32:32" x14ac:dyDescent="0.2">
      <c r="AF14774" s="12"/>
    </row>
    <row r="14775" spans="32:32" x14ac:dyDescent="0.2">
      <c r="AF14775" s="12"/>
    </row>
    <row r="14776" spans="32:32" x14ac:dyDescent="0.2">
      <c r="AF14776" s="12"/>
    </row>
    <row r="14777" spans="32:32" x14ac:dyDescent="0.2">
      <c r="AF14777" s="12"/>
    </row>
    <row r="14778" spans="32:32" x14ac:dyDescent="0.2">
      <c r="AF14778" s="12"/>
    </row>
    <row r="14779" spans="32:32" x14ac:dyDescent="0.2">
      <c r="AF14779" s="12"/>
    </row>
    <row r="14780" spans="32:32" x14ac:dyDescent="0.2">
      <c r="AF14780" s="12"/>
    </row>
    <row r="14781" spans="32:32" x14ac:dyDescent="0.2">
      <c r="AF14781" s="12"/>
    </row>
    <row r="14782" spans="32:32" x14ac:dyDescent="0.2">
      <c r="AF14782" s="12"/>
    </row>
    <row r="14783" spans="32:32" x14ac:dyDescent="0.2">
      <c r="AF14783" s="12"/>
    </row>
    <row r="14784" spans="32:32" x14ac:dyDescent="0.2">
      <c r="AF14784" s="12"/>
    </row>
    <row r="14785" spans="32:32" x14ac:dyDescent="0.2">
      <c r="AF14785" s="12"/>
    </row>
    <row r="14786" spans="32:32" x14ac:dyDescent="0.2">
      <c r="AF14786" s="12"/>
    </row>
    <row r="14787" spans="32:32" x14ac:dyDescent="0.2">
      <c r="AF14787" s="12"/>
    </row>
    <row r="14788" spans="32:32" x14ac:dyDescent="0.2">
      <c r="AF14788" s="12"/>
    </row>
    <row r="14789" spans="32:32" x14ac:dyDescent="0.2">
      <c r="AF14789" s="12"/>
    </row>
    <row r="14790" spans="32:32" x14ac:dyDescent="0.2">
      <c r="AF14790" s="12"/>
    </row>
    <row r="14791" spans="32:32" x14ac:dyDescent="0.2">
      <c r="AF14791" s="12"/>
    </row>
    <row r="14792" spans="32:32" x14ac:dyDescent="0.2">
      <c r="AF14792" s="12"/>
    </row>
    <row r="14793" spans="32:32" x14ac:dyDescent="0.2">
      <c r="AF14793" s="12"/>
    </row>
    <row r="14794" spans="32:32" x14ac:dyDescent="0.2">
      <c r="AF14794" s="12"/>
    </row>
    <row r="14795" spans="32:32" x14ac:dyDescent="0.2">
      <c r="AF14795" s="12"/>
    </row>
    <row r="14796" spans="32:32" x14ac:dyDescent="0.2">
      <c r="AF14796" s="12"/>
    </row>
    <row r="14797" spans="32:32" x14ac:dyDescent="0.2">
      <c r="AF14797" s="12"/>
    </row>
    <row r="14798" spans="32:32" x14ac:dyDescent="0.2">
      <c r="AF14798" s="12"/>
    </row>
    <row r="14799" spans="32:32" x14ac:dyDescent="0.2">
      <c r="AF14799" s="12"/>
    </row>
    <row r="14800" spans="32:32" x14ac:dyDescent="0.2">
      <c r="AF14800" s="12"/>
    </row>
    <row r="14801" spans="32:32" x14ac:dyDescent="0.2">
      <c r="AF14801" s="12"/>
    </row>
    <row r="14802" spans="32:32" x14ac:dyDescent="0.2">
      <c r="AF14802" s="12"/>
    </row>
    <row r="14803" spans="32:32" x14ac:dyDescent="0.2">
      <c r="AF14803" s="12"/>
    </row>
    <row r="14804" spans="32:32" x14ac:dyDescent="0.2">
      <c r="AF14804" s="12"/>
    </row>
    <row r="14805" spans="32:32" x14ac:dyDescent="0.2">
      <c r="AF14805" s="12"/>
    </row>
    <row r="14806" spans="32:32" x14ac:dyDescent="0.2">
      <c r="AF14806" s="12"/>
    </row>
    <row r="14807" spans="32:32" x14ac:dyDescent="0.2">
      <c r="AF14807" s="12"/>
    </row>
    <row r="14808" spans="32:32" x14ac:dyDescent="0.2">
      <c r="AF14808" s="12"/>
    </row>
    <row r="14809" spans="32:32" x14ac:dyDescent="0.2">
      <c r="AF14809" s="12"/>
    </row>
    <row r="14810" spans="32:32" x14ac:dyDescent="0.2">
      <c r="AF14810" s="12"/>
    </row>
    <row r="14811" spans="32:32" x14ac:dyDescent="0.2">
      <c r="AF14811" s="12"/>
    </row>
    <row r="14812" spans="32:32" x14ac:dyDescent="0.2">
      <c r="AF14812" s="12"/>
    </row>
    <row r="14813" spans="32:32" x14ac:dyDescent="0.2">
      <c r="AF14813" s="12"/>
    </row>
    <row r="14814" spans="32:32" x14ac:dyDescent="0.2">
      <c r="AF14814" s="12"/>
    </row>
    <row r="14815" spans="32:32" x14ac:dyDescent="0.2">
      <c r="AF14815" s="12"/>
    </row>
    <row r="14816" spans="32:32" x14ac:dyDescent="0.2">
      <c r="AF14816" s="12"/>
    </row>
    <row r="14817" spans="32:32" x14ac:dyDescent="0.2">
      <c r="AF14817" s="12"/>
    </row>
    <row r="14818" spans="32:32" x14ac:dyDescent="0.2">
      <c r="AF14818" s="12"/>
    </row>
    <row r="14819" spans="32:32" x14ac:dyDescent="0.2">
      <c r="AF14819" s="12"/>
    </row>
    <row r="14820" spans="32:32" x14ac:dyDescent="0.2">
      <c r="AF14820" s="12"/>
    </row>
    <row r="14821" spans="32:32" x14ac:dyDescent="0.2">
      <c r="AF14821" s="12"/>
    </row>
    <row r="14822" spans="32:32" x14ac:dyDescent="0.2">
      <c r="AF14822" s="12"/>
    </row>
    <row r="14823" spans="32:32" x14ac:dyDescent="0.2">
      <c r="AF14823" s="12"/>
    </row>
    <row r="14824" spans="32:32" x14ac:dyDescent="0.2">
      <c r="AF14824" s="12"/>
    </row>
    <row r="14825" spans="32:32" x14ac:dyDescent="0.2">
      <c r="AF14825" s="12"/>
    </row>
    <row r="14826" spans="32:32" x14ac:dyDescent="0.2">
      <c r="AF14826" s="12"/>
    </row>
    <row r="14827" spans="32:32" x14ac:dyDescent="0.2">
      <c r="AF14827" s="12"/>
    </row>
    <row r="14828" spans="32:32" x14ac:dyDescent="0.2">
      <c r="AF14828" s="12"/>
    </row>
    <row r="14829" spans="32:32" x14ac:dyDescent="0.2">
      <c r="AF14829" s="12"/>
    </row>
    <row r="14830" spans="32:32" x14ac:dyDescent="0.2">
      <c r="AF14830" s="12"/>
    </row>
    <row r="14831" spans="32:32" x14ac:dyDescent="0.2">
      <c r="AF14831" s="12"/>
    </row>
    <row r="14832" spans="32:32" x14ac:dyDescent="0.2">
      <c r="AF14832" s="12"/>
    </row>
    <row r="14833" spans="32:32" x14ac:dyDescent="0.2">
      <c r="AF14833" s="12"/>
    </row>
    <row r="14834" spans="32:32" x14ac:dyDescent="0.2">
      <c r="AF14834" s="12"/>
    </row>
    <row r="14835" spans="32:32" x14ac:dyDescent="0.2">
      <c r="AF14835" s="12"/>
    </row>
    <row r="14836" spans="32:32" x14ac:dyDescent="0.2">
      <c r="AF14836" s="12"/>
    </row>
    <row r="14837" spans="32:32" x14ac:dyDescent="0.2">
      <c r="AF14837" s="12"/>
    </row>
    <row r="14838" spans="32:32" x14ac:dyDescent="0.2">
      <c r="AF14838" s="12"/>
    </row>
    <row r="14839" spans="32:32" x14ac:dyDescent="0.2">
      <c r="AF14839" s="12"/>
    </row>
    <row r="14840" spans="32:32" x14ac:dyDescent="0.2">
      <c r="AF14840" s="12"/>
    </row>
    <row r="14841" spans="32:32" x14ac:dyDescent="0.2">
      <c r="AF14841" s="12"/>
    </row>
    <row r="14842" spans="32:32" x14ac:dyDescent="0.2">
      <c r="AF14842" s="12"/>
    </row>
    <row r="14843" spans="32:32" x14ac:dyDescent="0.2">
      <c r="AF14843" s="12"/>
    </row>
    <row r="14844" spans="32:32" x14ac:dyDescent="0.2">
      <c r="AF14844" s="12"/>
    </row>
    <row r="14845" spans="32:32" x14ac:dyDescent="0.2">
      <c r="AF14845" s="12"/>
    </row>
    <row r="14846" spans="32:32" x14ac:dyDescent="0.2">
      <c r="AF14846" s="12"/>
    </row>
    <row r="14847" spans="32:32" x14ac:dyDescent="0.2">
      <c r="AF14847" s="12"/>
    </row>
    <row r="14848" spans="32:32" x14ac:dyDescent="0.2">
      <c r="AF14848" s="12"/>
    </row>
    <row r="14849" spans="32:32" x14ac:dyDescent="0.2">
      <c r="AF14849" s="12"/>
    </row>
    <row r="14850" spans="32:32" x14ac:dyDescent="0.2">
      <c r="AF14850" s="12"/>
    </row>
    <row r="14851" spans="32:32" x14ac:dyDescent="0.2">
      <c r="AF14851" s="12"/>
    </row>
    <row r="14852" spans="32:32" x14ac:dyDescent="0.2">
      <c r="AF14852" s="12"/>
    </row>
    <row r="14853" spans="32:32" x14ac:dyDescent="0.2">
      <c r="AF14853" s="12"/>
    </row>
    <row r="14854" spans="32:32" x14ac:dyDescent="0.2">
      <c r="AF14854" s="12"/>
    </row>
    <row r="14855" spans="32:32" x14ac:dyDescent="0.2">
      <c r="AF14855" s="12"/>
    </row>
    <row r="14856" spans="32:32" x14ac:dyDescent="0.2">
      <c r="AF14856" s="12"/>
    </row>
    <row r="14857" spans="32:32" x14ac:dyDescent="0.2">
      <c r="AF14857" s="12"/>
    </row>
    <row r="14858" spans="32:32" x14ac:dyDescent="0.2">
      <c r="AF14858" s="12"/>
    </row>
    <row r="14859" spans="32:32" x14ac:dyDescent="0.2">
      <c r="AF14859" s="12"/>
    </row>
    <row r="14860" spans="32:32" x14ac:dyDescent="0.2">
      <c r="AF14860" s="12"/>
    </row>
    <row r="14861" spans="32:32" x14ac:dyDescent="0.2">
      <c r="AF14861" s="12"/>
    </row>
    <row r="14862" spans="32:32" x14ac:dyDescent="0.2">
      <c r="AF14862" s="12"/>
    </row>
    <row r="14863" spans="32:32" x14ac:dyDescent="0.2">
      <c r="AF14863" s="12"/>
    </row>
    <row r="14864" spans="32:32" x14ac:dyDescent="0.2">
      <c r="AF14864" s="12"/>
    </row>
    <row r="14865" spans="32:32" x14ac:dyDescent="0.2">
      <c r="AF14865" s="12"/>
    </row>
    <row r="14866" spans="32:32" x14ac:dyDescent="0.2">
      <c r="AF14866" s="12"/>
    </row>
    <row r="14867" spans="32:32" x14ac:dyDescent="0.2">
      <c r="AF14867" s="12"/>
    </row>
    <row r="14868" spans="32:32" x14ac:dyDescent="0.2">
      <c r="AF14868" s="12"/>
    </row>
    <row r="14869" spans="32:32" x14ac:dyDescent="0.2">
      <c r="AF14869" s="12"/>
    </row>
    <row r="14870" spans="32:32" x14ac:dyDescent="0.2">
      <c r="AF14870" s="12"/>
    </row>
    <row r="14871" spans="32:32" x14ac:dyDescent="0.2">
      <c r="AF14871" s="12"/>
    </row>
    <row r="14872" spans="32:32" x14ac:dyDescent="0.2">
      <c r="AF14872" s="12"/>
    </row>
    <row r="14873" spans="32:32" x14ac:dyDescent="0.2">
      <c r="AF14873" s="12"/>
    </row>
    <row r="14874" spans="32:32" x14ac:dyDescent="0.2">
      <c r="AF14874" s="12"/>
    </row>
    <row r="14875" spans="32:32" x14ac:dyDescent="0.2">
      <c r="AF14875" s="12"/>
    </row>
    <row r="14876" spans="32:32" x14ac:dyDescent="0.2">
      <c r="AF14876" s="12"/>
    </row>
    <row r="14877" spans="32:32" x14ac:dyDescent="0.2">
      <c r="AF14877" s="12"/>
    </row>
    <row r="14878" spans="32:32" x14ac:dyDescent="0.2">
      <c r="AF14878" s="12"/>
    </row>
    <row r="14879" spans="32:32" x14ac:dyDescent="0.2">
      <c r="AF14879" s="12"/>
    </row>
    <row r="14880" spans="32:32" x14ac:dyDescent="0.2">
      <c r="AF14880" s="12"/>
    </row>
    <row r="14881" spans="32:32" x14ac:dyDescent="0.2">
      <c r="AF14881" s="12"/>
    </row>
    <row r="14882" spans="32:32" x14ac:dyDescent="0.2">
      <c r="AF14882" s="12"/>
    </row>
    <row r="14883" spans="32:32" x14ac:dyDescent="0.2">
      <c r="AF14883" s="12"/>
    </row>
    <row r="14884" spans="32:32" x14ac:dyDescent="0.2">
      <c r="AF14884" s="12"/>
    </row>
    <row r="14885" spans="32:32" x14ac:dyDescent="0.2">
      <c r="AF14885" s="12"/>
    </row>
    <row r="14886" spans="32:32" x14ac:dyDescent="0.2">
      <c r="AF14886" s="12"/>
    </row>
    <row r="14887" spans="32:32" x14ac:dyDescent="0.2">
      <c r="AF14887" s="12"/>
    </row>
    <row r="14888" spans="32:32" x14ac:dyDescent="0.2">
      <c r="AF14888" s="12"/>
    </row>
    <row r="14889" spans="32:32" x14ac:dyDescent="0.2">
      <c r="AF14889" s="12"/>
    </row>
    <row r="14890" spans="32:32" x14ac:dyDescent="0.2">
      <c r="AF14890" s="12"/>
    </row>
    <row r="14891" spans="32:32" x14ac:dyDescent="0.2">
      <c r="AF14891" s="12"/>
    </row>
    <row r="14892" spans="32:32" x14ac:dyDescent="0.2">
      <c r="AF14892" s="12"/>
    </row>
    <row r="14893" spans="32:32" x14ac:dyDescent="0.2">
      <c r="AF14893" s="12"/>
    </row>
    <row r="14894" spans="32:32" x14ac:dyDescent="0.2">
      <c r="AF14894" s="12"/>
    </row>
    <row r="14895" spans="32:32" x14ac:dyDescent="0.2">
      <c r="AF14895" s="12"/>
    </row>
    <row r="14896" spans="32:32" x14ac:dyDescent="0.2">
      <c r="AF14896" s="12"/>
    </row>
    <row r="14897" spans="32:32" x14ac:dyDescent="0.2">
      <c r="AF14897" s="12"/>
    </row>
    <row r="14898" spans="32:32" x14ac:dyDescent="0.2">
      <c r="AF14898" s="12"/>
    </row>
    <row r="14899" spans="32:32" x14ac:dyDescent="0.2">
      <c r="AF14899" s="12"/>
    </row>
    <row r="14900" spans="32:32" x14ac:dyDescent="0.2">
      <c r="AF14900" s="12"/>
    </row>
    <row r="14901" spans="32:32" x14ac:dyDescent="0.2">
      <c r="AF14901" s="12"/>
    </row>
    <row r="14902" spans="32:32" x14ac:dyDescent="0.2">
      <c r="AF14902" s="12"/>
    </row>
    <row r="14903" spans="32:32" x14ac:dyDescent="0.2">
      <c r="AF14903" s="12"/>
    </row>
    <row r="14904" spans="32:32" x14ac:dyDescent="0.2">
      <c r="AF14904" s="12"/>
    </row>
    <row r="14905" spans="32:32" x14ac:dyDescent="0.2">
      <c r="AF14905" s="12"/>
    </row>
    <row r="14906" spans="32:32" x14ac:dyDescent="0.2">
      <c r="AF14906" s="12"/>
    </row>
    <row r="14907" spans="32:32" x14ac:dyDescent="0.2">
      <c r="AF14907" s="12"/>
    </row>
    <row r="14908" spans="32:32" x14ac:dyDescent="0.2">
      <c r="AF14908" s="12"/>
    </row>
    <row r="14909" spans="32:32" x14ac:dyDescent="0.2">
      <c r="AF14909" s="12"/>
    </row>
    <row r="14910" spans="32:32" x14ac:dyDescent="0.2">
      <c r="AF14910" s="12"/>
    </row>
    <row r="14911" spans="32:32" x14ac:dyDescent="0.2">
      <c r="AF14911" s="12"/>
    </row>
    <row r="14912" spans="32:32" x14ac:dyDescent="0.2">
      <c r="AF14912" s="12"/>
    </row>
    <row r="14913" spans="32:32" x14ac:dyDescent="0.2">
      <c r="AF14913" s="12"/>
    </row>
    <row r="14914" spans="32:32" x14ac:dyDescent="0.2">
      <c r="AF14914" s="12"/>
    </row>
    <row r="14915" spans="32:32" x14ac:dyDescent="0.2">
      <c r="AF14915" s="12"/>
    </row>
    <row r="14916" spans="32:32" x14ac:dyDescent="0.2">
      <c r="AF14916" s="12"/>
    </row>
    <row r="14917" spans="32:32" x14ac:dyDescent="0.2">
      <c r="AF14917" s="12"/>
    </row>
    <row r="14918" spans="32:32" x14ac:dyDescent="0.2">
      <c r="AF14918" s="12"/>
    </row>
    <row r="14919" spans="32:32" x14ac:dyDescent="0.2">
      <c r="AF14919" s="12"/>
    </row>
    <row r="14920" spans="32:32" x14ac:dyDescent="0.2">
      <c r="AF14920" s="12"/>
    </row>
    <row r="14921" spans="32:32" x14ac:dyDescent="0.2">
      <c r="AF14921" s="12"/>
    </row>
    <row r="14922" spans="32:32" x14ac:dyDescent="0.2">
      <c r="AF14922" s="12"/>
    </row>
    <row r="14923" spans="32:32" x14ac:dyDescent="0.2">
      <c r="AF14923" s="12"/>
    </row>
    <row r="14924" spans="32:32" x14ac:dyDescent="0.2">
      <c r="AF14924" s="12"/>
    </row>
    <row r="14925" spans="32:32" x14ac:dyDescent="0.2">
      <c r="AF14925" s="12"/>
    </row>
    <row r="14926" spans="32:32" x14ac:dyDescent="0.2">
      <c r="AF14926" s="12"/>
    </row>
    <row r="14927" spans="32:32" x14ac:dyDescent="0.2">
      <c r="AF14927" s="12"/>
    </row>
    <row r="14928" spans="32:32" x14ac:dyDescent="0.2">
      <c r="AF14928" s="12"/>
    </row>
    <row r="14929" spans="32:32" x14ac:dyDescent="0.2">
      <c r="AF14929" s="12"/>
    </row>
    <row r="14930" spans="32:32" x14ac:dyDescent="0.2">
      <c r="AF14930" s="12"/>
    </row>
    <row r="14931" spans="32:32" x14ac:dyDescent="0.2">
      <c r="AF14931" s="12"/>
    </row>
    <row r="14932" spans="32:32" x14ac:dyDescent="0.2">
      <c r="AF14932" s="12"/>
    </row>
    <row r="14933" spans="32:32" x14ac:dyDescent="0.2">
      <c r="AF14933" s="12"/>
    </row>
    <row r="14934" spans="32:32" x14ac:dyDescent="0.2">
      <c r="AF14934" s="12"/>
    </row>
    <row r="14935" spans="32:32" x14ac:dyDescent="0.2">
      <c r="AF14935" s="12"/>
    </row>
    <row r="14936" spans="32:32" x14ac:dyDescent="0.2">
      <c r="AF14936" s="12"/>
    </row>
    <row r="14937" spans="32:32" x14ac:dyDescent="0.2">
      <c r="AF14937" s="12"/>
    </row>
    <row r="14938" spans="32:32" x14ac:dyDescent="0.2">
      <c r="AF14938" s="12"/>
    </row>
    <row r="14939" spans="32:32" x14ac:dyDescent="0.2">
      <c r="AF14939" s="12"/>
    </row>
    <row r="14940" spans="32:32" x14ac:dyDescent="0.2">
      <c r="AF14940" s="12"/>
    </row>
    <row r="14941" spans="32:32" x14ac:dyDescent="0.2">
      <c r="AF14941" s="12"/>
    </row>
    <row r="14942" spans="32:32" x14ac:dyDescent="0.2">
      <c r="AF14942" s="12"/>
    </row>
    <row r="14943" spans="32:32" x14ac:dyDescent="0.2">
      <c r="AF14943" s="12"/>
    </row>
    <row r="14944" spans="32:32" x14ac:dyDescent="0.2">
      <c r="AF14944" s="12"/>
    </row>
    <row r="14945" spans="32:32" x14ac:dyDescent="0.2">
      <c r="AF14945" s="12"/>
    </row>
    <row r="14946" spans="32:32" x14ac:dyDescent="0.2">
      <c r="AF14946" s="12"/>
    </row>
    <row r="14947" spans="32:32" x14ac:dyDescent="0.2">
      <c r="AF14947" s="12"/>
    </row>
    <row r="14948" spans="32:32" x14ac:dyDescent="0.2">
      <c r="AF14948" s="12"/>
    </row>
    <row r="14949" spans="32:32" x14ac:dyDescent="0.2">
      <c r="AF14949" s="12"/>
    </row>
    <row r="14950" spans="32:32" x14ac:dyDescent="0.2">
      <c r="AF14950" s="12"/>
    </row>
    <row r="14951" spans="32:32" x14ac:dyDescent="0.2">
      <c r="AF14951" s="12"/>
    </row>
    <row r="14952" spans="32:32" x14ac:dyDescent="0.2">
      <c r="AF14952" s="12"/>
    </row>
    <row r="14953" spans="32:32" x14ac:dyDescent="0.2">
      <c r="AF14953" s="12"/>
    </row>
    <row r="14954" spans="32:32" x14ac:dyDescent="0.2">
      <c r="AF14954" s="12"/>
    </row>
    <row r="14955" spans="32:32" x14ac:dyDescent="0.2">
      <c r="AF14955" s="12"/>
    </row>
    <row r="14956" spans="32:32" x14ac:dyDescent="0.2">
      <c r="AF14956" s="12"/>
    </row>
    <row r="14957" spans="32:32" x14ac:dyDescent="0.2">
      <c r="AF14957" s="12"/>
    </row>
    <row r="14958" spans="32:32" x14ac:dyDescent="0.2">
      <c r="AF14958" s="12"/>
    </row>
    <row r="14959" spans="32:32" x14ac:dyDescent="0.2">
      <c r="AF14959" s="12"/>
    </row>
    <row r="14960" spans="32:32" x14ac:dyDescent="0.2">
      <c r="AF14960" s="12"/>
    </row>
    <row r="14961" spans="32:32" x14ac:dyDescent="0.2">
      <c r="AF14961" s="12"/>
    </row>
    <row r="14962" spans="32:32" x14ac:dyDescent="0.2">
      <c r="AF14962" s="12"/>
    </row>
    <row r="14963" spans="32:32" x14ac:dyDescent="0.2">
      <c r="AF14963" s="12"/>
    </row>
    <row r="14964" spans="32:32" x14ac:dyDescent="0.2">
      <c r="AF14964" s="12"/>
    </row>
    <row r="14965" spans="32:32" x14ac:dyDescent="0.2">
      <c r="AF14965" s="12"/>
    </row>
    <row r="14966" spans="32:32" x14ac:dyDescent="0.2">
      <c r="AF14966" s="12"/>
    </row>
    <row r="14967" spans="32:32" x14ac:dyDescent="0.2">
      <c r="AF14967" s="12"/>
    </row>
    <row r="14968" spans="32:32" x14ac:dyDescent="0.2">
      <c r="AF14968" s="12"/>
    </row>
    <row r="14969" spans="32:32" x14ac:dyDescent="0.2">
      <c r="AF14969" s="12"/>
    </row>
    <row r="14970" spans="32:32" x14ac:dyDescent="0.2">
      <c r="AF14970" s="12"/>
    </row>
    <row r="14971" spans="32:32" x14ac:dyDescent="0.2">
      <c r="AF14971" s="12"/>
    </row>
    <row r="14972" spans="32:32" x14ac:dyDescent="0.2">
      <c r="AF14972" s="12"/>
    </row>
    <row r="14973" spans="32:32" x14ac:dyDescent="0.2">
      <c r="AF14973" s="12"/>
    </row>
    <row r="14974" spans="32:32" x14ac:dyDescent="0.2">
      <c r="AF14974" s="12"/>
    </row>
    <row r="14975" spans="32:32" x14ac:dyDescent="0.2">
      <c r="AF14975" s="12"/>
    </row>
    <row r="14976" spans="32:32" x14ac:dyDescent="0.2">
      <c r="AF14976" s="12"/>
    </row>
    <row r="14977" spans="32:32" x14ac:dyDescent="0.2">
      <c r="AF14977" s="12"/>
    </row>
    <row r="14978" spans="32:32" x14ac:dyDescent="0.2">
      <c r="AF14978" s="12"/>
    </row>
    <row r="14979" spans="32:32" x14ac:dyDescent="0.2">
      <c r="AF14979" s="12"/>
    </row>
    <row r="14980" spans="32:32" x14ac:dyDescent="0.2">
      <c r="AF14980" s="12"/>
    </row>
    <row r="14981" spans="32:32" x14ac:dyDescent="0.2">
      <c r="AF14981" s="12"/>
    </row>
    <row r="14982" spans="32:32" x14ac:dyDescent="0.2">
      <c r="AF14982" s="12"/>
    </row>
    <row r="14983" spans="32:32" x14ac:dyDescent="0.2">
      <c r="AF14983" s="12"/>
    </row>
    <row r="14984" spans="32:32" x14ac:dyDescent="0.2">
      <c r="AF14984" s="12"/>
    </row>
    <row r="14985" spans="32:32" x14ac:dyDescent="0.2">
      <c r="AF14985" s="12"/>
    </row>
    <row r="14986" spans="32:32" x14ac:dyDescent="0.2">
      <c r="AF14986" s="12"/>
    </row>
    <row r="14987" spans="32:32" x14ac:dyDescent="0.2">
      <c r="AF14987" s="12"/>
    </row>
    <row r="14988" spans="32:32" x14ac:dyDescent="0.2">
      <c r="AF14988" s="12"/>
    </row>
    <row r="14989" spans="32:32" x14ac:dyDescent="0.2">
      <c r="AF14989" s="12"/>
    </row>
    <row r="14990" spans="32:32" x14ac:dyDescent="0.2">
      <c r="AF14990" s="12"/>
    </row>
    <row r="14991" spans="32:32" x14ac:dyDescent="0.2">
      <c r="AF14991" s="12"/>
    </row>
    <row r="14992" spans="32:32" x14ac:dyDescent="0.2">
      <c r="AF14992" s="12"/>
    </row>
    <row r="14993" spans="32:32" x14ac:dyDescent="0.2">
      <c r="AF14993" s="12"/>
    </row>
    <row r="14994" spans="32:32" x14ac:dyDescent="0.2">
      <c r="AF14994" s="12"/>
    </row>
    <row r="14995" spans="32:32" x14ac:dyDescent="0.2">
      <c r="AF14995" s="12"/>
    </row>
    <row r="14996" spans="32:32" x14ac:dyDescent="0.2">
      <c r="AF14996" s="12"/>
    </row>
    <row r="14997" spans="32:32" x14ac:dyDescent="0.2">
      <c r="AF14997" s="12"/>
    </row>
    <row r="14998" spans="32:32" x14ac:dyDescent="0.2">
      <c r="AF14998" s="12"/>
    </row>
    <row r="14999" spans="32:32" x14ac:dyDescent="0.2">
      <c r="AF14999" s="12"/>
    </row>
    <row r="15000" spans="32:32" x14ac:dyDescent="0.2">
      <c r="AF15000" s="12"/>
    </row>
    <row r="15001" spans="32:32" x14ac:dyDescent="0.2">
      <c r="AF15001" s="12"/>
    </row>
    <row r="15002" spans="32:32" x14ac:dyDescent="0.2">
      <c r="AF15002" s="12"/>
    </row>
    <row r="15003" spans="32:32" x14ac:dyDescent="0.2">
      <c r="AF15003" s="12"/>
    </row>
    <row r="15004" spans="32:32" x14ac:dyDescent="0.2">
      <c r="AF15004" s="12"/>
    </row>
    <row r="15005" spans="32:32" x14ac:dyDescent="0.2">
      <c r="AF15005" s="12"/>
    </row>
    <row r="15006" spans="32:32" x14ac:dyDescent="0.2">
      <c r="AF15006" s="12"/>
    </row>
    <row r="15007" spans="32:32" x14ac:dyDescent="0.2">
      <c r="AF15007" s="12"/>
    </row>
    <row r="15008" spans="32:32" x14ac:dyDescent="0.2">
      <c r="AF15008" s="12"/>
    </row>
    <row r="15009" spans="32:32" x14ac:dyDescent="0.2">
      <c r="AF15009" s="12"/>
    </row>
    <row r="15010" spans="32:32" x14ac:dyDescent="0.2">
      <c r="AF15010" s="12"/>
    </row>
    <row r="15011" spans="32:32" x14ac:dyDescent="0.2">
      <c r="AF15011" s="12"/>
    </row>
    <row r="15012" spans="32:32" x14ac:dyDescent="0.2">
      <c r="AF15012" s="12"/>
    </row>
    <row r="15013" spans="32:32" x14ac:dyDescent="0.2">
      <c r="AF15013" s="12"/>
    </row>
    <row r="15014" spans="32:32" x14ac:dyDescent="0.2">
      <c r="AF15014" s="12"/>
    </row>
    <row r="15015" spans="32:32" x14ac:dyDescent="0.2">
      <c r="AF15015" s="12"/>
    </row>
    <row r="15016" spans="32:32" x14ac:dyDescent="0.2">
      <c r="AF15016" s="12"/>
    </row>
    <row r="15017" spans="32:32" x14ac:dyDescent="0.2">
      <c r="AF15017" s="12"/>
    </row>
    <row r="15018" spans="32:32" x14ac:dyDescent="0.2">
      <c r="AF15018" s="12"/>
    </row>
    <row r="15019" spans="32:32" x14ac:dyDescent="0.2">
      <c r="AF15019" s="12"/>
    </row>
    <row r="15020" spans="32:32" x14ac:dyDescent="0.2">
      <c r="AF15020" s="12"/>
    </row>
    <row r="15021" spans="32:32" x14ac:dyDescent="0.2">
      <c r="AF15021" s="12"/>
    </row>
    <row r="15022" spans="32:32" x14ac:dyDescent="0.2">
      <c r="AF15022" s="12"/>
    </row>
    <row r="15023" spans="32:32" x14ac:dyDescent="0.2">
      <c r="AF15023" s="12"/>
    </row>
    <row r="15024" spans="32:32" x14ac:dyDescent="0.2">
      <c r="AF15024" s="12"/>
    </row>
    <row r="15025" spans="32:32" x14ac:dyDescent="0.2">
      <c r="AF15025" s="12"/>
    </row>
    <row r="15026" spans="32:32" x14ac:dyDescent="0.2">
      <c r="AF15026" s="12"/>
    </row>
    <row r="15027" spans="32:32" x14ac:dyDescent="0.2">
      <c r="AF15027" s="12"/>
    </row>
    <row r="15028" spans="32:32" x14ac:dyDescent="0.2">
      <c r="AF15028" s="12"/>
    </row>
    <row r="15029" spans="32:32" x14ac:dyDescent="0.2">
      <c r="AF15029" s="12"/>
    </row>
    <row r="15030" spans="32:32" x14ac:dyDescent="0.2">
      <c r="AF15030" s="12"/>
    </row>
    <row r="15031" spans="32:32" x14ac:dyDescent="0.2">
      <c r="AF15031" s="12"/>
    </row>
    <row r="15032" spans="32:32" x14ac:dyDescent="0.2">
      <c r="AF15032" s="12"/>
    </row>
    <row r="15033" spans="32:32" x14ac:dyDescent="0.2">
      <c r="AF15033" s="12"/>
    </row>
    <row r="15034" spans="32:32" x14ac:dyDescent="0.2">
      <c r="AF15034" s="12"/>
    </row>
    <row r="15035" spans="32:32" x14ac:dyDescent="0.2">
      <c r="AF15035" s="12"/>
    </row>
    <row r="15036" spans="32:32" x14ac:dyDescent="0.2">
      <c r="AF15036" s="12"/>
    </row>
    <row r="15037" spans="32:32" x14ac:dyDescent="0.2">
      <c r="AF15037" s="12"/>
    </row>
    <row r="15038" spans="32:32" x14ac:dyDescent="0.2">
      <c r="AF15038" s="12"/>
    </row>
    <row r="15039" spans="32:32" x14ac:dyDescent="0.2">
      <c r="AF15039" s="12"/>
    </row>
    <row r="15040" spans="32:32" x14ac:dyDescent="0.2">
      <c r="AF15040" s="12"/>
    </row>
    <row r="15041" spans="32:32" x14ac:dyDescent="0.2">
      <c r="AF15041" s="12"/>
    </row>
    <row r="15042" spans="32:32" x14ac:dyDescent="0.2">
      <c r="AF15042" s="12"/>
    </row>
    <row r="15043" spans="32:32" x14ac:dyDescent="0.2">
      <c r="AF15043" s="12"/>
    </row>
    <row r="15044" spans="32:32" x14ac:dyDescent="0.2">
      <c r="AF15044" s="12"/>
    </row>
    <row r="15045" spans="32:32" x14ac:dyDescent="0.2">
      <c r="AF15045" s="12"/>
    </row>
    <row r="15046" spans="32:32" x14ac:dyDescent="0.2">
      <c r="AF15046" s="12"/>
    </row>
    <row r="15047" spans="32:32" x14ac:dyDescent="0.2">
      <c r="AF15047" s="12"/>
    </row>
    <row r="15048" spans="32:32" x14ac:dyDescent="0.2">
      <c r="AF15048" s="12"/>
    </row>
    <row r="15049" spans="32:32" x14ac:dyDescent="0.2">
      <c r="AF15049" s="12"/>
    </row>
    <row r="15050" spans="32:32" x14ac:dyDescent="0.2">
      <c r="AF15050" s="12"/>
    </row>
    <row r="15051" spans="32:32" x14ac:dyDescent="0.2">
      <c r="AF15051" s="12"/>
    </row>
    <row r="15052" spans="32:32" x14ac:dyDescent="0.2">
      <c r="AF15052" s="12"/>
    </row>
    <row r="15053" spans="32:32" x14ac:dyDescent="0.2">
      <c r="AF15053" s="12"/>
    </row>
    <row r="15054" spans="32:32" x14ac:dyDescent="0.2">
      <c r="AF15054" s="12"/>
    </row>
    <row r="15055" spans="32:32" x14ac:dyDescent="0.2">
      <c r="AF15055" s="12"/>
    </row>
    <row r="15056" spans="32:32" x14ac:dyDescent="0.2">
      <c r="AF15056" s="12"/>
    </row>
    <row r="15057" spans="32:32" x14ac:dyDescent="0.2">
      <c r="AF15057" s="12"/>
    </row>
    <row r="15058" spans="32:32" x14ac:dyDescent="0.2">
      <c r="AF15058" s="12"/>
    </row>
    <row r="15059" spans="32:32" x14ac:dyDescent="0.2">
      <c r="AF15059" s="12"/>
    </row>
    <row r="15060" spans="32:32" x14ac:dyDescent="0.2">
      <c r="AF15060" s="12"/>
    </row>
    <row r="15061" spans="32:32" x14ac:dyDescent="0.2">
      <c r="AF15061" s="12"/>
    </row>
    <row r="15062" spans="32:32" x14ac:dyDescent="0.2">
      <c r="AF15062" s="12"/>
    </row>
    <row r="15063" spans="32:32" x14ac:dyDescent="0.2">
      <c r="AF15063" s="12"/>
    </row>
    <row r="15064" spans="32:32" x14ac:dyDescent="0.2">
      <c r="AF15064" s="12"/>
    </row>
    <row r="15065" spans="32:32" x14ac:dyDescent="0.2">
      <c r="AF15065" s="12"/>
    </row>
    <row r="15066" spans="32:32" x14ac:dyDescent="0.2">
      <c r="AF15066" s="12"/>
    </row>
    <row r="15067" spans="32:32" x14ac:dyDescent="0.2">
      <c r="AF15067" s="12"/>
    </row>
    <row r="15068" spans="32:32" x14ac:dyDescent="0.2">
      <c r="AF15068" s="12"/>
    </row>
    <row r="15069" spans="32:32" x14ac:dyDescent="0.2">
      <c r="AF15069" s="12"/>
    </row>
    <row r="15070" spans="32:32" x14ac:dyDescent="0.2">
      <c r="AF15070" s="12"/>
    </row>
    <row r="15071" spans="32:32" x14ac:dyDescent="0.2">
      <c r="AF15071" s="12"/>
    </row>
    <row r="15072" spans="32:32" x14ac:dyDescent="0.2">
      <c r="AF15072" s="12"/>
    </row>
    <row r="15073" spans="32:32" x14ac:dyDescent="0.2">
      <c r="AF15073" s="12"/>
    </row>
    <row r="15074" spans="32:32" x14ac:dyDescent="0.2">
      <c r="AF15074" s="12"/>
    </row>
    <row r="15075" spans="32:32" x14ac:dyDescent="0.2">
      <c r="AF15075" s="12"/>
    </row>
    <row r="15076" spans="32:32" x14ac:dyDescent="0.2">
      <c r="AF15076" s="12"/>
    </row>
    <row r="15077" spans="32:32" x14ac:dyDescent="0.2">
      <c r="AF15077" s="12"/>
    </row>
    <row r="15078" spans="32:32" x14ac:dyDescent="0.2">
      <c r="AF15078" s="12"/>
    </row>
    <row r="15079" spans="32:32" x14ac:dyDescent="0.2">
      <c r="AF15079" s="12"/>
    </row>
    <row r="15080" spans="32:32" x14ac:dyDescent="0.2">
      <c r="AF15080" s="12"/>
    </row>
    <row r="15081" spans="32:32" x14ac:dyDescent="0.2">
      <c r="AF15081" s="12"/>
    </row>
    <row r="15082" spans="32:32" x14ac:dyDescent="0.2">
      <c r="AF15082" s="12"/>
    </row>
    <row r="15083" spans="32:32" x14ac:dyDescent="0.2">
      <c r="AF15083" s="12"/>
    </row>
    <row r="15084" spans="32:32" x14ac:dyDescent="0.2">
      <c r="AF15084" s="12"/>
    </row>
    <row r="15085" spans="32:32" x14ac:dyDescent="0.2">
      <c r="AF15085" s="12"/>
    </row>
    <row r="15086" spans="32:32" x14ac:dyDescent="0.2">
      <c r="AF15086" s="12"/>
    </row>
    <row r="15087" spans="32:32" x14ac:dyDescent="0.2">
      <c r="AF15087" s="12"/>
    </row>
    <row r="15088" spans="32:32" x14ac:dyDescent="0.2">
      <c r="AF15088" s="12"/>
    </row>
    <row r="15089" spans="32:32" x14ac:dyDescent="0.2">
      <c r="AF15089" s="12"/>
    </row>
    <row r="15090" spans="32:32" x14ac:dyDescent="0.2">
      <c r="AF15090" s="12"/>
    </row>
    <row r="15091" spans="32:32" x14ac:dyDescent="0.2">
      <c r="AF15091" s="12"/>
    </row>
    <row r="15092" spans="32:32" x14ac:dyDescent="0.2">
      <c r="AF15092" s="12"/>
    </row>
    <row r="15093" spans="32:32" x14ac:dyDescent="0.2">
      <c r="AF15093" s="12"/>
    </row>
    <row r="15094" spans="32:32" x14ac:dyDescent="0.2">
      <c r="AF15094" s="12"/>
    </row>
    <row r="15095" spans="32:32" x14ac:dyDescent="0.2">
      <c r="AF15095" s="12"/>
    </row>
    <row r="15096" spans="32:32" x14ac:dyDescent="0.2">
      <c r="AF15096" s="12"/>
    </row>
    <row r="15097" spans="32:32" x14ac:dyDescent="0.2">
      <c r="AF15097" s="12"/>
    </row>
    <row r="15098" spans="32:32" x14ac:dyDescent="0.2">
      <c r="AF15098" s="12"/>
    </row>
    <row r="15099" spans="32:32" x14ac:dyDescent="0.2">
      <c r="AF15099" s="12"/>
    </row>
    <row r="15100" spans="32:32" x14ac:dyDescent="0.2">
      <c r="AF15100" s="12"/>
    </row>
    <row r="15101" spans="32:32" x14ac:dyDescent="0.2">
      <c r="AF15101" s="12"/>
    </row>
    <row r="15102" spans="32:32" x14ac:dyDescent="0.2">
      <c r="AF15102" s="12"/>
    </row>
    <row r="15103" spans="32:32" x14ac:dyDescent="0.2">
      <c r="AF15103" s="12"/>
    </row>
    <row r="15104" spans="32:32" x14ac:dyDescent="0.2">
      <c r="AF15104" s="12"/>
    </row>
    <row r="15105" spans="32:32" x14ac:dyDescent="0.2">
      <c r="AF15105" s="12"/>
    </row>
    <row r="15106" spans="32:32" x14ac:dyDescent="0.2">
      <c r="AF15106" s="12"/>
    </row>
    <row r="15107" spans="32:32" x14ac:dyDescent="0.2">
      <c r="AF15107" s="12"/>
    </row>
    <row r="15108" spans="32:32" x14ac:dyDescent="0.2">
      <c r="AF15108" s="12"/>
    </row>
    <row r="15109" spans="32:32" x14ac:dyDescent="0.2">
      <c r="AF15109" s="12"/>
    </row>
    <row r="15110" spans="32:32" x14ac:dyDescent="0.2">
      <c r="AF15110" s="12"/>
    </row>
    <row r="15111" spans="32:32" x14ac:dyDescent="0.2">
      <c r="AF15111" s="12"/>
    </row>
    <row r="15112" spans="32:32" x14ac:dyDescent="0.2">
      <c r="AF15112" s="12"/>
    </row>
    <row r="15113" spans="32:32" x14ac:dyDescent="0.2">
      <c r="AF15113" s="12"/>
    </row>
    <row r="15114" spans="32:32" x14ac:dyDescent="0.2">
      <c r="AF15114" s="12"/>
    </row>
    <row r="15115" spans="32:32" x14ac:dyDescent="0.2">
      <c r="AF15115" s="12"/>
    </row>
    <row r="15116" spans="32:32" x14ac:dyDescent="0.2">
      <c r="AF15116" s="12"/>
    </row>
    <row r="15117" spans="32:32" x14ac:dyDescent="0.2">
      <c r="AF15117" s="12"/>
    </row>
    <row r="15118" spans="32:32" x14ac:dyDescent="0.2">
      <c r="AF15118" s="12"/>
    </row>
    <row r="15119" spans="32:32" x14ac:dyDescent="0.2">
      <c r="AF15119" s="12"/>
    </row>
    <row r="15120" spans="32:32" x14ac:dyDescent="0.2">
      <c r="AF15120" s="12"/>
    </row>
    <row r="15121" spans="32:32" x14ac:dyDescent="0.2">
      <c r="AF15121" s="12"/>
    </row>
    <row r="15122" spans="32:32" x14ac:dyDescent="0.2">
      <c r="AF15122" s="12"/>
    </row>
    <row r="15123" spans="32:32" x14ac:dyDescent="0.2">
      <c r="AF15123" s="12"/>
    </row>
    <row r="15124" spans="32:32" x14ac:dyDescent="0.2">
      <c r="AF15124" s="12"/>
    </row>
    <row r="15125" spans="32:32" x14ac:dyDescent="0.2">
      <c r="AF15125" s="12"/>
    </row>
    <row r="15126" spans="32:32" x14ac:dyDescent="0.2">
      <c r="AF15126" s="12"/>
    </row>
    <row r="15127" spans="32:32" x14ac:dyDescent="0.2">
      <c r="AF15127" s="12"/>
    </row>
    <row r="15128" spans="32:32" x14ac:dyDescent="0.2">
      <c r="AF15128" s="12"/>
    </row>
    <row r="15129" spans="32:32" x14ac:dyDescent="0.2">
      <c r="AF15129" s="12"/>
    </row>
    <row r="15130" spans="32:32" x14ac:dyDescent="0.2">
      <c r="AF15130" s="12"/>
    </row>
    <row r="15131" spans="32:32" x14ac:dyDescent="0.2">
      <c r="AF15131" s="12"/>
    </row>
    <row r="15132" spans="32:32" x14ac:dyDescent="0.2">
      <c r="AF15132" s="12"/>
    </row>
    <row r="15133" spans="32:32" x14ac:dyDescent="0.2">
      <c r="AF15133" s="12"/>
    </row>
    <row r="15134" spans="32:32" x14ac:dyDescent="0.2">
      <c r="AF15134" s="12"/>
    </row>
    <row r="15135" spans="32:32" x14ac:dyDescent="0.2">
      <c r="AF15135" s="12"/>
    </row>
    <row r="15136" spans="32:32" x14ac:dyDescent="0.2">
      <c r="AF15136" s="12"/>
    </row>
    <row r="15137" spans="32:32" x14ac:dyDescent="0.2">
      <c r="AF15137" s="12"/>
    </row>
    <row r="15138" spans="32:32" x14ac:dyDescent="0.2">
      <c r="AF15138" s="12"/>
    </row>
    <row r="15139" spans="32:32" x14ac:dyDescent="0.2">
      <c r="AF15139" s="12"/>
    </row>
    <row r="15140" spans="32:32" x14ac:dyDescent="0.2">
      <c r="AF15140" s="12"/>
    </row>
    <row r="15141" spans="32:32" x14ac:dyDescent="0.2">
      <c r="AF15141" s="12"/>
    </row>
    <row r="15142" spans="32:32" x14ac:dyDescent="0.2">
      <c r="AF15142" s="12"/>
    </row>
    <row r="15143" spans="32:32" x14ac:dyDescent="0.2">
      <c r="AF15143" s="12"/>
    </row>
    <row r="15144" spans="32:32" x14ac:dyDescent="0.2">
      <c r="AF15144" s="12"/>
    </row>
    <row r="15145" spans="32:32" x14ac:dyDescent="0.2">
      <c r="AF15145" s="12"/>
    </row>
    <row r="15146" spans="32:32" x14ac:dyDescent="0.2">
      <c r="AF15146" s="12"/>
    </row>
    <row r="15147" spans="32:32" x14ac:dyDescent="0.2">
      <c r="AF15147" s="12"/>
    </row>
    <row r="15148" spans="32:32" x14ac:dyDescent="0.2">
      <c r="AF15148" s="12"/>
    </row>
    <row r="15149" spans="32:32" x14ac:dyDescent="0.2">
      <c r="AF15149" s="12"/>
    </row>
    <row r="15150" spans="32:32" x14ac:dyDescent="0.2">
      <c r="AF15150" s="12"/>
    </row>
    <row r="15151" spans="32:32" x14ac:dyDescent="0.2">
      <c r="AF15151" s="12"/>
    </row>
    <row r="15152" spans="32:32" x14ac:dyDescent="0.2">
      <c r="AF15152" s="12"/>
    </row>
    <row r="15153" spans="32:32" x14ac:dyDescent="0.2">
      <c r="AF15153" s="12"/>
    </row>
    <row r="15154" spans="32:32" x14ac:dyDescent="0.2">
      <c r="AF15154" s="12"/>
    </row>
    <row r="15155" spans="32:32" x14ac:dyDescent="0.2">
      <c r="AF15155" s="12"/>
    </row>
    <row r="15156" spans="32:32" x14ac:dyDescent="0.2">
      <c r="AF15156" s="12"/>
    </row>
    <row r="15157" spans="32:32" x14ac:dyDescent="0.2">
      <c r="AF15157" s="12"/>
    </row>
    <row r="15158" spans="32:32" x14ac:dyDescent="0.2">
      <c r="AF15158" s="12"/>
    </row>
    <row r="15159" spans="32:32" x14ac:dyDescent="0.2">
      <c r="AF15159" s="12"/>
    </row>
    <row r="15160" spans="32:32" x14ac:dyDescent="0.2">
      <c r="AF15160" s="12"/>
    </row>
    <row r="15161" spans="32:32" x14ac:dyDescent="0.2">
      <c r="AF15161" s="12"/>
    </row>
    <row r="15162" spans="32:32" x14ac:dyDescent="0.2">
      <c r="AF15162" s="12"/>
    </row>
    <row r="15163" spans="32:32" x14ac:dyDescent="0.2">
      <c r="AF15163" s="12"/>
    </row>
    <row r="15164" spans="32:32" x14ac:dyDescent="0.2">
      <c r="AF15164" s="12"/>
    </row>
    <row r="15165" spans="32:32" x14ac:dyDescent="0.2">
      <c r="AF15165" s="12"/>
    </row>
    <row r="15166" spans="32:32" x14ac:dyDescent="0.2">
      <c r="AF15166" s="12"/>
    </row>
    <row r="15167" spans="32:32" x14ac:dyDescent="0.2">
      <c r="AF15167" s="12"/>
    </row>
    <row r="15168" spans="32:32" x14ac:dyDescent="0.2">
      <c r="AF15168" s="12"/>
    </row>
    <row r="15169" spans="32:32" x14ac:dyDescent="0.2">
      <c r="AF15169" s="12"/>
    </row>
    <row r="15170" spans="32:32" x14ac:dyDescent="0.2">
      <c r="AF15170" s="12"/>
    </row>
    <row r="15171" spans="32:32" x14ac:dyDescent="0.2">
      <c r="AF15171" s="12"/>
    </row>
    <row r="15172" spans="32:32" x14ac:dyDescent="0.2">
      <c r="AF15172" s="12"/>
    </row>
    <row r="15173" spans="32:32" x14ac:dyDescent="0.2">
      <c r="AF15173" s="12"/>
    </row>
    <row r="15174" spans="32:32" x14ac:dyDescent="0.2">
      <c r="AF15174" s="12"/>
    </row>
    <row r="15175" spans="32:32" x14ac:dyDescent="0.2">
      <c r="AF15175" s="12"/>
    </row>
    <row r="15176" spans="32:32" x14ac:dyDescent="0.2">
      <c r="AF15176" s="12"/>
    </row>
    <row r="15177" spans="32:32" x14ac:dyDescent="0.2">
      <c r="AF15177" s="12"/>
    </row>
    <row r="15178" spans="32:32" x14ac:dyDescent="0.2">
      <c r="AF15178" s="12"/>
    </row>
    <row r="15179" spans="32:32" x14ac:dyDescent="0.2">
      <c r="AF15179" s="12"/>
    </row>
    <row r="15180" spans="32:32" x14ac:dyDescent="0.2">
      <c r="AF15180" s="12"/>
    </row>
    <row r="15181" spans="32:32" x14ac:dyDescent="0.2">
      <c r="AF15181" s="12"/>
    </row>
    <row r="15182" spans="32:32" x14ac:dyDescent="0.2">
      <c r="AF15182" s="12"/>
    </row>
    <row r="15183" spans="32:32" x14ac:dyDescent="0.2">
      <c r="AF15183" s="12"/>
    </row>
    <row r="15184" spans="32:32" x14ac:dyDescent="0.2">
      <c r="AF15184" s="12"/>
    </row>
    <row r="15185" spans="32:32" x14ac:dyDescent="0.2">
      <c r="AF15185" s="12"/>
    </row>
    <row r="15186" spans="32:32" x14ac:dyDescent="0.2">
      <c r="AF15186" s="12"/>
    </row>
    <row r="15187" spans="32:32" x14ac:dyDescent="0.2">
      <c r="AF15187" s="12"/>
    </row>
    <row r="15188" spans="32:32" x14ac:dyDescent="0.2">
      <c r="AF15188" s="12"/>
    </row>
    <row r="15189" spans="32:32" x14ac:dyDescent="0.2">
      <c r="AF15189" s="12"/>
    </row>
    <row r="15190" spans="32:32" x14ac:dyDescent="0.2">
      <c r="AF15190" s="12"/>
    </row>
    <row r="15191" spans="32:32" x14ac:dyDescent="0.2">
      <c r="AF15191" s="12"/>
    </row>
    <row r="15192" spans="32:32" x14ac:dyDescent="0.2">
      <c r="AF15192" s="12"/>
    </row>
    <row r="15193" spans="32:32" x14ac:dyDescent="0.2">
      <c r="AF15193" s="12"/>
    </row>
    <row r="15194" spans="32:32" x14ac:dyDescent="0.2">
      <c r="AF15194" s="12"/>
    </row>
    <row r="15195" spans="32:32" x14ac:dyDescent="0.2">
      <c r="AF15195" s="12"/>
    </row>
    <row r="15196" spans="32:32" x14ac:dyDescent="0.2">
      <c r="AF15196" s="12"/>
    </row>
    <row r="15197" spans="32:32" x14ac:dyDescent="0.2">
      <c r="AF15197" s="12"/>
    </row>
    <row r="15198" spans="32:32" x14ac:dyDescent="0.2">
      <c r="AF15198" s="12"/>
    </row>
    <row r="15199" spans="32:32" x14ac:dyDescent="0.2">
      <c r="AF15199" s="12"/>
    </row>
    <row r="15200" spans="32:32" x14ac:dyDescent="0.2">
      <c r="AF15200" s="12"/>
    </row>
    <row r="15201" spans="32:32" x14ac:dyDescent="0.2">
      <c r="AF15201" s="12"/>
    </row>
    <row r="15202" spans="32:32" x14ac:dyDescent="0.2">
      <c r="AF15202" s="12"/>
    </row>
    <row r="15203" spans="32:32" x14ac:dyDescent="0.2">
      <c r="AF15203" s="12"/>
    </row>
    <row r="15204" spans="32:32" x14ac:dyDescent="0.2">
      <c r="AF15204" s="12"/>
    </row>
    <row r="15205" spans="32:32" x14ac:dyDescent="0.2">
      <c r="AF15205" s="12"/>
    </row>
    <row r="15206" spans="32:32" x14ac:dyDescent="0.2">
      <c r="AF15206" s="12"/>
    </row>
    <row r="15207" spans="32:32" x14ac:dyDescent="0.2">
      <c r="AF15207" s="12"/>
    </row>
    <row r="15208" spans="32:32" x14ac:dyDescent="0.2">
      <c r="AF15208" s="12"/>
    </row>
    <row r="15209" spans="32:32" x14ac:dyDescent="0.2">
      <c r="AF15209" s="12"/>
    </row>
    <row r="15210" spans="32:32" x14ac:dyDescent="0.2">
      <c r="AF15210" s="12"/>
    </row>
    <row r="15211" spans="32:32" x14ac:dyDescent="0.2">
      <c r="AF15211" s="12"/>
    </row>
    <row r="15212" spans="32:32" x14ac:dyDescent="0.2">
      <c r="AF15212" s="12"/>
    </row>
    <row r="15213" spans="32:32" x14ac:dyDescent="0.2">
      <c r="AF15213" s="12"/>
    </row>
    <row r="15214" spans="32:32" x14ac:dyDescent="0.2">
      <c r="AF15214" s="12"/>
    </row>
    <row r="15215" spans="32:32" x14ac:dyDescent="0.2">
      <c r="AF15215" s="12"/>
    </row>
    <row r="15216" spans="32:32" x14ac:dyDescent="0.2">
      <c r="AF15216" s="12"/>
    </row>
    <row r="15217" spans="32:32" x14ac:dyDescent="0.2">
      <c r="AF15217" s="12"/>
    </row>
    <row r="15218" spans="32:32" x14ac:dyDescent="0.2">
      <c r="AF15218" s="12"/>
    </row>
    <row r="15219" spans="32:32" x14ac:dyDescent="0.2">
      <c r="AF15219" s="12"/>
    </row>
    <row r="15220" spans="32:32" x14ac:dyDescent="0.2">
      <c r="AF15220" s="12"/>
    </row>
    <row r="15221" spans="32:32" x14ac:dyDescent="0.2">
      <c r="AF15221" s="12"/>
    </row>
    <row r="15222" spans="32:32" x14ac:dyDescent="0.2">
      <c r="AF15222" s="12"/>
    </row>
    <row r="15223" spans="32:32" x14ac:dyDescent="0.2">
      <c r="AF15223" s="12"/>
    </row>
    <row r="15224" spans="32:32" x14ac:dyDescent="0.2">
      <c r="AF15224" s="12"/>
    </row>
    <row r="15225" spans="32:32" x14ac:dyDescent="0.2">
      <c r="AF15225" s="12"/>
    </row>
    <row r="15226" spans="32:32" x14ac:dyDescent="0.2">
      <c r="AF15226" s="12"/>
    </row>
    <row r="15227" spans="32:32" x14ac:dyDescent="0.2">
      <c r="AF15227" s="12"/>
    </row>
    <row r="15228" spans="32:32" x14ac:dyDescent="0.2">
      <c r="AF15228" s="12"/>
    </row>
    <row r="15229" spans="32:32" x14ac:dyDescent="0.2">
      <c r="AF15229" s="12"/>
    </row>
    <row r="15230" spans="32:32" x14ac:dyDescent="0.2">
      <c r="AF15230" s="12"/>
    </row>
    <row r="15231" spans="32:32" x14ac:dyDescent="0.2">
      <c r="AF15231" s="12"/>
    </row>
    <row r="15232" spans="32:32" x14ac:dyDescent="0.2">
      <c r="AF15232" s="12"/>
    </row>
    <row r="15233" spans="32:32" x14ac:dyDescent="0.2">
      <c r="AF15233" s="12"/>
    </row>
    <row r="15234" spans="32:32" x14ac:dyDescent="0.2">
      <c r="AF15234" s="12"/>
    </row>
    <row r="15235" spans="32:32" x14ac:dyDescent="0.2">
      <c r="AF15235" s="12"/>
    </row>
    <row r="15236" spans="32:32" x14ac:dyDescent="0.2">
      <c r="AF15236" s="12"/>
    </row>
    <row r="15237" spans="32:32" x14ac:dyDescent="0.2">
      <c r="AF15237" s="12"/>
    </row>
    <row r="15238" spans="32:32" x14ac:dyDescent="0.2">
      <c r="AF15238" s="12"/>
    </row>
    <row r="15239" spans="32:32" x14ac:dyDescent="0.2">
      <c r="AF15239" s="12"/>
    </row>
    <row r="15240" spans="32:32" x14ac:dyDescent="0.2">
      <c r="AF15240" s="12"/>
    </row>
    <row r="15241" spans="32:32" x14ac:dyDescent="0.2">
      <c r="AF15241" s="12"/>
    </row>
    <row r="15242" spans="32:32" x14ac:dyDescent="0.2">
      <c r="AF15242" s="12"/>
    </row>
    <row r="15243" spans="32:32" x14ac:dyDescent="0.2">
      <c r="AF15243" s="12"/>
    </row>
    <row r="15244" spans="32:32" x14ac:dyDescent="0.2">
      <c r="AF15244" s="12"/>
    </row>
    <row r="15245" spans="32:32" x14ac:dyDescent="0.2">
      <c r="AF15245" s="12"/>
    </row>
    <row r="15246" spans="32:32" x14ac:dyDescent="0.2">
      <c r="AF15246" s="12"/>
    </row>
    <row r="15247" spans="32:32" x14ac:dyDescent="0.2">
      <c r="AF15247" s="12"/>
    </row>
    <row r="15248" spans="32:32" x14ac:dyDescent="0.2">
      <c r="AF15248" s="12"/>
    </row>
    <row r="15249" spans="32:32" x14ac:dyDescent="0.2">
      <c r="AF15249" s="12"/>
    </row>
    <row r="15250" spans="32:32" x14ac:dyDescent="0.2">
      <c r="AF15250" s="12"/>
    </row>
    <row r="15251" spans="32:32" x14ac:dyDescent="0.2">
      <c r="AF15251" s="12"/>
    </row>
    <row r="15252" spans="32:32" x14ac:dyDescent="0.2">
      <c r="AF15252" s="12"/>
    </row>
    <row r="15253" spans="32:32" x14ac:dyDescent="0.2">
      <c r="AF15253" s="12"/>
    </row>
    <row r="15254" spans="32:32" x14ac:dyDescent="0.2">
      <c r="AF15254" s="12"/>
    </row>
    <row r="15255" spans="32:32" x14ac:dyDescent="0.2">
      <c r="AF15255" s="12"/>
    </row>
    <row r="15256" spans="32:32" x14ac:dyDescent="0.2">
      <c r="AF15256" s="12"/>
    </row>
    <row r="15257" spans="32:32" x14ac:dyDescent="0.2">
      <c r="AF15257" s="12"/>
    </row>
    <row r="15258" spans="32:32" x14ac:dyDescent="0.2">
      <c r="AF15258" s="12"/>
    </row>
    <row r="15259" spans="32:32" x14ac:dyDescent="0.2">
      <c r="AF15259" s="12"/>
    </row>
    <row r="15260" spans="32:32" x14ac:dyDescent="0.2">
      <c r="AF15260" s="12"/>
    </row>
    <row r="15261" spans="32:32" x14ac:dyDescent="0.2">
      <c r="AF15261" s="12"/>
    </row>
    <row r="15262" spans="32:32" x14ac:dyDescent="0.2">
      <c r="AF15262" s="12"/>
    </row>
    <row r="15263" spans="32:32" x14ac:dyDescent="0.2">
      <c r="AF15263" s="12"/>
    </row>
    <row r="15264" spans="32:32" x14ac:dyDescent="0.2">
      <c r="AF15264" s="12"/>
    </row>
    <row r="15265" spans="32:32" x14ac:dyDescent="0.2">
      <c r="AF15265" s="12"/>
    </row>
    <row r="15266" spans="32:32" x14ac:dyDescent="0.2">
      <c r="AF15266" s="12"/>
    </row>
    <row r="15267" spans="32:32" x14ac:dyDescent="0.2">
      <c r="AF15267" s="12"/>
    </row>
    <row r="15268" spans="32:32" x14ac:dyDescent="0.2">
      <c r="AF15268" s="12"/>
    </row>
    <row r="15269" spans="32:32" x14ac:dyDescent="0.2">
      <c r="AF15269" s="12"/>
    </row>
    <row r="15270" spans="32:32" x14ac:dyDescent="0.2">
      <c r="AF15270" s="12"/>
    </row>
    <row r="15271" spans="32:32" x14ac:dyDescent="0.2">
      <c r="AF15271" s="12"/>
    </row>
    <row r="15272" spans="32:32" x14ac:dyDescent="0.2">
      <c r="AF15272" s="12"/>
    </row>
    <row r="15273" spans="32:32" x14ac:dyDescent="0.2">
      <c r="AF15273" s="12"/>
    </row>
    <row r="15274" spans="32:32" x14ac:dyDescent="0.2">
      <c r="AF15274" s="12"/>
    </row>
    <row r="15275" spans="32:32" x14ac:dyDescent="0.2">
      <c r="AF15275" s="12"/>
    </row>
    <row r="15276" spans="32:32" x14ac:dyDescent="0.2">
      <c r="AF15276" s="12"/>
    </row>
    <row r="15277" spans="32:32" x14ac:dyDescent="0.2">
      <c r="AF15277" s="12"/>
    </row>
    <row r="15278" spans="32:32" x14ac:dyDescent="0.2">
      <c r="AF15278" s="12"/>
    </row>
    <row r="15279" spans="32:32" x14ac:dyDescent="0.2">
      <c r="AF15279" s="12"/>
    </row>
    <row r="15280" spans="32:32" x14ac:dyDescent="0.2">
      <c r="AF15280" s="12"/>
    </row>
    <row r="15281" spans="32:32" x14ac:dyDescent="0.2">
      <c r="AF15281" s="12"/>
    </row>
    <row r="15282" spans="32:32" x14ac:dyDescent="0.2">
      <c r="AF15282" s="12"/>
    </row>
    <row r="15283" spans="32:32" x14ac:dyDescent="0.2">
      <c r="AF15283" s="12"/>
    </row>
    <row r="15284" spans="32:32" x14ac:dyDescent="0.2">
      <c r="AF15284" s="12"/>
    </row>
    <row r="15285" spans="32:32" x14ac:dyDescent="0.2">
      <c r="AF15285" s="12"/>
    </row>
    <row r="15286" spans="32:32" x14ac:dyDescent="0.2">
      <c r="AF15286" s="12"/>
    </row>
    <row r="15287" spans="32:32" x14ac:dyDescent="0.2">
      <c r="AF15287" s="12"/>
    </row>
    <row r="15288" spans="32:32" x14ac:dyDescent="0.2">
      <c r="AF15288" s="12"/>
    </row>
    <row r="15289" spans="32:32" x14ac:dyDescent="0.2">
      <c r="AF15289" s="12"/>
    </row>
    <row r="15290" spans="32:32" x14ac:dyDescent="0.2">
      <c r="AF15290" s="12"/>
    </row>
    <row r="15291" spans="32:32" x14ac:dyDescent="0.2">
      <c r="AF15291" s="12"/>
    </row>
    <row r="15292" spans="32:32" x14ac:dyDescent="0.2">
      <c r="AF15292" s="12"/>
    </row>
    <row r="15293" spans="32:32" x14ac:dyDescent="0.2">
      <c r="AF15293" s="12"/>
    </row>
    <row r="15294" spans="32:32" x14ac:dyDescent="0.2">
      <c r="AF15294" s="12"/>
    </row>
    <row r="15295" spans="32:32" x14ac:dyDescent="0.2">
      <c r="AF15295" s="12"/>
    </row>
    <row r="15296" spans="32:32" x14ac:dyDescent="0.2">
      <c r="AF15296" s="12"/>
    </row>
    <row r="15297" spans="32:32" x14ac:dyDescent="0.2">
      <c r="AF15297" s="12"/>
    </row>
    <row r="15298" spans="32:32" x14ac:dyDescent="0.2">
      <c r="AF15298" s="12"/>
    </row>
    <row r="15299" spans="32:32" x14ac:dyDescent="0.2">
      <c r="AF15299" s="12"/>
    </row>
    <row r="15300" spans="32:32" x14ac:dyDescent="0.2">
      <c r="AF15300" s="12"/>
    </row>
    <row r="15301" spans="32:32" x14ac:dyDescent="0.2">
      <c r="AF15301" s="12"/>
    </row>
    <row r="15302" spans="32:32" x14ac:dyDescent="0.2">
      <c r="AF15302" s="12"/>
    </row>
    <row r="15303" spans="32:32" x14ac:dyDescent="0.2">
      <c r="AF15303" s="12"/>
    </row>
    <row r="15304" spans="32:32" x14ac:dyDescent="0.2">
      <c r="AF15304" s="12"/>
    </row>
    <row r="15305" spans="32:32" x14ac:dyDescent="0.2">
      <c r="AF15305" s="12"/>
    </row>
    <row r="15306" spans="32:32" x14ac:dyDescent="0.2">
      <c r="AF15306" s="12"/>
    </row>
    <row r="15307" spans="32:32" x14ac:dyDescent="0.2">
      <c r="AF15307" s="12"/>
    </row>
    <row r="15308" spans="32:32" x14ac:dyDescent="0.2">
      <c r="AF15308" s="12"/>
    </row>
    <row r="15309" spans="32:32" x14ac:dyDescent="0.2">
      <c r="AF15309" s="12"/>
    </row>
    <row r="15310" spans="32:32" x14ac:dyDescent="0.2">
      <c r="AF15310" s="12"/>
    </row>
    <row r="15311" spans="32:32" x14ac:dyDescent="0.2">
      <c r="AF15311" s="12"/>
    </row>
    <row r="15312" spans="32:32" x14ac:dyDescent="0.2">
      <c r="AF15312" s="12"/>
    </row>
    <row r="15313" spans="32:32" x14ac:dyDescent="0.2">
      <c r="AF15313" s="12"/>
    </row>
    <row r="15314" spans="32:32" x14ac:dyDescent="0.2">
      <c r="AF15314" s="12"/>
    </row>
    <row r="15315" spans="32:32" x14ac:dyDescent="0.2">
      <c r="AF15315" s="12"/>
    </row>
    <row r="15316" spans="32:32" x14ac:dyDescent="0.2">
      <c r="AF15316" s="12"/>
    </row>
    <row r="15317" spans="32:32" x14ac:dyDescent="0.2">
      <c r="AF15317" s="12"/>
    </row>
    <row r="15318" spans="32:32" x14ac:dyDescent="0.2">
      <c r="AF15318" s="12"/>
    </row>
    <row r="15319" spans="32:32" x14ac:dyDescent="0.2">
      <c r="AF15319" s="12"/>
    </row>
    <row r="15320" spans="32:32" x14ac:dyDescent="0.2">
      <c r="AF15320" s="12"/>
    </row>
    <row r="15321" spans="32:32" x14ac:dyDescent="0.2">
      <c r="AF15321" s="12"/>
    </row>
    <row r="15322" spans="32:32" x14ac:dyDescent="0.2">
      <c r="AF15322" s="12"/>
    </row>
    <row r="15323" spans="32:32" x14ac:dyDescent="0.2">
      <c r="AF15323" s="12"/>
    </row>
    <row r="15324" spans="32:32" x14ac:dyDescent="0.2">
      <c r="AF15324" s="12"/>
    </row>
    <row r="15325" spans="32:32" x14ac:dyDescent="0.2">
      <c r="AF15325" s="12"/>
    </row>
    <row r="15326" spans="32:32" x14ac:dyDescent="0.2">
      <c r="AF15326" s="12"/>
    </row>
    <row r="15327" spans="32:32" x14ac:dyDescent="0.2">
      <c r="AF15327" s="12"/>
    </row>
    <row r="15328" spans="32:32" x14ac:dyDescent="0.2">
      <c r="AF15328" s="12"/>
    </row>
    <row r="15329" spans="32:32" x14ac:dyDescent="0.2">
      <c r="AF15329" s="12"/>
    </row>
    <row r="15330" spans="32:32" x14ac:dyDescent="0.2">
      <c r="AF15330" s="12"/>
    </row>
    <row r="15331" spans="32:32" x14ac:dyDescent="0.2">
      <c r="AF15331" s="12"/>
    </row>
    <row r="15332" spans="32:32" x14ac:dyDescent="0.2">
      <c r="AF15332" s="12"/>
    </row>
    <row r="15333" spans="32:32" x14ac:dyDescent="0.2">
      <c r="AF15333" s="12"/>
    </row>
    <row r="15334" spans="32:32" x14ac:dyDescent="0.2">
      <c r="AF15334" s="12"/>
    </row>
    <row r="15335" spans="32:32" x14ac:dyDescent="0.2">
      <c r="AF15335" s="12"/>
    </row>
    <row r="15336" spans="32:32" x14ac:dyDescent="0.2">
      <c r="AF15336" s="12"/>
    </row>
    <row r="15337" spans="32:32" x14ac:dyDescent="0.2">
      <c r="AF15337" s="12"/>
    </row>
    <row r="15338" spans="32:32" x14ac:dyDescent="0.2">
      <c r="AF15338" s="12"/>
    </row>
    <row r="15339" spans="32:32" x14ac:dyDescent="0.2">
      <c r="AF15339" s="12"/>
    </row>
    <row r="15340" spans="32:32" x14ac:dyDescent="0.2">
      <c r="AF15340" s="12"/>
    </row>
    <row r="15341" spans="32:32" x14ac:dyDescent="0.2">
      <c r="AF15341" s="12"/>
    </row>
    <row r="15342" spans="32:32" x14ac:dyDescent="0.2">
      <c r="AF15342" s="12"/>
    </row>
    <row r="15343" spans="32:32" x14ac:dyDescent="0.2">
      <c r="AF15343" s="12"/>
    </row>
    <row r="15344" spans="32:32" x14ac:dyDescent="0.2">
      <c r="AF15344" s="12"/>
    </row>
    <row r="15345" spans="32:32" x14ac:dyDescent="0.2">
      <c r="AF15345" s="12"/>
    </row>
    <row r="15346" spans="32:32" x14ac:dyDescent="0.2">
      <c r="AF15346" s="12"/>
    </row>
    <row r="15347" spans="32:32" x14ac:dyDescent="0.2">
      <c r="AF15347" s="12"/>
    </row>
    <row r="15348" spans="32:32" x14ac:dyDescent="0.2">
      <c r="AF15348" s="12"/>
    </row>
    <row r="15349" spans="32:32" x14ac:dyDescent="0.2">
      <c r="AF15349" s="12"/>
    </row>
    <row r="15350" spans="32:32" x14ac:dyDescent="0.2">
      <c r="AF15350" s="12"/>
    </row>
    <row r="15351" spans="32:32" x14ac:dyDescent="0.2">
      <c r="AF15351" s="12"/>
    </row>
    <row r="15352" spans="32:32" x14ac:dyDescent="0.2">
      <c r="AF15352" s="12"/>
    </row>
    <row r="15353" spans="32:32" x14ac:dyDescent="0.2">
      <c r="AF15353" s="12"/>
    </row>
    <row r="15354" spans="32:32" x14ac:dyDescent="0.2">
      <c r="AF15354" s="12"/>
    </row>
    <row r="15355" spans="32:32" x14ac:dyDescent="0.2">
      <c r="AF15355" s="12"/>
    </row>
    <row r="15356" spans="32:32" x14ac:dyDescent="0.2">
      <c r="AF15356" s="12"/>
    </row>
    <row r="15357" spans="32:32" x14ac:dyDescent="0.2">
      <c r="AF15357" s="12"/>
    </row>
    <row r="15358" spans="32:32" x14ac:dyDescent="0.2">
      <c r="AF15358" s="12"/>
    </row>
    <row r="15359" spans="32:32" x14ac:dyDescent="0.2">
      <c r="AF15359" s="12"/>
    </row>
    <row r="15360" spans="32:32" x14ac:dyDescent="0.2">
      <c r="AF15360" s="12"/>
    </row>
    <row r="15361" spans="32:32" x14ac:dyDescent="0.2">
      <c r="AF15361" s="12"/>
    </row>
    <row r="15362" spans="32:32" x14ac:dyDescent="0.2">
      <c r="AF15362" s="12"/>
    </row>
    <row r="15363" spans="32:32" x14ac:dyDescent="0.2">
      <c r="AF15363" s="12"/>
    </row>
    <row r="15364" spans="32:32" x14ac:dyDescent="0.2">
      <c r="AF15364" s="12"/>
    </row>
    <row r="15365" spans="32:32" x14ac:dyDescent="0.2">
      <c r="AF15365" s="12"/>
    </row>
    <row r="15366" spans="32:32" x14ac:dyDescent="0.2">
      <c r="AF15366" s="12"/>
    </row>
    <row r="15367" spans="32:32" x14ac:dyDescent="0.2">
      <c r="AF15367" s="12"/>
    </row>
    <row r="15368" spans="32:32" x14ac:dyDescent="0.2">
      <c r="AF15368" s="12"/>
    </row>
    <row r="15369" spans="32:32" x14ac:dyDescent="0.2">
      <c r="AF15369" s="12"/>
    </row>
    <row r="15370" spans="32:32" x14ac:dyDescent="0.2">
      <c r="AF15370" s="12"/>
    </row>
    <row r="15371" spans="32:32" x14ac:dyDescent="0.2">
      <c r="AF15371" s="12"/>
    </row>
    <row r="15372" spans="32:32" x14ac:dyDescent="0.2">
      <c r="AF15372" s="12"/>
    </row>
    <row r="15373" spans="32:32" x14ac:dyDescent="0.2">
      <c r="AF15373" s="12"/>
    </row>
    <row r="15374" spans="32:32" x14ac:dyDescent="0.2">
      <c r="AF15374" s="12"/>
    </row>
    <row r="15375" spans="32:32" x14ac:dyDescent="0.2">
      <c r="AF15375" s="12"/>
    </row>
    <row r="15376" spans="32:32" x14ac:dyDescent="0.2">
      <c r="AF15376" s="12"/>
    </row>
    <row r="15377" spans="32:32" x14ac:dyDescent="0.2">
      <c r="AF15377" s="12"/>
    </row>
    <row r="15378" spans="32:32" x14ac:dyDescent="0.2">
      <c r="AF15378" s="12"/>
    </row>
    <row r="15379" spans="32:32" x14ac:dyDescent="0.2">
      <c r="AF15379" s="12"/>
    </row>
    <row r="15380" spans="32:32" x14ac:dyDescent="0.2">
      <c r="AF15380" s="12"/>
    </row>
    <row r="15381" spans="32:32" x14ac:dyDescent="0.2">
      <c r="AF15381" s="12"/>
    </row>
    <row r="15382" spans="32:32" x14ac:dyDescent="0.2">
      <c r="AF15382" s="12"/>
    </row>
    <row r="15383" spans="32:32" x14ac:dyDescent="0.2">
      <c r="AF15383" s="12"/>
    </row>
    <row r="15384" spans="32:32" x14ac:dyDescent="0.2">
      <c r="AF15384" s="12"/>
    </row>
    <row r="15385" spans="32:32" x14ac:dyDescent="0.2">
      <c r="AF15385" s="12"/>
    </row>
    <row r="15386" spans="32:32" x14ac:dyDescent="0.2">
      <c r="AF15386" s="12"/>
    </row>
    <row r="15387" spans="32:32" x14ac:dyDescent="0.2">
      <c r="AF15387" s="12"/>
    </row>
    <row r="15388" spans="32:32" x14ac:dyDescent="0.2">
      <c r="AF15388" s="12"/>
    </row>
    <row r="15389" spans="32:32" x14ac:dyDescent="0.2">
      <c r="AF15389" s="12"/>
    </row>
    <row r="15390" spans="32:32" x14ac:dyDescent="0.2">
      <c r="AF15390" s="12"/>
    </row>
    <row r="15391" spans="32:32" x14ac:dyDescent="0.2">
      <c r="AF15391" s="12"/>
    </row>
    <row r="15392" spans="32:32" x14ac:dyDescent="0.2">
      <c r="AF15392" s="12"/>
    </row>
    <row r="15393" spans="32:32" x14ac:dyDescent="0.2">
      <c r="AF15393" s="12"/>
    </row>
    <row r="15394" spans="32:32" x14ac:dyDescent="0.2">
      <c r="AF15394" s="12"/>
    </row>
    <row r="15395" spans="32:32" x14ac:dyDescent="0.2">
      <c r="AF15395" s="12"/>
    </row>
    <row r="15396" spans="32:32" x14ac:dyDescent="0.2">
      <c r="AF15396" s="12"/>
    </row>
    <row r="15397" spans="32:32" x14ac:dyDescent="0.2">
      <c r="AF15397" s="12"/>
    </row>
    <row r="15398" spans="32:32" x14ac:dyDescent="0.2">
      <c r="AF15398" s="12"/>
    </row>
    <row r="15399" spans="32:32" x14ac:dyDescent="0.2">
      <c r="AF15399" s="12"/>
    </row>
    <row r="15400" spans="32:32" x14ac:dyDescent="0.2">
      <c r="AF15400" s="12"/>
    </row>
    <row r="15401" spans="32:32" x14ac:dyDescent="0.2">
      <c r="AF15401" s="12"/>
    </row>
    <row r="15402" spans="32:32" x14ac:dyDescent="0.2">
      <c r="AF15402" s="12"/>
    </row>
    <row r="15403" spans="32:32" x14ac:dyDescent="0.2">
      <c r="AF15403" s="12"/>
    </row>
    <row r="15404" spans="32:32" x14ac:dyDescent="0.2">
      <c r="AF15404" s="12"/>
    </row>
    <row r="15405" spans="32:32" x14ac:dyDescent="0.2">
      <c r="AF15405" s="12"/>
    </row>
    <row r="15406" spans="32:32" x14ac:dyDescent="0.2">
      <c r="AF15406" s="12"/>
    </row>
    <row r="15407" spans="32:32" x14ac:dyDescent="0.2">
      <c r="AF15407" s="12"/>
    </row>
    <row r="15408" spans="32:32" x14ac:dyDescent="0.2">
      <c r="AF15408" s="12"/>
    </row>
    <row r="15409" spans="32:32" x14ac:dyDescent="0.2">
      <c r="AF15409" s="12"/>
    </row>
    <row r="15410" spans="32:32" x14ac:dyDescent="0.2">
      <c r="AF15410" s="12"/>
    </row>
    <row r="15411" spans="32:32" x14ac:dyDescent="0.2">
      <c r="AF15411" s="12"/>
    </row>
    <row r="15412" spans="32:32" x14ac:dyDescent="0.2">
      <c r="AF15412" s="12"/>
    </row>
    <row r="15413" spans="32:32" x14ac:dyDescent="0.2">
      <c r="AF15413" s="12"/>
    </row>
    <row r="15414" spans="32:32" x14ac:dyDescent="0.2">
      <c r="AF15414" s="12"/>
    </row>
    <row r="15415" spans="32:32" x14ac:dyDescent="0.2">
      <c r="AF15415" s="12"/>
    </row>
    <row r="15416" spans="32:32" x14ac:dyDescent="0.2">
      <c r="AF15416" s="12"/>
    </row>
    <row r="15417" spans="32:32" x14ac:dyDescent="0.2">
      <c r="AF15417" s="12"/>
    </row>
    <row r="15418" spans="32:32" x14ac:dyDescent="0.2">
      <c r="AF15418" s="12"/>
    </row>
    <row r="15419" spans="32:32" x14ac:dyDescent="0.2">
      <c r="AF15419" s="12"/>
    </row>
    <row r="15420" spans="32:32" x14ac:dyDescent="0.2">
      <c r="AF15420" s="12"/>
    </row>
    <row r="15421" spans="32:32" x14ac:dyDescent="0.2">
      <c r="AF15421" s="12"/>
    </row>
    <row r="15422" spans="32:32" x14ac:dyDescent="0.2">
      <c r="AF15422" s="12"/>
    </row>
    <row r="15423" spans="32:32" x14ac:dyDescent="0.2">
      <c r="AF15423" s="12"/>
    </row>
    <row r="15424" spans="32:32" x14ac:dyDescent="0.2">
      <c r="AF15424" s="12"/>
    </row>
    <row r="15425" spans="32:32" x14ac:dyDescent="0.2">
      <c r="AF15425" s="12"/>
    </row>
    <row r="15426" spans="32:32" x14ac:dyDescent="0.2">
      <c r="AF15426" s="12"/>
    </row>
    <row r="15427" spans="32:32" x14ac:dyDescent="0.2">
      <c r="AF15427" s="12"/>
    </row>
    <row r="15428" spans="32:32" x14ac:dyDescent="0.2">
      <c r="AF15428" s="12"/>
    </row>
    <row r="15429" spans="32:32" x14ac:dyDescent="0.2">
      <c r="AF15429" s="12"/>
    </row>
    <row r="15430" spans="32:32" x14ac:dyDescent="0.2">
      <c r="AF15430" s="12"/>
    </row>
    <row r="15431" spans="32:32" x14ac:dyDescent="0.2">
      <c r="AF15431" s="12"/>
    </row>
    <row r="15432" spans="32:32" x14ac:dyDescent="0.2">
      <c r="AF15432" s="12"/>
    </row>
    <row r="15433" spans="32:32" x14ac:dyDescent="0.2">
      <c r="AF15433" s="12"/>
    </row>
    <row r="15434" spans="32:32" x14ac:dyDescent="0.2">
      <c r="AF15434" s="12"/>
    </row>
    <row r="15435" spans="32:32" x14ac:dyDescent="0.2">
      <c r="AF15435" s="12"/>
    </row>
    <row r="15436" spans="32:32" x14ac:dyDescent="0.2">
      <c r="AF15436" s="12"/>
    </row>
    <row r="15437" spans="32:32" x14ac:dyDescent="0.2">
      <c r="AF15437" s="12"/>
    </row>
    <row r="15438" spans="32:32" x14ac:dyDescent="0.2">
      <c r="AF15438" s="12"/>
    </row>
    <row r="15439" spans="32:32" x14ac:dyDescent="0.2">
      <c r="AF15439" s="12"/>
    </row>
    <row r="15440" spans="32:32" x14ac:dyDescent="0.2">
      <c r="AF15440" s="12"/>
    </row>
    <row r="15441" spans="32:32" x14ac:dyDescent="0.2">
      <c r="AF15441" s="12"/>
    </row>
    <row r="15442" spans="32:32" x14ac:dyDescent="0.2">
      <c r="AF15442" s="12"/>
    </row>
    <row r="15443" spans="32:32" x14ac:dyDescent="0.2">
      <c r="AF15443" s="12"/>
    </row>
    <row r="15444" spans="32:32" x14ac:dyDescent="0.2">
      <c r="AF15444" s="12"/>
    </row>
    <row r="15445" spans="32:32" x14ac:dyDescent="0.2">
      <c r="AF15445" s="12"/>
    </row>
    <row r="15446" spans="32:32" x14ac:dyDescent="0.2">
      <c r="AF15446" s="12"/>
    </row>
    <row r="15447" spans="32:32" x14ac:dyDescent="0.2">
      <c r="AF15447" s="12"/>
    </row>
    <row r="15448" spans="32:32" x14ac:dyDescent="0.2">
      <c r="AF15448" s="12"/>
    </row>
    <row r="15449" spans="32:32" x14ac:dyDescent="0.2">
      <c r="AF15449" s="12"/>
    </row>
    <row r="15450" spans="32:32" x14ac:dyDescent="0.2">
      <c r="AF15450" s="12"/>
    </row>
    <row r="15451" spans="32:32" x14ac:dyDescent="0.2">
      <c r="AF15451" s="12"/>
    </row>
    <row r="15452" spans="32:32" x14ac:dyDescent="0.2">
      <c r="AF15452" s="12"/>
    </row>
    <row r="15453" spans="32:32" x14ac:dyDescent="0.2">
      <c r="AF15453" s="12"/>
    </row>
    <row r="15454" spans="32:32" x14ac:dyDescent="0.2">
      <c r="AF15454" s="12"/>
    </row>
    <row r="15455" spans="32:32" x14ac:dyDescent="0.2">
      <c r="AF15455" s="12"/>
    </row>
    <row r="15456" spans="32:32" x14ac:dyDescent="0.2">
      <c r="AF15456" s="12"/>
    </row>
    <row r="15457" spans="32:32" x14ac:dyDescent="0.2">
      <c r="AF15457" s="12"/>
    </row>
    <row r="15458" spans="32:32" x14ac:dyDescent="0.2">
      <c r="AF15458" s="12"/>
    </row>
    <row r="15459" spans="32:32" x14ac:dyDescent="0.2">
      <c r="AF15459" s="12"/>
    </row>
    <row r="15460" spans="32:32" x14ac:dyDescent="0.2">
      <c r="AF15460" s="12"/>
    </row>
    <row r="15461" spans="32:32" x14ac:dyDescent="0.2">
      <c r="AF15461" s="12"/>
    </row>
    <row r="15462" spans="32:32" x14ac:dyDescent="0.2">
      <c r="AF15462" s="12"/>
    </row>
    <row r="15463" spans="32:32" x14ac:dyDescent="0.2">
      <c r="AF15463" s="12"/>
    </row>
    <row r="15464" spans="32:32" x14ac:dyDescent="0.2">
      <c r="AF15464" s="12"/>
    </row>
    <row r="15465" spans="32:32" x14ac:dyDescent="0.2">
      <c r="AF15465" s="12"/>
    </row>
    <row r="15466" spans="32:32" x14ac:dyDescent="0.2">
      <c r="AF15466" s="12"/>
    </row>
    <row r="15467" spans="32:32" x14ac:dyDescent="0.2">
      <c r="AF15467" s="12"/>
    </row>
    <row r="15468" spans="32:32" x14ac:dyDescent="0.2">
      <c r="AF15468" s="12"/>
    </row>
    <row r="15469" spans="32:32" x14ac:dyDescent="0.2">
      <c r="AF15469" s="12"/>
    </row>
    <row r="15470" spans="32:32" x14ac:dyDescent="0.2">
      <c r="AF15470" s="12"/>
    </row>
    <row r="15471" spans="32:32" x14ac:dyDescent="0.2">
      <c r="AF15471" s="12"/>
    </row>
    <row r="15472" spans="32:32" x14ac:dyDescent="0.2">
      <c r="AF15472" s="12"/>
    </row>
    <row r="15473" spans="32:32" x14ac:dyDescent="0.2">
      <c r="AF15473" s="12"/>
    </row>
    <row r="15474" spans="32:32" x14ac:dyDescent="0.2">
      <c r="AF15474" s="12"/>
    </row>
    <row r="15475" spans="32:32" x14ac:dyDescent="0.2">
      <c r="AF15475" s="12"/>
    </row>
    <row r="15476" spans="32:32" x14ac:dyDescent="0.2">
      <c r="AF15476" s="12"/>
    </row>
    <row r="15477" spans="32:32" x14ac:dyDescent="0.2">
      <c r="AF15477" s="12"/>
    </row>
    <row r="15478" spans="32:32" x14ac:dyDescent="0.2">
      <c r="AF15478" s="12"/>
    </row>
    <row r="15479" spans="32:32" x14ac:dyDescent="0.2">
      <c r="AF15479" s="12"/>
    </row>
    <row r="15480" spans="32:32" x14ac:dyDescent="0.2">
      <c r="AF15480" s="12"/>
    </row>
    <row r="15481" spans="32:32" x14ac:dyDescent="0.2">
      <c r="AF15481" s="12"/>
    </row>
    <row r="15482" spans="32:32" x14ac:dyDescent="0.2">
      <c r="AF15482" s="12"/>
    </row>
    <row r="15483" spans="32:32" x14ac:dyDescent="0.2">
      <c r="AF15483" s="12"/>
    </row>
    <row r="15484" spans="32:32" x14ac:dyDescent="0.2">
      <c r="AF15484" s="12"/>
    </row>
    <row r="15485" spans="32:32" x14ac:dyDescent="0.2">
      <c r="AF15485" s="12"/>
    </row>
    <row r="15486" spans="32:32" x14ac:dyDescent="0.2">
      <c r="AF15486" s="12"/>
    </row>
    <row r="15487" spans="32:32" x14ac:dyDescent="0.2">
      <c r="AF15487" s="12"/>
    </row>
    <row r="15488" spans="32:32" x14ac:dyDescent="0.2">
      <c r="AF15488" s="12"/>
    </row>
    <row r="15489" spans="32:32" x14ac:dyDescent="0.2">
      <c r="AF15489" s="12"/>
    </row>
    <row r="15490" spans="32:32" x14ac:dyDescent="0.2">
      <c r="AF15490" s="12"/>
    </row>
    <row r="15491" spans="32:32" x14ac:dyDescent="0.2">
      <c r="AF15491" s="12"/>
    </row>
    <row r="15492" spans="32:32" x14ac:dyDescent="0.2">
      <c r="AF15492" s="12"/>
    </row>
    <row r="15493" spans="32:32" x14ac:dyDescent="0.2">
      <c r="AF15493" s="12"/>
    </row>
    <row r="15494" spans="32:32" x14ac:dyDescent="0.2">
      <c r="AF15494" s="12"/>
    </row>
    <row r="15495" spans="32:32" x14ac:dyDescent="0.2">
      <c r="AF15495" s="12"/>
    </row>
    <row r="15496" spans="32:32" x14ac:dyDescent="0.2">
      <c r="AF15496" s="12"/>
    </row>
    <row r="15497" spans="32:32" x14ac:dyDescent="0.2">
      <c r="AF15497" s="12"/>
    </row>
    <row r="15498" spans="32:32" x14ac:dyDescent="0.2">
      <c r="AF15498" s="12"/>
    </row>
    <row r="15499" spans="32:32" x14ac:dyDescent="0.2">
      <c r="AF15499" s="12"/>
    </row>
    <row r="15500" spans="32:32" x14ac:dyDescent="0.2">
      <c r="AF15500" s="12"/>
    </row>
    <row r="15501" spans="32:32" x14ac:dyDescent="0.2">
      <c r="AF15501" s="12"/>
    </row>
    <row r="15502" spans="32:32" x14ac:dyDescent="0.2">
      <c r="AF15502" s="12"/>
    </row>
    <row r="15503" spans="32:32" x14ac:dyDescent="0.2">
      <c r="AF15503" s="12"/>
    </row>
    <row r="15504" spans="32:32" x14ac:dyDescent="0.2">
      <c r="AF15504" s="12"/>
    </row>
    <row r="15505" spans="32:32" x14ac:dyDescent="0.2">
      <c r="AF15505" s="12"/>
    </row>
    <row r="15506" spans="32:32" x14ac:dyDescent="0.2">
      <c r="AF15506" s="12"/>
    </row>
    <row r="15507" spans="32:32" x14ac:dyDescent="0.2">
      <c r="AF15507" s="12"/>
    </row>
    <row r="15508" spans="32:32" x14ac:dyDescent="0.2">
      <c r="AF15508" s="12"/>
    </row>
    <row r="15509" spans="32:32" x14ac:dyDescent="0.2">
      <c r="AF15509" s="12"/>
    </row>
    <row r="15510" spans="32:32" x14ac:dyDescent="0.2">
      <c r="AF15510" s="12"/>
    </row>
    <row r="15511" spans="32:32" x14ac:dyDescent="0.2">
      <c r="AF15511" s="12"/>
    </row>
    <row r="15512" spans="32:32" x14ac:dyDescent="0.2">
      <c r="AF15512" s="12"/>
    </row>
    <row r="15513" spans="32:32" x14ac:dyDescent="0.2">
      <c r="AF15513" s="12"/>
    </row>
    <row r="15514" spans="32:32" x14ac:dyDescent="0.2">
      <c r="AF15514" s="12"/>
    </row>
    <row r="15515" spans="32:32" x14ac:dyDescent="0.2">
      <c r="AF15515" s="12"/>
    </row>
    <row r="15516" spans="32:32" x14ac:dyDescent="0.2">
      <c r="AF15516" s="12"/>
    </row>
    <row r="15517" spans="32:32" x14ac:dyDescent="0.2">
      <c r="AF15517" s="12"/>
    </row>
    <row r="15518" spans="32:32" x14ac:dyDescent="0.2">
      <c r="AF15518" s="12"/>
    </row>
    <row r="15519" spans="32:32" x14ac:dyDescent="0.2">
      <c r="AF15519" s="12"/>
    </row>
    <row r="15520" spans="32:32" x14ac:dyDescent="0.2">
      <c r="AF15520" s="12"/>
    </row>
    <row r="15521" spans="32:32" x14ac:dyDescent="0.2">
      <c r="AF15521" s="12"/>
    </row>
    <row r="15522" spans="32:32" x14ac:dyDescent="0.2">
      <c r="AF15522" s="12"/>
    </row>
    <row r="15523" spans="32:32" x14ac:dyDescent="0.2">
      <c r="AF15523" s="12"/>
    </row>
    <row r="15524" spans="32:32" x14ac:dyDescent="0.2">
      <c r="AF15524" s="12"/>
    </row>
    <row r="15525" spans="32:32" x14ac:dyDescent="0.2">
      <c r="AF15525" s="12"/>
    </row>
    <row r="15526" spans="32:32" x14ac:dyDescent="0.2">
      <c r="AF15526" s="12"/>
    </row>
    <row r="15527" spans="32:32" x14ac:dyDescent="0.2">
      <c r="AF15527" s="12"/>
    </row>
    <row r="15528" spans="32:32" x14ac:dyDescent="0.2">
      <c r="AF15528" s="12"/>
    </row>
    <row r="15529" spans="32:32" x14ac:dyDescent="0.2">
      <c r="AF15529" s="12"/>
    </row>
    <row r="15530" spans="32:32" x14ac:dyDescent="0.2">
      <c r="AF15530" s="12"/>
    </row>
    <row r="15531" spans="32:32" x14ac:dyDescent="0.2">
      <c r="AF15531" s="12"/>
    </row>
    <row r="15532" spans="32:32" x14ac:dyDescent="0.2">
      <c r="AF15532" s="12"/>
    </row>
    <row r="15533" spans="32:32" x14ac:dyDescent="0.2">
      <c r="AF15533" s="12"/>
    </row>
    <row r="15534" spans="32:32" x14ac:dyDescent="0.2">
      <c r="AF15534" s="12"/>
    </row>
    <row r="15535" spans="32:32" x14ac:dyDescent="0.2">
      <c r="AF15535" s="12"/>
    </row>
    <row r="15536" spans="32:32" x14ac:dyDescent="0.2">
      <c r="AF15536" s="12"/>
    </row>
    <row r="15537" spans="32:32" x14ac:dyDescent="0.2">
      <c r="AF15537" s="12"/>
    </row>
    <row r="15538" spans="32:32" x14ac:dyDescent="0.2">
      <c r="AF15538" s="12"/>
    </row>
    <row r="15539" spans="32:32" x14ac:dyDescent="0.2">
      <c r="AF15539" s="12"/>
    </row>
    <row r="15540" spans="32:32" x14ac:dyDescent="0.2">
      <c r="AF15540" s="12"/>
    </row>
    <row r="15541" spans="32:32" x14ac:dyDescent="0.2">
      <c r="AF15541" s="12"/>
    </row>
    <row r="15542" spans="32:32" x14ac:dyDescent="0.2">
      <c r="AF15542" s="12"/>
    </row>
    <row r="15543" spans="32:32" x14ac:dyDescent="0.2">
      <c r="AF15543" s="12"/>
    </row>
    <row r="15544" spans="32:32" x14ac:dyDescent="0.2">
      <c r="AF15544" s="12"/>
    </row>
    <row r="15545" spans="32:32" x14ac:dyDescent="0.2">
      <c r="AF15545" s="12"/>
    </row>
    <row r="15546" spans="32:32" x14ac:dyDescent="0.2">
      <c r="AF15546" s="12"/>
    </row>
    <row r="15547" spans="32:32" x14ac:dyDescent="0.2">
      <c r="AF15547" s="12"/>
    </row>
    <row r="15548" spans="32:32" x14ac:dyDescent="0.2">
      <c r="AF15548" s="12"/>
    </row>
    <row r="15549" spans="32:32" x14ac:dyDescent="0.2">
      <c r="AF15549" s="12"/>
    </row>
    <row r="15550" spans="32:32" x14ac:dyDescent="0.2">
      <c r="AF15550" s="12"/>
    </row>
    <row r="15551" spans="32:32" x14ac:dyDescent="0.2">
      <c r="AF15551" s="12"/>
    </row>
    <row r="15552" spans="32:32" x14ac:dyDescent="0.2">
      <c r="AF15552" s="12"/>
    </row>
    <row r="15553" spans="32:32" x14ac:dyDescent="0.2">
      <c r="AF15553" s="12"/>
    </row>
    <row r="15554" spans="32:32" x14ac:dyDescent="0.2">
      <c r="AF15554" s="12"/>
    </row>
    <row r="15555" spans="32:32" x14ac:dyDescent="0.2">
      <c r="AF15555" s="12"/>
    </row>
    <row r="15556" spans="32:32" x14ac:dyDescent="0.2">
      <c r="AF15556" s="12"/>
    </row>
    <row r="15557" spans="32:32" x14ac:dyDescent="0.2">
      <c r="AF15557" s="12"/>
    </row>
    <row r="15558" spans="32:32" x14ac:dyDescent="0.2">
      <c r="AF15558" s="12"/>
    </row>
    <row r="15559" spans="32:32" x14ac:dyDescent="0.2">
      <c r="AF15559" s="12"/>
    </row>
    <row r="15560" spans="32:32" x14ac:dyDescent="0.2">
      <c r="AF15560" s="12"/>
    </row>
    <row r="15561" spans="32:32" x14ac:dyDescent="0.2">
      <c r="AF15561" s="12"/>
    </row>
    <row r="15562" spans="32:32" x14ac:dyDescent="0.2">
      <c r="AF15562" s="12"/>
    </row>
    <row r="15563" spans="32:32" x14ac:dyDescent="0.2">
      <c r="AF15563" s="12"/>
    </row>
    <row r="15564" spans="32:32" x14ac:dyDescent="0.2">
      <c r="AF15564" s="12"/>
    </row>
    <row r="15565" spans="32:32" x14ac:dyDescent="0.2">
      <c r="AF15565" s="12"/>
    </row>
    <row r="15566" spans="32:32" x14ac:dyDescent="0.2">
      <c r="AF15566" s="12"/>
    </row>
    <row r="15567" spans="32:32" x14ac:dyDescent="0.2">
      <c r="AF15567" s="12"/>
    </row>
    <row r="15568" spans="32:32" x14ac:dyDescent="0.2">
      <c r="AF15568" s="12"/>
    </row>
    <row r="15569" spans="32:32" x14ac:dyDescent="0.2">
      <c r="AF15569" s="12"/>
    </row>
    <row r="15570" spans="32:32" x14ac:dyDescent="0.2">
      <c r="AF15570" s="12"/>
    </row>
    <row r="15571" spans="32:32" x14ac:dyDescent="0.2">
      <c r="AF15571" s="12"/>
    </row>
    <row r="15572" spans="32:32" x14ac:dyDescent="0.2">
      <c r="AF15572" s="12"/>
    </row>
    <row r="15573" spans="32:32" x14ac:dyDescent="0.2">
      <c r="AF15573" s="12"/>
    </row>
    <row r="15574" spans="32:32" x14ac:dyDescent="0.2">
      <c r="AF15574" s="12"/>
    </row>
    <row r="15575" spans="32:32" x14ac:dyDescent="0.2">
      <c r="AF15575" s="12"/>
    </row>
    <row r="15576" spans="32:32" x14ac:dyDescent="0.2">
      <c r="AF15576" s="12"/>
    </row>
    <row r="15577" spans="32:32" x14ac:dyDescent="0.2">
      <c r="AF15577" s="12"/>
    </row>
    <row r="15578" spans="32:32" x14ac:dyDescent="0.2">
      <c r="AF15578" s="12"/>
    </row>
    <row r="15579" spans="32:32" x14ac:dyDescent="0.2">
      <c r="AF15579" s="12"/>
    </row>
    <row r="15580" spans="32:32" x14ac:dyDescent="0.2">
      <c r="AF15580" s="12"/>
    </row>
    <row r="15581" spans="32:32" x14ac:dyDescent="0.2">
      <c r="AF15581" s="12"/>
    </row>
    <row r="15582" spans="32:32" x14ac:dyDescent="0.2">
      <c r="AF15582" s="12"/>
    </row>
    <row r="15583" spans="32:32" x14ac:dyDescent="0.2">
      <c r="AF15583" s="12"/>
    </row>
    <row r="15584" spans="32:32" x14ac:dyDescent="0.2">
      <c r="AF15584" s="12"/>
    </row>
    <row r="15585" spans="32:32" x14ac:dyDescent="0.2">
      <c r="AF15585" s="12"/>
    </row>
    <row r="15586" spans="32:32" x14ac:dyDescent="0.2">
      <c r="AF15586" s="12"/>
    </row>
    <row r="15587" spans="32:32" x14ac:dyDescent="0.2">
      <c r="AF15587" s="12"/>
    </row>
    <row r="15588" spans="32:32" x14ac:dyDescent="0.2">
      <c r="AF15588" s="12"/>
    </row>
    <row r="15589" spans="32:32" x14ac:dyDescent="0.2">
      <c r="AF15589" s="12"/>
    </row>
    <row r="15590" spans="32:32" x14ac:dyDescent="0.2">
      <c r="AF15590" s="12"/>
    </row>
    <row r="15591" spans="32:32" x14ac:dyDescent="0.2">
      <c r="AF15591" s="12"/>
    </row>
    <row r="15592" spans="32:32" x14ac:dyDescent="0.2">
      <c r="AF15592" s="12"/>
    </row>
    <row r="15593" spans="32:32" x14ac:dyDescent="0.2">
      <c r="AF15593" s="12"/>
    </row>
    <row r="15594" spans="32:32" x14ac:dyDescent="0.2">
      <c r="AF15594" s="12"/>
    </row>
    <row r="15595" spans="32:32" x14ac:dyDescent="0.2">
      <c r="AF15595" s="12"/>
    </row>
    <row r="15596" spans="32:32" x14ac:dyDescent="0.2">
      <c r="AF15596" s="12"/>
    </row>
    <row r="15597" spans="32:32" x14ac:dyDescent="0.2">
      <c r="AF15597" s="12"/>
    </row>
    <row r="15598" spans="32:32" x14ac:dyDescent="0.2">
      <c r="AF15598" s="12"/>
    </row>
    <row r="15599" spans="32:32" x14ac:dyDescent="0.2">
      <c r="AF15599" s="12"/>
    </row>
    <row r="15600" spans="32:32" x14ac:dyDescent="0.2">
      <c r="AF15600" s="12"/>
    </row>
    <row r="15601" spans="32:32" x14ac:dyDescent="0.2">
      <c r="AF15601" s="12"/>
    </row>
    <row r="15602" spans="32:32" x14ac:dyDescent="0.2">
      <c r="AF15602" s="12"/>
    </row>
    <row r="15603" spans="32:32" x14ac:dyDescent="0.2">
      <c r="AF15603" s="12"/>
    </row>
    <row r="15604" spans="32:32" x14ac:dyDescent="0.2">
      <c r="AF15604" s="12"/>
    </row>
    <row r="15605" spans="32:32" x14ac:dyDescent="0.2">
      <c r="AF15605" s="12"/>
    </row>
    <row r="15606" spans="32:32" x14ac:dyDescent="0.2">
      <c r="AF15606" s="12"/>
    </row>
    <row r="15607" spans="32:32" x14ac:dyDescent="0.2">
      <c r="AF15607" s="12"/>
    </row>
    <row r="15608" spans="32:32" x14ac:dyDescent="0.2">
      <c r="AF15608" s="12"/>
    </row>
    <row r="15609" spans="32:32" x14ac:dyDescent="0.2">
      <c r="AF15609" s="12"/>
    </row>
    <row r="15610" spans="32:32" x14ac:dyDescent="0.2">
      <c r="AF15610" s="12"/>
    </row>
    <row r="15611" spans="32:32" x14ac:dyDescent="0.2">
      <c r="AF15611" s="12"/>
    </row>
    <row r="15612" spans="32:32" x14ac:dyDescent="0.2">
      <c r="AF15612" s="12"/>
    </row>
    <row r="15613" spans="32:32" x14ac:dyDescent="0.2">
      <c r="AF15613" s="12"/>
    </row>
    <row r="15614" spans="32:32" x14ac:dyDescent="0.2">
      <c r="AF15614" s="12"/>
    </row>
    <row r="15615" spans="32:32" x14ac:dyDescent="0.2">
      <c r="AF15615" s="12"/>
    </row>
    <row r="15616" spans="32:32" x14ac:dyDescent="0.2">
      <c r="AF15616" s="12"/>
    </row>
    <row r="15617" spans="32:32" x14ac:dyDescent="0.2">
      <c r="AF15617" s="12"/>
    </row>
    <row r="15618" spans="32:32" x14ac:dyDescent="0.2">
      <c r="AF15618" s="12"/>
    </row>
    <row r="15619" spans="32:32" x14ac:dyDescent="0.2">
      <c r="AF15619" s="12"/>
    </row>
    <row r="15620" spans="32:32" x14ac:dyDescent="0.2">
      <c r="AF15620" s="12"/>
    </row>
    <row r="15621" spans="32:32" x14ac:dyDescent="0.2">
      <c r="AF15621" s="12"/>
    </row>
    <row r="15622" spans="32:32" x14ac:dyDescent="0.2">
      <c r="AF15622" s="12"/>
    </row>
    <row r="15623" spans="32:32" x14ac:dyDescent="0.2">
      <c r="AF15623" s="12"/>
    </row>
    <row r="15624" spans="32:32" x14ac:dyDescent="0.2">
      <c r="AF15624" s="12"/>
    </row>
    <row r="15625" spans="32:32" x14ac:dyDescent="0.2">
      <c r="AF15625" s="12"/>
    </row>
    <row r="15626" spans="32:32" x14ac:dyDescent="0.2">
      <c r="AF15626" s="12"/>
    </row>
    <row r="15627" spans="32:32" x14ac:dyDescent="0.2">
      <c r="AF15627" s="12"/>
    </row>
    <row r="15628" spans="32:32" x14ac:dyDescent="0.2">
      <c r="AF15628" s="12"/>
    </row>
    <row r="15629" spans="32:32" x14ac:dyDescent="0.2">
      <c r="AF15629" s="12"/>
    </row>
    <row r="15630" spans="32:32" x14ac:dyDescent="0.2">
      <c r="AF15630" s="12"/>
    </row>
    <row r="15631" spans="32:32" x14ac:dyDescent="0.2">
      <c r="AF15631" s="12"/>
    </row>
    <row r="15632" spans="32:32" x14ac:dyDescent="0.2">
      <c r="AF15632" s="12"/>
    </row>
    <row r="15633" spans="32:32" x14ac:dyDescent="0.2">
      <c r="AF15633" s="12"/>
    </row>
    <row r="15634" spans="32:32" x14ac:dyDescent="0.2">
      <c r="AF15634" s="12"/>
    </row>
    <row r="15635" spans="32:32" x14ac:dyDescent="0.2">
      <c r="AF15635" s="12"/>
    </row>
    <row r="15636" spans="32:32" x14ac:dyDescent="0.2">
      <c r="AF15636" s="12"/>
    </row>
    <row r="15637" spans="32:32" x14ac:dyDescent="0.2">
      <c r="AF15637" s="12"/>
    </row>
    <row r="15638" spans="32:32" x14ac:dyDescent="0.2">
      <c r="AF15638" s="12"/>
    </row>
    <row r="15639" spans="32:32" x14ac:dyDescent="0.2">
      <c r="AF15639" s="12"/>
    </row>
    <row r="15640" spans="32:32" x14ac:dyDescent="0.2">
      <c r="AF15640" s="12"/>
    </row>
    <row r="15641" spans="32:32" x14ac:dyDescent="0.2">
      <c r="AF15641" s="12"/>
    </row>
    <row r="15642" spans="32:32" x14ac:dyDescent="0.2">
      <c r="AF15642" s="12"/>
    </row>
    <row r="15643" spans="32:32" x14ac:dyDescent="0.2">
      <c r="AF15643" s="12"/>
    </row>
    <row r="15644" spans="32:32" x14ac:dyDescent="0.2">
      <c r="AF15644" s="12"/>
    </row>
    <row r="15645" spans="32:32" x14ac:dyDescent="0.2">
      <c r="AF15645" s="12"/>
    </row>
    <row r="15646" spans="32:32" x14ac:dyDescent="0.2">
      <c r="AF15646" s="12"/>
    </row>
    <row r="15647" spans="32:32" x14ac:dyDescent="0.2">
      <c r="AF15647" s="12"/>
    </row>
    <row r="15648" spans="32:32" x14ac:dyDescent="0.2">
      <c r="AF15648" s="12"/>
    </row>
    <row r="15649" spans="32:32" x14ac:dyDescent="0.2">
      <c r="AF15649" s="12"/>
    </row>
    <row r="15650" spans="32:32" x14ac:dyDescent="0.2">
      <c r="AF15650" s="12"/>
    </row>
    <row r="15651" spans="32:32" x14ac:dyDescent="0.2">
      <c r="AF15651" s="12"/>
    </row>
    <row r="15652" spans="32:32" x14ac:dyDescent="0.2">
      <c r="AF15652" s="12"/>
    </row>
    <row r="15653" spans="32:32" x14ac:dyDescent="0.2">
      <c r="AF15653" s="12"/>
    </row>
    <row r="15654" spans="32:32" x14ac:dyDescent="0.2">
      <c r="AF15654" s="12"/>
    </row>
    <row r="15655" spans="32:32" x14ac:dyDescent="0.2">
      <c r="AF15655" s="12"/>
    </row>
    <row r="15656" spans="32:32" x14ac:dyDescent="0.2">
      <c r="AF15656" s="12"/>
    </row>
    <row r="15657" spans="32:32" x14ac:dyDescent="0.2">
      <c r="AF15657" s="12"/>
    </row>
    <row r="15658" spans="32:32" x14ac:dyDescent="0.2">
      <c r="AF15658" s="12"/>
    </row>
    <row r="15659" spans="32:32" x14ac:dyDescent="0.2">
      <c r="AF15659" s="12"/>
    </row>
    <row r="15660" spans="32:32" x14ac:dyDescent="0.2">
      <c r="AF15660" s="12"/>
    </row>
    <row r="15661" spans="32:32" x14ac:dyDescent="0.2">
      <c r="AF15661" s="12"/>
    </row>
    <row r="15662" spans="32:32" x14ac:dyDescent="0.2">
      <c r="AF15662" s="12"/>
    </row>
    <row r="15663" spans="32:32" x14ac:dyDescent="0.2">
      <c r="AF15663" s="12"/>
    </row>
    <row r="15664" spans="32:32" x14ac:dyDescent="0.2">
      <c r="AF15664" s="12"/>
    </row>
    <row r="15665" spans="32:32" x14ac:dyDescent="0.2">
      <c r="AF15665" s="12"/>
    </row>
    <row r="15666" spans="32:32" x14ac:dyDescent="0.2">
      <c r="AF15666" s="12"/>
    </row>
    <row r="15667" spans="32:32" x14ac:dyDescent="0.2">
      <c r="AF15667" s="12"/>
    </row>
    <row r="15668" spans="32:32" x14ac:dyDescent="0.2">
      <c r="AF15668" s="12"/>
    </row>
    <row r="15669" spans="32:32" x14ac:dyDescent="0.2">
      <c r="AF15669" s="12"/>
    </row>
    <row r="15670" spans="32:32" x14ac:dyDescent="0.2">
      <c r="AF15670" s="12"/>
    </row>
    <row r="15671" spans="32:32" x14ac:dyDescent="0.2">
      <c r="AF15671" s="12"/>
    </row>
    <row r="15672" spans="32:32" x14ac:dyDescent="0.2">
      <c r="AF15672" s="12"/>
    </row>
    <row r="15673" spans="32:32" x14ac:dyDescent="0.2">
      <c r="AF15673" s="12"/>
    </row>
    <row r="15674" spans="32:32" x14ac:dyDescent="0.2">
      <c r="AF15674" s="12"/>
    </row>
    <row r="15675" spans="32:32" x14ac:dyDescent="0.2">
      <c r="AF15675" s="12"/>
    </row>
    <row r="15676" spans="32:32" x14ac:dyDescent="0.2">
      <c r="AF15676" s="12"/>
    </row>
    <row r="15677" spans="32:32" x14ac:dyDescent="0.2">
      <c r="AF15677" s="12"/>
    </row>
    <row r="15678" spans="32:32" x14ac:dyDescent="0.2">
      <c r="AF15678" s="12"/>
    </row>
    <row r="15679" spans="32:32" x14ac:dyDescent="0.2">
      <c r="AF15679" s="12"/>
    </row>
    <row r="15680" spans="32:32" x14ac:dyDescent="0.2">
      <c r="AF15680" s="12"/>
    </row>
    <row r="15681" spans="32:32" x14ac:dyDescent="0.2">
      <c r="AF15681" s="12"/>
    </row>
    <row r="15682" spans="32:32" x14ac:dyDescent="0.2">
      <c r="AF15682" s="12"/>
    </row>
    <row r="15683" spans="32:32" x14ac:dyDescent="0.2">
      <c r="AF15683" s="12"/>
    </row>
    <row r="15684" spans="32:32" x14ac:dyDescent="0.2">
      <c r="AF15684" s="12"/>
    </row>
    <row r="15685" spans="32:32" x14ac:dyDescent="0.2">
      <c r="AF15685" s="12"/>
    </row>
    <row r="15686" spans="32:32" x14ac:dyDescent="0.2">
      <c r="AF15686" s="12"/>
    </row>
    <row r="15687" spans="32:32" x14ac:dyDescent="0.2">
      <c r="AF15687" s="12"/>
    </row>
    <row r="15688" spans="32:32" x14ac:dyDescent="0.2">
      <c r="AF15688" s="12"/>
    </row>
    <row r="15689" spans="32:32" x14ac:dyDescent="0.2">
      <c r="AF15689" s="12"/>
    </row>
    <row r="15690" spans="32:32" x14ac:dyDescent="0.2">
      <c r="AF15690" s="12"/>
    </row>
    <row r="15691" spans="32:32" x14ac:dyDescent="0.2">
      <c r="AF15691" s="12"/>
    </row>
    <row r="15692" spans="32:32" x14ac:dyDescent="0.2">
      <c r="AF15692" s="12"/>
    </row>
    <row r="15693" spans="32:32" x14ac:dyDescent="0.2">
      <c r="AF15693" s="12"/>
    </row>
    <row r="15694" spans="32:32" x14ac:dyDescent="0.2">
      <c r="AF15694" s="12"/>
    </row>
    <row r="15695" spans="32:32" x14ac:dyDescent="0.2">
      <c r="AF15695" s="12"/>
    </row>
    <row r="15696" spans="32:32" x14ac:dyDescent="0.2">
      <c r="AF15696" s="12"/>
    </row>
    <row r="15697" spans="32:32" x14ac:dyDescent="0.2">
      <c r="AF15697" s="12"/>
    </row>
    <row r="15698" spans="32:32" x14ac:dyDescent="0.2">
      <c r="AF15698" s="12"/>
    </row>
    <row r="15699" spans="32:32" x14ac:dyDescent="0.2">
      <c r="AF15699" s="12"/>
    </row>
    <row r="15700" spans="32:32" x14ac:dyDescent="0.2">
      <c r="AF15700" s="12"/>
    </row>
    <row r="15701" spans="32:32" x14ac:dyDescent="0.2">
      <c r="AF15701" s="12"/>
    </row>
    <row r="15702" spans="32:32" x14ac:dyDescent="0.2">
      <c r="AF15702" s="12"/>
    </row>
    <row r="15703" spans="32:32" x14ac:dyDescent="0.2">
      <c r="AF15703" s="12"/>
    </row>
    <row r="15704" spans="32:32" x14ac:dyDescent="0.2">
      <c r="AF15704" s="12"/>
    </row>
    <row r="15705" spans="32:32" x14ac:dyDescent="0.2">
      <c r="AF15705" s="12"/>
    </row>
    <row r="15706" spans="32:32" x14ac:dyDescent="0.2">
      <c r="AF15706" s="12"/>
    </row>
    <row r="15707" spans="32:32" x14ac:dyDescent="0.2">
      <c r="AF15707" s="12"/>
    </row>
    <row r="15708" spans="32:32" x14ac:dyDescent="0.2">
      <c r="AF15708" s="12"/>
    </row>
    <row r="15709" spans="32:32" x14ac:dyDescent="0.2">
      <c r="AF15709" s="12"/>
    </row>
    <row r="15710" spans="32:32" x14ac:dyDescent="0.2">
      <c r="AF15710" s="12"/>
    </row>
    <row r="15711" spans="32:32" x14ac:dyDescent="0.2">
      <c r="AF15711" s="12"/>
    </row>
    <row r="15712" spans="32:32" x14ac:dyDescent="0.2">
      <c r="AF15712" s="12"/>
    </row>
    <row r="15713" spans="32:32" x14ac:dyDescent="0.2">
      <c r="AF15713" s="12"/>
    </row>
    <row r="15714" spans="32:32" x14ac:dyDescent="0.2">
      <c r="AF15714" s="12"/>
    </row>
    <row r="15715" spans="32:32" x14ac:dyDescent="0.2">
      <c r="AF15715" s="12"/>
    </row>
    <row r="15716" spans="32:32" x14ac:dyDescent="0.2">
      <c r="AF15716" s="12"/>
    </row>
    <row r="15717" spans="32:32" x14ac:dyDescent="0.2">
      <c r="AF15717" s="12"/>
    </row>
    <row r="15718" spans="32:32" x14ac:dyDescent="0.2">
      <c r="AF15718" s="12"/>
    </row>
    <row r="15719" spans="32:32" x14ac:dyDescent="0.2">
      <c r="AF15719" s="12"/>
    </row>
    <row r="15720" spans="32:32" x14ac:dyDescent="0.2">
      <c r="AF15720" s="12"/>
    </row>
    <row r="15721" spans="32:32" x14ac:dyDescent="0.2">
      <c r="AF15721" s="12"/>
    </row>
    <row r="15722" spans="32:32" x14ac:dyDescent="0.2">
      <c r="AF15722" s="12"/>
    </row>
    <row r="15723" spans="32:32" x14ac:dyDescent="0.2">
      <c r="AF15723" s="12"/>
    </row>
    <row r="15724" spans="32:32" x14ac:dyDescent="0.2">
      <c r="AF15724" s="12"/>
    </row>
    <row r="15725" spans="32:32" x14ac:dyDescent="0.2">
      <c r="AF15725" s="12"/>
    </row>
    <row r="15726" spans="32:32" x14ac:dyDescent="0.2">
      <c r="AF15726" s="12"/>
    </row>
    <row r="15727" spans="32:32" x14ac:dyDescent="0.2">
      <c r="AF15727" s="12"/>
    </row>
    <row r="15728" spans="32:32" x14ac:dyDescent="0.2">
      <c r="AF15728" s="12"/>
    </row>
    <row r="15729" spans="32:32" x14ac:dyDescent="0.2">
      <c r="AF15729" s="12"/>
    </row>
    <row r="15730" spans="32:32" x14ac:dyDescent="0.2">
      <c r="AF15730" s="12"/>
    </row>
    <row r="15731" spans="32:32" x14ac:dyDescent="0.2">
      <c r="AF15731" s="12"/>
    </row>
    <row r="15732" spans="32:32" x14ac:dyDescent="0.2">
      <c r="AF15732" s="12"/>
    </row>
    <row r="15733" spans="32:32" x14ac:dyDescent="0.2">
      <c r="AF15733" s="12"/>
    </row>
    <row r="15734" spans="32:32" x14ac:dyDescent="0.2">
      <c r="AF15734" s="12"/>
    </row>
    <row r="15735" spans="32:32" x14ac:dyDescent="0.2">
      <c r="AF15735" s="12"/>
    </row>
    <row r="15736" spans="32:32" x14ac:dyDescent="0.2">
      <c r="AF15736" s="12"/>
    </row>
    <row r="15737" spans="32:32" x14ac:dyDescent="0.2">
      <c r="AF15737" s="12"/>
    </row>
    <row r="15738" spans="32:32" x14ac:dyDescent="0.2">
      <c r="AF15738" s="12"/>
    </row>
    <row r="15739" spans="32:32" x14ac:dyDescent="0.2">
      <c r="AF15739" s="12"/>
    </row>
    <row r="15740" spans="32:32" x14ac:dyDescent="0.2">
      <c r="AF15740" s="12"/>
    </row>
    <row r="15741" spans="32:32" x14ac:dyDescent="0.2">
      <c r="AF15741" s="12"/>
    </row>
    <row r="15742" spans="32:32" x14ac:dyDescent="0.2">
      <c r="AF15742" s="12"/>
    </row>
    <row r="15743" spans="32:32" x14ac:dyDescent="0.2">
      <c r="AF15743" s="12"/>
    </row>
    <row r="15744" spans="32:32" x14ac:dyDescent="0.2">
      <c r="AF15744" s="12"/>
    </row>
    <row r="15745" spans="32:32" x14ac:dyDescent="0.2">
      <c r="AF15745" s="12"/>
    </row>
    <row r="15746" spans="32:32" x14ac:dyDescent="0.2">
      <c r="AF15746" s="12"/>
    </row>
    <row r="15747" spans="32:32" x14ac:dyDescent="0.2">
      <c r="AF15747" s="12"/>
    </row>
    <row r="15748" spans="32:32" x14ac:dyDescent="0.2">
      <c r="AF15748" s="12"/>
    </row>
    <row r="15749" spans="32:32" x14ac:dyDescent="0.2">
      <c r="AF15749" s="12"/>
    </row>
    <row r="15750" spans="32:32" x14ac:dyDescent="0.2">
      <c r="AF15750" s="12"/>
    </row>
    <row r="15751" spans="32:32" x14ac:dyDescent="0.2">
      <c r="AF15751" s="12"/>
    </row>
    <row r="15752" spans="32:32" x14ac:dyDescent="0.2">
      <c r="AF15752" s="12"/>
    </row>
    <row r="15753" spans="32:32" x14ac:dyDescent="0.2">
      <c r="AF15753" s="12"/>
    </row>
    <row r="15754" spans="32:32" x14ac:dyDescent="0.2">
      <c r="AF15754" s="12"/>
    </row>
    <row r="15755" spans="32:32" x14ac:dyDescent="0.2">
      <c r="AF15755" s="12"/>
    </row>
    <row r="15756" spans="32:32" x14ac:dyDescent="0.2">
      <c r="AF15756" s="12"/>
    </row>
    <row r="15757" spans="32:32" x14ac:dyDescent="0.2">
      <c r="AF15757" s="12"/>
    </row>
    <row r="15758" spans="32:32" x14ac:dyDescent="0.2">
      <c r="AF15758" s="12"/>
    </row>
    <row r="15759" spans="32:32" x14ac:dyDescent="0.2">
      <c r="AF15759" s="12"/>
    </row>
    <row r="15760" spans="32:32" x14ac:dyDescent="0.2">
      <c r="AF15760" s="12"/>
    </row>
    <row r="15761" spans="32:32" x14ac:dyDescent="0.2">
      <c r="AF15761" s="12"/>
    </row>
    <row r="15762" spans="32:32" x14ac:dyDescent="0.2">
      <c r="AF15762" s="12"/>
    </row>
    <row r="15763" spans="32:32" x14ac:dyDescent="0.2">
      <c r="AF15763" s="12"/>
    </row>
    <row r="15764" spans="32:32" x14ac:dyDescent="0.2">
      <c r="AF15764" s="12"/>
    </row>
    <row r="15765" spans="32:32" x14ac:dyDescent="0.2">
      <c r="AF15765" s="12"/>
    </row>
    <row r="15766" spans="32:32" x14ac:dyDescent="0.2">
      <c r="AF15766" s="12"/>
    </row>
    <row r="15767" spans="32:32" x14ac:dyDescent="0.2">
      <c r="AF15767" s="12"/>
    </row>
    <row r="15768" spans="32:32" x14ac:dyDescent="0.2">
      <c r="AF15768" s="12"/>
    </row>
    <row r="15769" spans="32:32" x14ac:dyDescent="0.2">
      <c r="AF15769" s="12"/>
    </row>
    <row r="15770" spans="32:32" x14ac:dyDescent="0.2">
      <c r="AF15770" s="12"/>
    </row>
    <row r="15771" spans="32:32" x14ac:dyDescent="0.2">
      <c r="AF15771" s="12"/>
    </row>
    <row r="15772" spans="32:32" x14ac:dyDescent="0.2">
      <c r="AF15772" s="12"/>
    </row>
    <row r="15773" spans="32:32" x14ac:dyDescent="0.2">
      <c r="AF15773" s="12"/>
    </row>
    <row r="15774" spans="32:32" x14ac:dyDescent="0.2">
      <c r="AF15774" s="12"/>
    </row>
    <row r="15775" spans="32:32" x14ac:dyDescent="0.2">
      <c r="AF15775" s="12"/>
    </row>
    <row r="15776" spans="32:32" x14ac:dyDescent="0.2">
      <c r="AF15776" s="12"/>
    </row>
    <row r="15777" spans="32:32" x14ac:dyDescent="0.2">
      <c r="AF15777" s="12"/>
    </row>
    <row r="15778" spans="32:32" x14ac:dyDescent="0.2">
      <c r="AF15778" s="12"/>
    </row>
    <row r="15779" spans="32:32" x14ac:dyDescent="0.2">
      <c r="AF15779" s="12"/>
    </row>
    <row r="15780" spans="32:32" x14ac:dyDescent="0.2">
      <c r="AF15780" s="12"/>
    </row>
    <row r="15781" spans="32:32" x14ac:dyDescent="0.2">
      <c r="AF15781" s="12"/>
    </row>
    <row r="15782" spans="32:32" x14ac:dyDescent="0.2">
      <c r="AF15782" s="12"/>
    </row>
    <row r="15783" spans="32:32" x14ac:dyDescent="0.2">
      <c r="AF15783" s="12"/>
    </row>
    <row r="15784" spans="32:32" x14ac:dyDescent="0.2">
      <c r="AF15784" s="12"/>
    </row>
    <row r="15785" spans="32:32" x14ac:dyDescent="0.2">
      <c r="AF15785" s="12"/>
    </row>
    <row r="15786" spans="32:32" x14ac:dyDescent="0.2">
      <c r="AF15786" s="12"/>
    </row>
    <row r="15787" spans="32:32" x14ac:dyDescent="0.2">
      <c r="AF15787" s="12"/>
    </row>
    <row r="15788" spans="32:32" x14ac:dyDescent="0.2">
      <c r="AF15788" s="12"/>
    </row>
    <row r="15789" spans="32:32" x14ac:dyDescent="0.2">
      <c r="AF15789" s="12"/>
    </row>
    <row r="15790" spans="32:32" x14ac:dyDescent="0.2">
      <c r="AF15790" s="12"/>
    </row>
    <row r="15791" spans="32:32" x14ac:dyDescent="0.2">
      <c r="AF15791" s="12"/>
    </row>
    <row r="15792" spans="32:32" x14ac:dyDescent="0.2">
      <c r="AF15792" s="12"/>
    </row>
    <row r="15793" spans="32:32" x14ac:dyDescent="0.2">
      <c r="AF15793" s="12"/>
    </row>
    <row r="15794" spans="32:32" x14ac:dyDescent="0.2">
      <c r="AF15794" s="12"/>
    </row>
    <row r="15795" spans="32:32" x14ac:dyDescent="0.2">
      <c r="AF15795" s="12"/>
    </row>
    <row r="15796" spans="32:32" x14ac:dyDescent="0.2">
      <c r="AF15796" s="12"/>
    </row>
    <row r="15797" spans="32:32" x14ac:dyDescent="0.2">
      <c r="AF15797" s="12"/>
    </row>
    <row r="15798" spans="32:32" x14ac:dyDescent="0.2">
      <c r="AF15798" s="12"/>
    </row>
    <row r="15799" spans="32:32" x14ac:dyDescent="0.2">
      <c r="AF15799" s="12"/>
    </row>
    <row r="15800" spans="32:32" x14ac:dyDescent="0.2">
      <c r="AF15800" s="12"/>
    </row>
    <row r="15801" spans="32:32" x14ac:dyDescent="0.2">
      <c r="AF15801" s="12"/>
    </row>
    <row r="15802" spans="32:32" x14ac:dyDescent="0.2">
      <c r="AF15802" s="12"/>
    </row>
    <row r="15803" spans="32:32" x14ac:dyDescent="0.2">
      <c r="AF15803" s="12"/>
    </row>
    <row r="15804" spans="32:32" x14ac:dyDescent="0.2">
      <c r="AF15804" s="12"/>
    </row>
    <row r="15805" spans="32:32" x14ac:dyDescent="0.2">
      <c r="AF15805" s="12"/>
    </row>
    <row r="15806" spans="32:32" x14ac:dyDescent="0.2">
      <c r="AF15806" s="12"/>
    </row>
    <row r="15807" spans="32:32" x14ac:dyDescent="0.2">
      <c r="AF15807" s="12"/>
    </row>
    <row r="15808" spans="32:32" x14ac:dyDescent="0.2">
      <c r="AF15808" s="12"/>
    </row>
    <row r="15809" spans="32:32" x14ac:dyDescent="0.2">
      <c r="AF15809" s="12"/>
    </row>
    <row r="15810" spans="32:32" x14ac:dyDescent="0.2">
      <c r="AF15810" s="12"/>
    </row>
    <row r="15811" spans="32:32" x14ac:dyDescent="0.2">
      <c r="AF15811" s="12"/>
    </row>
    <row r="15812" spans="32:32" x14ac:dyDescent="0.2">
      <c r="AF15812" s="12"/>
    </row>
    <row r="15813" spans="32:32" x14ac:dyDescent="0.2">
      <c r="AF15813" s="12"/>
    </row>
    <row r="15814" spans="32:32" x14ac:dyDescent="0.2">
      <c r="AF15814" s="12"/>
    </row>
    <row r="15815" spans="32:32" x14ac:dyDescent="0.2">
      <c r="AF15815" s="12"/>
    </row>
    <row r="15816" spans="32:32" x14ac:dyDescent="0.2">
      <c r="AF15816" s="12"/>
    </row>
    <row r="15817" spans="32:32" x14ac:dyDescent="0.2">
      <c r="AF15817" s="12"/>
    </row>
    <row r="15818" spans="32:32" x14ac:dyDescent="0.2">
      <c r="AF15818" s="12"/>
    </row>
    <row r="15819" spans="32:32" x14ac:dyDescent="0.2">
      <c r="AF15819" s="12"/>
    </row>
    <row r="15820" spans="32:32" x14ac:dyDescent="0.2">
      <c r="AF15820" s="12"/>
    </row>
    <row r="15821" spans="32:32" x14ac:dyDescent="0.2">
      <c r="AF15821" s="12"/>
    </row>
    <row r="15822" spans="32:32" x14ac:dyDescent="0.2">
      <c r="AF15822" s="12"/>
    </row>
    <row r="15823" spans="32:32" x14ac:dyDescent="0.2">
      <c r="AF15823" s="12"/>
    </row>
    <row r="15824" spans="32:32" x14ac:dyDescent="0.2">
      <c r="AF15824" s="12"/>
    </row>
    <row r="15825" spans="32:32" x14ac:dyDescent="0.2">
      <c r="AF15825" s="12"/>
    </row>
    <row r="15826" spans="32:32" x14ac:dyDescent="0.2">
      <c r="AF15826" s="12"/>
    </row>
    <row r="15827" spans="32:32" x14ac:dyDescent="0.2">
      <c r="AF15827" s="12"/>
    </row>
    <row r="15828" spans="32:32" x14ac:dyDescent="0.2">
      <c r="AF15828" s="12"/>
    </row>
    <row r="15829" spans="32:32" x14ac:dyDescent="0.2">
      <c r="AF15829" s="12"/>
    </row>
    <row r="15830" spans="32:32" x14ac:dyDescent="0.2">
      <c r="AF15830" s="12"/>
    </row>
    <row r="15831" spans="32:32" x14ac:dyDescent="0.2">
      <c r="AF15831" s="12"/>
    </row>
    <row r="15832" spans="32:32" x14ac:dyDescent="0.2">
      <c r="AF15832" s="12"/>
    </row>
    <row r="15833" spans="32:32" x14ac:dyDescent="0.2">
      <c r="AF15833" s="12"/>
    </row>
    <row r="15834" spans="32:32" x14ac:dyDescent="0.2">
      <c r="AF15834" s="12"/>
    </row>
    <row r="15835" spans="32:32" x14ac:dyDescent="0.2">
      <c r="AF15835" s="12"/>
    </row>
    <row r="15836" spans="32:32" x14ac:dyDescent="0.2">
      <c r="AF15836" s="12"/>
    </row>
    <row r="15837" spans="32:32" x14ac:dyDescent="0.2">
      <c r="AF15837" s="12"/>
    </row>
    <row r="15838" spans="32:32" x14ac:dyDescent="0.2">
      <c r="AF15838" s="12"/>
    </row>
    <row r="15839" spans="32:32" x14ac:dyDescent="0.2">
      <c r="AF15839" s="12"/>
    </row>
    <row r="15840" spans="32:32" x14ac:dyDescent="0.2">
      <c r="AF15840" s="12"/>
    </row>
    <row r="15841" spans="32:32" x14ac:dyDescent="0.2">
      <c r="AF15841" s="12"/>
    </row>
    <row r="15842" spans="32:32" x14ac:dyDescent="0.2">
      <c r="AF15842" s="12"/>
    </row>
    <row r="15843" spans="32:32" x14ac:dyDescent="0.2">
      <c r="AF15843" s="12"/>
    </row>
    <row r="15844" spans="32:32" x14ac:dyDescent="0.2">
      <c r="AF15844" s="12"/>
    </row>
    <row r="15845" spans="32:32" x14ac:dyDescent="0.2">
      <c r="AF15845" s="12"/>
    </row>
    <row r="15846" spans="32:32" x14ac:dyDescent="0.2">
      <c r="AF15846" s="12"/>
    </row>
    <row r="15847" spans="32:32" x14ac:dyDescent="0.2">
      <c r="AF15847" s="12"/>
    </row>
    <row r="15848" spans="32:32" x14ac:dyDescent="0.2">
      <c r="AF15848" s="12"/>
    </row>
    <row r="15849" spans="32:32" x14ac:dyDescent="0.2">
      <c r="AF15849" s="12"/>
    </row>
    <row r="15850" spans="32:32" x14ac:dyDescent="0.2">
      <c r="AF15850" s="12"/>
    </row>
    <row r="15851" spans="32:32" x14ac:dyDescent="0.2">
      <c r="AF15851" s="12"/>
    </row>
    <row r="15852" spans="32:32" x14ac:dyDescent="0.2">
      <c r="AF15852" s="12"/>
    </row>
    <row r="15853" spans="32:32" x14ac:dyDescent="0.2">
      <c r="AF15853" s="12"/>
    </row>
    <row r="15854" spans="32:32" x14ac:dyDescent="0.2">
      <c r="AF15854" s="12"/>
    </row>
    <row r="15855" spans="32:32" x14ac:dyDescent="0.2">
      <c r="AF15855" s="12"/>
    </row>
    <row r="15856" spans="32:32" x14ac:dyDescent="0.2">
      <c r="AF15856" s="12"/>
    </row>
    <row r="15857" spans="32:32" x14ac:dyDescent="0.2">
      <c r="AF15857" s="12"/>
    </row>
    <row r="15858" spans="32:32" x14ac:dyDescent="0.2">
      <c r="AF15858" s="12"/>
    </row>
    <row r="15859" spans="32:32" x14ac:dyDescent="0.2">
      <c r="AF15859" s="12"/>
    </row>
    <row r="15860" spans="32:32" x14ac:dyDescent="0.2">
      <c r="AF15860" s="12"/>
    </row>
    <row r="15861" spans="32:32" x14ac:dyDescent="0.2">
      <c r="AF15861" s="12"/>
    </row>
    <row r="15862" spans="32:32" x14ac:dyDescent="0.2">
      <c r="AF15862" s="12"/>
    </row>
    <row r="15863" spans="32:32" x14ac:dyDescent="0.2">
      <c r="AF15863" s="12"/>
    </row>
    <row r="15864" spans="32:32" x14ac:dyDescent="0.2">
      <c r="AF15864" s="12"/>
    </row>
    <row r="15865" spans="32:32" x14ac:dyDescent="0.2">
      <c r="AF15865" s="12"/>
    </row>
    <row r="15866" spans="32:32" x14ac:dyDescent="0.2">
      <c r="AF15866" s="12"/>
    </row>
    <row r="15867" spans="32:32" x14ac:dyDescent="0.2">
      <c r="AF15867" s="12"/>
    </row>
    <row r="15868" spans="32:32" x14ac:dyDescent="0.2">
      <c r="AF15868" s="12"/>
    </row>
    <row r="15869" spans="32:32" x14ac:dyDescent="0.2">
      <c r="AF15869" s="12"/>
    </row>
    <row r="15870" spans="32:32" x14ac:dyDescent="0.2">
      <c r="AF15870" s="12"/>
    </row>
    <row r="15871" spans="32:32" x14ac:dyDescent="0.2">
      <c r="AF15871" s="12"/>
    </row>
    <row r="15872" spans="32:32" x14ac:dyDescent="0.2">
      <c r="AF15872" s="12"/>
    </row>
    <row r="15873" spans="32:32" x14ac:dyDescent="0.2">
      <c r="AF15873" s="12"/>
    </row>
    <row r="15874" spans="32:32" x14ac:dyDescent="0.2">
      <c r="AF15874" s="12"/>
    </row>
    <row r="15875" spans="32:32" x14ac:dyDescent="0.2">
      <c r="AF15875" s="12"/>
    </row>
    <row r="15876" spans="32:32" x14ac:dyDescent="0.2">
      <c r="AF15876" s="12"/>
    </row>
    <row r="15877" spans="32:32" x14ac:dyDescent="0.2">
      <c r="AF15877" s="12"/>
    </row>
    <row r="15878" spans="32:32" x14ac:dyDescent="0.2">
      <c r="AF15878" s="12"/>
    </row>
    <row r="15879" spans="32:32" x14ac:dyDescent="0.2">
      <c r="AF15879" s="12"/>
    </row>
    <row r="15880" spans="32:32" x14ac:dyDescent="0.2">
      <c r="AF15880" s="12"/>
    </row>
    <row r="15881" spans="32:32" x14ac:dyDescent="0.2">
      <c r="AF15881" s="12"/>
    </row>
    <row r="15882" spans="32:32" x14ac:dyDescent="0.2">
      <c r="AF15882" s="12"/>
    </row>
    <row r="15883" spans="32:32" x14ac:dyDescent="0.2">
      <c r="AF15883" s="12"/>
    </row>
    <row r="15884" spans="32:32" x14ac:dyDescent="0.2">
      <c r="AF15884" s="12"/>
    </row>
    <row r="15885" spans="32:32" x14ac:dyDescent="0.2">
      <c r="AF15885" s="12"/>
    </row>
    <row r="15886" spans="32:32" x14ac:dyDescent="0.2">
      <c r="AF15886" s="12"/>
    </row>
    <row r="15887" spans="32:32" x14ac:dyDescent="0.2">
      <c r="AF15887" s="12"/>
    </row>
    <row r="15888" spans="32:32" x14ac:dyDescent="0.2">
      <c r="AF15888" s="12"/>
    </row>
    <row r="15889" spans="32:32" x14ac:dyDescent="0.2">
      <c r="AF15889" s="12"/>
    </row>
    <row r="15890" spans="32:32" x14ac:dyDescent="0.2">
      <c r="AF15890" s="12"/>
    </row>
    <row r="15891" spans="32:32" x14ac:dyDescent="0.2">
      <c r="AF15891" s="12"/>
    </row>
    <row r="15892" spans="32:32" x14ac:dyDescent="0.2">
      <c r="AF15892" s="12"/>
    </row>
    <row r="15893" spans="32:32" x14ac:dyDescent="0.2">
      <c r="AF15893" s="12"/>
    </row>
    <row r="15894" spans="32:32" x14ac:dyDescent="0.2">
      <c r="AF15894" s="12"/>
    </row>
    <row r="15895" spans="32:32" x14ac:dyDescent="0.2">
      <c r="AF15895" s="12"/>
    </row>
    <row r="15896" spans="32:32" x14ac:dyDescent="0.2">
      <c r="AF15896" s="12"/>
    </row>
    <row r="15897" spans="32:32" x14ac:dyDescent="0.2">
      <c r="AF15897" s="12"/>
    </row>
    <row r="15898" spans="32:32" x14ac:dyDescent="0.2">
      <c r="AF15898" s="12"/>
    </row>
    <row r="15899" spans="32:32" x14ac:dyDescent="0.2">
      <c r="AF15899" s="12"/>
    </row>
    <row r="15900" spans="32:32" x14ac:dyDescent="0.2">
      <c r="AF15900" s="12"/>
    </row>
    <row r="15901" spans="32:32" x14ac:dyDescent="0.2">
      <c r="AF15901" s="12"/>
    </row>
    <row r="15902" spans="32:32" x14ac:dyDescent="0.2">
      <c r="AF15902" s="12"/>
    </row>
    <row r="15903" spans="32:32" x14ac:dyDescent="0.2">
      <c r="AF15903" s="12"/>
    </row>
    <row r="15904" spans="32:32" x14ac:dyDescent="0.2">
      <c r="AF15904" s="12"/>
    </row>
    <row r="15905" spans="32:32" x14ac:dyDescent="0.2">
      <c r="AF15905" s="12"/>
    </row>
    <row r="15906" spans="32:32" x14ac:dyDescent="0.2">
      <c r="AF15906" s="12"/>
    </row>
    <row r="15907" spans="32:32" x14ac:dyDescent="0.2">
      <c r="AF15907" s="12"/>
    </row>
    <row r="15908" spans="32:32" x14ac:dyDescent="0.2">
      <c r="AF15908" s="12"/>
    </row>
    <row r="15909" spans="32:32" x14ac:dyDescent="0.2">
      <c r="AF15909" s="12"/>
    </row>
    <row r="15910" spans="32:32" x14ac:dyDescent="0.2">
      <c r="AF15910" s="12"/>
    </row>
    <row r="15911" spans="32:32" x14ac:dyDescent="0.2">
      <c r="AF15911" s="12"/>
    </row>
    <row r="15912" spans="32:32" x14ac:dyDescent="0.2">
      <c r="AF15912" s="12"/>
    </row>
    <row r="15913" spans="32:32" x14ac:dyDescent="0.2">
      <c r="AF15913" s="12"/>
    </row>
    <row r="15914" spans="32:32" x14ac:dyDescent="0.2">
      <c r="AF15914" s="12"/>
    </row>
    <row r="15915" spans="32:32" x14ac:dyDescent="0.2">
      <c r="AF15915" s="12"/>
    </row>
    <row r="15916" spans="32:32" x14ac:dyDescent="0.2">
      <c r="AF15916" s="12"/>
    </row>
    <row r="15917" spans="32:32" x14ac:dyDescent="0.2">
      <c r="AF15917" s="12"/>
    </row>
    <row r="15918" spans="32:32" x14ac:dyDescent="0.2">
      <c r="AF15918" s="12"/>
    </row>
    <row r="15919" spans="32:32" x14ac:dyDescent="0.2">
      <c r="AF15919" s="12"/>
    </row>
    <row r="15920" spans="32:32" x14ac:dyDescent="0.2">
      <c r="AF15920" s="12"/>
    </row>
    <row r="15921" spans="32:32" x14ac:dyDescent="0.2">
      <c r="AF15921" s="12"/>
    </row>
    <row r="15922" spans="32:32" x14ac:dyDescent="0.2">
      <c r="AF15922" s="12"/>
    </row>
    <row r="15923" spans="32:32" x14ac:dyDescent="0.2">
      <c r="AF15923" s="12"/>
    </row>
    <row r="15924" spans="32:32" x14ac:dyDescent="0.2">
      <c r="AF15924" s="12"/>
    </row>
    <row r="15925" spans="32:32" x14ac:dyDescent="0.2">
      <c r="AF15925" s="12"/>
    </row>
    <row r="15926" spans="32:32" x14ac:dyDescent="0.2">
      <c r="AF15926" s="12"/>
    </row>
    <row r="15927" spans="32:32" x14ac:dyDescent="0.2">
      <c r="AF15927" s="12"/>
    </row>
    <row r="15928" spans="32:32" x14ac:dyDescent="0.2">
      <c r="AF15928" s="12"/>
    </row>
    <row r="15929" spans="32:32" x14ac:dyDescent="0.2">
      <c r="AF15929" s="12"/>
    </row>
    <row r="15930" spans="32:32" x14ac:dyDescent="0.2">
      <c r="AF15930" s="12"/>
    </row>
    <row r="15931" spans="32:32" x14ac:dyDescent="0.2">
      <c r="AF15931" s="12"/>
    </row>
    <row r="15932" spans="32:32" x14ac:dyDescent="0.2">
      <c r="AF15932" s="12"/>
    </row>
    <row r="15933" spans="32:32" x14ac:dyDescent="0.2">
      <c r="AF15933" s="12"/>
    </row>
    <row r="15934" spans="32:32" x14ac:dyDescent="0.2">
      <c r="AF15934" s="12"/>
    </row>
    <row r="15935" spans="32:32" x14ac:dyDescent="0.2">
      <c r="AF15935" s="12"/>
    </row>
    <row r="15936" spans="32:32" x14ac:dyDescent="0.2">
      <c r="AF15936" s="12"/>
    </row>
    <row r="15937" spans="32:32" x14ac:dyDescent="0.2">
      <c r="AF15937" s="12"/>
    </row>
    <row r="15938" spans="32:32" x14ac:dyDescent="0.2">
      <c r="AF15938" s="12"/>
    </row>
    <row r="15939" spans="32:32" x14ac:dyDescent="0.2">
      <c r="AF15939" s="12"/>
    </row>
    <row r="15940" spans="32:32" x14ac:dyDescent="0.2">
      <c r="AF15940" s="12"/>
    </row>
    <row r="15941" spans="32:32" x14ac:dyDescent="0.2">
      <c r="AF15941" s="12"/>
    </row>
    <row r="15942" spans="32:32" x14ac:dyDescent="0.2">
      <c r="AF15942" s="12"/>
    </row>
    <row r="15943" spans="32:32" x14ac:dyDescent="0.2">
      <c r="AF15943" s="12"/>
    </row>
    <row r="15944" spans="32:32" x14ac:dyDescent="0.2">
      <c r="AF15944" s="12"/>
    </row>
    <row r="15945" spans="32:32" x14ac:dyDescent="0.2">
      <c r="AF15945" s="12"/>
    </row>
    <row r="15946" spans="32:32" x14ac:dyDescent="0.2">
      <c r="AF15946" s="12"/>
    </row>
    <row r="15947" spans="32:32" x14ac:dyDescent="0.2">
      <c r="AF15947" s="12"/>
    </row>
    <row r="15948" spans="32:32" x14ac:dyDescent="0.2">
      <c r="AF15948" s="12"/>
    </row>
    <row r="15949" spans="32:32" x14ac:dyDescent="0.2">
      <c r="AF15949" s="12"/>
    </row>
    <row r="15950" spans="32:32" x14ac:dyDescent="0.2">
      <c r="AF15950" s="12"/>
    </row>
    <row r="15951" spans="32:32" x14ac:dyDescent="0.2">
      <c r="AF15951" s="12"/>
    </row>
    <row r="15952" spans="32:32" x14ac:dyDescent="0.2">
      <c r="AF15952" s="12"/>
    </row>
    <row r="15953" spans="32:32" x14ac:dyDescent="0.2">
      <c r="AF15953" s="12"/>
    </row>
    <row r="15954" spans="32:32" x14ac:dyDescent="0.2">
      <c r="AF15954" s="12"/>
    </row>
    <row r="15955" spans="32:32" x14ac:dyDescent="0.2">
      <c r="AF15955" s="12"/>
    </row>
    <row r="15956" spans="32:32" x14ac:dyDescent="0.2">
      <c r="AF15956" s="12"/>
    </row>
    <row r="15957" spans="32:32" x14ac:dyDescent="0.2">
      <c r="AF15957" s="12"/>
    </row>
    <row r="15958" spans="32:32" x14ac:dyDescent="0.2">
      <c r="AF15958" s="12"/>
    </row>
    <row r="15959" spans="32:32" x14ac:dyDescent="0.2">
      <c r="AF15959" s="12"/>
    </row>
    <row r="15960" spans="32:32" x14ac:dyDescent="0.2">
      <c r="AF15960" s="12"/>
    </row>
    <row r="15961" spans="32:32" x14ac:dyDescent="0.2">
      <c r="AF15961" s="12"/>
    </row>
    <row r="15962" spans="32:32" x14ac:dyDescent="0.2">
      <c r="AF15962" s="12"/>
    </row>
    <row r="15963" spans="32:32" x14ac:dyDescent="0.2">
      <c r="AF15963" s="12"/>
    </row>
    <row r="15964" spans="32:32" x14ac:dyDescent="0.2">
      <c r="AF15964" s="12"/>
    </row>
    <row r="15965" spans="32:32" x14ac:dyDescent="0.2">
      <c r="AF15965" s="12"/>
    </row>
    <row r="15966" spans="32:32" x14ac:dyDescent="0.2">
      <c r="AF15966" s="12"/>
    </row>
    <row r="15967" spans="32:32" x14ac:dyDescent="0.2">
      <c r="AF15967" s="12"/>
    </row>
    <row r="15968" spans="32:32" x14ac:dyDescent="0.2">
      <c r="AF15968" s="12"/>
    </row>
    <row r="15969" spans="32:32" x14ac:dyDescent="0.2">
      <c r="AF15969" s="12"/>
    </row>
    <row r="15970" spans="32:32" x14ac:dyDescent="0.2">
      <c r="AF15970" s="12"/>
    </row>
    <row r="15971" spans="32:32" x14ac:dyDescent="0.2">
      <c r="AF15971" s="12"/>
    </row>
    <row r="15972" spans="32:32" x14ac:dyDescent="0.2">
      <c r="AF15972" s="12"/>
    </row>
    <row r="15973" spans="32:32" x14ac:dyDescent="0.2">
      <c r="AF15973" s="12"/>
    </row>
    <row r="15974" spans="32:32" x14ac:dyDescent="0.2">
      <c r="AF15974" s="12"/>
    </row>
    <row r="15975" spans="32:32" x14ac:dyDescent="0.2">
      <c r="AF15975" s="12"/>
    </row>
    <row r="15976" spans="32:32" x14ac:dyDescent="0.2">
      <c r="AF15976" s="12"/>
    </row>
    <row r="15977" spans="32:32" x14ac:dyDescent="0.2">
      <c r="AF15977" s="12"/>
    </row>
    <row r="15978" spans="32:32" x14ac:dyDescent="0.2">
      <c r="AF15978" s="12"/>
    </row>
    <row r="15979" spans="32:32" x14ac:dyDescent="0.2">
      <c r="AF15979" s="12"/>
    </row>
    <row r="15980" spans="32:32" x14ac:dyDescent="0.2">
      <c r="AF15980" s="12"/>
    </row>
    <row r="15981" spans="32:32" x14ac:dyDescent="0.2">
      <c r="AF15981" s="12"/>
    </row>
    <row r="15982" spans="32:32" x14ac:dyDescent="0.2">
      <c r="AF15982" s="12"/>
    </row>
    <row r="15983" spans="32:32" x14ac:dyDescent="0.2">
      <c r="AF15983" s="12"/>
    </row>
    <row r="15984" spans="32:32" x14ac:dyDescent="0.2">
      <c r="AF15984" s="12"/>
    </row>
    <row r="15985" spans="32:32" x14ac:dyDescent="0.2">
      <c r="AF15985" s="12"/>
    </row>
    <row r="15986" spans="32:32" x14ac:dyDescent="0.2">
      <c r="AF15986" s="12"/>
    </row>
    <row r="15987" spans="32:32" x14ac:dyDescent="0.2">
      <c r="AF15987" s="12"/>
    </row>
    <row r="15988" spans="32:32" x14ac:dyDescent="0.2">
      <c r="AF15988" s="12"/>
    </row>
    <row r="15989" spans="32:32" x14ac:dyDescent="0.2">
      <c r="AF15989" s="12"/>
    </row>
    <row r="15990" spans="32:32" x14ac:dyDescent="0.2">
      <c r="AF15990" s="12"/>
    </row>
    <row r="15991" spans="32:32" x14ac:dyDescent="0.2">
      <c r="AF15991" s="12"/>
    </row>
    <row r="15992" spans="32:32" x14ac:dyDescent="0.2">
      <c r="AF15992" s="12"/>
    </row>
    <row r="15993" spans="32:32" x14ac:dyDescent="0.2">
      <c r="AF15993" s="12"/>
    </row>
    <row r="15994" spans="32:32" x14ac:dyDescent="0.2">
      <c r="AF15994" s="12"/>
    </row>
    <row r="15995" spans="32:32" x14ac:dyDescent="0.2">
      <c r="AF15995" s="12"/>
    </row>
    <row r="15996" spans="32:32" x14ac:dyDescent="0.2">
      <c r="AF15996" s="12"/>
    </row>
    <row r="15997" spans="32:32" x14ac:dyDescent="0.2">
      <c r="AF15997" s="12"/>
    </row>
    <row r="15998" spans="32:32" x14ac:dyDescent="0.2">
      <c r="AF15998" s="12"/>
    </row>
    <row r="15999" spans="32:32" x14ac:dyDescent="0.2">
      <c r="AF15999" s="12"/>
    </row>
    <row r="16000" spans="32:32" x14ac:dyDescent="0.2">
      <c r="AF16000" s="12"/>
    </row>
    <row r="16001" spans="32:32" x14ac:dyDescent="0.2">
      <c r="AF16001" s="12"/>
    </row>
    <row r="16002" spans="32:32" x14ac:dyDescent="0.2">
      <c r="AF16002" s="12"/>
    </row>
    <row r="16003" spans="32:32" x14ac:dyDescent="0.2">
      <c r="AF16003" s="12"/>
    </row>
    <row r="16004" spans="32:32" x14ac:dyDescent="0.2">
      <c r="AF16004" s="12"/>
    </row>
    <row r="16005" spans="32:32" x14ac:dyDescent="0.2">
      <c r="AF16005" s="12"/>
    </row>
    <row r="16006" spans="32:32" x14ac:dyDescent="0.2">
      <c r="AF16006" s="12"/>
    </row>
    <row r="16007" spans="32:32" x14ac:dyDescent="0.2">
      <c r="AF16007" s="12"/>
    </row>
    <row r="16008" spans="32:32" x14ac:dyDescent="0.2">
      <c r="AF16008" s="12"/>
    </row>
    <row r="16009" spans="32:32" x14ac:dyDescent="0.2">
      <c r="AF16009" s="12"/>
    </row>
    <row r="16010" spans="32:32" x14ac:dyDescent="0.2">
      <c r="AF16010" s="12"/>
    </row>
    <row r="16011" spans="32:32" x14ac:dyDescent="0.2">
      <c r="AF16011" s="12"/>
    </row>
    <row r="16012" spans="32:32" x14ac:dyDescent="0.2">
      <c r="AF16012" s="12"/>
    </row>
    <row r="16013" spans="32:32" x14ac:dyDescent="0.2">
      <c r="AF16013" s="12"/>
    </row>
    <row r="16014" spans="32:32" x14ac:dyDescent="0.2">
      <c r="AF16014" s="12"/>
    </row>
    <row r="16015" spans="32:32" x14ac:dyDescent="0.2">
      <c r="AF16015" s="12"/>
    </row>
    <row r="16016" spans="32:32" x14ac:dyDescent="0.2">
      <c r="AF16016" s="12"/>
    </row>
    <row r="16017" spans="32:32" x14ac:dyDescent="0.2">
      <c r="AF16017" s="12"/>
    </row>
    <row r="16018" spans="32:32" x14ac:dyDescent="0.2">
      <c r="AF16018" s="12"/>
    </row>
    <row r="16019" spans="32:32" x14ac:dyDescent="0.2">
      <c r="AF16019" s="12"/>
    </row>
    <row r="16020" spans="32:32" x14ac:dyDescent="0.2">
      <c r="AF16020" s="12"/>
    </row>
    <row r="16021" spans="32:32" x14ac:dyDescent="0.2">
      <c r="AF16021" s="12"/>
    </row>
    <row r="16022" spans="32:32" x14ac:dyDescent="0.2">
      <c r="AF16022" s="12"/>
    </row>
    <row r="16023" spans="32:32" x14ac:dyDescent="0.2">
      <c r="AF16023" s="12"/>
    </row>
    <row r="16024" spans="32:32" x14ac:dyDescent="0.2">
      <c r="AF16024" s="12"/>
    </row>
    <row r="16025" spans="32:32" x14ac:dyDescent="0.2">
      <c r="AF16025" s="12"/>
    </row>
    <row r="16026" spans="32:32" x14ac:dyDescent="0.2">
      <c r="AF16026" s="12"/>
    </row>
    <row r="16027" spans="32:32" x14ac:dyDescent="0.2">
      <c r="AF16027" s="12"/>
    </row>
    <row r="16028" spans="32:32" x14ac:dyDescent="0.2">
      <c r="AF16028" s="12"/>
    </row>
    <row r="16029" spans="32:32" x14ac:dyDescent="0.2">
      <c r="AF16029" s="12"/>
    </row>
    <row r="16030" spans="32:32" x14ac:dyDescent="0.2">
      <c r="AF16030" s="12"/>
    </row>
    <row r="16031" spans="32:32" x14ac:dyDescent="0.2">
      <c r="AF16031" s="12"/>
    </row>
    <row r="16032" spans="32:32" x14ac:dyDescent="0.2">
      <c r="AF16032" s="12"/>
    </row>
    <row r="16033" spans="32:32" x14ac:dyDescent="0.2">
      <c r="AF16033" s="12"/>
    </row>
    <row r="16034" spans="32:32" x14ac:dyDescent="0.2">
      <c r="AF16034" s="12"/>
    </row>
    <row r="16035" spans="32:32" x14ac:dyDescent="0.2">
      <c r="AF16035" s="12"/>
    </row>
    <row r="16036" spans="32:32" x14ac:dyDescent="0.2">
      <c r="AF16036" s="12"/>
    </row>
    <row r="16037" spans="32:32" x14ac:dyDescent="0.2">
      <c r="AF16037" s="12"/>
    </row>
    <row r="16038" spans="32:32" x14ac:dyDescent="0.2">
      <c r="AF16038" s="12"/>
    </row>
    <row r="16039" spans="32:32" x14ac:dyDescent="0.2">
      <c r="AF16039" s="12"/>
    </row>
    <row r="16040" spans="32:32" x14ac:dyDescent="0.2">
      <c r="AF16040" s="12"/>
    </row>
    <row r="16041" spans="32:32" x14ac:dyDescent="0.2">
      <c r="AF16041" s="12"/>
    </row>
    <row r="16042" spans="32:32" x14ac:dyDescent="0.2">
      <c r="AF16042" s="12"/>
    </row>
    <row r="16043" spans="32:32" x14ac:dyDescent="0.2">
      <c r="AF16043" s="12"/>
    </row>
    <row r="16044" spans="32:32" x14ac:dyDescent="0.2">
      <c r="AF16044" s="12"/>
    </row>
    <row r="16045" spans="32:32" x14ac:dyDescent="0.2">
      <c r="AF16045" s="12"/>
    </row>
    <row r="16046" spans="32:32" x14ac:dyDescent="0.2">
      <c r="AF16046" s="12"/>
    </row>
    <row r="16047" spans="32:32" x14ac:dyDescent="0.2">
      <c r="AF16047" s="12"/>
    </row>
    <row r="16048" spans="32:32" x14ac:dyDescent="0.2">
      <c r="AF16048" s="12"/>
    </row>
    <row r="16049" spans="32:32" x14ac:dyDescent="0.2">
      <c r="AF16049" s="12"/>
    </row>
    <row r="16050" spans="32:32" x14ac:dyDescent="0.2">
      <c r="AF16050" s="12"/>
    </row>
    <row r="16051" spans="32:32" x14ac:dyDescent="0.2">
      <c r="AF16051" s="12"/>
    </row>
    <row r="16052" spans="32:32" x14ac:dyDescent="0.2">
      <c r="AF16052" s="12"/>
    </row>
    <row r="16053" spans="32:32" x14ac:dyDescent="0.2">
      <c r="AF16053" s="12"/>
    </row>
    <row r="16054" spans="32:32" x14ac:dyDescent="0.2">
      <c r="AF16054" s="12"/>
    </row>
    <row r="16055" spans="32:32" x14ac:dyDescent="0.2">
      <c r="AF16055" s="12"/>
    </row>
    <row r="16056" spans="32:32" x14ac:dyDescent="0.2">
      <c r="AF16056" s="12"/>
    </row>
    <row r="16057" spans="32:32" x14ac:dyDescent="0.2">
      <c r="AF16057" s="12"/>
    </row>
    <row r="16058" spans="32:32" x14ac:dyDescent="0.2">
      <c r="AF16058" s="12"/>
    </row>
    <row r="16059" spans="32:32" x14ac:dyDescent="0.2">
      <c r="AF16059" s="12"/>
    </row>
    <row r="16060" spans="32:32" x14ac:dyDescent="0.2">
      <c r="AF16060" s="12"/>
    </row>
    <row r="16061" spans="32:32" x14ac:dyDescent="0.2">
      <c r="AF16061" s="12"/>
    </row>
    <row r="16062" spans="32:32" x14ac:dyDescent="0.2">
      <c r="AF16062" s="12"/>
    </row>
    <row r="16063" spans="32:32" x14ac:dyDescent="0.2">
      <c r="AF16063" s="12"/>
    </row>
    <row r="16064" spans="32:32" x14ac:dyDescent="0.2">
      <c r="AF16064" s="12"/>
    </row>
    <row r="16065" spans="32:32" x14ac:dyDescent="0.2">
      <c r="AF16065" s="12"/>
    </row>
    <row r="16066" spans="32:32" x14ac:dyDescent="0.2">
      <c r="AF16066" s="12"/>
    </row>
    <row r="16067" spans="32:32" x14ac:dyDescent="0.2">
      <c r="AF16067" s="12"/>
    </row>
    <row r="16068" spans="32:32" x14ac:dyDescent="0.2">
      <c r="AF16068" s="12"/>
    </row>
    <row r="16069" spans="32:32" x14ac:dyDescent="0.2">
      <c r="AF16069" s="12"/>
    </row>
    <row r="16070" spans="32:32" x14ac:dyDescent="0.2">
      <c r="AF16070" s="12"/>
    </row>
    <row r="16071" spans="32:32" x14ac:dyDescent="0.2">
      <c r="AF16071" s="12"/>
    </row>
    <row r="16072" spans="32:32" x14ac:dyDescent="0.2">
      <c r="AF16072" s="12"/>
    </row>
    <row r="16073" spans="32:32" x14ac:dyDescent="0.2">
      <c r="AF16073" s="12"/>
    </row>
    <row r="16074" spans="32:32" x14ac:dyDescent="0.2">
      <c r="AF16074" s="12"/>
    </row>
    <row r="16075" spans="32:32" x14ac:dyDescent="0.2">
      <c r="AF16075" s="12"/>
    </row>
    <row r="16076" spans="32:32" x14ac:dyDescent="0.2">
      <c r="AF16076" s="12"/>
    </row>
    <row r="16077" spans="32:32" x14ac:dyDescent="0.2">
      <c r="AF16077" s="12"/>
    </row>
    <row r="16078" spans="32:32" x14ac:dyDescent="0.2">
      <c r="AF16078" s="12"/>
    </row>
    <row r="16079" spans="32:32" x14ac:dyDescent="0.2">
      <c r="AF16079" s="12"/>
    </row>
    <row r="16080" spans="32:32" x14ac:dyDescent="0.2">
      <c r="AF16080" s="12"/>
    </row>
    <row r="16081" spans="32:32" x14ac:dyDescent="0.2">
      <c r="AF16081" s="12"/>
    </row>
    <row r="16082" spans="32:32" x14ac:dyDescent="0.2">
      <c r="AF16082" s="12"/>
    </row>
    <row r="16083" spans="32:32" x14ac:dyDescent="0.2">
      <c r="AF16083" s="12"/>
    </row>
    <row r="16084" spans="32:32" x14ac:dyDescent="0.2">
      <c r="AF16084" s="12"/>
    </row>
    <row r="16085" spans="32:32" x14ac:dyDescent="0.2">
      <c r="AF16085" s="12"/>
    </row>
    <row r="16086" spans="32:32" x14ac:dyDescent="0.2">
      <c r="AF16086" s="12"/>
    </row>
    <row r="16087" spans="32:32" x14ac:dyDescent="0.2">
      <c r="AF16087" s="12"/>
    </row>
    <row r="16088" spans="32:32" x14ac:dyDescent="0.2">
      <c r="AF16088" s="12"/>
    </row>
    <row r="16089" spans="32:32" x14ac:dyDescent="0.2">
      <c r="AF16089" s="12"/>
    </row>
    <row r="16090" spans="32:32" x14ac:dyDescent="0.2">
      <c r="AF16090" s="12"/>
    </row>
    <row r="16091" spans="32:32" x14ac:dyDescent="0.2">
      <c r="AF16091" s="12"/>
    </row>
    <row r="16092" spans="32:32" x14ac:dyDescent="0.2">
      <c r="AF16092" s="12"/>
    </row>
    <row r="16093" spans="32:32" x14ac:dyDescent="0.2">
      <c r="AF16093" s="12"/>
    </row>
    <row r="16094" spans="32:32" x14ac:dyDescent="0.2">
      <c r="AF16094" s="12"/>
    </row>
    <row r="16095" spans="32:32" x14ac:dyDescent="0.2">
      <c r="AF16095" s="12"/>
    </row>
    <row r="16096" spans="32:32" x14ac:dyDescent="0.2">
      <c r="AF16096" s="12"/>
    </row>
    <row r="16097" spans="32:32" x14ac:dyDescent="0.2">
      <c r="AF16097" s="12"/>
    </row>
    <row r="16098" spans="32:32" x14ac:dyDescent="0.2">
      <c r="AF16098" s="12"/>
    </row>
    <row r="16099" spans="32:32" x14ac:dyDescent="0.2">
      <c r="AF16099" s="12"/>
    </row>
    <row r="16100" spans="32:32" x14ac:dyDescent="0.2">
      <c r="AF16100" s="12"/>
    </row>
    <row r="16101" spans="32:32" x14ac:dyDescent="0.2">
      <c r="AF16101" s="12"/>
    </row>
    <row r="16102" spans="32:32" x14ac:dyDescent="0.2">
      <c r="AF16102" s="12"/>
    </row>
    <row r="16103" spans="32:32" x14ac:dyDescent="0.2">
      <c r="AF16103" s="12"/>
    </row>
    <row r="16104" spans="32:32" x14ac:dyDescent="0.2">
      <c r="AF16104" s="12"/>
    </row>
    <row r="16105" spans="32:32" x14ac:dyDescent="0.2">
      <c r="AF16105" s="12"/>
    </row>
    <row r="16106" spans="32:32" x14ac:dyDescent="0.2">
      <c r="AF16106" s="12"/>
    </row>
    <row r="16107" spans="32:32" x14ac:dyDescent="0.2">
      <c r="AF16107" s="12"/>
    </row>
    <row r="16108" spans="32:32" x14ac:dyDescent="0.2">
      <c r="AF16108" s="12"/>
    </row>
    <row r="16109" spans="32:32" x14ac:dyDescent="0.2">
      <c r="AF16109" s="12"/>
    </row>
    <row r="16110" spans="32:32" x14ac:dyDescent="0.2">
      <c r="AF16110" s="12"/>
    </row>
    <row r="16111" spans="32:32" x14ac:dyDescent="0.2">
      <c r="AF16111" s="12"/>
    </row>
    <row r="16112" spans="32:32" x14ac:dyDescent="0.2">
      <c r="AF16112" s="12"/>
    </row>
    <row r="16113" spans="32:32" x14ac:dyDescent="0.2">
      <c r="AF16113" s="12"/>
    </row>
    <row r="16114" spans="32:32" x14ac:dyDescent="0.2">
      <c r="AF16114" s="12"/>
    </row>
    <row r="16115" spans="32:32" x14ac:dyDescent="0.2">
      <c r="AF16115" s="12"/>
    </row>
    <row r="16116" spans="32:32" x14ac:dyDescent="0.2">
      <c r="AF16116" s="12"/>
    </row>
    <row r="16117" spans="32:32" x14ac:dyDescent="0.2">
      <c r="AF16117" s="12"/>
    </row>
    <row r="16118" spans="32:32" x14ac:dyDescent="0.2">
      <c r="AF16118" s="12"/>
    </row>
    <row r="16119" spans="32:32" x14ac:dyDescent="0.2">
      <c r="AF16119" s="12"/>
    </row>
    <row r="16120" spans="32:32" x14ac:dyDescent="0.2">
      <c r="AF16120" s="12"/>
    </row>
    <row r="16121" spans="32:32" x14ac:dyDescent="0.2">
      <c r="AF16121" s="12"/>
    </row>
    <row r="16122" spans="32:32" x14ac:dyDescent="0.2">
      <c r="AF16122" s="12"/>
    </row>
    <row r="16123" spans="32:32" x14ac:dyDescent="0.2">
      <c r="AF16123" s="12"/>
    </row>
    <row r="16124" spans="32:32" x14ac:dyDescent="0.2">
      <c r="AF16124" s="12"/>
    </row>
    <row r="16125" spans="32:32" x14ac:dyDescent="0.2">
      <c r="AF16125" s="12"/>
    </row>
    <row r="16126" spans="32:32" x14ac:dyDescent="0.2">
      <c r="AF16126" s="12"/>
    </row>
    <row r="16127" spans="32:32" x14ac:dyDescent="0.2">
      <c r="AF16127" s="12"/>
    </row>
    <row r="16128" spans="32:32" x14ac:dyDescent="0.2">
      <c r="AF16128" s="12"/>
    </row>
    <row r="16129" spans="32:32" x14ac:dyDescent="0.2">
      <c r="AF16129" s="12"/>
    </row>
    <row r="16130" spans="32:32" x14ac:dyDescent="0.2">
      <c r="AF16130" s="12"/>
    </row>
    <row r="16131" spans="32:32" x14ac:dyDescent="0.2">
      <c r="AF16131" s="12"/>
    </row>
    <row r="16132" spans="32:32" x14ac:dyDescent="0.2">
      <c r="AF16132" s="12"/>
    </row>
    <row r="16133" spans="32:32" x14ac:dyDescent="0.2">
      <c r="AF16133" s="12"/>
    </row>
    <row r="16134" spans="32:32" x14ac:dyDescent="0.2">
      <c r="AF16134" s="12"/>
    </row>
    <row r="16135" spans="32:32" x14ac:dyDescent="0.2">
      <c r="AF16135" s="12"/>
    </row>
    <row r="16136" spans="32:32" x14ac:dyDescent="0.2">
      <c r="AF16136" s="12"/>
    </row>
    <row r="16137" spans="32:32" x14ac:dyDescent="0.2">
      <c r="AF16137" s="12"/>
    </row>
    <row r="16138" spans="32:32" x14ac:dyDescent="0.2">
      <c r="AF16138" s="12"/>
    </row>
    <row r="16139" spans="32:32" x14ac:dyDescent="0.2">
      <c r="AF16139" s="12"/>
    </row>
    <row r="16140" spans="32:32" x14ac:dyDescent="0.2">
      <c r="AF16140" s="12"/>
    </row>
    <row r="16141" spans="32:32" x14ac:dyDescent="0.2">
      <c r="AF16141" s="12"/>
    </row>
    <row r="16142" spans="32:32" x14ac:dyDescent="0.2">
      <c r="AF16142" s="12"/>
    </row>
    <row r="16143" spans="32:32" x14ac:dyDescent="0.2">
      <c r="AF16143" s="12"/>
    </row>
    <row r="16144" spans="32:32" x14ac:dyDescent="0.2">
      <c r="AF16144" s="12"/>
    </row>
    <row r="16145" spans="32:32" x14ac:dyDescent="0.2">
      <c r="AF16145" s="12"/>
    </row>
    <row r="16146" spans="32:32" x14ac:dyDescent="0.2">
      <c r="AF16146" s="12"/>
    </row>
    <row r="16147" spans="32:32" x14ac:dyDescent="0.2">
      <c r="AF16147" s="12"/>
    </row>
    <row r="16148" spans="32:32" x14ac:dyDescent="0.2">
      <c r="AF16148" s="12"/>
    </row>
    <row r="16149" spans="32:32" x14ac:dyDescent="0.2">
      <c r="AF16149" s="12"/>
    </row>
    <row r="16150" spans="32:32" x14ac:dyDescent="0.2">
      <c r="AF16150" s="12"/>
    </row>
    <row r="16151" spans="32:32" x14ac:dyDescent="0.2">
      <c r="AF16151" s="12"/>
    </row>
    <row r="16152" spans="32:32" x14ac:dyDescent="0.2">
      <c r="AF16152" s="12"/>
    </row>
    <row r="16153" spans="32:32" x14ac:dyDescent="0.2">
      <c r="AF16153" s="12"/>
    </row>
    <row r="16154" spans="32:32" x14ac:dyDescent="0.2">
      <c r="AF16154" s="12"/>
    </row>
    <row r="16155" spans="32:32" x14ac:dyDescent="0.2">
      <c r="AF16155" s="12"/>
    </row>
    <row r="16156" spans="32:32" x14ac:dyDescent="0.2">
      <c r="AF16156" s="12"/>
    </row>
    <row r="16157" spans="32:32" x14ac:dyDescent="0.2">
      <c r="AF16157" s="12"/>
    </row>
    <row r="16158" spans="32:32" x14ac:dyDescent="0.2">
      <c r="AF16158" s="12"/>
    </row>
    <row r="16159" spans="32:32" x14ac:dyDescent="0.2">
      <c r="AF16159" s="12"/>
    </row>
    <row r="16160" spans="32:32" x14ac:dyDescent="0.2">
      <c r="AF16160" s="12"/>
    </row>
    <row r="16161" spans="32:32" x14ac:dyDescent="0.2">
      <c r="AF16161" s="12"/>
    </row>
    <row r="16162" spans="32:32" x14ac:dyDescent="0.2">
      <c r="AF16162" s="12"/>
    </row>
    <row r="16163" spans="32:32" x14ac:dyDescent="0.2">
      <c r="AF16163" s="12"/>
    </row>
    <row r="16164" spans="32:32" x14ac:dyDescent="0.2">
      <c r="AF16164" s="12"/>
    </row>
    <row r="16165" spans="32:32" x14ac:dyDescent="0.2">
      <c r="AF16165" s="12"/>
    </row>
    <row r="16166" spans="32:32" x14ac:dyDescent="0.2">
      <c r="AF16166" s="12"/>
    </row>
    <row r="16167" spans="32:32" x14ac:dyDescent="0.2">
      <c r="AF16167" s="12"/>
    </row>
    <row r="16168" spans="32:32" x14ac:dyDescent="0.2">
      <c r="AF16168" s="12"/>
    </row>
    <row r="16169" spans="32:32" x14ac:dyDescent="0.2">
      <c r="AF16169" s="12"/>
    </row>
    <row r="16170" spans="32:32" x14ac:dyDescent="0.2">
      <c r="AF16170" s="12"/>
    </row>
    <row r="16171" spans="32:32" x14ac:dyDescent="0.2">
      <c r="AF16171" s="12"/>
    </row>
    <row r="16172" spans="32:32" x14ac:dyDescent="0.2">
      <c r="AF16172" s="12"/>
    </row>
    <row r="16173" spans="32:32" x14ac:dyDescent="0.2">
      <c r="AF16173" s="12"/>
    </row>
    <row r="16174" spans="32:32" x14ac:dyDescent="0.2">
      <c r="AF16174" s="12"/>
    </row>
    <row r="16175" spans="32:32" x14ac:dyDescent="0.2">
      <c r="AF16175" s="12"/>
    </row>
    <row r="16176" spans="32:32" x14ac:dyDescent="0.2">
      <c r="AF16176" s="12"/>
    </row>
    <row r="16177" spans="32:32" x14ac:dyDescent="0.2">
      <c r="AF16177" s="12"/>
    </row>
    <row r="16178" spans="32:32" x14ac:dyDescent="0.2">
      <c r="AF16178" s="12"/>
    </row>
    <row r="16179" spans="32:32" x14ac:dyDescent="0.2">
      <c r="AF16179" s="12"/>
    </row>
    <row r="16180" spans="32:32" x14ac:dyDescent="0.2">
      <c r="AF16180" s="12"/>
    </row>
    <row r="16181" spans="32:32" x14ac:dyDescent="0.2">
      <c r="AF16181" s="12"/>
    </row>
    <row r="16182" spans="32:32" x14ac:dyDescent="0.2">
      <c r="AF16182" s="12"/>
    </row>
    <row r="16183" spans="32:32" x14ac:dyDescent="0.2">
      <c r="AF16183" s="12"/>
    </row>
    <row r="16184" spans="32:32" x14ac:dyDescent="0.2">
      <c r="AF16184" s="12"/>
    </row>
    <row r="16185" spans="32:32" x14ac:dyDescent="0.2">
      <c r="AF16185" s="12"/>
    </row>
    <row r="16186" spans="32:32" x14ac:dyDescent="0.2">
      <c r="AF16186" s="12"/>
    </row>
    <row r="16187" spans="32:32" x14ac:dyDescent="0.2">
      <c r="AF16187" s="12"/>
    </row>
    <row r="16188" spans="32:32" x14ac:dyDescent="0.2">
      <c r="AF16188" s="12"/>
    </row>
    <row r="16189" spans="32:32" x14ac:dyDescent="0.2">
      <c r="AF16189" s="12"/>
    </row>
    <row r="16190" spans="32:32" x14ac:dyDescent="0.2">
      <c r="AF16190" s="12"/>
    </row>
    <row r="16191" spans="32:32" x14ac:dyDescent="0.2">
      <c r="AF16191" s="12"/>
    </row>
    <row r="16192" spans="32:32" x14ac:dyDescent="0.2">
      <c r="AF16192" s="12"/>
    </row>
    <row r="16193" spans="32:32" x14ac:dyDescent="0.2">
      <c r="AF16193" s="12"/>
    </row>
    <row r="16194" spans="32:32" x14ac:dyDescent="0.2">
      <c r="AF16194" s="12"/>
    </row>
    <row r="16195" spans="32:32" x14ac:dyDescent="0.2">
      <c r="AF16195" s="12"/>
    </row>
    <row r="16196" spans="32:32" x14ac:dyDescent="0.2">
      <c r="AF16196" s="12"/>
    </row>
    <row r="16197" spans="32:32" x14ac:dyDescent="0.2">
      <c r="AF16197" s="12"/>
    </row>
    <row r="16198" spans="32:32" x14ac:dyDescent="0.2">
      <c r="AF16198" s="12"/>
    </row>
    <row r="16199" spans="32:32" x14ac:dyDescent="0.2">
      <c r="AF16199" s="12"/>
    </row>
    <row r="16200" spans="32:32" x14ac:dyDescent="0.2">
      <c r="AF16200" s="12"/>
    </row>
    <row r="16201" spans="32:32" x14ac:dyDescent="0.2">
      <c r="AF16201" s="12"/>
    </row>
    <row r="16202" spans="32:32" x14ac:dyDescent="0.2">
      <c r="AF16202" s="12"/>
    </row>
    <row r="16203" spans="32:32" x14ac:dyDescent="0.2">
      <c r="AF16203" s="12"/>
    </row>
    <row r="16204" spans="32:32" x14ac:dyDescent="0.2">
      <c r="AF16204" s="12"/>
    </row>
    <row r="16205" spans="32:32" x14ac:dyDescent="0.2">
      <c r="AF16205" s="12"/>
    </row>
    <row r="16206" spans="32:32" x14ac:dyDescent="0.2">
      <c r="AF16206" s="12"/>
    </row>
    <row r="16207" spans="32:32" x14ac:dyDescent="0.2">
      <c r="AF16207" s="12"/>
    </row>
    <row r="16208" spans="32:32" x14ac:dyDescent="0.2">
      <c r="AF16208" s="12"/>
    </row>
    <row r="16209" spans="32:32" x14ac:dyDescent="0.2">
      <c r="AF16209" s="12"/>
    </row>
    <row r="16210" spans="32:32" x14ac:dyDescent="0.2">
      <c r="AF16210" s="12"/>
    </row>
    <row r="16211" spans="32:32" x14ac:dyDescent="0.2">
      <c r="AF16211" s="12"/>
    </row>
    <row r="16212" spans="32:32" x14ac:dyDescent="0.2">
      <c r="AF16212" s="12"/>
    </row>
    <row r="16213" spans="32:32" x14ac:dyDescent="0.2">
      <c r="AF16213" s="12"/>
    </row>
    <row r="16214" spans="32:32" x14ac:dyDescent="0.2">
      <c r="AF16214" s="12"/>
    </row>
    <row r="16215" spans="32:32" x14ac:dyDescent="0.2">
      <c r="AF16215" s="12"/>
    </row>
    <row r="16216" spans="32:32" x14ac:dyDescent="0.2">
      <c r="AF16216" s="12"/>
    </row>
    <row r="16217" spans="32:32" x14ac:dyDescent="0.2">
      <c r="AF16217" s="12"/>
    </row>
    <row r="16218" spans="32:32" x14ac:dyDescent="0.2">
      <c r="AF16218" s="12"/>
    </row>
    <row r="16219" spans="32:32" x14ac:dyDescent="0.2">
      <c r="AF16219" s="12"/>
    </row>
    <row r="16220" spans="32:32" x14ac:dyDescent="0.2">
      <c r="AF16220" s="12"/>
    </row>
    <row r="16221" spans="32:32" x14ac:dyDescent="0.2">
      <c r="AF16221" s="12"/>
    </row>
    <row r="16222" spans="32:32" x14ac:dyDescent="0.2">
      <c r="AF16222" s="12"/>
    </row>
    <row r="16223" spans="32:32" x14ac:dyDescent="0.2">
      <c r="AF16223" s="12"/>
    </row>
    <row r="16224" spans="32:32" x14ac:dyDescent="0.2">
      <c r="AF16224" s="12"/>
    </row>
    <row r="16225" spans="32:32" x14ac:dyDescent="0.2">
      <c r="AF16225" s="12"/>
    </row>
    <row r="16226" spans="32:32" x14ac:dyDescent="0.2">
      <c r="AF16226" s="12"/>
    </row>
    <row r="16227" spans="32:32" x14ac:dyDescent="0.2">
      <c r="AF16227" s="12"/>
    </row>
    <row r="16228" spans="32:32" x14ac:dyDescent="0.2">
      <c r="AF16228" s="12"/>
    </row>
    <row r="16229" spans="32:32" x14ac:dyDescent="0.2">
      <c r="AF16229" s="12"/>
    </row>
    <row r="16230" spans="32:32" x14ac:dyDescent="0.2">
      <c r="AF16230" s="12"/>
    </row>
    <row r="16231" spans="32:32" x14ac:dyDescent="0.2">
      <c r="AF16231" s="12"/>
    </row>
    <row r="16232" spans="32:32" x14ac:dyDescent="0.2">
      <c r="AF16232" s="12"/>
    </row>
    <row r="16233" spans="32:32" x14ac:dyDescent="0.2">
      <c r="AF16233" s="12"/>
    </row>
    <row r="16234" spans="32:32" x14ac:dyDescent="0.2">
      <c r="AF16234" s="12"/>
    </row>
    <row r="16235" spans="32:32" x14ac:dyDescent="0.2">
      <c r="AF16235" s="12"/>
    </row>
    <row r="16236" spans="32:32" x14ac:dyDescent="0.2">
      <c r="AF16236" s="12"/>
    </row>
    <row r="16237" spans="32:32" x14ac:dyDescent="0.2">
      <c r="AF16237" s="12"/>
    </row>
    <row r="16238" spans="32:32" x14ac:dyDescent="0.2">
      <c r="AF16238" s="12"/>
    </row>
    <row r="16239" spans="32:32" x14ac:dyDescent="0.2">
      <c r="AF16239" s="12"/>
    </row>
    <row r="16240" spans="32:32" x14ac:dyDescent="0.2">
      <c r="AF16240" s="12"/>
    </row>
    <row r="16241" spans="32:32" x14ac:dyDescent="0.2">
      <c r="AF16241" s="12"/>
    </row>
    <row r="16242" spans="32:32" x14ac:dyDescent="0.2">
      <c r="AF16242" s="12"/>
    </row>
    <row r="16243" spans="32:32" x14ac:dyDescent="0.2">
      <c r="AF16243" s="12"/>
    </row>
    <row r="16244" spans="32:32" x14ac:dyDescent="0.2">
      <c r="AF16244" s="12"/>
    </row>
    <row r="16245" spans="32:32" x14ac:dyDescent="0.2">
      <c r="AF16245" s="12"/>
    </row>
    <row r="16246" spans="32:32" x14ac:dyDescent="0.2">
      <c r="AF16246" s="12"/>
    </row>
    <row r="16247" spans="32:32" x14ac:dyDescent="0.2">
      <c r="AF16247" s="12"/>
    </row>
    <row r="16248" spans="32:32" x14ac:dyDescent="0.2">
      <c r="AF16248" s="12"/>
    </row>
    <row r="16249" spans="32:32" x14ac:dyDescent="0.2">
      <c r="AF16249" s="12"/>
    </row>
    <row r="16250" spans="32:32" x14ac:dyDescent="0.2">
      <c r="AF16250" s="12"/>
    </row>
    <row r="16251" spans="32:32" x14ac:dyDescent="0.2">
      <c r="AF16251" s="12"/>
    </row>
    <row r="16252" spans="32:32" x14ac:dyDescent="0.2">
      <c r="AF16252" s="12"/>
    </row>
    <row r="16253" spans="32:32" x14ac:dyDescent="0.2">
      <c r="AF16253" s="12"/>
    </row>
    <row r="16254" spans="32:32" x14ac:dyDescent="0.2">
      <c r="AF16254" s="12"/>
    </row>
    <row r="16255" spans="32:32" x14ac:dyDescent="0.2">
      <c r="AF16255" s="12"/>
    </row>
    <row r="16256" spans="32:32" x14ac:dyDescent="0.2">
      <c r="AF16256" s="12"/>
    </row>
    <row r="16257" spans="32:32" x14ac:dyDescent="0.2">
      <c r="AF16257" s="12"/>
    </row>
    <row r="16258" spans="32:32" x14ac:dyDescent="0.2">
      <c r="AF16258" s="12"/>
    </row>
    <row r="16259" spans="32:32" x14ac:dyDescent="0.2">
      <c r="AF16259" s="12"/>
    </row>
    <row r="16260" spans="32:32" x14ac:dyDescent="0.2">
      <c r="AF16260" s="12"/>
    </row>
    <row r="16261" spans="32:32" x14ac:dyDescent="0.2">
      <c r="AF16261" s="12"/>
    </row>
    <row r="16262" spans="32:32" x14ac:dyDescent="0.2">
      <c r="AF16262" s="12"/>
    </row>
    <row r="16263" spans="32:32" x14ac:dyDescent="0.2">
      <c r="AF16263" s="12"/>
    </row>
    <row r="16264" spans="32:32" x14ac:dyDescent="0.2">
      <c r="AF16264" s="12"/>
    </row>
    <row r="16265" spans="32:32" x14ac:dyDescent="0.2">
      <c r="AF16265" s="12"/>
    </row>
    <row r="16266" spans="32:32" x14ac:dyDescent="0.2">
      <c r="AF16266" s="12"/>
    </row>
    <row r="16267" spans="32:32" x14ac:dyDescent="0.2">
      <c r="AF16267" s="12"/>
    </row>
    <row r="16268" spans="32:32" x14ac:dyDescent="0.2">
      <c r="AF16268" s="12"/>
    </row>
    <row r="16269" spans="32:32" x14ac:dyDescent="0.2">
      <c r="AF16269" s="12"/>
    </row>
    <row r="16270" spans="32:32" x14ac:dyDescent="0.2">
      <c r="AF16270" s="12"/>
    </row>
    <row r="16271" spans="32:32" x14ac:dyDescent="0.2">
      <c r="AF16271" s="12"/>
    </row>
    <row r="16272" spans="32:32" x14ac:dyDescent="0.2">
      <c r="AF16272" s="12"/>
    </row>
    <row r="16273" spans="32:32" x14ac:dyDescent="0.2">
      <c r="AF16273" s="12"/>
    </row>
    <row r="16274" spans="32:32" x14ac:dyDescent="0.2">
      <c r="AF16274" s="12"/>
    </row>
    <row r="16275" spans="32:32" x14ac:dyDescent="0.2">
      <c r="AF16275" s="12"/>
    </row>
    <row r="16276" spans="32:32" x14ac:dyDescent="0.2">
      <c r="AF16276" s="12"/>
    </row>
    <row r="16277" spans="32:32" x14ac:dyDescent="0.2">
      <c r="AF16277" s="12"/>
    </row>
    <row r="16278" spans="32:32" x14ac:dyDescent="0.2">
      <c r="AF16278" s="12"/>
    </row>
    <row r="16279" spans="32:32" x14ac:dyDescent="0.2">
      <c r="AF16279" s="12"/>
    </row>
    <row r="16280" spans="32:32" x14ac:dyDescent="0.2">
      <c r="AF16280" s="12"/>
    </row>
    <row r="16281" spans="32:32" x14ac:dyDescent="0.2">
      <c r="AF16281" s="12"/>
    </row>
    <row r="16282" spans="32:32" x14ac:dyDescent="0.2">
      <c r="AF16282" s="12"/>
    </row>
    <row r="16283" spans="32:32" x14ac:dyDescent="0.2">
      <c r="AF16283" s="12"/>
    </row>
    <row r="16284" spans="32:32" x14ac:dyDescent="0.2">
      <c r="AF16284" s="12"/>
    </row>
    <row r="16285" spans="32:32" x14ac:dyDescent="0.2">
      <c r="AF16285" s="12"/>
    </row>
    <row r="16286" spans="32:32" x14ac:dyDescent="0.2">
      <c r="AF16286" s="12"/>
    </row>
    <row r="16287" spans="32:32" x14ac:dyDescent="0.2">
      <c r="AF16287" s="12"/>
    </row>
    <row r="16288" spans="32:32" x14ac:dyDescent="0.2">
      <c r="AF16288" s="12"/>
    </row>
    <row r="16289" spans="32:32" x14ac:dyDescent="0.2">
      <c r="AF16289" s="12"/>
    </row>
    <row r="16290" spans="32:32" x14ac:dyDescent="0.2">
      <c r="AF16290" s="12"/>
    </row>
    <row r="16291" spans="32:32" x14ac:dyDescent="0.2">
      <c r="AF16291" s="12"/>
    </row>
    <row r="16292" spans="32:32" x14ac:dyDescent="0.2">
      <c r="AF16292" s="12"/>
    </row>
    <row r="16293" spans="32:32" x14ac:dyDescent="0.2">
      <c r="AF16293" s="12"/>
    </row>
    <row r="16294" spans="32:32" x14ac:dyDescent="0.2">
      <c r="AF16294" s="12"/>
    </row>
    <row r="16295" spans="32:32" x14ac:dyDescent="0.2">
      <c r="AF16295" s="12"/>
    </row>
    <row r="16296" spans="32:32" x14ac:dyDescent="0.2">
      <c r="AF16296" s="12"/>
    </row>
    <row r="16297" spans="32:32" x14ac:dyDescent="0.2">
      <c r="AF16297" s="12"/>
    </row>
    <row r="16298" spans="32:32" x14ac:dyDescent="0.2">
      <c r="AF16298" s="12"/>
    </row>
    <row r="16299" spans="32:32" x14ac:dyDescent="0.2">
      <c r="AF16299" s="12"/>
    </row>
    <row r="16300" spans="32:32" x14ac:dyDescent="0.2">
      <c r="AF16300" s="12"/>
    </row>
    <row r="16301" spans="32:32" x14ac:dyDescent="0.2">
      <c r="AF16301" s="12"/>
    </row>
    <row r="16302" spans="32:32" x14ac:dyDescent="0.2">
      <c r="AF16302" s="12"/>
    </row>
    <row r="16303" spans="32:32" x14ac:dyDescent="0.2">
      <c r="AF16303" s="12"/>
    </row>
    <row r="16304" spans="32:32" x14ac:dyDescent="0.2">
      <c r="AF16304" s="12"/>
    </row>
    <row r="16305" spans="32:32" x14ac:dyDescent="0.2">
      <c r="AF16305" s="12"/>
    </row>
    <row r="16306" spans="32:32" x14ac:dyDescent="0.2">
      <c r="AF16306" s="12"/>
    </row>
    <row r="16307" spans="32:32" x14ac:dyDescent="0.2">
      <c r="AF16307" s="12"/>
    </row>
    <row r="16308" spans="32:32" x14ac:dyDescent="0.2">
      <c r="AF16308" s="12"/>
    </row>
    <row r="16309" spans="32:32" x14ac:dyDescent="0.2">
      <c r="AF16309" s="12"/>
    </row>
    <row r="16310" spans="32:32" x14ac:dyDescent="0.2">
      <c r="AF16310" s="12"/>
    </row>
    <row r="16311" spans="32:32" x14ac:dyDescent="0.2">
      <c r="AF16311" s="12"/>
    </row>
    <row r="16312" spans="32:32" x14ac:dyDescent="0.2">
      <c r="AF16312" s="12"/>
    </row>
    <row r="16313" spans="32:32" x14ac:dyDescent="0.2">
      <c r="AF16313" s="12"/>
    </row>
    <row r="16314" spans="32:32" x14ac:dyDescent="0.2">
      <c r="AF16314" s="12"/>
    </row>
    <row r="16315" spans="32:32" x14ac:dyDescent="0.2">
      <c r="AF16315" s="12"/>
    </row>
    <row r="16316" spans="32:32" x14ac:dyDescent="0.2">
      <c r="AF16316" s="12"/>
    </row>
    <row r="16317" spans="32:32" x14ac:dyDescent="0.2">
      <c r="AF16317" s="12"/>
    </row>
    <row r="16318" spans="32:32" x14ac:dyDescent="0.2">
      <c r="AF16318" s="12"/>
    </row>
    <row r="16319" spans="32:32" x14ac:dyDescent="0.2">
      <c r="AF16319" s="12"/>
    </row>
    <row r="16320" spans="32:32" x14ac:dyDescent="0.2">
      <c r="AF16320" s="12"/>
    </row>
    <row r="16321" spans="32:32" x14ac:dyDescent="0.2">
      <c r="AF16321" s="12"/>
    </row>
    <row r="16322" spans="32:32" x14ac:dyDescent="0.2">
      <c r="AF16322" s="12"/>
    </row>
    <row r="16323" spans="32:32" x14ac:dyDescent="0.2">
      <c r="AF16323" s="12"/>
    </row>
    <row r="16324" spans="32:32" x14ac:dyDescent="0.2">
      <c r="AF16324" s="12"/>
    </row>
    <row r="16325" spans="32:32" x14ac:dyDescent="0.2">
      <c r="AF16325" s="12"/>
    </row>
    <row r="16326" spans="32:32" x14ac:dyDescent="0.2">
      <c r="AF16326" s="12"/>
    </row>
    <row r="16327" spans="32:32" x14ac:dyDescent="0.2">
      <c r="AF16327" s="12"/>
    </row>
    <row r="16328" spans="32:32" x14ac:dyDescent="0.2">
      <c r="AF16328" s="12"/>
    </row>
    <row r="16329" spans="32:32" x14ac:dyDescent="0.2">
      <c r="AF16329" s="12"/>
    </row>
    <row r="16330" spans="32:32" x14ac:dyDescent="0.2">
      <c r="AF16330" s="12"/>
    </row>
    <row r="16331" spans="32:32" x14ac:dyDescent="0.2">
      <c r="AF16331" s="12"/>
    </row>
    <row r="16332" spans="32:32" x14ac:dyDescent="0.2">
      <c r="AF16332" s="12"/>
    </row>
    <row r="16333" spans="32:32" x14ac:dyDescent="0.2">
      <c r="AF16333" s="12"/>
    </row>
    <row r="16334" spans="32:32" x14ac:dyDescent="0.2">
      <c r="AF16334" s="12"/>
    </row>
    <row r="16335" spans="32:32" x14ac:dyDescent="0.2">
      <c r="AF16335" s="12"/>
    </row>
    <row r="16336" spans="32:32" x14ac:dyDescent="0.2">
      <c r="AF16336" s="12"/>
    </row>
    <row r="16337" spans="32:32" x14ac:dyDescent="0.2">
      <c r="AF16337" s="12"/>
    </row>
    <row r="16338" spans="32:32" x14ac:dyDescent="0.2">
      <c r="AF16338" s="12"/>
    </row>
    <row r="16339" spans="32:32" x14ac:dyDescent="0.2">
      <c r="AF16339" s="12"/>
    </row>
    <row r="16340" spans="32:32" x14ac:dyDescent="0.2">
      <c r="AF16340" s="12"/>
    </row>
    <row r="16341" spans="32:32" x14ac:dyDescent="0.2">
      <c r="AF16341" s="12"/>
    </row>
    <row r="16342" spans="32:32" x14ac:dyDescent="0.2">
      <c r="AF16342" s="12"/>
    </row>
    <row r="16343" spans="32:32" x14ac:dyDescent="0.2">
      <c r="AF16343" s="12"/>
    </row>
    <row r="16344" spans="32:32" x14ac:dyDescent="0.2">
      <c r="AF16344" s="12"/>
    </row>
    <row r="16345" spans="32:32" x14ac:dyDescent="0.2">
      <c r="AF16345" s="12"/>
    </row>
    <row r="16346" spans="32:32" x14ac:dyDescent="0.2">
      <c r="AF16346" s="12"/>
    </row>
    <row r="16347" spans="32:32" x14ac:dyDescent="0.2">
      <c r="AF16347" s="12"/>
    </row>
    <row r="16348" spans="32:32" x14ac:dyDescent="0.2">
      <c r="AF16348" s="12"/>
    </row>
    <row r="16349" spans="32:32" x14ac:dyDescent="0.2">
      <c r="AF16349" s="12"/>
    </row>
    <row r="16350" spans="32:32" x14ac:dyDescent="0.2">
      <c r="AF16350" s="12"/>
    </row>
    <row r="16351" spans="32:32" x14ac:dyDescent="0.2">
      <c r="AF16351" s="12"/>
    </row>
    <row r="16352" spans="32:32" x14ac:dyDescent="0.2">
      <c r="AF16352" s="12"/>
    </row>
    <row r="16353" spans="32:32" x14ac:dyDescent="0.2">
      <c r="AF16353" s="12"/>
    </row>
    <row r="16354" spans="32:32" x14ac:dyDescent="0.2">
      <c r="AF16354" s="12"/>
    </row>
    <row r="16355" spans="32:32" x14ac:dyDescent="0.2">
      <c r="AF16355" s="12"/>
    </row>
    <row r="16356" spans="32:32" x14ac:dyDescent="0.2">
      <c r="AF16356" s="12"/>
    </row>
    <row r="16357" spans="32:32" x14ac:dyDescent="0.2">
      <c r="AF16357" s="12"/>
    </row>
    <row r="16358" spans="32:32" x14ac:dyDescent="0.2">
      <c r="AF16358" s="12"/>
    </row>
    <row r="16359" spans="32:32" x14ac:dyDescent="0.2">
      <c r="AF16359" s="12"/>
    </row>
    <row r="16360" spans="32:32" x14ac:dyDescent="0.2">
      <c r="AF16360" s="12"/>
    </row>
    <row r="16361" spans="32:32" x14ac:dyDescent="0.2">
      <c r="AF16361" s="12"/>
    </row>
    <row r="16362" spans="32:32" x14ac:dyDescent="0.2">
      <c r="AF16362" s="12"/>
    </row>
    <row r="16363" spans="32:32" x14ac:dyDescent="0.2">
      <c r="AF16363" s="12"/>
    </row>
    <row r="16364" spans="32:32" x14ac:dyDescent="0.2">
      <c r="AF16364" s="12"/>
    </row>
    <row r="16365" spans="32:32" x14ac:dyDescent="0.2">
      <c r="AF16365" s="12"/>
    </row>
    <row r="16366" spans="32:32" x14ac:dyDescent="0.2">
      <c r="AF16366" s="12"/>
    </row>
    <row r="16367" spans="32:32" x14ac:dyDescent="0.2">
      <c r="AF16367" s="12"/>
    </row>
    <row r="16368" spans="32:32" x14ac:dyDescent="0.2">
      <c r="AF16368" s="12"/>
    </row>
    <row r="16369" spans="32:32" x14ac:dyDescent="0.2">
      <c r="AF16369" s="12"/>
    </row>
    <row r="16370" spans="32:32" x14ac:dyDescent="0.2">
      <c r="AF16370" s="12"/>
    </row>
    <row r="16371" spans="32:32" x14ac:dyDescent="0.2">
      <c r="AF16371" s="12"/>
    </row>
    <row r="16372" spans="32:32" x14ac:dyDescent="0.2">
      <c r="AF16372" s="12"/>
    </row>
    <row r="16373" spans="32:32" x14ac:dyDescent="0.2">
      <c r="AF16373" s="12"/>
    </row>
    <row r="16374" spans="32:32" x14ac:dyDescent="0.2">
      <c r="AF16374" s="12"/>
    </row>
    <row r="16375" spans="32:32" x14ac:dyDescent="0.2">
      <c r="AF16375" s="12"/>
    </row>
    <row r="16376" spans="32:32" x14ac:dyDescent="0.2">
      <c r="AF16376" s="12"/>
    </row>
    <row r="16377" spans="32:32" x14ac:dyDescent="0.2">
      <c r="AF16377" s="12"/>
    </row>
    <row r="16378" spans="32:32" x14ac:dyDescent="0.2">
      <c r="AF16378" s="12"/>
    </row>
    <row r="16379" spans="32:32" x14ac:dyDescent="0.2">
      <c r="AF16379" s="12"/>
    </row>
    <row r="16380" spans="32:32" x14ac:dyDescent="0.2">
      <c r="AF16380" s="12"/>
    </row>
    <row r="16381" spans="32:32" x14ac:dyDescent="0.2">
      <c r="AF16381" s="12"/>
    </row>
    <row r="16382" spans="32:32" x14ac:dyDescent="0.2">
      <c r="AF16382" s="12"/>
    </row>
    <row r="16383" spans="32:32" x14ac:dyDescent="0.2">
      <c r="AF16383" s="12"/>
    </row>
    <row r="16384" spans="32:32" x14ac:dyDescent="0.2">
      <c r="AF16384" s="12"/>
    </row>
    <row r="16385" spans="32:32" x14ac:dyDescent="0.2">
      <c r="AF16385" s="12"/>
    </row>
    <row r="16386" spans="32:32" x14ac:dyDescent="0.2">
      <c r="AF16386" s="12"/>
    </row>
    <row r="16387" spans="32:32" x14ac:dyDescent="0.2">
      <c r="AF16387" s="12"/>
    </row>
    <row r="16388" spans="32:32" x14ac:dyDescent="0.2">
      <c r="AF16388" s="12"/>
    </row>
    <row r="16389" spans="32:32" x14ac:dyDescent="0.2">
      <c r="AF16389" s="12"/>
    </row>
    <row r="16390" spans="32:32" x14ac:dyDescent="0.2">
      <c r="AF16390" s="12"/>
    </row>
    <row r="16391" spans="32:32" x14ac:dyDescent="0.2">
      <c r="AF16391" s="12"/>
    </row>
    <row r="16392" spans="32:32" x14ac:dyDescent="0.2">
      <c r="AF16392" s="12"/>
    </row>
    <row r="16393" spans="32:32" x14ac:dyDescent="0.2">
      <c r="AF16393" s="12"/>
    </row>
    <row r="16394" spans="32:32" x14ac:dyDescent="0.2">
      <c r="AF16394" s="12"/>
    </row>
    <row r="16395" spans="32:32" x14ac:dyDescent="0.2">
      <c r="AF16395" s="12"/>
    </row>
    <row r="16396" spans="32:32" x14ac:dyDescent="0.2">
      <c r="AF16396" s="12"/>
    </row>
    <row r="16397" spans="32:32" x14ac:dyDescent="0.2">
      <c r="AF16397" s="12"/>
    </row>
    <row r="16398" spans="32:32" x14ac:dyDescent="0.2">
      <c r="AF16398" s="12"/>
    </row>
    <row r="16399" spans="32:32" x14ac:dyDescent="0.2">
      <c r="AF16399" s="12"/>
    </row>
    <row r="16400" spans="32:32" x14ac:dyDescent="0.2">
      <c r="AF16400" s="12"/>
    </row>
    <row r="16401" spans="32:32" x14ac:dyDescent="0.2">
      <c r="AF16401" s="12"/>
    </row>
    <row r="16402" spans="32:32" x14ac:dyDescent="0.2">
      <c r="AF16402" s="12"/>
    </row>
    <row r="16403" spans="32:32" x14ac:dyDescent="0.2">
      <c r="AF16403" s="12"/>
    </row>
    <row r="16404" spans="32:32" x14ac:dyDescent="0.2">
      <c r="AF16404" s="12"/>
    </row>
    <row r="16405" spans="32:32" x14ac:dyDescent="0.2">
      <c r="AF16405" s="12"/>
    </row>
    <row r="16406" spans="32:32" x14ac:dyDescent="0.2">
      <c r="AF16406" s="12"/>
    </row>
    <row r="16407" spans="32:32" x14ac:dyDescent="0.2">
      <c r="AF16407" s="12"/>
    </row>
    <row r="16408" spans="32:32" x14ac:dyDescent="0.2">
      <c r="AF16408" s="12"/>
    </row>
    <row r="16409" spans="32:32" x14ac:dyDescent="0.2">
      <c r="AF16409" s="12"/>
    </row>
    <row r="16410" spans="32:32" x14ac:dyDescent="0.2">
      <c r="AF16410" s="12"/>
    </row>
    <row r="16411" spans="32:32" x14ac:dyDescent="0.2">
      <c r="AF16411" s="12"/>
    </row>
    <row r="16412" spans="32:32" x14ac:dyDescent="0.2">
      <c r="AF16412" s="12"/>
    </row>
    <row r="16413" spans="32:32" x14ac:dyDescent="0.2">
      <c r="AF16413" s="12"/>
    </row>
    <row r="16414" spans="32:32" x14ac:dyDescent="0.2">
      <c r="AF16414" s="12"/>
    </row>
    <row r="16415" spans="32:32" x14ac:dyDescent="0.2">
      <c r="AF16415" s="12"/>
    </row>
    <row r="16416" spans="32:32" x14ac:dyDescent="0.2">
      <c r="AF16416" s="12"/>
    </row>
    <row r="16417" spans="32:32" x14ac:dyDescent="0.2">
      <c r="AF16417" s="12"/>
    </row>
    <row r="16418" spans="32:32" x14ac:dyDescent="0.2">
      <c r="AF16418" s="12"/>
    </row>
    <row r="16419" spans="32:32" x14ac:dyDescent="0.2">
      <c r="AF16419" s="12"/>
    </row>
    <row r="16420" spans="32:32" x14ac:dyDescent="0.2">
      <c r="AF16420" s="12"/>
    </row>
    <row r="16421" spans="32:32" x14ac:dyDescent="0.2">
      <c r="AF16421" s="12"/>
    </row>
    <row r="16422" spans="32:32" x14ac:dyDescent="0.2">
      <c r="AF16422" s="12"/>
    </row>
    <row r="16423" spans="32:32" x14ac:dyDescent="0.2">
      <c r="AF16423" s="12"/>
    </row>
    <row r="16424" spans="32:32" x14ac:dyDescent="0.2">
      <c r="AF16424" s="12"/>
    </row>
    <row r="16425" spans="32:32" x14ac:dyDescent="0.2">
      <c r="AF16425" s="12"/>
    </row>
    <row r="16426" spans="32:32" x14ac:dyDescent="0.2">
      <c r="AF16426" s="12"/>
    </row>
    <row r="16427" spans="32:32" x14ac:dyDescent="0.2">
      <c r="AF16427" s="12"/>
    </row>
    <row r="16428" spans="32:32" x14ac:dyDescent="0.2">
      <c r="AF16428" s="12"/>
    </row>
    <row r="16429" spans="32:32" x14ac:dyDescent="0.2">
      <c r="AF16429" s="12"/>
    </row>
    <row r="16430" spans="32:32" x14ac:dyDescent="0.2">
      <c r="AF16430" s="12"/>
    </row>
    <row r="16431" spans="32:32" x14ac:dyDescent="0.2">
      <c r="AF16431" s="12"/>
    </row>
    <row r="16432" spans="32:32" x14ac:dyDescent="0.2">
      <c r="AF16432" s="12"/>
    </row>
    <row r="16433" spans="32:32" x14ac:dyDescent="0.2">
      <c r="AF16433" s="12"/>
    </row>
    <row r="16434" spans="32:32" x14ac:dyDescent="0.2">
      <c r="AF16434" s="12"/>
    </row>
    <row r="16435" spans="32:32" x14ac:dyDescent="0.2">
      <c r="AF16435" s="12"/>
    </row>
    <row r="16436" spans="32:32" x14ac:dyDescent="0.2">
      <c r="AF16436" s="12"/>
    </row>
    <row r="16437" spans="32:32" x14ac:dyDescent="0.2">
      <c r="AF16437" s="12"/>
    </row>
    <row r="16438" spans="32:32" x14ac:dyDescent="0.2">
      <c r="AF16438" s="12"/>
    </row>
    <row r="16439" spans="32:32" x14ac:dyDescent="0.2">
      <c r="AF16439" s="12"/>
    </row>
    <row r="16440" spans="32:32" x14ac:dyDescent="0.2">
      <c r="AF16440" s="12"/>
    </row>
    <row r="16441" spans="32:32" x14ac:dyDescent="0.2">
      <c r="AF16441" s="12"/>
    </row>
    <row r="16442" spans="32:32" x14ac:dyDescent="0.2">
      <c r="AF16442" s="12"/>
    </row>
    <row r="16443" spans="32:32" x14ac:dyDescent="0.2">
      <c r="AF16443" s="12"/>
    </row>
    <row r="16444" spans="32:32" x14ac:dyDescent="0.2">
      <c r="AF16444" s="12"/>
    </row>
    <row r="16445" spans="32:32" x14ac:dyDescent="0.2">
      <c r="AF16445" s="12"/>
    </row>
    <row r="16446" spans="32:32" x14ac:dyDescent="0.2">
      <c r="AF16446" s="12"/>
    </row>
    <row r="16447" spans="32:32" x14ac:dyDescent="0.2">
      <c r="AF16447" s="12"/>
    </row>
    <row r="16448" spans="32:32" x14ac:dyDescent="0.2">
      <c r="AF16448" s="12"/>
    </row>
    <row r="16449" spans="32:32" x14ac:dyDescent="0.2">
      <c r="AF16449" s="12"/>
    </row>
    <row r="16450" spans="32:32" x14ac:dyDescent="0.2">
      <c r="AF16450" s="12"/>
    </row>
    <row r="16451" spans="32:32" x14ac:dyDescent="0.2">
      <c r="AF16451" s="12"/>
    </row>
    <row r="16452" spans="32:32" x14ac:dyDescent="0.2">
      <c r="AF16452" s="12"/>
    </row>
    <row r="16453" spans="32:32" x14ac:dyDescent="0.2">
      <c r="AF16453" s="12"/>
    </row>
    <row r="16454" spans="32:32" x14ac:dyDescent="0.2">
      <c r="AF16454" s="12"/>
    </row>
    <row r="16455" spans="32:32" x14ac:dyDescent="0.2">
      <c r="AF16455" s="12"/>
    </row>
    <row r="16456" spans="32:32" x14ac:dyDescent="0.2">
      <c r="AF16456" s="12"/>
    </row>
    <row r="16457" spans="32:32" x14ac:dyDescent="0.2">
      <c r="AF16457" s="12"/>
    </row>
    <row r="16458" spans="32:32" x14ac:dyDescent="0.2">
      <c r="AF16458" s="12"/>
    </row>
    <row r="16459" spans="32:32" x14ac:dyDescent="0.2">
      <c r="AF16459" s="12"/>
    </row>
    <row r="16460" spans="32:32" x14ac:dyDescent="0.2">
      <c r="AF16460" s="12"/>
    </row>
    <row r="16461" spans="32:32" x14ac:dyDescent="0.2">
      <c r="AF16461" s="12"/>
    </row>
    <row r="16462" spans="32:32" x14ac:dyDescent="0.2">
      <c r="AF16462" s="12"/>
    </row>
    <row r="16463" spans="32:32" x14ac:dyDescent="0.2">
      <c r="AF16463" s="12"/>
    </row>
    <row r="16464" spans="32:32" x14ac:dyDescent="0.2">
      <c r="AF16464" s="12"/>
    </row>
    <row r="16465" spans="32:32" x14ac:dyDescent="0.2">
      <c r="AF16465" s="12"/>
    </row>
    <row r="16466" spans="32:32" x14ac:dyDescent="0.2">
      <c r="AF16466" s="12"/>
    </row>
    <row r="16467" spans="32:32" x14ac:dyDescent="0.2">
      <c r="AF16467" s="12"/>
    </row>
    <row r="16468" spans="32:32" x14ac:dyDescent="0.2">
      <c r="AF16468" s="12"/>
    </row>
    <row r="16469" spans="32:32" x14ac:dyDescent="0.2">
      <c r="AF16469" s="12"/>
    </row>
    <row r="16470" spans="32:32" x14ac:dyDescent="0.2">
      <c r="AF16470" s="12"/>
    </row>
    <row r="16471" spans="32:32" x14ac:dyDescent="0.2">
      <c r="AF16471" s="12"/>
    </row>
    <row r="16472" spans="32:32" x14ac:dyDescent="0.2">
      <c r="AF16472" s="12"/>
    </row>
    <row r="16473" spans="32:32" x14ac:dyDescent="0.2">
      <c r="AF16473" s="12"/>
    </row>
    <row r="16474" spans="32:32" x14ac:dyDescent="0.2">
      <c r="AF16474" s="12"/>
    </row>
    <row r="16475" spans="32:32" x14ac:dyDescent="0.2">
      <c r="AF16475" s="12"/>
    </row>
    <row r="16476" spans="32:32" x14ac:dyDescent="0.2">
      <c r="AF16476" s="12"/>
    </row>
    <row r="16477" spans="32:32" x14ac:dyDescent="0.2">
      <c r="AF16477" s="12"/>
    </row>
    <row r="16478" spans="32:32" x14ac:dyDescent="0.2">
      <c r="AF16478" s="12"/>
    </row>
    <row r="16479" spans="32:32" x14ac:dyDescent="0.2">
      <c r="AF16479" s="12"/>
    </row>
    <row r="16480" spans="32:32" x14ac:dyDescent="0.2">
      <c r="AF16480" s="12"/>
    </row>
    <row r="16481" spans="32:32" x14ac:dyDescent="0.2">
      <c r="AF16481" s="12"/>
    </row>
    <row r="16482" spans="32:32" x14ac:dyDescent="0.2">
      <c r="AF16482" s="12"/>
    </row>
    <row r="16483" spans="32:32" x14ac:dyDescent="0.2">
      <c r="AF16483" s="12"/>
    </row>
    <row r="16484" spans="32:32" x14ac:dyDescent="0.2">
      <c r="AF16484" s="12"/>
    </row>
    <row r="16485" spans="32:32" x14ac:dyDescent="0.2">
      <c r="AF16485" s="12"/>
    </row>
    <row r="16486" spans="32:32" x14ac:dyDescent="0.2">
      <c r="AF16486" s="12"/>
    </row>
    <row r="16487" spans="32:32" x14ac:dyDescent="0.2">
      <c r="AF16487" s="12"/>
    </row>
    <row r="16488" spans="32:32" x14ac:dyDescent="0.2">
      <c r="AF16488" s="12"/>
    </row>
    <row r="16489" spans="32:32" x14ac:dyDescent="0.2">
      <c r="AF16489" s="12"/>
    </row>
    <row r="16490" spans="32:32" x14ac:dyDescent="0.2">
      <c r="AF16490" s="12"/>
    </row>
    <row r="16491" spans="32:32" x14ac:dyDescent="0.2">
      <c r="AF16491" s="12"/>
    </row>
    <row r="16492" spans="32:32" x14ac:dyDescent="0.2">
      <c r="AF16492" s="12"/>
    </row>
    <row r="16493" spans="32:32" x14ac:dyDescent="0.2">
      <c r="AF16493" s="12"/>
    </row>
    <row r="16494" spans="32:32" x14ac:dyDescent="0.2">
      <c r="AF16494" s="12"/>
    </row>
    <row r="16495" spans="32:32" x14ac:dyDescent="0.2">
      <c r="AF16495" s="12"/>
    </row>
    <row r="16496" spans="32:32" x14ac:dyDescent="0.2">
      <c r="AF16496" s="12"/>
    </row>
    <row r="16497" spans="32:32" x14ac:dyDescent="0.2">
      <c r="AF16497" s="12"/>
    </row>
    <row r="16498" spans="32:32" x14ac:dyDescent="0.2">
      <c r="AF16498" s="12"/>
    </row>
    <row r="16499" spans="32:32" x14ac:dyDescent="0.2">
      <c r="AF16499" s="12"/>
    </row>
    <row r="16500" spans="32:32" x14ac:dyDescent="0.2">
      <c r="AF16500" s="12"/>
    </row>
    <row r="16501" spans="32:32" x14ac:dyDescent="0.2">
      <c r="AF16501" s="12"/>
    </row>
    <row r="16502" spans="32:32" x14ac:dyDescent="0.2">
      <c r="AF16502" s="12"/>
    </row>
    <row r="16503" spans="32:32" x14ac:dyDescent="0.2">
      <c r="AF16503" s="12"/>
    </row>
    <row r="16504" spans="32:32" x14ac:dyDescent="0.2">
      <c r="AF16504" s="12"/>
    </row>
    <row r="16505" spans="32:32" x14ac:dyDescent="0.2">
      <c r="AF16505" s="12"/>
    </row>
    <row r="16506" spans="32:32" x14ac:dyDescent="0.2">
      <c r="AF16506" s="12"/>
    </row>
    <row r="16507" spans="32:32" x14ac:dyDescent="0.2">
      <c r="AF16507" s="12"/>
    </row>
    <row r="16508" spans="32:32" x14ac:dyDescent="0.2">
      <c r="AF16508" s="12"/>
    </row>
    <row r="16509" spans="32:32" x14ac:dyDescent="0.2">
      <c r="AF16509" s="12"/>
    </row>
    <row r="16510" spans="32:32" x14ac:dyDescent="0.2">
      <c r="AF16510" s="12"/>
    </row>
    <row r="16511" spans="32:32" x14ac:dyDescent="0.2">
      <c r="AF16511" s="12"/>
    </row>
    <row r="16512" spans="32:32" x14ac:dyDescent="0.2">
      <c r="AF16512" s="12"/>
    </row>
    <row r="16513" spans="32:32" x14ac:dyDescent="0.2">
      <c r="AF16513" s="12"/>
    </row>
    <row r="16514" spans="32:32" x14ac:dyDescent="0.2">
      <c r="AF16514" s="12"/>
    </row>
    <row r="16515" spans="32:32" x14ac:dyDescent="0.2">
      <c r="AF16515" s="12"/>
    </row>
    <row r="16516" spans="32:32" x14ac:dyDescent="0.2">
      <c r="AF16516" s="12"/>
    </row>
    <row r="16517" spans="32:32" x14ac:dyDescent="0.2">
      <c r="AF16517" s="12"/>
    </row>
    <row r="16518" spans="32:32" x14ac:dyDescent="0.2">
      <c r="AF16518" s="12"/>
    </row>
    <row r="16519" spans="32:32" x14ac:dyDescent="0.2">
      <c r="AF16519" s="12"/>
    </row>
    <row r="16520" spans="32:32" x14ac:dyDescent="0.2">
      <c r="AF16520" s="12"/>
    </row>
    <row r="16521" spans="32:32" x14ac:dyDescent="0.2">
      <c r="AF16521" s="12"/>
    </row>
    <row r="16522" spans="32:32" x14ac:dyDescent="0.2">
      <c r="AF16522" s="12"/>
    </row>
    <row r="16523" spans="32:32" x14ac:dyDescent="0.2">
      <c r="AF16523" s="12"/>
    </row>
    <row r="16524" spans="32:32" x14ac:dyDescent="0.2">
      <c r="AF16524" s="12"/>
    </row>
    <row r="16525" spans="32:32" x14ac:dyDescent="0.2">
      <c r="AF16525" s="12"/>
    </row>
    <row r="16526" spans="32:32" x14ac:dyDescent="0.2">
      <c r="AF16526" s="12"/>
    </row>
    <row r="16527" spans="32:32" x14ac:dyDescent="0.2">
      <c r="AF16527" s="12"/>
    </row>
    <row r="16528" spans="32:32" x14ac:dyDescent="0.2">
      <c r="AF16528" s="12"/>
    </row>
    <row r="16529" spans="32:32" x14ac:dyDescent="0.2">
      <c r="AF16529" s="12"/>
    </row>
    <row r="16530" spans="32:32" x14ac:dyDescent="0.2">
      <c r="AF16530" s="12"/>
    </row>
    <row r="16531" spans="32:32" x14ac:dyDescent="0.2">
      <c r="AF16531" s="12"/>
    </row>
    <row r="16532" spans="32:32" x14ac:dyDescent="0.2">
      <c r="AF16532" s="12"/>
    </row>
    <row r="16533" spans="32:32" x14ac:dyDescent="0.2">
      <c r="AF16533" s="12"/>
    </row>
    <row r="16534" spans="32:32" x14ac:dyDescent="0.2">
      <c r="AF16534" s="12"/>
    </row>
    <row r="16535" spans="32:32" x14ac:dyDescent="0.2">
      <c r="AF16535" s="12"/>
    </row>
    <row r="16536" spans="32:32" x14ac:dyDescent="0.2">
      <c r="AF16536" s="12"/>
    </row>
    <row r="16537" spans="32:32" x14ac:dyDescent="0.2">
      <c r="AF16537" s="12"/>
    </row>
    <row r="16538" spans="32:32" x14ac:dyDescent="0.2">
      <c r="AF16538" s="12"/>
    </row>
    <row r="16539" spans="32:32" x14ac:dyDescent="0.2">
      <c r="AF16539" s="12"/>
    </row>
    <row r="16540" spans="32:32" x14ac:dyDescent="0.2">
      <c r="AF16540" s="12"/>
    </row>
    <row r="16541" spans="32:32" x14ac:dyDescent="0.2">
      <c r="AF16541" s="12"/>
    </row>
    <row r="16542" spans="32:32" x14ac:dyDescent="0.2">
      <c r="AF16542" s="12"/>
    </row>
    <row r="16543" spans="32:32" x14ac:dyDescent="0.2">
      <c r="AF16543" s="12"/>
    </row>
    <row r="16544" spans="32:32" x14ac:dyDescent="0.2">
      <c r="AF16544" s="12"/>
    </row>
    <row r="16545" spans="32:32" x14ac:dyDescent="0.2">
      <c r="AF16545" s="12"/>
    </row>
    <row r="16546" spans="32:32" x14ac:dyDescent="0.2">
      <c r="AF16546" s="12"/>
    </row>
    <row r="16547" spans="32:32" x14ac:dyDescent="0.2">
      <c r="AF16547" s="12"/>
    </row>
    <row r="16548" spans="32:32" x14ac:dyDescent="0.2">
      <c r="AF16548" s="12"/>
    </row>
    <row r="16549" spans="32:32" x14ac:dyDescent="0.2">
      <c r="AF16549" s="12"/>
    </row>
    <row r="16550" spans="32:32" x14ac:dyDescent="0.2">
      <c r="AF16550" s="12"/>
    </row>
    <row r="16551" spans="32:32" x14ac:dyDescent="0.2">
      <c r="AF16551" s="12"/>
    </row>
    <row r="16552" spans="32:32" x14ac:dyDescent="0.2">
      <c r="AF16552" s="12"/>
    </row>
    <row r="16553" spans="32:32" x14ac:dyDescent="0.2">
      <c r="AF16553" s="12"/>
    </row>
    <row r="16554" spans="32:32" x14ac:dyDescent="0.2">
      <c r="AF16554" s="12"/>
    </row>
    <row r="16555" spans="32:32" x14ac:dyDescent="0.2">
      <c r="AF16555" s="12"/>
    </row>
    <row r="16556" spans="32:32" x14ac:dyDescent="0.2">
      <c r="AF16556" s="12"/>
    </row>
    <row r="16557" spans="32:32" x14ac:dyDescent="0.2">
      <c r="AF16557" s="12"/>
    </row>
    <row r="16558" spans="32:32" x14ac:dyDescent="0.2">
      <c r="AF16558" s="12"/>
    </row>
    <row r="16559" spans="32:32" x14ac:dyDescent="0.2">
      <c r="AF16559" s="12"/>
    </row>
    <row r="16560" spans="32:32" x14ac:dyDescent="0.2">
      <c r="AF16560" s="12"/>
    </row>
    <row r="16561" spans="32:32" x14ac:dyDescent="0.2">
      <c r="AF16561" s="12"/>
    </row>
    <row r="16562" spans="32:32" x14ac:dyDescent="0.2">
      <c r="AF16562" s="12"/>
    </row>
    <row r="16563" spans="32:32" x14ac:dyDescent="0.2">
      <c r="AF16563" s="12"/>
    </row>
    <row r="16564" spans="32:32" x14ac:dyDescent="0.2">
      <c r="AF16564" s="12"/>
    </row>
    <row r="16565" spans="32:32" x14ac:dyDescent="0.2">
      <c r="AF16565" s="12"/>
    </row>
    <row r="16566" spans="32:32" x14ac:dyDescent="0.2">
      <c r="AF16566" s="12"/>
    </row>
    <row r="16567" spans="32:32" x14ac:dyDescent="0.2">
      <c r="AF16567" s="12"/>
    </row>
    <row r="16568" spans="32:32" x14ac:dyDescent="0.2">
      <c r="AF16568" s="12"/>
    </row>
    <row r="16569" spans="32:32" x14ac:dyDescent="0.2">
      <c r="AF16569" s="12"/>
    </row>
    <row r="16570" spans="32:32" x14ac:dyDescent="0.2">
      <c r="AF16570" s="12"/>
    </row>
    <row r="16571" spans="32:32" x14ac:dyDescent="0.2">
      <c r="AF16571" s="12"/>
    </row>
    <row r="16572" spans="32:32" x14ac:dyDescent="0.2">
      <c r="AF16572" s="12"/>
    </row>
    <row r="16573" spans="32:32" x14ac:dyDescent="0.2">
      <c r="AF16573" s="12"/>
    </row>
    <row r="16574" spans="32:32" x14ac:dyDescent="0.2">
      <c r="AF16574" s="12"/>
    </row>
    <row r="16575" spans="32:32" x14ac:dyDescent="0.2">
      <c r="AF16575" s="12"/>
    </row>
    <row r="16576" spans="32:32" x14ac:dyDescent="0.2">
      <c r="AF16576" s="12"/>
    </row>
    <row r="16577" spans="32:32" x14ac:dyDescent="0.2">
      <c r="AF16577" s="12"/>
    </row>
    <row r="16578" spans="32:32" x14ac:dyDescent="0.2">
      <c r="AF16578" s="12"/>
    </row>
    <row r="16579" spans="32:32" x14ac:dyDescent="0.2">
      <c r="AF16579" s="12"/>
    </row>
    <row r="16580" spans="32:32" x14ac:dyDescent="0.2">
      <c r="AF16580" s="12"/>
    </row>
    <row r="16581" spans="32:32" x14ac:dyDescent="0.2">
      <c r="AF16581" s="12"/>
    </row>
    <row r="16582" spans="32:32" x14ac:dyDescent="0.2">
      <c r="AF16582" s="12"/>
    </row>
    <row r="16583" spans="32:32" x14ac:dyDescent="0.2">
      <c r="AF16583" s="12"/>
    </row>
    <row r="16584" spans="32:32" x14ac:dyDescent="0.2">
      <c r="AF16584" s="12"/>
    </row>
    <row r="16585" spans="32:32" x14ac:dyDescent="0.2">
      <c r="AF16585" s="12"/>
    </row>
    <row r="16586" spans="32:32" x14ac:dyDescent="0.2">
      <c r="AF16586" s="12"/>
    </row>
    <row r="16587" spans="32:32" x14ac:dyDescent="0.2">
      <c r="AF16587" s="12"/>
    </row>
    <row r="16588" spans="32:32" x14ac:dyDescent="0.2">
      <c r="AF16588" s="12"/>
    </row>
    <row r="16589" spans="32:32" x14ac:dyDescent="0.2">
      <c r="AF16589" s="12"/>
    </row>
    <row r="16590" spans="32:32" x14ac:dyDescent="0.2">
      <c r="AF16590" s="12"/>
    </row>
    <row r="16591" spans="32:32" x14ac:dyDescent="0.2">
      <c r="AF16591" s="12"/>
    </row>
    <row r="16592" spans="32:32" x14ac:dyDescent="0.2">
      <c r="AF16592" s="12"/>
    </row>
    <row r="16593" spans="32:32" x14ac:dyDescent="0.2">
      <c r="AF16593" s="12"/>
    </row>
    <row r="16594" spans="32:32" x14ac:dyDescent="0.2">
      <c r="AF16594" s="12"/>
    </row>
    <row r="16595" spans="32:32" x14ac:dyDescent="0.2">
      <c r="AF16595" s="12"/>
    </row>
    <row r="16596" spans="32:32" x14ac:dyDescent="0.2">
      <c r="AF16596" s="12"/>
    </row>
    <row r="16597" spans="32:32" x14ac:dyDescent="0.2">
      <c r="AF16597" s="12"/>
    </row>
    <row r="16598" spans="32:32" x14ac:dyDescent="0.2">
      <c r="AF16598" s="12"/>
    </row>
    <row r="16599" spans="32:32" x14ac:dyDescent="0.2">
      <c r="AF16599" s="12"/>
    </row>
    <row r="16600" spans="32:32" x14ac:dyDescent="0.2">
      <c r="AF16600" s="12"/>
    </row>
    <row r="16601" spans="32:32" x14ac:dyDescent="0.2">
      <c r="AF16601" s="12"/>
    </row>
    <row r="16602" spans="32:32" x14ac:dyDescent="0.2">
      <c r="AF16602" s="12"/>
    </row>
    <row r="16603" spans="32:32" x14ac:dyDescent="0.2">
      <c r="AF16603" s="12"/>
    </row>
    <row r="16604" spans="32:32" x14ac:dyDescent="0.2">
      <c r="AF16604" s="12"/>
    </row>
    <row r="16605" spans="32:32" x14ac:dyDescent="0.2">
      <c r="AF16605" s="12"/>
    </row>
    <row r="16606" spans="32:32" x14ac:dyDescent="0.2">
      <c r="AF16606" s="12"/>
    </row>
    <row r="16607" spans="32:32" x14ac:dyDescent="0.2">
      <c r="AF16607" s="12"/>
    </row>
    <row r="16608" spans="32:32" x14ac:dyDescent="0.2">
      <c r="AF16608" s="12"/>
    </row>
    <row r="16609" spans="32:32" x14ac:dyDescent="0.2">
      <c r="AF16609" s="12"/>
    </row>
    <row r="16610" spans="32:32" x14ac:dyDescent="0.2">
      <c r="AF16610" s="12"/>
    </row>
    <row r="16611" spans="32:32" x14ac:dyDescent="0.2">
      <c r="AF16611" s="12"/>
    </row>
    <row r="16612" spans="32:32" x14ac:dyDescent="0.2">
      <c r="AF16612" s="12"/>
    </row>
    <row r="16613" spans="32:32" x14ac:dyDescent="0.2">
      <c r="AF16613" s="12"/>
    </row>
    <row r="16614" spans="32:32" x14ac:dyDescent="0.2">
      <c r="AF16614" s="12"/>
    </row>
    <row r="16615" spans="32:32" x14ac:dyDescent="0.2">
      <c r="AF16615" s="12"/>
    </row>
    <row r="16616" spans="32:32" x14ac:dyDescent="0.2">
      <c r="AF16616" s="12"/>
    </row>
    <row r="16617" spans="32:32" x14ac:dyDescent="0.2">
      <c r="AF16617" s="12"/>
    </row>
    <row r="16618" spans="32:32" x14ac:dyDescent="0.2">
      <c r="AF16618" s="12"/>
    </row>
    <row r="16619" spans="32:32" x14ac:dyDescent="0.2">
      <c r="AF16619" s="12"/>
    </row>
    <row r="16620" spans="32:32" x14ac:dyDescent="0.2">
      <c r="AF16620" s="12"/>
    </row>
    <row r="16621" spans="32:32" x14ac:dyDescent="0.2">
      <c r="AF16621" s="12"/>
    </row>
    <row r="16622" spans="32:32" x14ac:dyDescent="0.2">
      <c r="AF16622" s="12"/>
    </row>
    <row r="16623" spans="32:32" x14ac:dyDescent="0.2">
      <c r="AF16623" s="12"/>
    </row>
    <row r="16624" spans="32:32" x14ac:dyDescent="0.2">
      <c r="AF16624" s="12"/>
    </row>
    <row r="16625" spans="32:32" x14ac:dyDescent="0.2">
      <c r="AF16625" s="12"/>
    </row>
    <row r="16626" spans="32:32" x14ac:dyDescent="0.2">
      <c r="AF16626" s="12"/>
    </row>
    <row r="16627" spans="32:32" x14ac:dyDescent="0.2">
      <c r="AF16627" s="12"/>
    </row>
    <row r="16628" spans="32:32" x14ac:dyDescent="0.2">
      <c r="AF16628" s="12"/>
    </row>
    <row r="16629" spans="32:32" x14ac:dyDescent="0.2">
      <c r="AF16629" s="12"/>
    </row>
    <row r="16630" spans="32:32" x14ac:dyDescent="0.2">
      <c r="AF16630" s="12"/>
    </row>
    <row r="16631" spans="32:32" x14ac:dyDescent="0.2">
      <c r="AF16631" s="12"/>
    </row>
    <row r="16632" spans="32:32" x14ac:dyDescent="0.2">
      <c r="AF16632" s="12"/>
    </row>
    <row r="16633" spans="32:32" x14ac:dyDescent="0.2">
      <c r="AF16633" s="12"/>
    </row>
    <row r="16634" spans="32:32" x14ac:dyDescent="0.2">
      <c r="AF16634" s="12"/>
    </row>
    <row r="16635" spans="32:32" x14ac:dyDescent="0.2">
      <c r="AF16635" s="12"/>
    </row>
    <row r="16636" spans="32:32" x14ac:dyDescent="0.2">
      <c r="AF16636" s="12"/>
    </row>
    <row r="16637" spans="32:32" x14ac:dyDescent="0.2">
      <c r="AF16637" s="12"/>
    </row>
    <row r="16638" spans="32:32" x14ac:dyDescent="0.2">
      <c r="AF16638" s="12"/>
    </row>
    <row r="16639" spans="32:32" x14ac:dyDescent="0.2">
      <c r="AF16639" s="12"/>
    </row>
    <row r="16640" spans="32:32" x14ac:dyDescent="0.2">
      <c r="AF16640" s="12"/>
    </row>
    <row r="16641" spans="32:32" x14ac:dyDescent="0.2">
      <c r="AF16641" s="12"/>
    </row>
    <row r="16642" spans="32:32" x14ac:dyDescent="0.2">
      <c r="AF16642" s="12"/>
    </row>
    <row r="16643" spans="32:32" x14ac:dyDescent="0.2">
      <c r="AF16643" s="12"/>
    </row>
    <row r="16644" spans="32:32" x14ac:dyDescent="0.2">
      <c r="AF16644" s="12"/>
    </row>
    <row r="16645" spans="32:32" x14ac:dyDescent="0.2">
      <c r="AF16645" s="12"/>
    </row>
    <row r="16646" spans="32:32" x14ac:dyDescent="0.2">
      <c r="AF16646" s="12"/>
    </row>
    <row r="16647" spans="32:32" x14ac:dyDescent="0.2">
      <c r="AF16647" s="12"/>
    </row>
    <row r="16648" spans="32:32" x14ac:dyDescent="0.2">
      <c r="AF16648" s="12"/>
    </row>
    <row r="16649" spans="32:32" x14ac:dyDescent="0.2">
      <c r="AF16649" s="12"/>
    </row>
    <row r="16650" spans="32:32" x14ac:dyDescent="0.2">
      <c r="AF16650" s="12"/>
    </row>
    <row r="16651" spans="32:32" x14ac:dyDescent="0.2">
      <c r="AF16651" s="12"/>
    </row>
    <row r="16652" spans="32:32" x14ac:dyDescent="0.2">
      <c r="AF16652" s="12"/>
    </row>
    <row r="16653" spans="32:32" x14ac:dyDescent="0.2">
      <c r="AF16653" s="12"/>
    </row>
    <row r="16654" spans="32:32" x14ac:dyDescent="0.2">
      <c r="AF16654" s="12"/>
    </row>
    <row r="16655" spans="32:32" x14ac:dyDescent="0.2">
      <c r="AF16655" s="12"/>
    </row>
    <row r="16656" spans="32:32" x14ac:dyDescent="0.2">
      <c r="AF16656" s="12"/>
    </row>
    <row r="16657" spans="32:32" x14ac:dyDescent="0.2">
      <c r="AF16657" s="12"/>
    </row>
    <row r="16658" spans="32:32" x14ac:dyDescent="0.2">
      <c r="AF16658" s="12"/>
    </row>
    <row r="16659" spans="32:32" x14ac:dyDescent="0.2">
      <c r="AF16659" s="12"/>
    </row>
    <row r="16660" spans="32:32" x14ac:dyDescent="0.2">
      <c r="AF16660" s="12"/>
    </row>
    <row r="16661" spans="32:32" x14ac:dyDescent="0.2">
      <c r="AF16661" s="12"/>
    </row>
    <row r="16662" spans="32:32" x14ac:dyDescent="0.2">
      <c r="AF16662" s="12"/>
    </row>
    <row r="16663" spans="32:32" x14ac:dyDescent="0.2">
      <c r="AF16663" s="12"/>
    </row>
    <row r="16664" spans="32:32" x14ac:dyDescent="0.2">
      <c r="AF16664" s="12"/>
    </row>
    <row r="16665" spans="32:32" x14ac:dyDescent="0.2">
      <c r="AF16665" s="12"/>
    </row>
    <row r="16666" spans="32:32" x14ac:dyDescent="0.2">
      <c r="AF16666" s="12"/>
    </row>
    <row r="16667" spans="32:32" x14ac:dyDescent="0.2">
      <c r="AF16667" s="12"/>
    </row>
    <row r="16668" spans="32:32" x14ac:dyDescent="0.2">
      <c r="AF16668" s="12"/>
    </row>
    <row r="16669" spans="32:32" x14ac:dyDescent="0.2">
      <c r="AF16669" s="12"/>
    </row>
    <row r="16670" spans="32:32" x14ac:dyDescent="0.2">
      <c r="AF16670" s="12"/>
    </row>
    <row r="16671" spans="32:32" x14ac:dyDescent="0.2">
      <c r="AF16671" s="12"/>
    </row>
    <row r="16672" spans="32:32" x14ac:dyDescent="0.2">
      <c r="AF16672" s="12"/>
    </row>
    <row r="16673" spans="32:32" x14ac:dyDescent="0.2">
      <c r="AF16673" s="12"/>
    </row>
    <row r="16674" spans="32:32" x14ac:dyDescent="0.2">
      <c r="AF16674" s="12"/>
    </row>
    <row r="16675" spans="32:32" x14ac:dyDescent="0.2">
      <c r="AF16675" s="12"/>
    </row>
    <row r="16676" spans="32:32" x14ac:dyDescent="0.2">
      <c r="AF16676" s="12"/>
    </row>
    <row r="16677" spans="32:32" x14ac:dyDescent="0.2">
      <c r="AF16677" s="12"/>
    </row>
    <row r="16678" spans="32:32" x14ac:dyDescent="0.2">
      <c r="AF16678" s="12"/>
    </row>
    <row r="16679" spans="32:32" x14ac:dyDescent="0.2">
      <c r="AF16679" s="12"/>
    </row>
    <row r="16680" spans="32:32" x14ac:dyDescent="0.2">
      <c r="AF16680" s="12"/>
    </row>
    <row r="16681" spans="32:32" x14ac:dyDescent="0.2">
      <c r="AF16681" s="12"/>
    </row>
    <row r="16682" spans="32:32" x14ac:dyDescent="0.2">
      <c r="AF16682" s="12"/>
    </row>
    <row r="16683" spans="32:32" x14ac:dyDescent="0.2">
      <c r="AF16683" s="12"/>
    </row>
    <row r="16684" spans="32:32" x14ac:dyDescent="0.2">
      <c r="AF16684" s="12"/>
    </row>
    <row r="16685" spans="32:32" x14ac:dyDescent="0.2">
      <c r="AF16685" s="12"/>
    </row>
    <row r="16686" spans="32:32" x14ac:dyDescent="0.2">
      <c r="AF16686" s="12"/>
    </row>
    <row r="16687" spans="32:32" x14ac:dyDescent="0.2">
      <c r="AF16687" s="12"/>
    </row>
    <row r="16688" spans="32:32" x14ac:dyDescent="0.2">
      <c r="AF16688" s="12"/>
    </row>
    <row r="16689" spans="32:32" x14ac:dyDescent="0.2">
      <c r="AF16689" s="12"/>
    </row>
    <row r="16690" spans="32:32" x14ac:dyDescent="0.2">
      <c r="AF16690" s="12"/>
    </row>
    <row r="16691" spans="32:32" x14ac:dyDescent="0.2">
      <c r="AF16691" s="12"/>
    </row>
    <row r="16692" spans="32:32" x14ac:dyDescent="0.2">
      <c r="AF16692" s="12"/>
    </row>
    <row r="16693" spans="32:32" x14ac:dyDescent="0.2">
      <c r="AF16693" s="12"/>
    </row>
    <row r="16694" spans="32:32" x14ac:dyDescent="0.2">
      <c r="AF16694" s="12"/>
    </row>
    <row r="16695" spans="32:32" x14ac:dyDescent="0.2">
      <c r="AF16695" s="12"/>
    </row>
    <row r="16696" spans="32:32" x14ac:dyDescent="0.2">
      <c r="AF16696" s="12"/>
    </row>
    <row r="16697" spans="32:32" x14ac:dyDescent="0.2">
      <c r="AF16697" s="12"/>
    </row>
    <row r="16698" spans="32:32" x14ac:dyDescent="0.2">
      <c r="AF16698" s="12"/>
    </row>
    <row r="16699" spans="32:32" x14ac:dyDescent="0.2">
      <c r="AF16699" s="12"/>
    </row>
    <row r="16700" spans="32:32" x14ac:dyDescent="0.2">
      <c r="AF16700" s="12"/>
    </row>
    <row r="16701" spans="32:32" x14ac:dyDescent="0.2">
      <c r="AF16701" s="12"/>
    </row>
    <row r="16702" spans="32:32" x14ac:dyDescent="0.2">
      <c r="AF16702" s="12"/>
    </row>
    <row r="16703" spans="32:32" x14ac:dyDescent="0.2">
      <c r="AF16703" s="12"/>
    </row>
    <row r="16704" spans="32:32" x14ac:dyDescent="0.2">
      <c r="AF16704" s="12"/>
    </row>
    <row r="16705" spans="32:32" x14ac:dyDescent="0.2">
      <c r="AF16705" s="12"/>
    </row>
    <row r="16706" spans="32:32" x14ac:dyDescent="0.2">
      <c r="AF16706" s="12"/>
    </row>
    <row r="16707" spans="32:32" x14ac:dyDescent="0.2">
      <c r="AF16707" s="12"/>
    </row>
    <row r="16708" spans="32:32" x14ac:dyDescent="0.2">
      <c r="AF16708" s="12"/>
    </row>
    <row r="16709" spans="32:32" x14ac:dyDescent="0.2">
      <c r="AF16709" s="12"/>
    </row>
    <row r="16710" spans="32:32" x14ac:dyDescent="0.2">
      <c r="AF16710" s="12"/>
    </row>
    <row r="16711" spans="32:32" x14ac:dyDescent="0.2">
      <c r="AF16711" s="12"/>
    </row>
    <row r="16712" spans="32:32" x14ac:dyDescent="0.2">
      <c r="AF16712" s="12"/>
    </row>
    <row r="16713" spans="32:32" x14ac:dyDescent="0.2">
      <c r="AF16713" s="12"/>
    </row>
    <row r="16714" spans="32:32" x14ac:dyDescent="0.2">
      <c r="AF16714" s="12"/>
    </row>
    <row r="16715" spans="32:32" x14ac:dyDescent="0.2">
      <c r="AF16715" s="12"/>
    </row>
    <row r="16716" spans="32:32" x14ac:dyDescent="0.2">
      <c r="AF16716" s="12"/>
    </row>
    <row r="16717" spans="32:32" x14ac:dyDescent="0.2">
      <c r="AF16717" s="12"/>
    </row>
    <row r="16718" spans="32:32" x14ac:dyDescent="0.2">
      <c r="AF16718" s="12"/>
    </row>
    <row r="16719" spans="32:32" x14ac:dyDescent="0.2">
      <c r="AF16719" s="12"/>
    </row>
    <row r="16720" spans="32:32" x14ac:dyDescent="0.2">
      <c r="AF16720" s="12"/>
    </row>
    <row r="16721" spans="32:32" x14ac:dyDescent="0.2">
      <c r="AF16721" s="12"/>
    </row>
    <row r="16722" spans="32:32" x14ac:dyDescent="0.2">
      <c r="AF16722" s="12"/>
    </row>
    <row r="16723" spans="32:32" x14ac:dyDescent="0.2">
      <c r="AF16723" s="12"/>
    </row>
    <row r="16724" spans="32:32" x14ac:dyDescent="0.2">
      <c r="AF16724" s="12"/>
    </row>
    <row r="16725" spans="32:32" x14ac:dyDescent="0.2">
      <c r="AF16725" s="12"/>
    </row>
    <row r="16726" spans="32:32" x14ac:dyDescent="0.2">
      <c r="AF16726" s="12"/>
    </row>
    <row r="16727" spans="32:32" x14ac:dyDescent="0.2">
      <c r="AF16727" s="12"/>
    </row>
    <row r="16728" spans="32:32" x14ac:dyDescent="0.2">
      <c r="AF16728" s="12"/>
    </row>
    <row r="16729" spans="32:32" x14ac:dyDescent="0.2">
      <c r="AF16729" s="12"/>
    </row>
    <row r="16730" spans="32:32" x14ac:dyDescent="0.2">
      <c r="AF16730" s="12"/>
    </row>
    <row r="16731" spans="32:32" x14ac:dyDescent="0.2">
      <c r="AF16731" s="12"/>
    </row>
    <row r="16732" spans="32:32" x14ac:dyDescent="0.2">
      <c r="AF16732" s="12"/>
    </row>
    <row r="16733" spans="32:32" x14ac:dyDescent="0.2">
      <c r="AF16733" s="12"/>
    </row>
    <row r="16734" spans="32:32" x14ac:dyDescent="0.2">
      <c r="AF16734" s="12"/>
    </row>
    <row r="16735" spans="32:32" x14ac:dyDescent="0.2">
      <c r="AF16735" s="12"/>
    </row>
    <row r="16736" spans="32:32" x14ac:dyDescent="0.2">
      <c r="AF16736" s="12"/>
    </row>
    <row r="16737" spans="32:32" x14ac:dyDescent="0.2">
      <c r="AF16737" s="12"/>
    </row>
    <row r="16738" spans="32:32" x14ac:dyDescent="0.2">
      <c r="AF16738" s="12"/>
    </row>
    <row r="16739" spans="32:32" x14ac:dyDescent="0.2">
      <c r="AF16739" s="12"/>
    </row>
    <row r="16740" spans="32:32" x14ac:dyDescent="0.2">
      <c r="AF16740" s="12"/>
    </row>
    <row r="16741" spans="32:32" x14ac:dyDescent="0.2">
      <c r="AF16741" s="12"/>
    </row>
    <row r="16742" spans="32:32" x14ac:dyDescent="0.2">
      <c r="AF16742" s="12"/>
    </row>
    <row r="16743" spans="32:32" x14ac:dyDescent="0.2">
      <c r="AF16743" s="12"/>
    </row>
    <row r="16744" spans="32:32" x14ac:dyDescent="0.2">
      <c r="AF16744" s="12"/>
    </row>
    <row r="16745" spans="32:32" x14ac:dyDescent="0.2">
      <c r="AF16745" s="12"/>
    </row>
    <row r="16746" spans="32:32" x14ac:dyDescent="0.2">
      <c r="AF16746" s="12"/>
    </row>
    <row r="16747" spans="32:32" x14ac:dyDescent="0.2">
      <c r="AF16747" s="12"/>
    </row>
    <row r="16748" spans="32:32" x14ac:dyDescent="0.2">
      <c r="AF16748" s="12"/>
    </row>
    <row r="16749" spans="32:32" x14ac:dyDescent="0.2">
      <c r="AF16749" s="12"/>
    </row>
    <row r="16750" spans="32:32" x14ac:dyDescent="0.2">
      <c r="AF16750" s="12"/>
    </row>
    <row r="16751" spans="32:32" x14ac:dyDescent="0.2">
      <c r="AF16751" s="12"/>
    </row>
    <row r="16752" spans="32:32" x14ac:dyDescent="0.2">
      <c r="AF16752" s="12"/>
    </row>
    <row r="16753" spans="32:32" x14ac:dyDescent="0.2">
      <c r="AF16753" s="12"/>
    </row>
    <row r="16754" spans="32:32" x14ac:dyDescent="0.2">
      <c r="AF16754" s="12"/>
    </row>
    <row r="16755" spans="32:32" x14ac:dyDescent="0.2">
      <c r="AF16755" s="12"/>
    </row>
    <row r="16756" spans="32:32" x14ac:dyDescent="0.2">
      <c r="AF16756" s="12"/>
    </row>
    <row r="16757" spans="32:32" x14ac:dyDescent="0.2">
      <c r="AF16757" s="12"/>
    </row>
    <row r="16758" spans="32:32" x14ac:dyDescent="0.2">
      <c r="AF16758" s="12"/>
    </row>
    <row r="16759" spans="32:32" x14ac:dyDescent="0.2">
      <c r="AF16759" s="12"/>
    </row>
    <row r="16760" spans="32:32" x14ac:dyDescent="0.2">
      <c r="AF16760" s="12"/>
    </row>
    <row r="16761" spans="32:32" x14ac:dyDescent="0.2">
      <c r="AF16761" s="12"/>
    </row>
    <row r="16762" spans="32:32" x14ac:dyDescent="0.2">
      <c r="AF16762" s="12"/>
    </row>
    <row r="16763" spans="32:32" x14ac:dyDescent="0.2">
      <c r="AF16763" s="12"/>
    </row>
    <row r="16764" spans="32:32" x14ac:dyDescent="0.2">
      <c r="AF16764" s="12"/>
    </row>
    <row r="16765" spans="32:32" x14ac:dyDescent="0.2">
      <c r="AF16765" s="12"/>
    </row>
    <row r="16766" spans="32:32" x14ac:dyDescent="0.2">
      <c r="AF16766" s="12"/>
    </row>
    <row r="16767" spans="32:32" x14ac:dyDescent="0.2">
      <c r="AF16767" s="12"/>
    </row>
    <row r="16768" spans="32:32" x14ac:dyDescent="0.2">
      <c r="AF16768" s="12"/>
    </row>
    <row r="16769" spans="32:32" x14ac:dyDescent="0.2">
      <c r="AF16769" s="12"/>
    </row>
    <row r="16770" spans="32:32" x14ac:dyDescent="0.2">
      <c r="AF16770" s="12"/>
    </row>
    <row r="16771" spans="32:32" x14ac:dyDescent="0.2">
      <c r="AF16771" s="12"/>
    </row>
    <row r="16772" spans="32:32" x14ac:dyDescent="0.2">
      <c r="AF16772" s="12"/>
    </row>
    <row r="16773" spans="32:32" x14ac:dyDescent="0.2">
      <c r="AF16773" s="12"/>
    </row>
    <row r="16774" spans="32:32" x14ac:dyDescent="0.2">
      <c r="AF16774" s="12"/>
    </row>
    <row r="16775" spans="32:32" x14ac:dyDescent="0.2">
      <c r="AF16775" s="12"/>
    </row>
    <row r="16776" spans="32:32" x14ac:dyDescent="0.2">
      <c r="AF16776" s="12"/>
    </row>
    <row r="16777" spans="32:32" x14ac:dyDescent="0.2">
      <c r="AF16777" s="12"/>
    </row>
    <row r="16778" spans="32:32" x14ac:dyDescent="0.2">
      <c r="AF16778" s="12"/>
    </row>
    <row r="16779" spans="32:32" x14ac:dyDescent="0.2">
      <c r="AF16779" s="12"/>
    </row>
    <row r="16780" spans="32:32" x14ac:dyDescent="0.2">
      <c r="AF16780" s="12"/>
    </row>
    <row r="16781" spans="32:32" x14ac:dyDescent="0.2">
      <c r="AF16781" s="12"/>
    </row>
    <row r="16782" spans="32:32" x14ac:dyDescent="0.2">
      <c r="AF16782" s="12"/>
    </row>
    <row r="16783" spans="32:32" x14ac:dyDescent="0.2">
      <c r="AF16783" s="12"/>
    </row>
    <row r="16784" spans="32:32" x14ac:dyDescent="0.2">
      <c r="AF16784" s="12"/>
    </row>
    <row r="16785" spans="32:32" x14ac:dyDescent="0.2">
      <c r="AF16785" s="12"/>
    </row>
    <row r="16786" spans="32:32" x14ac:dyDescent="0.2">
      <c r="AF16786" s="12"/>
    </row>
    <row r="16787" spans="32:32" x14ac:dyDescent="0.2">
      <c r="AF16787" s="12"/>
    </row>
    <row r="16788" spans="32:32" x14ac:dyDescent="0.2">
      <c r="AF16788" s="12"/>
    </row>
    <row r="16789" spans="32:32" x14ac:dyDescent="0.2">
      <c r="AF16789" s="12"/>
    </row>
    <row r="16790" spans="32:32" x14ac:dyDescent="0.2">
      <c r="AF16790" s="12"/>
    </row>
    <row r="16791" spans="32:32" x14ac:dyDescent="0.2">
      <c r="AF16791" s="12"/>
    </row>
    <row r="16792" spans="32:32" x14ac:dyDescent="0.2">
      <c r="AF16792" s="12"/>
    </row>
    <row r="16793" spans="32:32" x14ac:dyDescent="0.2">
      <c r="AF16793" s="12"/>
    </row>
    <row r="16794" spans="32:32" x14ac:dyDescent="0.2">
      <c r="AF16794" s="12"/>
    </row>
    <row r="16795" spans="32:32" x14ac:dyDescent="0.2">
      <c r="AF16795" s="12"/>
    </row>
    <row r="16796" spans="32:32" x14ac:dyDescent="0.2">
      <c r="AF16796" s="12"/>
    </row>
    <row r="16797" spans="32:32" x14ac:dyDescent="0.2">
      <c r="AF16797" s="12"/>
    </row>
    <row r="16798" spans="32:32" x14ac:dyDescent="0.2">
      <c r="AF16798" s="12"/>
    </row>
    <row r="16799" spans="32:32" x14ac:dyDescent="0.2">
      <c r="AF16799" s="12"/>
    </row>
    <row r="16800" spans="32:32" x14ac:dyDescent="0.2">
      <c r="AF16800" s="12"/>
    </row>
    <row r="16801" spans="32:32" x14ac:dyDescent="0.2">
      <c r="AF16801" s="12"/>
    </row>
    <row r="16802" spans="32:32" x14ac:dyDescent="0.2">
      <c r="AF16802" s="12"/>
    </row>
    <row r="16803" spans="32:32" x14ac:dyDescent="0.2">
      <c r="AF16803" s="12"/>
    </row>
    <row r="16804" spans="32:32" x14ac:dyDescent="0.2">
      <c r="AF16804" s="12"/>
    </row>
    <row r="16805" spans="32:32" x14ac:dyDescent="0.2">
      <c r="AF16805" s="12"/>
    </row>
    <row r="16806" spans="32:32" x14ac:dyDescent="0.2">
      <c r="AF16806" s="12"/>
    </row>
    <row r="16807" spans="32:32" x14ac:dyDescent="0.2">
      <c r="AF16807" s="12"/>
    </row>
    <row r="16808" spans="32:32" x14ac:dyDescent="0.2">
      <c r="AF16808" s="12"/>
    </row>
    <row r="16809" spans="32:32" x14ac:dyDescent="0.2">
      <c r="AF16809" s="12"/>
    </row>
    <row r="16810" spans="32:32" x14ac:dyDescent="0.2">
      <c r="AF16810" s="12"/>
    </row>
    <row r="16811" spans="32:32" x14ac:dyDescent="0.2">
      <c r="AF16811" s="12"/>
    </row>
    <row r="16812" spans="32:32" x14ac:dyDescent="0.2">
      <c r="AF16812" s="12"/>
    </row>
    <row r="16813" spans="32:32" x14ac:dyDescent="0.2">
      <c r="AF16813" s="12"/>
    </row>
    <row r="16814" spans="32:32" x14ac:dyDescent="0.2">
      <c r="AF16814" s="12"/>
    </row>
    <row r="16815" spans="32:32" x14ac:dyDescent="0.2">
      <c r="AF16815" s="12"/>
    </row>
    <row r="16816" spans="32:32" x14ac:dyDescent="0.2">
      <c r="AF16816" s="12"/>
    </row>
    <row r="16817" spans="32:32" x14ac:dyDescent="0.2">
      <c r="AF16817" s="12"/>
    </row>
    <row r="16818" spans="32:32" x14ac:dyDescent="0.2">
      <c r="AF16818" s="12"/>
    </row>
    <row r="16819" spans="32:32" x14ac:dyDescent="0.2">
      <c r="AF16819" s="12"/>
    </row>
    <row r="16820" spans="32:32" x14ac:dyDescent="0.2">
      <c r="AF16820" s="12"/>
    </row>
    <row r="16821" spans="32:32" x14ac:dyDescent="0.2">
      <c r="AF16821" s="12"/>
    </row>
    <row r="16822" spans="32:32" x14ac:dyDescent="0.2">
      <c r="AF16822" s="12"/>
    </row>
    <row r="16823" spans="32:32" x14ac:dyDescent="0.2">
      <c r="AF16823" s="12"/>
    </row>
    <row r="16824" spans="32:32" x14ac:dyDescent="0.2">
      <c r="AF16824" s="12"/>
    </row>
    <row r="16825" spans="32:32" x14ac:dyDescent="0.2">
      <c r="AF16825" s="12"/>
    </row>
    <row r="16826" spans="32:32" x14ac:dyDescent="0.2">
      <c r="AF16826" s="12"/>
    </row>
    <row r="16827" spans="32:32" x14ac:dyDescent="0.2">
      <c r="AF16827" s="12"/>
    </row>
    <row r="16828" spans="32:32" x14ac:dyDescent="0.2">
      <c r="AF16828" s="12"/>
    </row>
    <row r="16829" spans="32:32" x14ac:dyDescent="0.2">
      <c r="AF16829" s="12"/>
    </row>
    <row r="16830" spans="32:32" x14ac:dyDescent="0.2">
      <c r="AF16830" s="12"/>
    </row>
    <row r="16831" spans="32:32" x14ac:dyDescent="0.2">
      <c r="AF16831" s="12"/>
    </row>
    <row r="16832" spans="32:32" x14ac:dyDescent="0.2">
      <c r="AF16832" s="12"/>
    </row>
    <row r="16833" spans="32:32" x14ac:dyDescent="0.2">
      <c r="AF16833" s="12"/>
    </row>
    <row r="16834" spans="32:32" x14ac:dyDescent="0.2">
      <c r="AF16834" s="12"/>
    </row>
    <row r="16835" spans="32:32" x14ac:dyDescent="0.2">
      <c r="AF16835" s="12"/>
    </row>
    <row r="16836" spans="32:32" x14ac:dyDescent="0.2">
      <c r="AF16836" s="12"/>
    </row>
    <row r="16837" spans="32:32" x14ac:dyDescent="0.2">
      <c r="AF16837" s="12"/>
    </row>
    <row r="16838" spans="32:32" x14ac:dyDescent="0.2">
      <c r="AF16838" s="12"/>
    </row>
    <row r="16839" spans="32:32" x14ac:dyDescent="0.2">
      <c r="AF16839" s="12"/>
    </row>
    <row r="16840" spans="32:32" x14ac:dyDescent="0.2">
      <c r="AF16840" s="12"/>
    </row>
    <row r="16841" spans="32:32" x14ac:dyDescent="0.2">
      <c r="AF16841" s="12"/>
    </row>
    <row r="16842" spans="32:32" x14ac:dyDescent="0.2">
      <c r="AF16842" s="12"/>
    </row>
    <row r="16843" spans="32:32" x14ac:dyDescent="0.2">
      <c r="AF16843" s="12"/>
    </row>
    <row r="16844" spans="32:32" x14ac:dyDescent="0.2">
      <c r="AF16844" s="12"/>
    </row>
    <row r="16845" spans="32:32" x14ac:dyDescent="0.2">
      <c r="AF16845" s="12"/>
    </row>
    <row r="16846" spans="32:32" x14ac:dyDescent="0.2">
      <c r="AF16846" s="12"/>
    </row>
    <row r="16847" spans="32:32" x14ac:dyDescent="0.2">
      <c r="AF16847" s="12"/>
    </row>
    <row r="16848" spans="32:32" x14ac:dyDescent="0.2">
      <c r="AF16848" s="12"/>
    </row>
    <row r="16849" spans="32:32" x14ac:dyDescent="0.2">
      <c r="AF16849" s="12"/>
    </row>
    <row r="16850" spans="32:32" x14ac:dyDescent="0.2">
      <c r="AF16850" s="12"/>
    </row>
    <row r="16851" spans="32:32" x14ac:dyDescent="0.2">
      <c r="AF16851" s="12"/>
    </row>
    <row r="16852" spans="32:32" x14ac:dyDescent="0.2">
      <c r="AF16852" s="12"/>
    </row>
    <row r="16853" spans="32:32" x14ac:dyDescent="0.2">
      <c r="AF16853" s="12"/>
    </row>
    <row r="16854" spans="32:32" x14ac:dyDescent="0.2">
      <c r="AF16854" s="12"/>
    </row>
    <row r="16855" spans="32:32" x14ac:dyDescent="0.2">
      <c r="AF16855" s="12"/>
    </row>
    <row r="16856" spans="32:32" x14ac:dyDescent="0.2">
      <c r="AF16856" s="12"/>
    </row>
    <row r="16857" spans="32:32" x14ac:dyDescent="0.2">
      <c r="AF16857" s="12"/>
    </row>
    <row r="16858" spans="32:32" x14ac:dyDescent="0.2">
      <c r="AF16858" s="12"/>
    </row>
    <row r="16859" spans="32:32" x14ac:dyDescent="0.2">
      <c r="AF16859" s="12"/>
    </row>
    <row r="16860" spans="32:32" x14ac:dyDescent="0.2">
      <c r="AF16860" s="12"/>
    </row>
    <row r="16861" spans="32:32" x14ac:dyDescent="0.2">
      <c r="AF16861" s="12"/>
    </row>
    <row r="16862" spans="32:32" x14ac:dyDescent="0.2">
      <c r="AF16862" s="12"/>
    </row>
    <row r="16863" spans="32:32" x14ac:dyDescent="0.2">
      <c r="AF16863" s="12"/>
    </row>
    <row r="16864" spans="32:32" x14ac:dyDescent="0.2">
      <c r="AF16864" s="12"/>
    </row>
    <row r="16865" spans="32:32" x14ac:dyDescent="0.2">
      <c r="AF16865" s="12"/>
    </row>
    <row r="16866" spans="32:32" x14ac:dyDescent="0.2">
      <c r="AF16866" s="12"/>
    </row>
    <row r="16867" spans="32:32" x14ac:dyDescent="0.2">
      <c r="AF16867" s="12"/>
    </row>
    <row r="16868" spans="32:32" x14ac:dyDescent="0.2">
      <c r="AF16868" s="12"/>
    </row>
    <row r="16869" spans="32:32" x14ac:dyDescent="0.2">
      <c r="AF16869" s="12"/>
    </row>
    <row r="16870" spans="32:32" x14ac:dyDescent="0.2">
      <c r="AF16870" s="12"/>
    </row>
    <row r="16871" spans="32:32" x14ac:dyDescent="0.2">
      <c r="AF16871" s="12"/>
    </row>
    <row r="16872" spans="32:32" x14ac:dyDescent="0.2">
      <c r="AF16872" s="12"/>
    </row>
    <row r="16873" spans="32:32" x14ac:dyDescent="0.2">
      <c r="AF16873" s="12"/>
    </row>
    <row r="16874" spans="32:32" x14ac:dyDescent="0.2">
      <c r="AF16874" s="12"/>
    </row>
    <row r="16875" spans="32:32" x14ac:dyDescent="0.2">
      <c r="AF16875" s="12"/>
    </row>
    <row r="16876" spans="32:32" x14ac:dyDescent="0.2">
      <c r="AF16876" s="12"/>
    </row>
    <row r="16877" spans="32:32" x14ac:dyDescent="0.2">
      <c r="AF16877" s="12"/>
    </row>
    <row r="16878" spans="32:32" x14ac:dyDescent="0.2">
      <c r="AF16878" s="12"/>
    </row>
    <row r="16879" spans="32:32" x14ac:dyDescent="0.2">
      <c r="AF16879" s="12"/>
    </row>
    <row r="16880" spans="32:32" x14ac:dyDescent="0.2">
      <c r="AF16880" s="12"/>
    </row>
    <row r="16881" spans="32:32" x14ac:dyDescent="0.2">
      <c r="AF16881" s="12"/>
    </row>
    <row r="16882" spans="32:32" x14ac:dyDescent="0.2">
      <c r="AF16882" s="12"/>
    </row>
    <row r="16883" spans="32:32" x14ac:dyDescent="0.2">
      <c r="AF16883" s="12"/>
    </row>
    <row r="16884" spans="32:32" x14ac:dyDescent="0.2">
      <c r="AF16884" s="12"/>
    </row>
    <row r="16885" spans="32:32" x14ac:dyDescent="0.2">
      <c r="AF16885" s="12"/>
    </row>
    <row r="16886" spans="32:32" x14ac:dyDescent="0.2">
      <c r="AF16886" s="12"/>
    </row>
    <row r="16887" spans="32:32" x14ac:dyDescent="0.2">
      <c r="AF16887" s="12"/>
    </row>
    <row r="16888" spans="32:32" x14ac:dyDescent="0.2">
      <c r="AF16888" s="12"/>
    </row>
    <row r="16889" spans="32:32" x14ac:dyDescent="0.2">
      <c r="AF16889" s="12"/>
    </row>
    <row r="16890" spans="32:32" x14ac:dyDescent="0.2">
      <c r="AF16890" s="12"/>
    </row>
    <row r="16891" spans="32:32" x14ac:dyDescent="0.2">
      <c r="AF16891" s="12"/>
    </row>
    <row r="16892" spans="32:32" x14ac:dyDescent="0.2">
      <c r="AF16892" s="12"/>
    </row>
    <row r="16893" spans="32:32" x14ac:dyDescent="0.2">
      <c r="AF16893" s="12"/>
    </row>
    <row r="16894" spans="32:32" x14ac:dyDescent="0.2">
      <c r="AF16894" s="12"/>
    </row>
    <row r="16895" spans="32:32" x14ac:dyDescent="0.2">
      <c r="AF16895" s="12"/>
    </row>
    <row r="16896" spans="32:32" x14ac:dyDescent="0.2">
      <c r="AF16896" s="12"/>
    </row>
    <row r="16897" spans="32:32" x14ac:dyDescent="0.2">
      <c r="AF16897" s="12"/>
    </row>
    <row r="16898" spans="32:32" x14ac:dyDescent="0.2">
      <c r="AF16898" s="12"/>
    </row>
    <row r="16899" spans="32:32" x14ac:dyDescent="0.2">
      <c r="AF16899" s="12"/>
    </row>
    <row r="16900" spans="32:32" x14ac:dyDescent="0.2">
      <c r="AF16900" s="12"/>
    </row>
    <row r="16901" spans="32:32" x14ac:dyDescent="0.2">
      <c r="AF16901" s="12"/>
    </row>
    <row r="16902" spans="32:32" x14ac:dyDescent="0.2">
      <c r="AF16902" s="12"/>
    </row>
    <row r="16903" spans="32:32" x14ac:dyDescent="0.2">
      <c r="AF16903" s="12"/>
    </row>
    <row r="16904" spans="32:32" x14ac:dyDescent="0.2">
      <c r="AF16904" s="12"/>
    </row>
    <row r="16905" spans="32:32" x14ac:dyDescent="0.2">
      <c r="AF16905" s="12"/>
    </row>
    <row r="16906" spans="32:32" x14ac:dyDescent="0.2">
      <c r="AF16906" s="12"/>
    </row>
    <row r="16907" spans="32:32" x14ac:dyDescent="0.2">
      <c r="AF16907" s="12"/>
    </row>
    <row r="16908" spans="32:32" x14ac:dyDescent="0.2">
      <c r="AF16908" s="12"/>
    </row>
    <row r="16909" spans="32:32" x14ac:dyDescent="0.2">
      <c r="AF16909" s="12"/>
    </row>
    <row r="16910" spans="32:32" x14ac:dyDescent="0.2">
      <c r="AF16910" s="12"/>
    </row>
    <row r="16911" spans="32:32" x14ac:dyDescent="0.2">
      <c r="AF16911" s="12"/>
    </row>
    <row r="16912" spans="32:32" x14ac:dyDescent="0.2">
      <c r="AF16912" s="12"/>
    </row>
    <row r="16913" spans="32:32" x14ac:dyDescent="0.2">
      <c r="AF16913" s="12"/>
    </row>
    <row r="16914" spans="32:32" x14ac:dyDescent="0.2">
      <c r="AF16914" s="12"/>
    </row>
    <row r="16915" spans="32:32" x14ac:dyDescent="0.2">
      <c r="AF16915" s="12"/>
    </row>
    <row r="16916" spans="32:32" x14ac:dyDescent="0.2">
      <c r="AF16916" s="12"/>
    </row>
    <row r="16917" spans="32:32" x14ac:dyDescent="0.2">
      <c r="AF16917" s="12"/>
    </row>
    <row r="16918" spans="32:32" x14ac:dyDescent="0.2">
      <c r="AF16918" s="12"/>
    </row>
    <row r="16919" spans="32:32" x14ac:dyDescent="0.2">
      <c r="AF16919" s="12"/>
    </row>
    <row r="16920" spans="32:32" x14ac:dyDescent="0.2">
      <c r="AF16920" s="12"/>
    </row>
    <row r="16921" spans="32:32" x14ac:dyDescent="0.2">
      <c r="AF16921" s="12"/>
    </row>
    <row r="16922" spans="32:32" x14ac:dyDescent="0.2">
      <c r="AF16922" s="12"/>
    </row>
    <row r="16923" spans="32:32" x14ac:dyDescent="0.2">
      <c r="AF16923" s="12"/>
    </row>
    <row r="16924" spans="32:32" x14ac:dyDescent="0.2">
      <c r="AF16924" s="12"/>
    </row>
    <row r="16925" spans="32:32" x14ac:dyDescent="0.2">
      <c r="AF16925" s="12"/>
    </row>
    <row r="16926" spans="32:32" x14ac:dyDescent="0.2">
      <c r="AF16926" s="12"/>
    </row>
    <row r="16927" spans="32:32" x14ac:dyDescent="0.2">
      <c r="AF16927" s="12"/>
    </row>
    <row r="16928" spans="32:32" x14ac:dyDescent="0.2">
      <c r="AF16928" s="12"/>
    </row>
    <row r="16929" spans="32:32" x14ac:dyDescent="0.2">
      <c r="AF16929" s="12"/>
    </row>
    <row r="16930" spans="32:32" x14ac:dyDescent="0.2">
      <c r="AF16930" s="12"/>
    </row>
    <row r="16931" spans="32:32" x14ac:dyDescent="0.2">
      <c r="AF16931" s="12"/>
    </row>
    <row r="16932" spans="32:32" x14ac:dyDescent="0.2">
      <c r="AF16932" s="12"/>
    </row>
    <row r="16933" spans="32:32" x14ac:dyDescent="0.2">
      <c r="AF16933" s="12"/>
    </row>
    <row r="16934" spans="32:32" x14ac:dyDescent="0.2">
      <c r="AF16934" s="12"/>
    </row>
    <row r="16935" spans="32:32" x14ac:dyDescent="0.2">
      <c r="AF16935" s="12"/>
    </row>
    <row r="16936" spans="32:32" x14ac:dyDescent="0.2">
      <c r="AF16936" s="12"/>
    </row>
    <row r="16937" spans="32:32" x14ac:dyDescent="0.2">
      <c r="AF16937" s="12"/>
    </row>
    <row r="16938" spans="32:32" x14ac:dyDescent="0.2">
      <c r="AF16938" s="12"/>
    </row>
    <row r="16939" spans="32:32" x14ac:dyDescent="0.2">
      <c r="AF16939" s="12"/>
    </row>
    <row r="16940" spans="32:32" x14ac:dyDescent="0.2">
      <c r="AF16940" s="12"/>
    </row>
    <row r="16941" spans="32:32" x14ac:dyDescent="0.2">
      <c r="AF16941" s="12"/>
    </row>
    <row r="16942" spans="32:32" x14ac:dyDescent="0.2">
      <c r="AF16942" s="12"/>
    </row>
    <row r="16943" spans="32:32" x14ac:dyDescent="0.2">
      <c r="AF16943" s="12"/>
    </row>
    <row r="16944" spans="32:32" x14ac:dyDescent="0.2">
      <c r="AF16944" s="12"/>
    </row>
    <row r="16945" spans="32:32" x14ac:dyDescent="0.2">
      <c r="AF16945" s="12"/>
    </row>
    <row r="16946" spans="32:32" x14ac:dyDescent="0.2">
      <c r="AF16946" s="12"/>
    </row>
    <row r="16947" spans="32:32" x14ac:dyDescent="0.2">
      <c r="AF16947" s="12"/>
    </row>
    <row r="16948" spans="32:32" x14ac:dyDescent="0.2">
      <c r="AF16948" s="12"/>
    </row>
    <row r="16949" spans="32:32" x14ac:dyDescent="0.2">
      <c r="AF16949" s="12"/>
    </row>
    <row r="16950" spans="32:32" x14ac:dyDescent="0.2">
      <c r="AF16950" s="12"/>
    </row>
    <row r="16951" spans="32:32" x14ac:dyDescent="0.2">
      <c r="AF16951" s="12"/>
    </row>
    <row r="16952" spans="32:32" x14ac:dyDescent="0.2">
      <c r="AF16952" s="12"/>
    </row>
    <row r="16953" spans="32:32" x14ac:dyDescent="0.2">
      <c r="AF16953" s="12"/>
    </row>
    <row r="16954" spans="32:32" x14ac:dyDescent="0.2">
      <c r="AF16954" s="12"/>
    </row>
    <row r="16955" spans="32:32" x14ac:dyDescent="0.2">
      <c r="AF16955" s="12"/>
    </row>
    <row r="16956" spans="32:32" x14ac:dyDescent="0.2">
      <c r="AF16956" s="12"/>
    </row>
    <row r="16957" spans="32:32" x14ac:dyDescent="0.2">
      <c r="AF16957" s="12"/>
    </row>
    <row r="16958" spans="32:32" x14ac:dyDescent="0.2">
      <c r="AF16958" s="12"/>
    </row>
    <row r="16959" spans="32:32" x14ac:dyDescent="0.2">
      <c r="AF16959" s="12"/>
    </row>
    <row r="16960" spans="32:32" x14ac:dyDescent="0.2">
      <c r="AF16960" s="12"/>
    </row>
    <row r="16961" spans="32:32" x14ac:dyDescent="0.2">
      <c r="AF16961" s="12"/>
    </row>
    <row r="16962" spans="32:32" x14ac:dyDescent="0.2">
      <c r="AF16962" s="12"/>
    </row>
    <row r="16963" spans="32:32" x14ac:dyDescent="0.2">
      <c r="AF16963" s="12"/>
    </row>
    <row r="16964" spans="32:32" x14ac:dyDescent="0.2">
      <c r="AF16964" s="12"/>
    </row>
    <row r="16965" spans="32:32" x14ac:dyDescent="0.2">
      <c r="AF16965" s="12"/>
    </row>
    <row r="16966" spans="32:32" x14ac:dyDescent="0.2">
      <c r="AF16966" s="12"/>
    </row>
    <row r="16967" spans="32:32" x14ac:dyDescent="0.2">
      <c r="AF16967" s="12"/>
    </row>
    <row r="16968" spans="32:32" x14ac:dyDescent="0.2">
      <c r="AF16968" s="12"/>
    </row>
    <row r="16969" spans="32:32" x14ac:dyDescent="0.2">
      <c r="AF16969" s="12"/>
    </row>
    <row r="16970" spans="32:32" x14ac:dyDescent="0.2">
      <c r="AF16970" s="12"/>
    </row>
    <row r="16971" spans="32:32" x14ac:dyDescent="0.2">
      <c r="AF16971" s="12"/>
    </row>
    <row r="16972" spans="32:32" x14ac:dyDescent="0.2">
      <c r="AF16972" s="12"/>
    </row>
    <row r="16973" spans="32:32" x14ac:dyDescent="0.2">
      <c r="AF16973" s="12"/>
    </row>
    <row r="16974" spans="32:32" x14ac:dyDescent="0.2">
      <c r="AF16974" s="12"/>
    </row>
    <row r="16975" spans="32:32" x14ac:dyDescent="0.2">
      <c r="AF16975" s="12"/>
    </row>
    <row r="16976" spans="32:32" x14ac:dyDescent="0.2">
      <c r="AF16976" s="12"/>
    </row>
    <row r="16977" spans="32:32" x14ac:dyDescent="0.2">
      <c r="AF16977" s="12"/>
    </row>
    <row r="16978" spans="32:32" x14ac:dyDescent="0.2">
      <c r="AF16978" s="12"/>
    </row>
    <row r="16979" spans="32:32" x14ac:dyDescent="0.2">
      <c r="AF16979" s="12"/>
    </row>
    <row r="16980" spans="32:32" x14ac:dyDescent="0.2">
      <c r="AF16980" s="12"/>
    </row>
    <row r="16981" spans="32:32" x14ac:dyDescent="0.2">
      <c r="AF16981" s="12"/>
    </row>
    <row r="16982" spans="32:32" x14ac:dyDescent="0.2">
      <c r="AF16982" s="12"/>
    </row>
    <row r="16983" spans="32:32" x14ac:dyDescent="0.2">
      <c r="AF16983" s="12"/>
    </row>
    <row r="16984" spans="32:32" x14ac:dyDescent="0.2">
      <c r="AF16984" s="12"/>
    </row>
    <row r="16985" spans="32:32" x14ac:dyDescent="0.2">
      <c r="AF16985" s="12"/>
    </row>
    <row r="16986" spans="32:32" x14ac:dyDescent="0.2">
      <c r="AF16986" s="12"/>
    </row>
    <row r="16987" spans="32:32" x14ac:dyDescent="0.2">
      <c r="AF16987" s="12"/>
    </row>
    <row r="16988" spans="32:32" x14ac:dyDescent="0.2">
      <c r="AF16988" s="12"/>
    </row>
    <row r="16989" spans="32:32" x14ac:dyDescent="0.2">
      <c r="AF16989" s="12"/>
    </row>
    <row r="16990" spans="32:32" x14ac:dyDescent="0.2">
      <c r="AF16990" s="12"/>
    </row>
    <row r="16991" spans="32:32" x14ac:dyDescent="0.2">
      <c r="AF16991" s="12"/>
    </row>
    <row r="16992" spans="32:32" x14ac:dyDescent="0.2">
      <c r="AF16992" s="12"/>
    </row>
    <row r="16993" spans="32:32" x14ac:dyDescent="0.2">
      <c r="AF16993" s="12"/>
    </row>
    <row r="16994" spans="32:32" x14ac:dyDescent="0.2">
      <c r="AF16994" s="12"/>
    </row>
    <row r="16995" spans="32:32" x14ac:dyDescent="0.2">
      <c r="AF16995" s="12"/>
    </row>
    <row r="16996" spans="32:32" x14ac:dyDescent="0.2">
      <c r="AF16996" s="12"/>
    </row>
    <row r="16997" spans="32:32" x14ac:dyDescent="0.2">
      <c r="AF16997" s="12"/>
    </row>
    <row r="16998" spans="32:32" x14ac:dyDescent="0.2">
      <c r="AF16998" s="12"/>
    </row>
    <row r="16999" spans="32:32" x14ac:dyDescent="0.2">
      <c r="AF16999" s="12"/>
    </row>
    <row r="17000" spans="32:32" x14ac:dyDescent="0.2">
      <c r="AF17000" s="12"/>
    </row>
    <row r="17001" spans="32:32" x14ac:dyDescent="0.2">
      <c r="AF17001" s="12"/>
    </row>
    <row r="17002" spans="32:32" x14ac:dyDescent="0.2">
      <c r="AF17002" s="12"/>
    </row>
    <row r="17003" spans="32:32" x14ac:dyDescent="0.2">
      <c r="AF17003" s="12"/>
    </row>
    <row r="17004" spans="32:32" x14ac:dyDescent="0.2">
      <c r="AF17004" s="12"/>
    </row>
    <row r="17005" spans="32:32" x14ac:dyDescent="0.2">
      <c r="AF17005" s="12"/>
    </row>
    <row r="17006" spans="32:32" x14ac:dyDescent="0.2">
      <c r="AF17006" s="12"/>
    </row>
    <row r="17007" spans="32:32" x14ac:dyDescent="0.2">
      <c r="AF17007" s="12"/>
    </row>
    <row r="17008" spans="32:32" x14ac:dyDescent="0.2">
      <c r="AF17008" s="12"/>
    </row>
    <row r="17009" spans="32:32" x14ac:dyDescent="0.2">
      <c r="AF17009" s="12"/>
    </row>
    <row r="17010" spans="32:32" x14ac:dyDescent="0.2">
      <c r="AF17010" s="12"/>
    </row>
    <row r="17011" spans="32:32" x14ac:dyDescent="0.2">
      <c r="AF17011" s="12"/>
    </row>
    <row r="17012" spans="32:32" x14ac:dyDescent="0.2">
      <c r="AF17012" s="12"/>
    </row>
    <row r="17013" spans="32:32" x14ac:dyDescent="0.2">
      <c r="AF17013" s="12"/>
    </row>
    <row r="17014" spans="32:32" x14ac:dyDescent="0.2">
      <c r="AF17014" s="12"/>
    </row>
    <row r="17015" spans="32:32" x14ac:dyDescent="0.2">
      <c r="AF17015" s="12"/>
    </row>
    <row r="17016" spans="32:32" x14ac:dyDescent="0.2">
      <c r="AF17016" s="12"/>
    </row>
    <row r="17017" spans="32:32" x14ac:dyDescent="0.2">
      <c r="AF17017" s="12"/>
    </row>
    <row r="17018" spans="32:32" x14ac:dyDescent="0.2">
      <c r="AF17018" s="12"/>
    </row>
    <row r="17019" spans="32:32" x14ac:dyDescent="0.2">
      <c r="AF17019" s="12"/>
    </row>
    <row r="17020" spans="32:32" x14ac:dyDescent="0.2">
      <c r="AF17020" s="12"/>
    </row>
    <row r="17021" spans="32:32" x14ac:dyDescent="0.2">
      <c r="AF17021" s="12"/>
    </row>
    <row r="17022" spans="32:32" x14ac:dyDescent="0.2">
      <c r="AF17022" s="12"/>
    </row>
    <row r="17023" spans="32:32" x14ac:dyDescent="0.2">
      <c r="AF17023" s="12"/>
    </row>
    <row r="17024" spans="32:32" x14ac:dyDescent="0.2">
      <c r="AF17024" s="12"/>
    </row>
    <row r="17025" spans="32:32" x14ac:dyDescent="0.2">
      <c r="AF17025" s="12"/>
    </row>
    <row r="17026" spans="32:32" x14ac:dyDescent="0.2">
      <c r="AF17026" s="12"/>
    </row>
    <row r="17027" spans="32:32" x14ac:dyDescent="0.2">
      <c r="AF17027" s="12"/>
    </row>
    <row r="17028" spans="32:32" x14ac:dyDescent="0.2">
      <c r="AF17028" s="12"/>
    </row>
    <row r="17029" spans="32:32" x14ac:dyDescent="0.2">
      <c r="AF17029" s="12"/>
    </row>
    <row r="17030" spans="32:32" x14ac:dyDescent="0.2">
      <c r="AF17030" s="12"/>
    </row>
    <row r="17031" spans="32:32" x14ac:dyDescent="0.2">
      <c r="AF17031" s="12"/>
    </row>
    <row r="17032" spans="32:32" x14ac:dyDescent="0.2">
      <c r="AF17032" s="12"/>
    </row>
    <row r="17033" spans="32:32" x14ac:dyDescent="0.2">
      <c r="AF17033" s="12"/>
    </row>
    <row r="17034" spans="32:32" x14ac:dyDescent="0.2">
      <c r="AF17034" s="12"/>
    </row>
    <row r="17035" spans="32:32" x14ac:dyDescent="0.2">
      <c r="AF17035" s="12"/>
    </row>
    <row r="17036" spans="32:32" x14ac:dyDescent="0.2">
      <c r="AF17036" s="12"/>
    </row>
    <row r="17037" spans="32:32" x14ac:dyDescent="0.2">
      <c r="AF17037" s="12"/>
    </row>
    <row r="17038" spans="32:32" x14ac:dyDescent="0.2">
      <c r="AF17038" s="12"/>
    </row>
    <row r="17039" spans="32:32" x14ac:dyDescent="0.2">
      <c r="AF17039" s="12"/>
    </row>
    <row r="17040" spans="32:32" x14ac:dyDescent="0.2">
      <c r="AF17040" s="12"/>
    </row>
    <row r="17041" spans="32:32" x14ac:dyDescent="0.2">
      <c r="AF17041" s="12"/>
    </row>
    <row r="17042" spans="32:32" x14ac:dyDescent="0.2">
      <c r="AF17042" s="12"/>
    </row>
    <row r="17043" spans="32:32" x14ac:dyDescent="0.2">
      <c r="AF17043" s="12"/>
    </row>
    <row r="17044" spans="32:32" x14ac:dyDescent="0.2">
      <c r="AF17044" s="12"/>
    </row>
    <row r="17045" spans="32:32" x14ac:dyDescent="0.2">
      <c r="AF17045" s="12"/>
    </row>
    <row r="17046" spans="32:32" x14ac:dyDescent="0.2">
      <c r="AF17046" s="12"/>
    </row>
    <row r="17047" spans="32:32" x14ac:dyDescent="0.2">
      <c r="AF17047" s="12"/>
    </row>
    <row r="17048" spans="32:32" x14ac:dyDescent="0.2">
      <c r="AF17048" s="12"/>
    </row>
    <row r="17049" spans="32:32" x14ac:dyDescent="0.2">
      <c r="AF17049" s="12"/>
    </row>
    <row r="17050" spans="32:32" x14ac:dyDescent="0.2">
      <c r="AF17050" s="12"/>
    </row>
    <row r="17051" spans="32:32" x14ac:dyDescent="0.2">
      <c r="AF17051" s="12"/>
    </row>
    <row r="17052" spans="32:32" x14ac:dyDescent="0.2">
      <c r="AF17052" s="12"/>
    </row>
    <row r="17053" spans="32:32" x14ac:dyDescent="0.2">
      <c r="AF17053" s="12"/>
    </row>
    <row r="17054" spans="32:32" x14ac:dyDescent="0.2">
      <c r="AF17054" s="12"/>
    </row>
    <row r="17055" spans="32:32" x14ac:dyDescent="0.2">
      <c r="AF17055" s="12"/>
    </row>
    <row r="17056" spans="32:32" x14ac:dyDescent="0.2">
      <c r="AF17056" s="12"/>
    </row>
    <row r="17057" spans="32:32" x14ac:dyDescent="0.2">
      <c r="AF17057" s="12"/>
    </row>
    <row r="17058" spans="32:32" x14ac:dyDescent="0.2">
      <c r="AF17058" s="12"/>
    </row>
    <row r="17059" spans="32:32" x14ac:dyDescent="0.2">
      <c r="AF17059" s="12"/>
    </row>
    <row r="17060" spans="32:32" x14ac:dyDescent="0.2">
      <c r="AF17060" s="12"/>
    </row>
    <row r="17061" spans="32:32" x14ac:dyDescent="0.2">
      <c r="AF17061" s="12"/>
    </row>
    <row r="17062" spans="32:32" x14ac:dyDescent="0.2">
      <c r="AF17062" s="12"/>
    </row>
    <row r="17063" spans="32:32" x14ac:dyDescent="0.2">
      <c r="AF17063" s="12"/>
    </row>
    <row r="17064" spans="32:32" x14ac:dyDescent="0.2">
      <c r="AF17064" s="12"/>
    </row>
    <row r="17065" spans="32:32" x14ac:dyDescent="0.2">
      <c r="AF17065" s="12"/>
    </row>
    <row r="17066" spans="32:32" x14ac:dyDescent="0.2">
      <c r="AF17066" s="12"/>
    </row>
    <row r="17067" spans="32:32" x14ac:dyDescent="0.2">
      <c r="AF17067" s="12"/>
    </row>
    <row r="17068" spans="32:32" x14ac:dyDescent="0.2">
      <c r="AF17068" s="12"/>
    </row>
    <row r="17069" spans="32:32" x14ac:dyDescent="0.2">
      <c r="AF17069" s="12"/>
    </row>
    <row r="17070" spans="32:32" x14ac:dyDescent="0.2">
      <c r="AF17070" s="12"/>
    </row>
    <row r="17071" spans="32:32" x14ac:dyDescent="0.2">
      <c r="AF17071" s="12"/>
    </row>
    <row r="17072" spans="32:32" x14ac:dyDescent="0.2">
      <c r="AF17072" s="12"/>
    </row>
    <row r="17073" spans="32:32" x14ac:dyDescent="0.2">
      <c r="AF17073" s="12"/>
    </row>
    <row r="17074" spans="32:32" x14ac:dyDescent="0.2">
      <c r="AF17074" s="12"/>
    </row>
    <row r="17075" spans="32:32" x14ac:dyDescent="0.2">
      <c r="AF17075" s="12"/>
    </row>
    <row r="17076" spans="32:32" x14ac:dyDescent="0.2">
      <c r="AF17076" s="12"/>
    </row>
    <row r="17077" spans="32:32" x14ac:dyDescent="0.2">
      <c r="AF17077" s="12"/>
    </row>
    <row r="17078" spans="32:32" x14ac:dyDescent="0.2">
      <c r="AF17078" s="12"/>
    </row>
    <row r="17079" spans="32:32" x14ac:dyDescent="0.2">
      <c r="AF17079" s="12"/>
    </row>
    <row r="17080" spans="32:32" x14ac:dyDescent="0.2">
      <c r="AF17080" s="12"/>
    </row>
    <row r="17081" spans="32:32" x14ac:dyDescent="0.2">
      <c r="AF17081" s="12"/>
    </row>
    <row r="17082" spans="32:32" x14ac:dyDescent="0.2">
      <c r="AF17082" s="12"/>
    </row>
    <row r="17083" spans="32:32" x14ac:dyDescent="0.2">
      <c r="AF17083" s="12"/>
    </row>
    <row r="17084" spans="32:32" x14ac:dyDescent="0.2">
      <c r="AF17084" s="12"/>
    </row>
    <row r="17085" spans="32:32" x14ac:dyDescent="0.2">
      <c r="AF17085" s="12"/>
    </row>
    <row r="17086" spans="32:32" x14ac:dyDescent="0.2">
      <c r="AF17086" s="12"/>
    </row>
    <row r="17087" spans="32:32" x14ac:dyDescent="0.2">
      <c r="AF17087" s="12"/>
    </row>
    <row r="17088" spans="32:32" x14ac:dyDescent="0.2">
      <c r="AF17088" s="12"/>
    </row>
    <row r="17089" spans="32:32" x14ac:dyDescent="0.2">
      <c r="AF17089" s="12"/>
    </row>
    <row r="17090" spans="32:32" x14ac:dyDescent="0.2">
      <c r="AF17090" s="12"/>
    </row>
    <row r="17091" spans="32:32" x14ac:dyDescent="0.2">
      <c r="AF17091" s="12"/>
    </row>
    <row r="17092" spans="32:32" x14ac:dyDescent="0.2">
      <c r="AF17092" s="12"/>
    </row>
    <row r="17093" spans="32:32" x14ac:dyDescent="0.2">
      <c r="AF17093" s="12"/>
    </row>
    <row r="17094" spans="32:32" x14ac:dyDescent="0.2">
      <c r="AF17094" s="12"/>
    </row>
    <row r="17095" spans="32:32" x14ac:dyDescent="0.2">
      <c r="AF17095" s="12"/>
    </row>
    <row r="17096" spans="32:32" x14ac:dyDescent="0.2">
      <c r="AF17096" s="12"/>
    </row>
    <row r="17097" spans="32:32" x14ac:dyDescent="0.2">
      <c r="AF17097" s="12"/>
    </row>
    <row r="17098" spans="32:32" x14ac:dyDescent="0.2">
      <c r="AF17098" s="12"/>
    </row>
    <row r="17099" spans="32:32" x14ac:dyDescent="0.2">
      <c r="AF17099" s="12"/>
    </row>
    <row r="17100" spans="32:32" x14ac:dyDescent="0.2">
      <c r="AF17100" s="12"/>
    </row>
    <row r="17101" spans="32:32" x14ac:dyDescent="0.2">
      <c r="AF17101" s="12"/>
    </row>
    <row r="17102" spans="32:32" x14ac:dyDescent="0.2">
      <c r="AF17102" s="12"/>
    </row>
    <row r="17103" spans="32:32" x14ac:dyDescent="0.2">
      <c r="AF17103" s="12"/>
    </row>
    <row r="17104" spans="32:32" x14ac:dyDescent="0.2">
      <c r="AF17104" s="12"/>
    </row>
    <row r="17105" spans="32:32" x14ac:dyDescent="0.2">
      <c r="AF17105" s="12"/>
    </row>
    <row r="17106" spans="32:32" x14ac:dyDescent="0.2">
      <c r="AF17106" s="12"/>
    </row>
    <row r="17107" spans="32:32" x14ac:dyDescent="0.2">
      <c r="AF17107" s="12"/>
    </row>
    <row r="17108" spans="32:32" x14ac:dyDescent="0.2">
      <c r="AF17108" s="12"/>
    </row>
    <row r="17109" spans="32:32" x14ac:dyDescent="0.2">
      <c r="AF17109" s="12"/>
    </row>
    <row r="17110" spans="32:32" x14ac:dyDescent="0.2">
      <c r="AF17110" s="12"/>
    </row>
    <row r="17111" spans="32:32" x14ac:dyDescent="0.2">
      <c r="AF17111" s="12"/>
    </row>
    <row r="17112" spans="32:32" x14ac:dyDescent="0.2">
      <c r="AF17112" s="12"/>
    </row>
    <row r="17113" spans="32:32" x14ac:dyDescent="0.2">
      <c r="AF17113" s="12"/>
    </row>
    <row r="17114" spans="32:32" x14ac:dyDescent="0.2">
      <c r="AF17114" s="12"/>
    </row>
    <row r="17115" spans="32:32" x14ac:dyDescent="0.2">
      <c r="AF17115" s="12"/>
    </row>
    <row r="17116" spans="32:32" x14ac:dyDescent="0.2">
      <c r="AF17116" s="12"/>
    </row>
    <row r="17117" spans="32:32" x14ac:dyDescent="0.2">
      <c r="AF17117" s="12"/>
    </row>
    <row r="17118" spans="32:32" x14ac:dyDescent="0.2">
      <c r="AF17118" s="12"/>
    </row>
    <row r="17119" spans="32:32" x14ac:dyDescent="0.2">
      <c r="AF17119" s="12"/>
    </row>
    <row r="17120" spans="32:32" x14ac:dyDescent="0.2">
      <c r="AF17120" s="12"/>
    </row>
    <row r="17121" spans="32:32" x14ac:dyDescent="0.2">
      <c r="AF17121" s="12"/>
    </row>
    <row r="17122" spans="32:32" x14ac:dyDescent="0.2">
      <c r="AF17122" s="12"/>
    </row>
    <row r="17123" spans="32:32" x14ac:dyDescent="0.2">
      <c r="AF17123" s="12"/>
    </row>
    <row r="17124" spans="32:32" x14ac:dyDescent="0.2">
      <c r="AF17124" s="12"/>
    </row>
    <row r="17125" spans="32:32" x14ac:dyDescent="0.2">
      <c r="AF17125" s="12"/>
    </row>
    <row r="17126" spans="32:32" x14ac:dyDescent="0.2">
      <c r="AF17126" s="12"/>
    </row>
    <row r="17127" spans="32:32" x14ac:dyDescent="0.2">
      <c r="AF17127" s="12"/>
    </row>
    <row r="17128" spans="32:32" x14ac:dyDescent="0.2">
      <c r="AF17128" s="12"/>
    </row>
    <row r="17129" spans="32:32" x14ac:dyDescent="0.2">
      <c r="AF17129" s="12"/>
    </row>
    <row r="17130" spans="32:32" x14ac:dyDescent="0.2">
      <c r="AF17130" s="12"/>
    </row>
    <row r="17131" spans="32:32" x14ac:dyDescent="0.2">
      <c r="AF17131" s="12"/>
    </row>
    <row r="17132" spans="32:32" x14ac:dyDescent="0.2">
      <c r="AF17132" s="12"/>
    </row>
    <row r="17133" spans="32:32" x14ac:dyDescent="0.2">
      <c r="AF17133" s="12"/>
    </row>
    <row r="17134" spans="32:32" x14ac:dyDescent="0.2">
      <c r="AF17134" s="12"/>
    </row>
    <row r="17135" spans="32:32" x14ac:dyDescent="0.2">
      <c r="AF17135" s="12"/>
    </row>
    <row r="17136" spans="32:32" x14ac:dyDescent="0.2">
      <c r="AF17136" s="12"/>
    </row>
    <row r="17137" spans="32:32" x14ac:dyDescent="0.2">
      <c r="AF17137" s="12"/>
    </row>
    <row r="17138" spans="32:32" x14ac:dyDescent="0.2">
      <c r="AF17138" s="12"/>
    </row>
    <row r="17139" spans="32:32" x14ac:dyDescent="0.2">
      <c r="AF17139" s="12"/>
    </row>
    <row r="17140" spans="32:32" x14ac:dyDescent="0.2">
      <c r="AF17140" s="12"/>
    </row>
    <row r="17141" spans="32:32" x14ac:dyDescent="0.2">
      <c r="AF17141" s="12"/>
    </row>
    <row r="17142" spans="32:32" x14ac:dyDescent="0.2">
      <c r="AF17142" s="12"/>
    </row>
    <row r="17143" spans="32:32" x14ac:dyDescent="0.2">
      <c r="AF17143" s="12"/>
    </row>
    <row r="17144" spans="32:32" x14ac:dyDescent="0.2">
      <c r="AF17144" s="12"/>
    </row>
    <row r="17145" spans="32:32" x14ac:dyDescent="0.2">
      <c r="AF17145" s="12"/>
    </row>
    <row r="17146" spans="32:32" x14ac:dyDescent="0.2">
      <c r="AF17146" s="12"/>
    </row>
    <row r="17147" spans="32:32" x14ac:dyDescent="0.2">
      <c r="AF17147" s="12"/>
    </row>
    <row r="17148" spans="32:32" x14ac:dyDescent="0.2">
      <c r="AF17148" s="12"/>
    </row>
    <row r="17149" spans="32:32" x14ac:dyDescent="0.2">
      <c r="AF17149" s="12"/>
    </row>
    <row r="17150" spans="32:32" x14ac:dyDescent="0.2">
      <c r="AF17150" s="12"/>
    </row>
    <row r="17151" spans="32:32" x14ac:dyDescent="0.2">
      <c r="AF17151" s="12"/>
    </row>
    <row r="17152" spans="32:32" x14ac:dyDescent="0.2">
      <c r="AF17152" s="12"/>
    </row>
    <row r="17153" spans="32:32" x14ac:dyDescent="0.2">
      <c r="AF17153" s="12"/>
    </row>
    <row r="17154" spans="32:32" x14ac:dyDescent="0.2">
      <c r="AF17154" s="12"/>
    </row>
    <row r="17155" spans="32:32" x14ac:dyDescent="0.2">
      <c r="AF17155" s="12"/>
    </row>
    <row r="17156" spans="32:32" x14ac:dyDescent="0.2">
      <c r="AF17156" s="12"/>
    </row>
    <row r="17157" spans="32:32" x14ac:dyDescent="0.2">
      <c r="AF17157" s="12"/>
    </row>
    <row r="17158" spans="32:32" x14ac:dyDescent="0.2">
      <c r="AF17158" s="12"/>
    </row>
    <row r="17159" spans="32:32" x14ac:dyDescent="0.2">
      <c r="AF17159" s="12"/>
    </row>
    <row r="17160" spans="32:32" x14ac:dyDescent="0.2">
      <c r="AF17160" s="12"/>
    </row>
    <row r="17161" spans="32:32" x14ac:dyDescent="0.2">
      <c r="AF17161" s="12"/>
    </row>
    <row r="17162" spans="32:32" x14ac:dyDescent="0.2">
      <c r="AF17162" s="12"/>
    </row>
    <row r="17163" spans="32:32" x14ac:dyDescent="0.2">
      <c r="AF17163" s="12"/>
    </row>
    <row r="17164" spans="32:32" x14ac:dyDescent="0.2">
      <c r="AF17164" s="12"/>
    </row>
    <row r="17165" spans="32:32" x14ac:dyDescent="0.2">
      <c r="AF17165" s="12"/>
    </row>
    <row r="17166" spans="32:32" x14ac:dyDescent="0.2">
      <c r="AF17166" s="12"/>
    </row>
    <row r="17167" spans="32:32" x14ac:dyDescent="0.2">
      <c r="AF17167" s="12"/>
    </row>
    <row r="17168" spans="32:32" x14ac:dyDescent="0.2">
      <c r="AF17168" s="12"/>
    </row>
    <row r="17169" spans="32:32" x14ac:dyDescent="0.2">
      <c r="AF17169" s="12"/>
    </row>
    <row r="17170" spans="32:32" x14ac:dyDescent="0.2">
      <c r="AF17170" s="12"/>
    </row>
    <row r="17171" spans="32:32" x14ac:dyDescent="0.2">
      <c r="AF17171" s="12"/>
    </row>
    <row r="17172" spans="32:32" x14ac:dyDescent="0.2">
      <c r="AF17172" s="12"/>
    </row>
    <row r="17173" spans="32:32" x14ac:dyDescent="0.2">
      <c r="AF17173" s="12"/>
    </row>
    <row r="17174" spans="32:32" x14ac:dyDescent="0.2">
      <c r="AF17174" s="12"/>
    </row>
    <row r="17175" spans="32:32" x14ac:dyDescent="0.2">
      <c r="AF17175" s="12"/>
    </row>
    <row r="17176" spans="32:32" x14ac:dyDescent="0.2">
      <c r="AF17176" s="12"/>
    </row>
    <row r="17177" spans="32:32" x14ac:dyDescent="0.2">
      <c r="AF17177" s="12"/>
    </row>
    <row r="17178" spans="32:32" x14ac:dyDescent="0.2">
      <c r="AF17178" s="12"/>
    </row>
    <row r="17179" spans="32:32" x14ac:dyDescent="0.2">
      <c r="AF17179" s="12"/>
    </row>
    <row r="17180" spans="32:32" x14ac:dyDescent="0.2">
      <c r="AF17180" s="12"/>
    </row>
    <row r="17181" spans="32:32" x14ac:dyDescent="0.2">
      <c r="AF17181" s="12"/>
    </row>
    <row r="17182" spans="32:32" x14ac:dyDescent="0.2">
      <c r="AF17182" s="12"/>
    </row>
    <row r="17183" spans="32:32" x14ac:dyDescent="0.2">
      <c r="AF17183" s="12"/>
    </row>
    <row r="17184" spans="32:32" x14ac:dyDescent="0.2">
      <c r="AF17184" s="12"/>
    </row>
    <row r="17185" spans="32:32" x14ac:dyDescent="0.2">
      <c r="AF17185" s="12"/>
    </row>
    <row r="17186" spans="32:32" x14ac:dyDescent="0.2">
      <c r="AF17186" s="12"/>
    </row>
    <row r="17187" spans="32:32" x14ac:dyDescent="0.2">
      <c r="AF17187" s="12"/>
    </row>
    <row r="17188" spans="32:32" x14ac:dyDescent="0.2">
      <c r="AF17188" s="12"/>
    </row>
    <row r="17189" spans="32:32" x14ac:dyDescent="0.2">
      <c r="AF17189" s="12"/>
    </row>
    <row r="17190" spans="32:32" x14ac:dyDescent="0.2">
      <c r="AF17190" s="12"/>
    </row>
    <row r="17191" spans="32:32" x14ac:dyDescent="0.2">
      <c r="AF17191" s="12"/>
    </row>
    <row r="17192" spans="32:32" x14ac:dyDescent="0.2">
      <c r="AF17192" s="12"/>
    </row>
    <row r="17193" spans="32:32" x14ac:dyDescent="0.2">
      <c r="AF17193" s="12"/>
    </row>
    <row r="17194" spans="32:32" x14ac:dyDescent="0.2">
      <c r="AF17194" s="12"/>
    </row>
    <row r="17195" spans="32:32" x14ac:dyDescent="0.2">
      <c r="AF17195" s="12"/>
    </row>
    <row r="17196" spans="32:32" x14ac:dyDescent="0.2">
      <c r="AF17196" s="12"/>
    </row>
    <row r="17197" spans="32:32" x14ac:dyDescent="0.2">
      <c r="AF17197" s="12"/>
    </row>
    <row r="17198" spans="32:32" x14ac:dyDescent="0.2">
      <c r="AF17198" s="12"/>
    </row>
    <row r="17199" spans="32:32" x14ac:dyDescent="0.2">
      <c r="AF17199" s="12"/>
    </row>
    <row r="17200" spans="32:32" x14ac:dyDescent="0.2">
      <c r="AF17200" s="12"/>
    </row>
    <row r="17201" spans="32:32" x14ac:dyDescent="0.2">
      <c r="AF17201" s="12"/>
    </row>
    <row r="17202" spans="32:32" x14ac:dyDescent="0.2">
      <c r="AF17202" s="12"/>
    </row>
    <row r="17203" spans="32:32" x14ac:dyDescent="0.2">
      <c r="AF17203" s="12"/>
    </row>
    <row r="17204" spans="32:32" x14ac:dyDescent="0.2">
      <c r="AF17204" s="12"/>
    </row>
    <row r="17205" spans="32:32" x14ac:dyDescent="0.2">
      <c r="AF17205" s="12"/>
    </row>
    <row r="17206" spans="32:32" x14ac:dyDescent="0.2">
      <c r="AF17206" s="12"/>
    </row>
    <row r="17207" spans="32:32" x14ac:dyDescent="0.2">
      <c r="AF17207" s="12"/>
    </row>
    <row r="17208" spans="32:32" x14ac:dyDescent="0.2">
      <c r="AF17208" s="12"/>
    </row>
    <row r="17209" spans="32:32" x14ac:dyDescent="0.2">
      <c r="AF17209" s="12"/>
    </row>
    <row r="17210" spans="32:32" x14ac:dyDescent="0.2">
      <c r="AF17210" s="12"/>
    </row>
    <row r="17211" spans="32:32" x14ac:dyDescent="0.2">
      <c r="AF17211" s="12"/>
    </row>
    <row r="17212" spans="32:32" x14ac:dyDescent="0.2">
      <c r="AF17212" s="12"/>
    </row>
    <row r="17213" spans="32:32" x14ac:dyDescent="0.2">
      <c r="AF17213" s="12"/>
    </row>
    <row r="17214" spans="32:32" x14ac:dyDescent="0.2">
      <c r="AF17214" s="12"/>
    </row>
    <row r="17215" spans="32:32" x14ac:dyDescent="0.2">
      <c r="AF17215" s="12"/>
    </row>
    <row r="17216" spans="32:32" x14ac:dyDescent="0.2">
      <c r="AF17216" s="12"/>
    </row>
    <row r="17217" spans="32:32" x14ac:dyDescent="0.2">
      <c r="AF17217" s="12"/>
    </row>
    <row r="17218" spans="32:32" x14ac:dyDescent="0.2">
      <c r="AF17218" s="12"/>
    </row>
    <row r="17219" spans="32:32" x14ac:dyDescent="0.2">
      <c r="AF17219" s="12"/>
    </row>
    <row r="17220" spans="32:32" x14ac:dyDescent="0.2">
      <c r="AF17220" s="12"/>
    </row>
    <row r="17221" spans="32:32" x14ac:dyDescent="0.2">
      <c r="AF17221" s="12"/>
    </row>
    <row r="17222" spans="32:32" x14ac:dyDescent="0.2">
      <c r="AF17222" s="12"/>
    </row>
    <row r="17223" spans="32:32" x14ac:dyDescent="0.2">
      <c r="AF17223" s="12"/>
    </row>
    <row r="17224" spans="32:32" x14ac:dyDescent="0.2">
      <c r="AF17224" s="12"/>
    </row>
    <row r="17225" spans="32:32" x14ac:dyDescent="0.2">
      <c r="AF17225" s="12"/>
    </row>
    <row r="17226" spans="32:32" x14ac:dyDescent="0.2">
      <c r="AF17226" s="12"/>
    </row>
    <row r="17227" spans="32:32" x14ac:dyDescent="0.2">
      <c r="AF17227" s="12"/>
    </row>
    <row r="17228" spans="32:32" x14ac:dyDescent="0.2">
      <c r="AF17228" s="12"/>
    </row>
    <row r="17229" spans="32:32" x14ac:dyDescent="0.2">
      <c r="AF17229" s="12"/>
    </row>
    <row r="17230" spans="32:32" x14ac:dyDescent="0.2">
      <c r="AF17230" s="12"/>
    </row>
    <row r="17231" spans="32:32" x14ac:dyDescent="0.2">
      <c r="AF17231" s="12"/>
    </row>
    <row r="17232" spans="32:32" x14ac:dyDescent="0.2">
      <c r="AF17232" s="12"/>
    </row>
    <row r="17233" spans="32:32" x14ac:dyDescent="0.2">
      <c r="AF17233" s="12"/>
    </row>
    <row r="17234" spans="32:32" x14ac:dyDescent="0.2">
      <c r="AF17234" s="12"/>
    </row>
    <row r="17235" spans="32:32" x14ac:dyDescent="0.2">
      <c r="AF17235" s="12"/>
    </row>
    <row r="17236" spans="32:32" x14ac:dyDescent="0.2">
      <c r="AF17236" s="12"/>
    </row>
    <row r="17237" spans="32:32" x14ac:dyDescent="0.2">
      <c r="AF17237" s="12"/>
    </row>
    <row r="17238" spans="32:32" x14ac:dyDescent="0.2">
      <c r="AF17238" s="12"/>
    </row>
    <row r="17239" spans="32:32" x14ac:dyDescent="0.2">
      <c r="AF17239" s="12"/>
    </row>
    <row r="17240" spans="32:32" x14ac:dyDescent="0.2">
      <c r="AF17240" s="12"/>
    </row>
    <row r="17241" spans="32:32" x14ac:dyDescent="0.2">
      <c r="AF17241" s="12"/>
    </row>
    <row r="17242" spans="32:32" x14ac:dyDescent="0.2">
      <c r="AF17242" s="12"/>
    </row>
    <row r="17243" spans="32:32" x14ac:dyDescent="0.2">
      <c r="AF17243" s="12"/>
    </row>
    <row r="17244" spans="32:32" x14ac:dyDescent="0.2">
      <c r="AF17244" s="12"/>
    </row>
    <row r="17245" spans="32:32" x14ac:dyDescent="0.2">
      <c r="AF17245" s="12"/>
    </row>
    <row r="17246" spans="32:32" x14ac:dyDescent="0.2">
      <c r="AF17246" s="12"/>
    </row>
    <row r="17247" spans="32:32" x14ac:dyDescent="0.2">
      <c r="AF17247" s="12"/>
    </row>
    <row r="17248" spans="32:32" x14ac:dyDescent="0.2">
      <c r="AF17248" s="12"/>
    </row>
    <row r="17249" spans="32:32" x14ac:dyDescent="0.2">
      <c r="AF17249" s="12"/>
    </row>
    <row r="17250" spans="32:32" x14ac:dyDescent="0.2">
      <c r="AF17250" s="12"/>
    </row>
    <row r="17251" spans="32:32" x14ac:dyDescent="0.2">
      <c r="AF17251" s="12"/>
    </row>
    <row r="17252" spans="32:32" x14ac:dyDescent="0.2">
      <c r="AF17252" s="12"/>
    </row>
    <row r="17253" spans="32:32" x14ac:dyDescent="0.2">
      <c r="AF17253" s="12"/>
    </row>
    <row r="17254" spans="32:32" x14ac:dyDescent="0.2">
      <c r="AF17254" s="12"/>
    </row>
    <row r="17255" spans="32:32" x14ac:dyDescent="0.2">
      <c r="AF17255" s="12"/>
    </row>
    <row r="17256" spans="32:32" x14ac:dyDescent="0.2">
      <c r="AF17256" s="12"/>
    </row>
    <row r="17257" spans="32:32" x14ac:dyDescent="0.2">
      <c r="AF17257" s="12"/>
    </row>
    <row r="17258" spans="32:32" x14ac:dyDescent="0.2">
      <c r="AF17258" s="12"/>
    </row>
    <row r="17259" spans="32:32" x14ac:dyDescent="0.2">
      <c r="AF17259" s="12"/>
    </row>
    <row r="17260" spans="32:32" x14ac:dyDescent="0.2">
      <c r="AF17260" s="12"/>
    </row>
    <row r="17261" spans="32:32" x14ac:dyDescent="0.2">
      <c r="AF17261" s="12"/>
    </row>
    <row r="17262" spans="32:32" x14ac:dyDescent="0.2">
      <c r="AF17262" s="12"/>
    </row>
    <row r="17263" spans="32:32" x14ac:dyDescent="0.2">
      <c r="AF17263" s="12"/>
    </row>
    <row r="17264" spans="32:32" x14ac:dyDescent="0.2">
      <c r="AF17264" s="12"/>
    </row>
    <row r="17265" spans="32:32" x14ac:dyDescent="0.2">
      <c r="AF17265" s="12"/>
    </row>
    <row r="17266" spans="32:32" x14ac:dyDescent="0.2">
      <c r="AF17266" s="12"/>
    </row>
    <row r="17267" spans="32:32" x14ac:dyDescent="0.2">
      <c r="AF17267" s="12"/>
    </row>
    <row r="17268" spans="32:32" x14ac:dyDescent="0.2">
      <c r="AF17268" s="12"/>
    </row>
    <row r="17269" spans="32:32" x14ac:dyDescent="0.2">
      <c r="AF17269" s="12"/>
    </row>
    <row r="17270" spans="32:32" x14ac:dyDescent="0.2">
      <c r="AF17270" s="12"/>
    </row>
    <row r="17271" spans="32:32" x14ac:dyDescent="0.2">
      <c r="AF17271" s="12"/>
    </row>
    <row r="17272" spans="32:32" x14ac:dyDescent="0.2">
      <c r="AF17272" s="12"/>
    </row>
    <row r="17273" spans="32:32" x14ac:dyDescent="0.2">
      <c r="AF17273" s="12"/>
    </row>
    <row r="17274" spans="32:32" x14ac:dyDescent="0.2">
      <c r="AF17274" s="12"/>
    </row>
    <row r="17275" spans="32:32" x14ac:dyDescent="0.2">
      <c r="AF17275" s="12"/>
    </row>
    <row r="17276" spans="32:32" x14ac:dyDescent="0.2">
      <c r="AF17276" s="12"/>
    </row>
    <row r="17277" spans="32:32" x14ac:dyDescent="0.2">
      <c r="AF17277" s="12"/>
    </row>
    <row r="17278" spans="32:32" x14ac:dyDescent="0.2">
      <c r="AF17278" s="12"/>
    </row>
    <row r="17279" spans="32:32" x14ac:dyDescent="0.2">
      <c r="AF17279" s="12"/>
    </row>
    <row r="17280" spans="32:32" x14ac:dyDescent="0.2">
      <c r="AF17280" s="12"/>
    </row>
    <row r="17281" spans="32:32" x14ac:dyDescent="0.2">
      <c r="AF17281" s="12"/>
    </row>
    <row r="17282" spans="32:32" x14ac:dyDescent="0.2">
      <c r="AF17282" s="12"/>
    </row>
    <row r="17283" spans="32:32" x14ac:dyDescent="0.2">
      <c r="AF17283" s="12"/>
    </row>
    <row r="17284" spans="32:32" x14ac:dyDescent="0.2">
      <c r="AF17284" s="12"/>
    </row>
    <row r="17285" spans="32:32" x14ac:dyDescent="0.2">
      <c r="AF17285" s="12"/>
    </row>
    <row r="17286" spans="32:32" x14ac:dyDescent="0.2">
      <c r="AF17286" s="12"/>
    </row>
    <row r="17287" spans="32:32" x14ac:dyDescent="0.2">
      <c r="AF17287" s="12"/>
    </row>
    <row r="17288" spans="32:32" x14ac:dyDescent="0.2">
      <c r="AF17288" s="12"/>
    </row>
    <row r="17289" spans="32:32" x14ac:dyDescent="0.2">
      <c r="AF17289" s="12"/>
    </row>
    <row r="17290" spans="32:32" x14ac:dyDescent="0.2">
      <c r="AF17290" s="12"/>
    </row>
    <row r="17291" spans="32:32" x14ac:dyDescent="0.2">
      <c r="AF17291" s="12"/>
    </row>
    <row r="17292" spans="32:32" x14ac:dyDescent="0.2">
      <c r="AF17292" s="12"/>
    </row>
    <row r="17293" spans="32:32" x14ac:dyDescent="0.2">
      <c r="AF17293" s="12"/>
    </row>
    <row r="17294" spans="32:32" x14ac:dyDescent="0.2">
      <c r="AF17294" s="12"/>
    </row>
    <row r="17295" spans="32:32" x14ac:dyDescent="0.2">
      <c r="AF17295" s="12"/>
    </row>
    <row r="17296" spans="32:32" x14ac:dyDescent="0.2">
      <c r="AF17296" s="12"/>
    </row>
    <row r="17297" spans="32:32" x14ac:dyDescent="0.2">
      <c r="AF17297" s="12"/>
    </row>
    <row r="17298" spans="32:32" x14ac:dyDescent="0.2">
      <c r="AF17298" s="12"/>
    </row>
    <row r="17299" spans="32:32" x14ac:dyDescent="0.2">
      <c r="AF17299" s="12"/>
    </row>
    <row r="17300" spans="32:32" x14ac:dyDescent="0.2">
      <c r="AF17300" s="12"/>
    </row>
    <row r="17301" spans="32:32" x14ac:dyDescent="0.2">
      <c r="AF17301" s="12"/>
    </row>
    <row r="17302" spans="32:32" x14ac:dyDescent="0.2">
      <c r="AF17302" s="12"/>
    </row>
    <row r="17303" spans="32:32" x14ac:dyDescent="0.2">
      <c r="AF17303" s="12"/>
    </row>
    <row r="17304" spans="32:32" x14ac:dyDescent="0.2">
      <c r="AF17304" s="12"/>
    </row>
    <row r="17305" spans="32:32" x14ac:dyDescent="0.2">
      <c r="AF17305" s="12"/>
    </row>
    <row r="17306" spans="32:32" x14ac:dyDescent="0.2">
      <c r="AF17306" s="12"/>
    </row>
    <row r="17307" spans="32:32" x14ac:dyDescent="0.2">
      <c r="AF17307" s="12"/>
    </row>
    <row r="17308" spans="32:32" x14ac:dyDescent="0.2">
      <c r="AF17308" s="12"/>
    </row>
    <row r="17309" spans="32:32" x14ac:dyDescent="0.2">
      <c r="AF17309" s="12"/>
    </row>
    <row r="17310" spans="32:32" x14ac:dyDescent="0.2">
      <c r="AF17310" s="12"/>
    </row>
    <row r="17311" spans="32:32" x14ac:dyDescent="0.2">
      <c r="AF17311" s="12"/>
    </row>
    <row r="17312" spans="32:32" x14ac:dyDescent="0.2">
      <c r="AF17312" s="12"/>
    </row>
    <row r="17313" spans="32:32" x14ac:dyDescent="0.2">
      <c r="AF17313" s="12"/>
    </row>
    <row r="17314" spans="32:32" x14ac:dyDescent="0.2">
      <c r="AF17314" s="12"/>
    </row>
    <row r="17315" spans="32:32" x14ac:dyDescent="0.2">
      <c r="AF17315" s="12"/>
    </row>
    <row r="17316" spans="32:32" x14ac:dyDescent="0.2">
      <c r="AF17316" s="12"/>
    </row>
    <row r="17317" spans="32:32" x14ac:dyDescent="0.2">
      <c r="AF17317" s="12"/>
    </row>
    <row r="17318" spans="32:32" x14ac:dyDescent="0.2">
      <c r="AF17318" s="12"/>
    </row>
    <row r="17319" spans="32:32" x14ac:dyDescent="0.2">
      <c r="AF17319" s="12"/>
    </row>
    <row r="17320" spans="32:32" x14ac:dyDescent="0.2">
      <c r="AF17320" s="12"/>
    </row>
    <row r="17321" spans="32:32" x14ac:dyDescent="0.2">
      <c r="AF17321" s="12"/>
    </row>
    <row r="17322" spans="32:32" x14ac:dyDescent="0.2">
      <c r="AF17322" s="12"/>
    </row>
    <row r="17323" spans="32:32" x14ac:dyDescent="0.2">
      <c r="AF17323" s="12"/>
    </row>
    <row r="17324" spans="32:32" x14ac:dyDescent="0.2">
      <c r="AF17324" s="12"/>
    </row>
    <row r="17325" spans="32:32" x14ac:dyDescent="0.2">
      <c r="AF17325" s="12"/>
    </row>
    <row r="17326" spans="32:32" x14ac:dyDescent="0.2">
      <c r="AF17326" s="12"/>
    </row>
    <row r="17327" spans="32:32" x14ac:dyDescent="0.2">
      <c r="AF17327" s="12"/>
    </row>
    <row r="17328" spans="32:32" x14ac:dyDescent="0.2">
      <c r="AF17328" s="12"/>
    </row>
    <row r="17329" spans="32:32" x14ac:dyDescent="0.2">
      <c r="AF17329" s="12"/>
    </row>
    <row r="17330" spans="32:32" x14ac:dyDescent="0.2">
      <c r="AF17330" s="12"/>
    </row>
    <row r="17331" spans="32:32" x14ac:dyDescent="0.2">
      <c r="AF17331" s="12"/>
    </row>
    <row r="17332" spans="32:32" x14ac:dyDescent="0.2">
      <c r="AF17332" s="12"/>
    </row>
    <row r="17333" spans="32:32" x14ac:dyDescent="0.2">
      <c r="AF17333" s="12"/>
    </row>
    <row r="17334" spans="32:32" x14ac:dyDescent="0.2">
      <c r="AF17334" s="12"/>
    </row>
    <row r="17335" spans="32:32" x14ac:dyDescent="0.2">
      <c r="AF17335" s="12"/>
    </row>
    <row r="17336" spans="32:32" x14ac:dyDescent="0.2">
      <c r="AF17336" s="12"/>
    </row>
    <row r="17337" spans="32:32" x14ac:dyDescent="0.2">
      <c r="AF17337" s="12"/>
    </row>
    <row r="17338" spans="32:32" x14ac:dyDescent="0.2">
      <c r="AF17338" s="12"/>
    </row>
    <row r="17339" spans="32:32" x14ac:dyDescent="0.2">
      <c r="AF17339" s="12"/>
    </row>
    <row r="17340" spans="32:32" x14ac:dyDescent="0.2">
      <c r="AF17340" s="12"/>
    </row>
    <row r="17341" spans="32:32" x14ac:dyDescent="0.2">
      <c r="AF17341" s="12"/>
    </row>
    <row r="17342" spans="32:32" x14ac:dyDescent="0.2">
      <c r="AF17342" s="12"/>
    </row>
    <row r="17343" spans="32:32" x14ac:dyDescent="0.2">
      <c r="AF17343" s="12"/>
    </row>
    <row r="17344" spans="32:32" x14ac:dyDescent="0.2">
      <c r="AF17344" s="12"/>
    </row>
    <row r="17345" spans="32:32" x14ac:dyDescent="0.2">
      <c r="AF17345" s="12"/>
    </row>
    <row r="17346" spans="32:32" x14ac:dyDescent="0.2">
      <c r="AF17346" s="12"/>
    </row>
    <row r="17347" spans="32:32" x14ac:dyDescent="0.2">
      <c r="AF17347" s="12"/>
    </row>
    <row r="17348" spans="32:32" x14ac:dyDescent="0.2">
      <c r="AF17348" s="12"/>
    </row>
    <row r="17349" spans="32:32" x14ac:dyDescent="0.2">
      <c r="AF17349" s="12"/>
    </row>
    <row r="17350" spans="32:32" x14ac:dyDescent="0.2">
      <c r="AF17350" s="12"/>
    </row>
    <row r="17351" spans="32:32" x14ac:dyDescent="0.2">
      <c r="AF17351" s="12"/>
    </row>
    <row r="17352" spans="32:32" x14ac:dyDescent="0.2">
      <c r="AF17352" s="12"/>
    </row>
    <row r="17353" spans="32:32" x14ac:dyDescent="0.2">
      <c r="AF17353" s="12"/>
    </row>
    <row r="17354" spans="32:32" x14ac:dyDescent="0.2">
      <c r="AF17354" s="12"/>
    </row>
    <row r="17355" spans="32:32" x14ac:dyDescent="0.2">
      <c r="AF17355" s="12"/>
    </row>
    <row r="17356" spans="32:32" x14ac:dyDescent="0.2">
      <c r="AF17356" s="12"/>
    </row>
    <row r="17357" spans="32:32" x14ac:dyDescent="0.2">
      <c r="AF17357" s="12"/>
    </row>
    <row r="17358" spans="32:32" x14ac:dyDescent="0.2">
      <c r="AF17358" s="12"/>
    </row>
    <row r="17359" spans="32:32" x14ac:dyDescent="0.2">
      <c r="AF17359" s="12"/>
    </row>
    <row r="17360" spans="32:32" x14ac:dyDescent="0.2">
      <c r="AF17360" s="12"/>
    </row>
    <row r="17361" spans="32:32" x14ac:dyDescent="0.2">
      <c r="AF17361" s="12"/>
    </row>
    <row r="17362" spans="32:32" x14ac:dyDescent="0.2">
      <c r="AF17362" s="12"/>
    </row>
    <row r="17363" spans="32:32" x14ac:dyDescent="0.2">
      <c r="AF17363" s="12"/>
    </row>
    <row r="17364" spans="32:32" x14ac:dyDescent="0.2">
      <c r="AF17364" s="12"/>
    </row>
    <row r="17365" spans="32:32" x14ac:dyDescent="0.2">
      <c r="AF17365" s="12"/>
    </row>
    <row r="17366" spans="32:32" x14ac:dyDescent="0.2">
      <c r="AF17366" s="12"/>
    </row>
    <row r="17367" spans="32:32" x14ac:dyDescent="0.2">
      <c r="AF17367" s="12"/>
    </row>
    <row r="17368" spans="32:32" x14ac:dyDescent="0.2">
      <c r="AF17368" s="12"/>
    </row>
    <row r="17369" spans="32:32" x14ac:dyDescent="0.2">
      <c r="AF17369" s="12"/>
    </row>
    <row r="17370" spans="32:32" x14ac:dyDescent="0.2">
      <c r="AF17370" s="12"/>
    </row>
    <row r="17371" spans="32:32" x14ac:dyDescent="0.2">
      <c r="AF17371" s="12"/>
    </row>
    <row r="17372" spans="32:32" x14ac:dyDescent="0.2">
      <c r="AF17372" s="12"/>
    </row>
    <row r="17373" spans="32:32" x14ac:dyDescent="0.2">
      <c r="AF17373" s="12"/>
    </row>
    <row r="17374" spans="32:32" x14ac:dyDescent="0.2">
      <c r="AF17374" s="12"/>
    </row>
    <row r="17375" spans="32:32" x14ac:dyDescent="0.2">
      <c r="AF17375" s="12"/>
    </row>
    <row r="17376" spans="32:32" x14ac:dyDescent="0.2">
      <c r="AF17376" s="12"/>
    </row>
    <row r="17377" spans="32:32" x14ac:dyDescent="0.2">
      <c r="AF17377" s="12"/>
    </row>
    <row r="17378" spans="32:32" x14ac:dyDescent="0.2">
      <c r="AF17378" s="12"/>
    </row>
    <row r="17379" spans="32:32" x14ac:dyDescent="0.2">
      <c r="AF17379" s="12"/>
    </row>
    <row r="17380" spans="32:32" x14ac:dyDescent="0.2">
      <c r="AF17380" s="12"/>
    </row>
    <row r="17381" spans="32:32" x14ac:dyDescent="0.2">
      <c r="AF17381" s="12"/>
    </row>
    <row r="17382" spans="32:32" x14ac:dyDescent="0.2">
      <c r="AF17382" s="12"/>
    </row>
    <row r="17383" spans="32:32" x14ac:dyDescent="0.2">
      <c r="AF17383" s="12"/>
    </row>
    <row r="17384" spans="32:32" x14ac:dyDescent="0.2">
      <c r="AF17384" s="12"/>
    </row>
    <row r="17385" spans="32:32" x14ac:dyDescent="0.2">
      <c r="AF17385" s="12"/>
    </row>
    <row r="17386" spans="32:32" x14ac:dyDescent="0.2">
      <c r="AF17386" s="12"/>
    </row>
    <row r="17387" spans="32:32" x14ac:dyDescent="0.2">
      <c r="AF17387" s="12"/>
    </row>
    <row r="17388" spans="32:32" x14ac:dyDescent="0.2">
      <c r="AF17388" s="12"/>
    </row>
    <row r="17389" spans="32:32" x14ac:dyDescent="0.2">
      <c r="AF17389" s="12"/>
    </row>
    <row r="17390" spans="32:32" x14ac:dyDescent="0.2">
      <c r="AF17390" s="12"/>
    </row>
    <row r="17391" spans="32:32" x14ac:dyDescent="0.2">
      <c r="AF17391" s="12"/>
    </row>
    <row r="17392" spans="32:32" x14ac:dyDescent="0.2">
      <c r="AF17392" s="12"/>
    </row>
    <row r="17393" spans="32:32" x14ac:dyDescent="0.2">
      <c r="AF17393" s="12"/>
    </row>
    <row r="17394" spans="32:32" x14ac:dyDescent="0.2">
      <c r="AF17394" s="12"/>
    </row>
    <row r="17395" spans="32:32" x14ac:dyDescent="0.2">
      <c r="AF17395" s="12"/>
    </row>
    <row r="17396" spans="32:32" x14ac:dyDescent="0.2">
      <c r="AF17396" s="12"/>
    </row>
    <row r="17397" spans="32:32" x14ac:dyDescent="0.2">
      <c r="AF17397" s="12"/>
    </row>
    <row r="17398" spans="32:32" x14ac:dyDescent="0.2">
      <c r="AF17398" s="12"/>
    </row>
    <row r="17399" spans="32:32" x14ac:dyDescent="0.2">
      <c r="AF17399" s="12"/>
    </row>
    <row r="17400" spans="32:32" x14ac:dyDescent="0.2">
      <c r="AF17400" s="12"/>
    </row>
    <row r="17401" spans="32:32" x14ac:dyDescent="0.2">
      <c r="AF17401" s="12"/>
    </row>
    <row r="17402" spans="32:32" x14ac:dyDescent="0.2">
      <c r="AF17402" s="12"/>
    </row>
    <row r="17403" spans="32:32" x14ac:dyDescent="0.2">
      <c r="AF17403" s="12"/>
    </row>
    <row r="17404" spans="32:32" x14ac:dyDescent="0.2">
      <c r="AF17404" s="12"/>
    </row>
    <row r="17405" spans="32:32" x14ac:dyDescent="0.2">
      <c r="AF17405" s="12"/>
    </row>
    <row r="17406" spans="32:32" x14ac:dyDescent="0.2">
      <c r="AF17406" s="12"/>
    </row>
    <row r="17407" spans="32:32" x14ac:dyDescent="0.2">
      <c r="AF17407" s="12"/>
    </row>
    <row r="17408" spans="32:32" x14ac:dyDescent="0.2">
      <c r="AF17408" s="12"/>
    </row>
    <row r="17409" spans="32:32" x14ac:dyDescent="0.2">
      <c r="AF17409" s="12"/>
    </row>
    <row r="17410" spans="32:32" x14ac:dyDescent="0.2">
      <c r="AF17410" s="12"/>
    </row>
    <row r="17411" spans="32:32" x14ac:dyDescent="0.2">
      <c r="AF17411" s="12"/>
    </row>
    <row r="17412" spans="32:32" x14ac:dyDescent="0.2">
      <c r="AF17412" s="12"/>
    </row>
    <row r="17413" spans="32:32" x14ac:dyDescent="0.2">
      <c r="AF17413" s="12"/>
    </row>
    <row r="17414" spans="32:32" x14ac:dyDescent="0.2">
      <c r="AF17414" s="12"/>
    </row>
    <row r="17415" spans="32:32" x14ac:dyDescent="0.2">
      <c r="AF17415" s="12"/>
    </row>
    <row r="17416" spans="32:32" x14ac:dyDescent="0.2">
      <c r="AF17416" s="12"/>
    </row>
    <row r="17417" spans="32:32" x14ac:dyDescent="0.2">
      <c r="AF17417" s="12"/>
    </row>
    <row r="17418" spans="32:32" x14ac:dyDescent="0.2">
      <c r="AF17418" s="12"/>
    </row>
    <row r="17419" spans="32:32" x14ac:dyDescent="0.2">
      <c r="AF17419" s="12"/>
    </row>
    <row r="17420" spans="32:32" x14ac:dyDescent="0.2">
      <c r="AF17420" s="12"/>
    </row>
    <row r="17421" spans="32:32" x14ac:dyDescent="0.2">
      <c r="AF17421" s="12"/>
    </row>
    <row r="17422" spans="32:32" x14ac:dyDescent="0.2">
      <c r="AF17422" s="12"/>
    </row>
    <row r="17423" spans="32:32" x14ac:dyDescent="0.2">
      <c r="AF17423" s="12"/>
    </row>
    <row r="17424" spans="32:32" x14ac:dyDescent="0.2">
      <c r="AF17424" s="12"/>
    </row>
    <row r="17425" spans="32:32" x14ac:dyDescent="0.2">
      <c r="AF17425" s="12"/>
    </row>
    <row r="17426" spans="32:32" x14ac:dyDescent="0.2">
      <c r="AF17426" s="12"/>
    </row>
    <row r="17427" spans="32:32" x14ac:dyDescent="0.2">
      <c r="AF17427" s="12"/>
    </row>
    <row r="17428" spans="32:32" x14ac:dyDescent="0.2">
      <c r="AF17428" s="12"/>
    </row>
    <row r="17429" spans="32:32" x14ac:dyDescent="0.2">
      <c r="AF17429" s="12"/>
    </row>
    <row r="17430" spans="32:32" x14ac:dyDescent="0.2">
      <c r="AF17430" s="12"/>
    </row>
    <row r="17431" spans="32:32" x14ac:dyDescent="0.2">
      <c r="AF17431" s="12"/>
    </row>
    <row r="17432" spans="32:32" x14ac:dyDescent="0.2">
      <c r="AF17432" s="12"/>
    </row>
    <row r="17433" spans="32:32" x14ac:dyDescent="0.2">
      <c r="AF17433" s="12"/>
    </row>
    <row r="17434" spans="32:32" x14ac:dyDescent="0.2">
      <c r="AF17434" s="12"/>
    </row>
    <row r="17435" spans="32:32" x14ac:dyDescent="0.2">
      <c r="AF17435" s="12"/>
    </row>
    <row r="17436" spans="32:32" x14ac:dyDescent="0.2">
      <c r="AF17436" s="12"/>
    </row>
    <row r="17437" spans="32:32" x14ac:dyDescent="0.2">
      <c r="AF17437" s="12"/>
    </row>
    <row r="17438" spans="32:32" x14ac:dyDescent="0.2">
      <c r="AF17438" s="12"/>
    </row>
    <row r="17439" spans="32:32" x14ac:dyDescent="0.2">
      <c r="AF17439" s="12"/>
    </row>
    <row r="17440" spans="32:32" x14ac:dyDescent="0.2">
      <c r="AF17440" s="12"/>
    </row>
    <row r="17441" spans="32:32" x14ac:dyDescent="0.2">
      <c r="AF17441" s="12"/>
    </row>
    <row r="17442" spans="32:32" x14ac:dyDescent="0.2">
      <c r="AF17442" s="12"/>
    </row>
    <row r="17443" spans="32:32" x14ac:dyDescent="0.2">
      <c r="AF17443" s="12"/>
    </row>
    <row r="17444" spans="32:32" x14ac:dyDescent="0.2">
      <c r="AF17444" s="12"/>
    </row>
    <row r="17445" spans="32:32" x14ac:dyDescent="0.2">
      <c r="AF17445" s="12"/>
    </row>
    <row r="17446" spans="32:32" x14ac:dyDescent="0.2">
      <c r="AF17446" s="12"/>
    </row>
    <row r="17447" spans="32:32" x14ac:dyDescent="0.2">
      <c r="AF17447" s="12"/>
    </row>
    <row r="17448" spans="32:32" x14ac:dyDescent="0.2">
      <c r="AF17448" s="12"/>
    </row>
    <row r="17449" spans="32:32" x14ac:dyDescent="0.2">
      <c r="AF17449" s="12"/>
    </row>
    <row r="17450" spans="32:32" x14ac:dyDescent="0.2">
      <c r="AF17450" s="12"/>
    </row>
    <row r="17451" spans="32:32" x14ac:dyDescent="0.2">
      <c r="AF17451" s="12"/>
    </row>
    <row r="17452" spans="32:32" x14ac:dyDescent="0.2">
      <c r="AF17452" s="12"/>
    </row>
    <row r="17453" spans="32:32" x14ac:dyDescent="0.2">
      <c r="AF17453" s="12"/>
    </row>
    <row r="17454" spans="32:32" x14ac:dyDescent="0.2">
      <c r="AF17454" s="12"/>
    </row>
    <row r="17455" spans="32:32" x14ac:dyDescent="0.2">
      <c r="AF17455" s="12"/>
    </row>
    <row r="17456" spans="32:32" x14ac:dyDescent="0.2">
      <c r="AF17456" s="12"/>
    </row>
    <row r="17457" spans="32:32" x14ac:dyDescent="0.2">
      <c r="AF17457" s="12"/>
    </row>
    <row r="17458" spans="32:32" x14ac:dyDescent="0.2">
      <c r="AF17458" s="12"/>
    </row>
    <row r="17459" spans="32:32" x14ac:dyDescent="0.2">
      <c r="AF17459" s="12"/>
    </row>
    <row r="17460" spans="32:32" x14ac:dyDescent="0.2">
      <c r="AF17460" s="12"/>
    </row>
    <row r="17461" spans="32:32" x14ac:dyDescent="0.2">
      <c r="AF17461" s="12"/>
    </row>
    <row r="17462" spans="32:32" x14ac:dyDescent="0.2">
      <c r="AF17462" s="12"/>
    </row>
    <row r="17463" spans="32:32" x14ac:dyDescent="0.2">
      <c r="AF17463" s="12"/>
    </row>
    <row r="17464" spans="32:32" x14ac:dyDescent="0.2">
      <c r="AF17464" s="12"/>
    </row>
    <row r="17465" spans="32:32" x14ac:dyDescent="0.2">
      <c r="AF17465" s="12"/>
    </row>
    <row r="17466" spans="32:32" x14ac:dyDescent="0.2">
      <c r="AF17466" s="12"/>
    </row>
    <row r="17467" spans="32:32" x14ac:dyDescent="0.2">
      <c r="AF17467" s="12"/>
    </row>
    <row r="17468" spans="32:32" x14ac:dyDescent="0.2">
      <c r="AF17468" s="12"/>
    </row>
    <row r="17469" spans="32:32" x14ac:dyDescent="0.2">
      <c r="AF17469" s="12"/>
    </row>
    <row r="17470" spans="32:32" x14ac:dyDescent="0.2">
      <c r="AF17470" s="12"/>
    </row>
    <row r="17471" spans="32:32" x14ac:dyDescent="0.2">
      <c r="AF17471" s="12"/>
    </row>
    <row r="17472" spans="32:32" x14ac:dyDescent="0.2">
      <c r="AF17472" s="12"/>
    </row>
    <row r="17473" spans="32:32" x14ac:dyDescent="0.2">
      <c r="AF17473" s="12"/>
    </row>
    <row r="17474" spans="32:32" x14ac:dyDescent="0.2">
      <c r="AF17474" s="12"/>
    </row>
    <row r="17475" spans="32:32" x14ac:dyDescent="0.2">
      <c r="AF17475" s="12"/>
    </row>
    <row r="17476" spans="32:32" x14ac:dyDescent="0.2">
      <c r="AF17476" s="12"/>
    </row>
    <row r="17477" spans="32:32" x14ac:dyDescent="0.2">
      <c r="AF17477" s="12"/>
    </row>
    <row r="17478" spans="32:32" x14ac:dyDescent="0.2">
      <c r="AF17478" s="12"/>
    </row>
    <row r="17479" spans="32:32" x14ac:dyDescent="0.2">
      <c r="AF17479" s="12"/>
    </row>
    <row r="17480" spans="32:32" x14ac:dyDescent="0.2">
      <c r="AF17480" s="12"/>
    </row>
    <row r="17481" spans="32:32" x14ac:dyDescent="0.2">
      <c r="AF17481" s="12"/>
    </row>
    <row r="17482" spans="32:32" x14ac:dyDescent="0.2">
      <c r="AF17482" s="12"/>
    </row>
    <row r="17483" spans="32:32" x14ac:dyDescent="0.2">
      <c r="AF17483" s="12"/>
    </row>
    <row r="17484" spans="32:32" x14ac:dyDescent="0.2">
      <c r="AF17484" s="12"/>
    </row>
    <row r="17485" spans="32:32" x14ac:dyDescent="0.2">
      <c r="AF17485" s="12"/>
    </row>
    <row r="17486" spans="32:32" x14ac:dyDescent="0.2">
      <c r="AF17486" s="12"/>
    </row>
    <row r="17487" spans="32:32" x14ac:dyDescent="0.2">
      <c r="AF17487" s="12"/>
    </row>
    <row r="17488" spans="32:32" x14ac:dyDescent="0.2">
      <c r="AF17488" s="12"/>
    </row>
    <row r="17489" spans="32:32" x14ac:dyDescent="0.2">
      <c r="AF17489" s="12"/>
    </row>
    <row r="17490" spans="32:32" x14ac:dyDescent="0.2">
      <c r="AF17490" s="12"/>
    </row>
    <row r="17491" spans="32:32" x14ac:dyDescent="0.2">
      <c r="AF17491" s="12"/>
    </row>
    <row r="17492" spans="32:32" x14ac:dyDescent="0.2">
      <c r="AF17492" s="12"/>
    </row>
    <row r="17493" spans="32:32" x14ac:dyDescent="0.2">
      <c r="AF17493" s="12"/>
    </row>
    <row r="17494" spans="32:32" x14ac:dyDescent="0.2">
      <c r="AF17494" s="12"/>
    </row>
    <row r="17495" spans="32:32" x14ac:dyDescent="0.2">
      <c r="AF17495" s="12"/>
    </row>
    <row r="17496" spans="32:32" x14ac:dyDescent="0.2">
      <c r="AF17496" s="12"/>
    </row>
    <row r="17497" spans="32:32" x14ac:dyDescent="0.2">
      <c r="AF17497" s="12"/>
    </row>
    <row r="17498" spans="32:32" x14ac:dyDescent="0.2">
      <c r="AF17498" s="12"/>
    </row>
    <row r="17499" spans="32:32" x14ac:dyDescent="0.2">
      <c r="AF17499" s="12"/>
    </row>
    <row r="17500" spans="32:32" x14ac:dyDescent="0.2">
      <c r="AF17500" s="12"/>
    </row>
    <row r="17501" spans="32:32" x14ac:dyDescent="0.2">
      <c r="AF17501" s="12"/>
    </row>
    <row r="17502" spans="32:32" x14ac:dyDescent="0.2">
      <c r="AF17502" s="12"/>
    </row>
    <row r="17503" spans="32:32" x14ac:dyDescent="0.2">
      <c r="AF17503" s="12"/>
    </row>
    <row r="17504" spans="32:32" x14ac:dyDescent="0.2">
      <c r="AF17504" s="12"/>
    </row>
    <row r="17505" spans="32:32" x14ac:dyDescent="0.2">
      <c r="AF17505" s="12"/>
    </row>
    <row r="17506" spans="32:32" x14ac:dyDescent="0.2">
      <c r="AF17506" s="12"/>
    </row>
    <row r="17507" spans="32:32" x14ac:dyDescent="0.2">
      <c r="AF17507" s="12"/>
    </row>
    <row r="17508" spans="32:32" x14ac:dyDescent="0.2">
      <c r="AF17508" s="12"/>
    </row>
    <row r="17509" spans="32:32" x14ac:dyDescent="0.2">
      <c r="AF17509" s="12"/>
    </row>
    <row r="17510" spans="32:32" x14ac:dyDescent="0.2">
      <c r="AF17510" s="12"/>
    </row>
    <row r="17511" spans="32:32" x14ac:dyDescent="0.2">
      <c r="AF17511" s="12"/>
    </row>
    <row r="17512" spans="32:32" x14ac:dyDescent="0.2">
      <c r="AF17512" s="12"/>
    </row>
    <row r="17513" spans="32:32" x14ac:dyDescent="0.2">
      <c r="AF17513" s="12"/>
    </row>
    <row r="17514" spans="32:32" x14ac:dyDescent="0.2">
      <c r="AF17514" s="12"/>
    </row>
    <row r="17515" spans="32:32" x14ac:dyDescent="0.2">
      <c r="AF17515" s="12"/>
    </row>
    <row r="17516" spans="32:32" x14ac:dyDescent="0.2">
      <c r="AF17516" s="12"/>
    </row>
    <row r="17517" spans="32:32" x14ac:dyDescent="0.2">
      <c r="AF17517" s="12"/>
    </row>
    <row r="17518" spans="32:32" x14ac:dyDescent="0.2">
      <c r="AF17518" s="12"/>
    </row>
    <row r="17519" spans="32:32" x14ac:dyDescent="0.2">
      <c r="AF17519" s="12"/>
    </row>
    <row r="17520" spans="32:32" x14ac:dyDescent="0.2">
      <c r="AF17520" s="12"/>
    </row>
    <row r="17521" spans="32:32" x14ac:dyDescent="0.2">
      <c r="AF17521" s="12"/>
    </row>
    <row r="17522" spans="32:32" x14ac:dyDescent="0.2">
      <c r="AF17522" s="12"/>
    </row>
    <row r="17523" spans="32:32" x14ac:dyDescent="0.2">
      <c r="AF17523" s="12"/>
    </row>
    <row r="17524" spans="32:32" x14ac:dyDescent="0.2">
      <c r="AF17524" s="12"/>
    </row>
    <row r="17525" spans="32:32" x14ac:dyDescent="0.2">
      <c r="AF17525" s="12"/>
    </row>
    <row r="17526" spans="32:32" x14ac:dyDescent="0.2">
      <c r="AF17526" s="12"/>
    </row>
    <row r="17527" spans="32:32" x14ac:dyDescent="0.2">
      <c r="AF17527" s="12"/>
    </row>
    <row r="17528" spans="32:32" x14ac:dyDescent="0.2">
      <c r="AF17528" s="12"/>
    </row>
    <row r="17529" spans="32:32" x14ac:dyDescent="0.2">
      <c r="AF17529" s="12"/>
    </row>
    <row r="17530" spans="32:32" x14ac:dyDescent="0.2">
      <c r="AF17530" s="12"/>
    </row>
    <row r="17531" spans="32:32" x14ac:dyDescent="0.2">
      <c r="AF17531" s="12"/>
    </row>
    <row r="17532" spans="32:32" x14ac:dyDescent="0.2">
      <c r="AF17532" s="12"/>
    </row>
    <row r="17533" spans="32:32" x14ac:dyDescent="0.2">
      <c r="AF17533" s="12"/>
    </row>
    <row r="17534" spans="32:32" x14ac:dyDescent="0.2">
      <c r="AF17534" s="12"/>
    </row>
    <row r="17535" spans="32:32" x14ac:dyDescent="0.2">
      <c r="AF17535" s="12"/>
    </row>
    <row r="17536" spans="32:32" x14ac:dyDescent="0.2">
      <c r="AF17536" s="12"/>
    </row>
    <row r="17537" spans="32:32" x14ac:dyDescent="0.2">
      <c r="AF17537" s="12"/>
    </row>
    <row r="17538" spans="32:32" x14ac:dyDescent="0.2">
      <c r="AF17538" s="12"/>
    </row>
    <row r="17539" spans="32:32" x14ac:dyDescent="0.2">
      <c r="AF17539" s="12"/>
    </row>
    <row r="17540" spans="32:32" x14ac:dyDescent="0.2">
      <c r="AF17540" s="12"/>
    </row>
    <row r="17541" spans="32:32" x14ac:dyDescent="0.2">
      <c r="AF17541" s="12"/>
    </row>
    <row r="17542" spans="32:32" x14ac:dyDescent="0.2">
      <c r="AF17542" s="12"/>
    </row>
    <row r="17543" spans="32:32" x14ac:dyDescent="0.2">
      <c r="AF17543" s="12"/>
    </row>
    <row r="17544" spans="32:32" x14ac:dyDescent="0.2">
      <c r="AF17544" s="12"/>
    </row>
    <row r="17545" spans="32:32" x14ac:dyDescent="0.2">
      <c r="AF17545" s="12"/>
    </row>
    <row r="17546" spans="32:32" x14ac:dyDescent="0.2">
      <c r="AF17546" s="12"/>
    </row>
    <row r="17547" spans="32:32" x14ac:dyDescent="0.2">
      <c r="AF17547" s="12"/>
    </row>
    <row r="17548" spans="32:32" x14ac:dyDescent="0.2">
      <c r="AF17548" s="12"/>
    </row>
    <row r="17549" spans="32:32" x14ac:dyDescent="0.2">
      <c r="AF17549" s="12"/>
    </row>
    <row r="17550" spans="32:32" x14ac:dyDescent="0.2">
      <c r="AF17550" s="12"/>
    </row>
    <row r="17551" spans="32:32" x14ac:dyDescent="0.2">
      <c r="AF17551" s="12"/>
    </row>
    <row r="17552" spans="32:32" x14ac:dyDescent="0.2">
      <c r="AF17552" s="12"/>
    </row>
    <row r="17553" spans="32:32" x14ac:dyDescent="0.2">
      <c r="AF17553" s="12"/>
    </row>
    <row r="17554" spans="32:32" x14ac:dyDescent="0.2">
      <c r="AF17554" s="12"/>
    </row>
    <row r="17555" spans="32:32" x14ac:dyDescent="0.2">
      <c r="AF17555" s="12"/>
    </row>
    <row r="17556" spans="32:32" x14ac:dyDescent="0.2">
      <c r="AF17556" s="12"/>
    </row>
    <row r="17557" spans="32:32" x14ac:dyDescent="0.2">
      <c r="AF17557" s="12"/>
    </row>
    <row r="17558" spans="32:32" x14ac:dyDescent="0.2">
      <c r="AF17558" s="12"/>
    </row>
    <row r="17559" spans="32:32" x14ac:dyDescent="0.2">
      <c r="AF17559" s="12"/>
    </row>
    <row r="17560" spans="32:32" x14ac:dyDescent="0.2">
      <c r="AF17560" s="12"/>
    </row>
    <row r="17561" spans="32:32" x14ac:dyDescent="0.2">
      <c r="AF17561" s="12"/>
    </row>
    <row r="17562" spans="32:32" x14ac:dyDescent="0.2">
      <c r="AF17562" s="12"/>
    </row>
    <row r="17563" spans="32:32" x14ac:dyDescent="0.2">
      <c r="AF17563" s="12"/>
    </row>
    <row r="17564" spans="32:32" x14ac:dyDescent="0.2">
      <c r="AF17564" s="12"/>
    </row>
    <row r="17565" spans="32:32" x14ac:dyDescent="0.2">
      <c r="AF17565" s="12"/>
    </row>
    <row r="17566" spans="32:32" x14ac:dyDescent="0.2">
      <c r="AF17566" s="12"/>
    </row>
    <row r="17567" spans="32:32" x14ac:dyDescent="0.2">
      <c r="AF17567" s="12"/>
    </row>
    <row r="17568" spans="32:32" x14ac:dyDescent="0.2">
      <c r="AF17568" s="12"/>
    </row>
    <row r="17569" spans="32:32" x14ac:dyDescent="0.2">
      <c r="AF17569" s="12"/>
    </row>
    <row r="17570" spans="32:32" x14ac:dyDescent="0.2">
      <c r="AF17570" s="12"/>
    </row>
    <row r="17571" spans="32:32" x14ac:dyDescent="0.2">
      <c r="AF17571" s="12"/>
    </row>
    <row r="17572" spans="32:32" x14ac:dyDescent="0.2">
      <c r="AF17572" s="12"/>
    </row>
    <row r="17573" spans="32:32" x14ac:dyDescent="0.2">
      <c r="AF17573" s="12"/>
    </row>
    <row r="17574" spans="32:32" x14ac:dyDescent="0.2">
      <c r="AF17574" s="12"/>
    </row>
    <row r="17575" spans="32:32" x14ac:dyDescent="0.2">
      <c r="AF17575" s="12"/>
    </row>
    <row r="17576" spans="32:32" x14ac:dyDescent="0.2">
      <c r="AF17576" s="12"/>
    </row>
    <row r="17577" spans="32:32" x14ac:dyDescent="0.2">
      <c r="AF17577" s="12"/>
    </row>
    <row r="17578" spans="32:32" x14ac:dyDescent="0.2">
      <c r="AF17578" s="12"/>
    </row>
    <row r="17579" spans="32:32" x14ac:dyDescent="0.2">
      <c r="AF17579" s="12"/>
    </row>
    <row r="17580" spans="32:32" x14ac:dyDescent="0.2">
      <c r="AF17580" s="12"/>
    </row>
    <row r="17581" spans="32:32" x14ac:dyDescent="0.2">
      <c r="AF17581" s="12"/>
    </row>
    <row r="17582" spans="32:32" x14ac:dyDescent="0.2">
      <c r="AF17582" s="12"/>
    </row>
    <row r="17583" spans="32:32" x14ac:dyDescent="0.2">
      <c r="AF17583" s="12"/>
    </row>
    <row r="17584" spans="32:32" x14ac:dyDescent="0.2">
      <c r="AF17584" s="12"/>
    </row>
    <row r="17585" spans="32:32" x14ac:dyDescent="0.2">
      <c r="AF17585" s="12"/>
    </row>
    <row r="17586" spans="32:32" x14ac:dyDescent="0.2">
      <c r="AF17586" s="12"/>
    </row>
    <row r="17587" spans="32:32" x14ac:dyDescent="0.2">
      <c r="AF17587" s="12"/>
    </row>
    <row r="17588" spans="32:32" x14ac:dyDescent="0.2">
      <c r="AF17588" s="12"/>
    </row>
    <row r="17589" spans="32:32" x14ac:dyDescent="0.2">
      <c r="AF17589" s="12"/>
    </row>
    <row r="17590" spans="32:32" x14ac:dyDescent="0.2">
      <c r="AF17590" s="12"/>
    </row>
    <row r="17591" spans="32:32" x14ac:dyDescent="0.2">
      <c r="AF17591" s="12"/>
    </row>
    <row r="17592" spans="32:32" x14ac:dyDescent="0.2">
      <c r="AF17592" s="12"/>
    </row>
    <row r="17593" spans="32:32" x14ac:dyDescent="0.2">
      <c r="AF17593" s="12"/>
    </row>
    <row r="17594" spans="32:32" x14ac:dyDescent="0.2">
      <c r="AF17594" s="12"/>
    </row>
    <row r="17595" spans="32:32" x14ac:dyDescent="0.2">
      <c r="AF17595" s="12"/>
    </row>
    <row r="17596" spans="32:32" x14ac:dyDescent="0.2">
      <c r="AF17596" s="12"/>
    </row>
    <row r="17597" spans="32:32" x14ac:dyDescent="0.2">
      <c r="AF17597" s="12"/>
    </row>
    <row r="17598" spans="32:32" x14ac:dyDescent="0.2">
      <c r="AF17598" s="12"/>
    </row>
    <row r="17599" spans="32:32" x14ac:dyDescent="0.2">
      <c r="AF17599" s="12"/>
    </row>
    <row r="17600" spans="32:32" x14ac:dyDescent="0.2">
      <c r="AF17600" s="12"/>
    </row>
    <row r="17601" spans="32:32" x14ac:dyDescent="0.2">
      <c r="AF17601" s="12"/>
    </row>
    <row r="17602" spans="32:32" x14ac:dyDescent="0.2">
      <c r="AF17602" s="12"/>
    </row>
    <row r="17603" spans="32:32" x14ac:dyDescent="0.2">
      <c r="AF17603" s="12"/>
    </row>
    <row r="17604" spans="32:32" x14ac:dyDescent="0.2">
      <c r="AF17604" s="12"/>
    </row>
    <row r="17605" spans="32:32" x14ac:dyDescent="0.2">
      <c r="AF17605" s="12"/>
    </row>
    <row r="17606" spans="32:32" x14ac:dyDescent="0.2">
      <c r="AF17606" s="12"/>
    </row>
    <row r="17607" spans="32:32" x14ac:dyDescent="0.2">
      <c r="AF17607" s="12"/>
    </row>
    <row r="17608" spans="32:32" x14ac:dyDescent="0.2">
      <c r="AF17608" s="12"/>
    </row>
    <row r="17609" spans="32:32" x14ac:dyDescent="0.2">
      <c r="AF17609" s="12"/>
    </row>
    <row r="17610" spans="32:32" x14ac:dyDescent="0.2">
      <c r="AF17610" s="12"/>
    </row>
    <row r="17611" spans="32:32" x14ac:dyDescent="0.2">
      <c r="AF17611" s="12"/>
    </row>
    <row r="17612" spans="32:32" x14ac:dyDescent="0.2">
      <c r="AF17612" s="12"/>
    </row>
    <row r="17613" spans="32:32" x14ac:dyDescent="0.2">
      <c r="AF17613" s="12"/>
    </row>
    <row r="17614" spans="32:32" x14ac:dyDescent="0.2">
      <c r="AF17614" s="12"/>
    </row>
    <row r="17615" spans="32:32" x14ac:dyDescent="0.2">
      <c r="AF17615" s="12"/>
    </row>
    <row r="17616" spans="32:32" x14ac:dyDescent="0.2">
      <c r="AF17616" s="12"/>
    </row>
    <row r="17617" spans="32:32" x14ac:dyDescent="0.2">
      <c r="AF17617" s="12"/>
    </row>
    <row r="17618" spans="32:32" x14ac:dyDescent="0.2">
      <c r="AF17618" s="12"/>
    </row>
    <row r="17619" spans="32:32" x14ac:dyDescent="0.2">
      <c r="AF17619" s="12"/>
    </row>
    <row r="17620" spans="32:32" x14ac:dyDescent="0.2">
      <c r="AF17620" s="12"/>
    </row>
    <row r="17621" spans="32:32" x14ac:dyDescent="0.2">
      <c r="AF17621" s="12"/>
    </row>
    <row r="17622" spans="32:32" x14ac:dyDescent="0.2">
      <c r="AF17622" s="12"/>
    </row>
    <row r="17623" spans="32:32" x14ac:dyDescent="0.2">
      <c r="AF17623" s="12"/>
    </row>
    <row r="17624" spans="32:32" x14ac:dyDescent="0.2">
      <c r="AF17624" s="12"/>
    </row>
    <row r="17625" spans="32:32" x14ac:dyDescent="0.2">
      <c r="AF17625" s="12"/>
    </row>
    <row r="17626" spans="32:32" x14ac:dyDescent="0.2">
      <c r="AF17626" s="12"/>
    </row>
    <row r="17627" spans="32:32" x14ac:dyDescent="0.2">
      <c r="AF17627" s="12"/>
    </row>
    <row r="17628" spans="32:32" x14ac:dyDescent="0.2">
      <c r="AF17628" s="12"/>
    </row>
    <row r="17629" spans="32:32" x14ac:dyDescent="0.2">
      <c r="AF17629" s="12"/>
    </row>
    <row r="17630" spans="32:32" x14ac:dyDescent="0.2">
      <c r="AF17630" s="12"/>
    </row>
    <row r="17631" spans="32:32" x14ac:dyDescent="0.2">
      <c r="AF17631" s="12"/>
    </row>
    <row r="17632" spans="32:32" x14ac:dyDescent="0.2">
      <c r="AF17632" s="12"/>
    </row>
    <row r="17633" spans="32:32" x14ac:dyDescent="0.2">
      <c r="AF17633" s="12"/>
    </row>
    <row r="17634" spans="32:32" x14ac:dyDescent="0.2">
      <c r="AF17634" s="12"/>
    </row>
    <row r="17635" spans="32:32" x14ac:dyDescent="0.2">
      <c r="AF17635" s="12"/>
    </row>
    <row r="17636" spans="32:32" x14ac:dyDescent="0.2">
      <c r="AF17636" s="12"/>
    </row>
    <row r="17637" spans="32:32" x14ac:dyDescent="0.2">
      <c r="AF17637" s="12"/>
    </row>
    <row r="17638" spans="32:32" x14ac:dyDescent="0.2">
      <c r="AF17638" s="12"/>
    </row>
    <row r="17639" spans="32:32" x14ac:dyDescent="0.2">
      <c r="AF17639" s="12"/>
    </row>
    <row r="17640" spans="32:32" x14ac:dyDescent="0.2">
      <c r="AF17640" s="12"/>
    </row>
    <row r="17641" spans="32:32" x14ac:dyDescent="0.2">
      <c r="AF17641" s="12"/>
    </row>
    <row r="17642" spans="32:32" x14ac:dyDescent="0.2">
      <c r="AF17642" s="12"/>
    </row>
    <row r="17643" spans="32:32" x14ac:dyDescent="0.2">
      <c r="AF17643" s="12"/>
    </row>
    <row r="17644" spans="32:32" x14ac:dyDescent="0.2">
      <c r="AF17644" s="12"/>
    </row>
    <row r="17645" spans="32:32" x14ac:dyDescent="0.2">
      <c r="AF17645" s="12"/>
    </row>
    <row r="17646" spans="32:32" x14ac:dyDescent="0.2">
      <c r="AF17646" s="12"/>
    </row>
    <row r="17647" spans="32:32" x14ac:dyDescent="0.2">
      <c r="AF17647" s="12"/>
    </row>
    <row r="17648" spans="32:32" x14ac:dyDescent="0.2">
      <c r="AF17648" s="12"/>
    </row>
    <row r="17649" spans="32:32" x14ac:dyDescent="0.2">
      <c r="AF17649" s="12"/>
    </row>
    <row r="17650" spans="32:32" x14ac:dyDescent="0.2">
      <c r="AF17650" s="12"/>
    </row>
    <row r="17651" spans="32:32" x14ac:dyDescent="0.2">
      <c r="AF17651" s="12"/>
    </row>
    <row r="17652" spans="32:32" x14ac:dyDescent="0.2">
      <c r="AF17652" s="12"/>
    </row>
    <row r="17653" spans="32:32" x14ac:dyDescent="0.2">
      <c r="AF17653" s="12"/>
    </row>
    <row r="17654" spans="32:32" x14ac:dyDescent="0.2">
      <c r="AF17654" s="12"/>
    </row>
    <row r="17655" spans="32:32" x14ac:dyDescent="0.2">
      <c r="AF17655" s="12"/>
    </row>
    <row r="17656" spans="32:32" x14ac:dyDescent="0.2">
      <c r="AF17656" s="12"/>
    </row>
    <row r="17657" spans="32:32" x14ac:dyDescent="0.2">
      <c r="AF17657" s="12"/>
    </row>
    <row r="17658" spans="32:32" x14ac:dyDescent="0.2">
      <c r="AF17658" s="12"/>
    </row>
    <row r="17659" spans="32:32" x14ac:dyDescent="0.2">
      <c r="AF17659" s="12"/>
    </row>
    <row r="17660" spans="32:32" x14ac:dyDescent="0.2">
      <c r="AF17660" s="12"/>
    </row>
    <row r="17661" spans="32:32" x14ac:dyDescent="0.2">
      <c r="AF17661" s="12"/>
    </row>
    <row r="17662" spans="32:32" x14ac:dyDescent="0.2">
      <c r="AF17662" s="12"/>
    </row>
    <row r="17663" spans="32:32" x14ac:dyDescent="0.2">
      <c r="AF17663" s="12"/>
    </row>
    <row r="17664" spans="32:32" x14ac:dyDescent="0.2">
      <c r="AF17664" s="12"/>
    </row>
    <row r="17665" spans="32:32" x14ac:dyDescent="0.2">
      <c r="AF17665" s="12"/>
    </row>
    <row r="17666" spans="32:32" x14ac:dyDescent="0.2">
      <c r="AF17666" s="12"/>
    </row>
    <row r="17667" spans="32:32" x14ac:dyDescent="0.2">
      <c r="AF17667" s="12"/>
    </row>
    <row r="17668" spans="32:32" x14ac:dyDescent="0.2">
      <c r="AF17668" s="12"/>
    </row>
    <row r="17669" spans="32:32" x14ac:dyDescent="0.2">
      <c r="AF17669" s="12"/>
    </row>
    <row r="17670" spans="32:32" x14ac:dyDescent="0.2">
      <c r="AF17670" s="12"/>
    </row>
    <row r="17671" spans="32:32" x14ac:dyDescent="0.2">
      <c r="AF17671" s="12"/>
    </row>
    <row r="17672" spans="32:32" x14ac:dyDescent="0.2">
      <c r="AF17672" s="12"/>
    </row>
    <row r="17673" spans="32:32" x14ac:dyDescent="0.2">
      <c r="AF17673" s="12"/>
    </row>
    <row r="17674" spans="32:32" x14ac:dyDescent="0.2">
      <c r="AF17674" s="12"/>
    </row>
    <row r="17675" spans="32:32" x14ac:dyDescent="0.2">
      <c r="AF17675" s="12"/>
    </row>
    <row r="17676" spans="32:32" x14ac:dyDescent="0.2">
      <c r="AF17676" s="12"/>
    </row>
    <row r="17677" spans="32:32" x14ac:dyDescent="0.2">
      <c r="AF17677" s="12"/>
    </row>
    <row r="17678" spans="32:32" x14ac:dyDescent="0.2">
      <c r="AF17678" s="12"/>
    </row>
    <row r="17679" spans="32:32" x14ac:dyDescent="0.2">
      <c r="AF17679" s="12"/>
    </row>
    <row r="17680" spans="32:32" x14ac:dyDescent="0.2">
      <c r="AF17680" s="12"/>
    </row>
    <row r="17681" spans="32:32" x14ac:dyDescent="0.2">
      <c r="AF17681" s="12"/>
    </row>
    <row r="17682" spans="32:32" x14ac:dyDescent="0.2">
      <c r="AF17682" s="12"/>
    </row>
    <row r="17683" spans="32:32" x14ac:dyDescent="0.2">
      <c r="AF17683" s="12"/>
    </row>
    <row r="17684" spans="32:32" x14ac:dyDescent="0.2">
      <c r="AF17684" s="12"/>
    </row>
    <row r="17685" spans="32:32" x14ac:dyDescent="0.2">
      <c r="AF17685" s="12"/>
    </row>
    <row r="17686" spans="32:32" x14ac:dyDescent="0.2">
      <c r="AF17686" s="12"/>
    </row>
    <row r="17687" spans="32:32" x14ac:dyDescent="0.2">
      <c r="AF17687" s="12"/>
    </row>
    <row r="17688" spans="32:32" x14ac:dyDescent="0.2">
      <c r="AF17688" s="12"/>
    </row>
    <row r="17689" spans="32:32" x14ac:dyDescent="0.2">
      <c r="AF17689" s="12"/>
    </row>
    <row r="17690" spans="32:32" x14ac:dyDescent="0.2">
      <c r="AF17690" s="12"/>
    </row>
    <row r="17691" spans="32:32" x14ac:dyDescent="0.2">
      <c r="AF17691" s="12"/>
    </row>
    <row r="17692" spans="32:32" x14ac:dyDescent="0.2">
      <c r="AF17692" s="12"/>
    </row>
    <row r="17693" spans="32:32" x14ac:dyDescent="0.2">
      <c r="AF17693" s="12"/>
    </row>
    <row r="17694" spans="32:32" x14ac:dyDescent="0.2">
      <c r="AF17694" s="12"/>
    </row>
    <row r="17695" spans="32:32" x14ac:dyDescent="0.2">
      <c r="AF17695" s="12"/>
    </row>
    <row r="17696" spans="32:32" x14ac:dyDescent="0.2">
      <c r="AF17696" s="12"/>
    </row>
    <row r="17697" spans="32:32" x14ac:dyDescent="0.2">
      <c r="AF17697" s="12"/>
    </row>
    <row r="17698" spans="32:32" x14ac:dyDescent="0.2">
      <c r="AF17698" s="12"/>
    </row>
    <row r="17699" spans="32:32" x14ac:dyDescent="0.2">
      <c r="AF17699" s="12"/>
    </row>
    <row r="17700" spans="32:32" x14ac:dyDescent="0.2">
      <c r="AF17700" s="12"/>
    </row>
    <row r="17701" spans="32:32" x14ac:dyDescent="0.2">
      <c r="AF17701" s="12"/>
    </row>
    <row r="17702" spans="32:32" x14ac:dyDescent="0.2">
      <c r="AF17702" s="12"/>
    </row>
    <row r="17703" spans="32:32" x14ac:dyDescent="0.2">
      <c r="AF17703" s="12"/>
    </row>
    <row r="17704" spans="32:32" x14ac:dyDescent="0.2">
      <c r="AF17704" s="12"/>
    </row>
    <row r="17705" spans="32:32" x14ac:dyDescent="0.2">
      <c r="AF17705" s="12"/>
    </row>
    <row r="17706" spans="32:32" x14ac:dyDescent="0.2">
      <c r="AF17706" s="12"/>
    </row>
    <row r="17707" spans="32:32" x14ac:dyDescent="0.2">
      <c r="AF17707" s="12"/>
    </row>
    <row r="17708" spans="32:32" x14ac:dyDescent="0.2">
      <c r="AF17708" s="12"/>
    </row>
    <row r="17709" spans="32:32" x14ac:dyDescent="0.2">
      <c r="AF17709" s="12"/>
    </row>
    <row r="17710" spans="32:32" x14ac:dyDescent="0.2">
      <c r="AF17710" s="12"/>
    </row>
    <row r="17711" spans="32:32" x14ac:dyDescent="0.2">
      <c r="AF17711" s="12"/>
    </row>
    <row r="17712" spans="32:32" x14ac:dyDescent="0.2">
      <c r="AF17712" s="12"/>
    </row>
    <row r="17713" spans="32:32" x14ac:dyDescent="0.2">
      <c r="AF17713" s="12"/>
    </row>
    <row r="17714" spans="32:32" x14ac:dyDescent="0.2">
      <c r="AF17714" s="12"/>
    </row>
    <row r="17715" spans="32:32" x14ac:dyDescent="0.2">
      <c r="AF17715" s="12"/>
    </row>
    <row r="17716" spans="32:32" x14ac:dyDescent="0.2">
      <c r="AF17716" s="12"/>
    </row>
    <row r="17717" spans="32:32" x14ac:dyDescent="0.2">
      <c r="AF17717" s="12"/>
    </row>
    <row r="17718" spans="32:32" x14ac:dyDescent="0.2">
      <c r="AF17718" s="12"/>
    </row>
    <row r="17719" spans="32:32" x14ac:dyDescent="0.2">
      <c r="AF17719" s="12"/>
    </row>
    <row r="17720" spans="32:32" x14ac:dyDescent="0.2">
      <c r="AF17720" s="12"/>
    </row>
    <row r="17721" spans="32:32" x14ac:dyDescent="0.2">
      <c r="AF17721" s="12"/>
    </row>
    <row r="17722" spans="32:32" x14ac:dyDescent="0.2">
      <c r="AF17722" s="12"/>
    </row>
    <row r="17723" spans="32:32" x14ac:dyDescent="0.2">
      <c r="AF17723" s="12"/>
    </row>
    <row r="17724" spans="32:32" x14ac:dyDescent="0.2">
      <c r="AF17724" s="12"/>
    </row>
    <row r="17725" spans="32:32" x14ac:dyDescent="0.2">
      <c r="AF17725" s="12"/>
    </row>
    <row r="17726" spans="32:32" x14ac:dyDescent="0.2">
      <c r="AF17726" s="12"/>
    </row>
    <row r="17727" spans="32:32" x14ac:dyDescent="0.2">
      <c r="AF17727" s="12"/>
    </row>
    <row r="17728" spans="32:32" x14ac:dyDescent="0.2">
      <c r="AF17728" s="12"/>
    </row>
    <row r="17729" spans="32:32" x14ac:dyDescent="0.2">
      <c r="AF17729" s="12"/>
    </row>
    <row r="17730" spans="32:32" x14ac:dyDescent="0.2">
      <c r="AF17730" s="12"/>
    </row>
    <row r="17731" spans="32:32" x14ac:dyDescent="0.2">
      <c r="AF17731" s="12"/>
    </row>
    <row r="17732" spans="32:32" x14ac:dyDescent="0.2">
      <c r="AF17732" s="12"/>
    </row>
    <row r="17733" spans="32:32" x14ac:dyDescent="0.2">
      <c r="AF17733" s="12"/>
    </row>
    <row r="17734" spans="32:32" x14ac:dyDescent="0.2">
      <c r="AF17734" s="12"/>
    </row>
    <row r="17735" spans="32:32" x14ac:dyDescent="0.2">
      <c r="AF17735" s="12"/>
    </row>
    <row r="17736" spans="32:32" x14ac:dyDescent="0.2">
      <c r="AF17736" s="12"/>
    </row>
    <row r="17737" spans="32:32" x14ac:dyDescent="0.2">
      <c r="AF17737" s="12"/>
    </row>
    <row r="17738" spans="32:32" x14ac:dyDescent="0.2">
      <c r="AF17738" s="12"/>
    </row>
    <row r="17739" spans="32:32" x14ac:dyDescent="0.2">
      <c r="AF17739" s="12"/>
    </row>
    <row r="17740" spans="32:32" x14ac:dyDescent="0.2">
      <c r="AF17740" s="12"/>
    </row>
    <row r="17741" spans="32:32" x14ac:dyDescent="0.2">
      <c r="AF17741" s="12"/>
    </row>
    <row r="17742" spans="32:32" x14ac:dyDescent="0.2">
      <c r="AF17742" s="12"/>
    </row>
    <row r="17743" spans="32:32" x14ac:dyDescent="0.2">
      <c r="AF17743" s="12"/>
    </row>
    <row r="17744" spans="32:32" x14ac:dyDescent="0.2">
      <c r="AF17744" s="12"/>
    </row>
    <row r="17745" spans="32:32" x14ac:dyDescent="0.2">
      <c r="AF17745" s="12"/>
    </row>
    <row r="17746" spans="32:32" x14ac:dyDescent="0.2">
      <c r="AF17746" s="12"/>
    </row>
    <row r="17747" spans="32:32" x14ac:dyDescent="0.2">
      <c r="AF17747" s="12"/>
    </row>
    <row r="17748" spans="32:32" x14ac:dyDescent="0.2">
      <c r="AF17748" s="12"/>
    </row>
    <row r="17749" spans="32:32" x14ac:dyDescent="0.2">
      <c r="AF17749" s="12"/>
    </row>
    <row r="17750" spans="32:32" x14ac:dyDescent="0.2">
      <c r="AF17750" s="12"/>
    </row>
    <row r="17751" spans="32:32" x14ac:dyDescent="0.2">
      <c r="AF17751" s="12"/>
    </row>
    <row r="17752" spans="32:32" x14ac:dyDescent="0.2">
      <c r="AF17752" s="12"/>
    </row>
    <row r="17753" spans="32:32" x14ac:dyDescent="0.2">
      <c r="AF17753" s="12"/>
    </row>
    <row r="17754" spans="32:32" x14ac:dyDescent="0.2">
      <c r="AF17754" s="12"/>
    </row>
    <row r="17755" spans="32:32" x14ac:dyDescent="0.2">
      <c r="AF17755" s="12"/>
    </row>
    <row r="17756" spans="32:32" x14ac:dyDescent="0.2">
      <c r="AF17756" s="12"/>
    </row>
    <row r="17757" spans="32:32" x14ac:dyDescent="0.2">
      <c r="AF17757" s="12"/>
    </row>
    <row r="17758" spans="32:32" x14ac:dyDescent="0.2">
      <c r="AF17758" s="12"/>
    </row>
    <row r="17759" spans="32:32" x14ac:dyDescent="0.2">
      <c r="AF17759" s="12"/>
    </row>
    <row r="17760" spans="32:32" x14ac:dyDescent="0.2">
      <c r="AF17760" s="12"/>
    </row>
    <row r="17761" spans="32:32" x14ac:dyDescent="0.2">
      <c r="AF17761" s="12"/>
    </row>
    <row r="17762" spans="32:32" x14ac:dyDescent="0.2">
      <c r="AF17762" s="12"/>
    </row>
    <row r="17763" spans="32:32" x14ac:dyDescent="0.2">
      <c r="AF17763" s="12"/>
    </row>
    <row r="17764" spans="32:32" x14ac:dyDescent="0.2">
      <c r="AF17764" s="12"/>
    </row>
    <row r="17765" spans="32:32" x14ac:dyDescent="0.2">
      <c r="AF17765" s="12"/>
    </row>
    <row r="17766" spans="32:32" x14ac:dyDescent="0.2">
      <c r="AF17766" s="12"/>
    </row>
    <row r="17767" spans="32:32" x14ac:dyDescent="0.2">
      <c r="AF17767" s="12"/>
    </row>
    <row r="17768" spans="32:32" x14ac:dyDescent="0.2">
      <c r="AF17768" s="12"/>
    </row>
    <row r="17769" spans="32:32" x14ac:dyDescent="0.2">
      <c r="AF17769" s="12"/>
    </row>
    <row r="17770" spans="32:32" x14ac:dyDescent="0.2">
      <c r="AF17770" s="12"/>
    </row>
    <row r="17771" spans="32:32" x14ac:dyDescent="0.2">
      <c r="AF17771" s="12"/>
    </row>
    <row r="17772" spans="32:32" x14ac:dyDescent="0.2">
      <c r="AF17772" s="12"/>
    </row>
    <row r="17773" spans="32:32" x14ac:dyDescent="0.2">
      <c r="AF17773" s="12"/>
    </row>
    <row r="17774" spans="32:32" x14ac:dyDescent="0.2">
      <c r="AF17774" s="12"/>
    </row>
    <row r="17775" spans="32:32" x14ac:dyDescent="0.2">
      <c r="AF17775" s="12"/>
    </row>
    <row r="17776" spans="32:32" x14ac:dyDescent="0.2">
      <c r="AF17776" s="12"/>
    </row>
    <row r="17777" spans="32:32" x14ac:dyDescent="0.2">
      <c r="AF17777" s="12"/>
    </row>
    <row r="17778" spans="32:32" x14ac:dyDescent="0.2">
      <c r="AF17778" s="12"/>
    </row>
    <row r="17779" spans="32:32" x14ac:dyDescent="0.2">
      <c r="AF17779" s="12"/>
    </row>
    <row r="17780" spans="32:32" x14ac:dyDescent="0.2">
      <c r="AF17780" s="12"/>
    </row>
    <row r="17781" spans="32:32" x14ac:dyDescent="0.2">
      <c r="AF17781" s="12"/>
    </row>
    <row r="17782" spans="32:32" x14ac:dyDescent="0.2">
      <c r="AF17782" s="12"/>
    </row>
    <row r="17783" spans="32:32" x14ac:dyDescent="0.2">
      <c r="AF17783" s="12"/>
    </row>
    <row r="17784" spans="32:32" x14ac:dyDescent="0.2">
      <c r="AF17784" s="12"/>
    </row>
    <row r="17785" spans="32:32" x14ac:dyDescent="0.2">
      <c r="AF17785" s="12"/>
    </row>
    <row r="17786" spans="32:32" x14ac:dyDescent="0.2">
      <c r="AF17786" s="12"/>
    </row>
    <row r="17787" spans="32:32" x14ac:dyDescent="0.2">
      <c r="AF17787" s="12"/>
    </row>
    <row r="17788" spans="32:32" x14ac:dyDescent="0.2">
      <c r="AF17788" s="12"/>
    </row>
    <row r="17789" spans="32:32" x14ac:dyDescent="0.2">
      <c r="AF17789" s="12"/>
    </row>
    <row r="17790" spans="32:32" x14ac:dyDescent="0.2">
      <c r="AF17790" s="12"/>
    </row>
    <row r="17791" spans="32:32" x14ac:dyDescent="0.2">
      <c r="AF17791" s="12"/>
    </row>
    <row r="17792" spans="32:32" x14ac:dyDescent="0.2">
      <c r="AF17792" s="12"/>
    </row>
    <row r="17793" spans="32:32" x14ac:dyDescent="0.2">
      <c r="AF17793" s="12"/>
    </row>
    <row r="17794" spans="32:32" x14ac:dyDescent="0.2">
      <c r="AF17794" s="12"/>
    </row>
    <row r="17795" spans="32:32" x14ac:dyDescent="0.2">
      <c r="AF17795" s="12"/>
    </row>
    <row r="17796" spans="32:32" x14ac:dyDescent="0.2">
      <c r="AF17796" s="12"/>
    </row>
    <row r="17797" spans="32:32" x14ac:dyDescent="0.2">
      <c r="AF17797" s="12"/>
    </row>
    <row r="17798" spans="32:32" x14ac:dyDescent="0.2">
      <c r="AF17798" s="12"/>
    </row>
    <row r="17799" spans="32:32" x14ac:dyDescent="0.2">
      <c r="AF17799" s="12"/>
    </row>
    <row r="17800" spans="32:32" x14ac:dyDescent="0.2">
      <c r="AF17800" s="12"/>
    </row>
    <row r="17801" spans="32:32" x14ac:dyDescent="0.2">
      <c r="AF17801" s="12"/>
    </row>
    <row r="17802" spans="32:32" x14ac:dyDescent="0.2">
      <c r="AF17802" s="12"/>
    </row>
    <row r="17803" spans="32:32" x14ac:dyDescent="0.2">
      <c r="AF17803" s="12"/>
    </row>
    <row r="17804" spans="32:32" x14ac:dyDescent="0.2">
      <c r="AF17804" s="12"/>
    </row>
    <row r="17805" spans="32:32" x14ac:dyDescent="0.2">
      <c r="AF17805" s="12"/>
    </row>
    <row r="17806" spans="32:32" x14ac:dyDescent="0.2">
      <c r="AF17806" s="12"/>
    </row>
    <row r="17807" spans="32:32" x14ac:dyDescent="0.2">
      <c r="AF17807" s="12"/>
    </row>
    <row r="17808" spans="32:32" x14ac:dyDescent="0.2">
      <c r="AF17808" s="12"/>
    </row>
    <row r="17809" spans="32:32" x14ac:dyDescent="0.2">
      <c r="AF17809" s="12"/>
    </row>
    <row r="17810" spans="32:32" x14ac:dyDescent="0.2">
      <c r="AF17810" s="12"/>
    </row>
    <row r="17811" spans="32:32" x14ac:dyDescent="0.2">
      <c r="AF17811" s="12"/>
    </row>
    <row r="17812" spans="32:32" x14ac:dyDescent="0.2">
      <c r="AF17812" s="12"/>
    </row>
    <row r="17813" spans="32:32" x14ac:dyDescent="0.2">
      <c r="AF17813" s="12"/>
    </row>
    <row r="17814" spans="32:32" x14ac:dyDescent="0.2">
      <c r="AF17814" s="12"/>
    </row>
    <row r="17815" spans="32:32" x14ac:dyDescent="0.2">
      <c r="AF17815" s="12"/>
    </row>
    <row r="17816" spans="32:32" x14ac:dyDescent="0.2">
      <c r="AF17816" s="12"/>
    </row>
    <row r="17817" spans="32:32" x14ac:dyDescent="0.2">
      <c r="AF17817" s="12"/>
    </row>
    <row r="17818" spans="32:32" x14ac:dyDescent="0.2">
      <c r="AF17818" s="12"/>
    </row>
    <row r="17819" spans="32:32" x14ac:dyDescent="0.2">
      <c r="AF17819" s="12"/>
    </row>
    <row r="17820" spans="32:32" x14ac:dyDescent="0.2">
      <c r="AF17820" s="12"/>
    </row>
    <row r="17821" spans="32:32" x14ac:dyDescent="0.2">
      <c r="AF17821" s="12"/>
    </row>
    <row r="17822" spans="32:32" x14ac:dyDescent="0.2">
      <c r="AF17822" s="12"/>
    </row>
    <row r="17823" spans="32:32" x14ac:dyDescent="0.2">
      <c r="AF17823" s="12"/>
    </row>
    <row r="17824" spans="32:32" x14ac:dyDescent="0.2">
      <c r="AF17824" s="12"/>
    </row>
    <row r="17825" spans="32:32" x14ac:dyDescent="0.2">
      <c r="AF17825" s="12"/>
    </row>
    <row r="17826" spans="32:32" x14ac:dyDescent="0.2">
      <c r="AF17826" s="12"/>
    </row>
    <row r="17827" spans="32:32" x14ac:dyDescent="0.2">
      <c r="AF17827" s="12"/>
    </row>
    <row r="17828" spans="32:32" x14ac:dyDescent="0.2">
      <c r="AF17828" s="12"/>
    </row>
    <row r="17829" spans="32:32" x14ac:dyDescent="0.2">
      <c r="AF17829" s="12"/>
    </row>
    <row r="17830" spans="32:32" x14ac:dyDescent="0.2">
      <c r="AF17830" s="12"/>
    </row>
    <row r="17831" spans="32:32" x14ac:dyDescent="0.2">
      <c r="AF17831" s="12"/>
    </row>
    <row r="17832" spans="32:32" x14ac:dyDescent="0.2">
      <c r="AF17832" s="12"/>
    </row>
    <row r="17833" spans="32:32" x14ac:dyDescent="0.2">
      <c r="AF17833" s="12"/>
    </row>
    <row r="17834" spans="32:32" x14ac:dyDescent="0.2">
      <c r="AF17834" s="12"/>
    </row>
    <row r="17835" spans="32:32" x14ac:dyDescent="0.2">
      <c r="AF17835" s="12"/>
    </row>
    <row r="17836" spans="32:32" x14ac:dyDescent="0.2">
      <c r="AF17836" s="12"/>
    </row>
    <row r="17837" spans="32:32" x14ac:dyDescent="0.2">
      <c r="AF17837" s="12"/>
    </row>
    <row r="17838" spans="32:32" x14ac:dyDescent="0.2">
      <c r="AF17838" s="12"/>
    </row>
    <row r="17839" spans="32:32" x14ac:dyDescent="0.2">
      <c r="AF17839" s="12"/>
    </row>
    <row r="17840" spans="32:32" x14ac:dyDescent="0.2">
      <c r="AF17840" s="12"/>
    </row>
    <row r="17841" spans="32:32" x14ac:dyDescent="0.2">
      <c r="AF17841" s="12"/>
    </row>
    <row r="17842" spans="32:32" x14ac:dyDescent="0.2">
      <c r="AF17842" s="12"/>
    </row>
    <row r="17843" spans="32:32" x14ac:dyDescent="0.2">
      <c r="AF17843" s="12"/>
    </row>
    <row r="17844" spans="32:32" x14ac:dyDescent="0.2">
      <c r="AF17844" s="12"/>
    </row>
    <row r="17845" spans="32:32" x14ac:dyDescent="0.2">
      <c r="AF17845" s="12"/>
    </row>
    <row r="17846" spans="32:32" x14ac:dyDescent="0.2">
      <c r="AF17846" s="12"/>
    </row>
    <row r="17847" spans="32:32" x14ac:dyDescent="0.2">
      <c r="AF17847" s="12"/>
    </row>
    <row r="17848" spans="32:32" x14ac:dyDescent="0.2">
      <c r="AF17848" s="12"/>
    </row>
    <row r="17849" spans="32:32" x14ac:dyDescent="0.2">
      <c r="AF17849" s="12"/>
    </row>
    <row r="17850" spans="32:32" x14ac:dyDescent="0.2">
      <c r="AF17850" s="12"/>
    </row>
    <row r="17851" spans="32:32" x14ac:dyDescent="0.2">
      <c r="AF17851" s="12"/>
    </row>
    <row r="17852" spans="32:32" x14ac:dyDescent="0.2">
      <c r="AF17852" s="12"/>
    </row>
    <row r="17853" spans="32:32" x14ac:dyDescent="0.2">
      <c r="AF17853" s="12"/>
    </row>
    <row r="17854" spans="32:32" x14ac:dyDescent="0.2">
      <c r="AF17854" s="12"/>
    </row>
    <row r="17855" spans="32:32" x14ac:dyDescent="0.2">
      <c r="AF17855" s="12"/>
    </row>
    <row r="17856" spans="32:32" x14ac:dyDescent="0.2">
      <c r="AF17856" s="12"/>
    </row>
    <row r="17857" spans="32:32" x14ac:dyDescent="0.2">
      <c r="AF17857" s="12"/>
    </row>
    <row r="17858" spans="32:32" x14ac:dyDescent="0.2">
      <c r="AF17858" s="12"/>
    </row>
    <row r="17859" spans="32:32" x14ac:dyDescent="0.2">
      <c r="AF17859" s="12"/>
    </row>
    <row r="17860" spans="32:32" x14ac:dyDescent="0.2">
      <c r="AF17860" s="12"/>
    </row>
    <row r="17861" spans="32:32" x14ac:dyDescent="0.2">
      <c r="AF17861" s="12"/>
    </row>
    <row r="17862" spans="32:32" x14ac:dyDescent="0.2">
      <c r="AF17862" s="12"/>
    </row>
    <row r="17863" spans="32:32" x14ac:dyDescent="0.2">
      <c r="AF17863" s="12"/>
    </row>
    <row r="17864" spans="32:32" x14ac:dyDescent="0.2">
      <c r="AF17864" s="12"/>
    </row>
    <row r="17865" spans="32:32" x14ac:dyDescent="0.2">
      <c r="AF17865" s="12"/>
    </row>
    <row r="17866" spans="32:32" x14ac:dyDescent="0.2">
      <c r="AF17866" s="12"/>
    </row>
    <row r="17867" spans="32:32" x14ac:dyDescent="0.2">
      <c r="AF17867" s="12"/>
    </row>
    <row r="17868" spans="32:32" x14ac:dyDescent="0.2">
      <c r="AF17868" s="12"/>
    </row>
    <row r="17869" spans="32:32" x14ac:dyDescent="0.2">
      <c r="AF17869" s="12"/>
    </row>
    <row r="17870" spans="32:32" x14ac:dyDescent="0.2">
      <c r="AF17870" s="12"/>
    </row>
    <row r="17871" spans="32:32" x14ac:dyDescent="0.2">
      <c r="AF17871" s="12"/>
    </row>
    <row r="17872" spans="32:32" x14ac:dyDescent="0.2">
      <c r="AF17872" s="12"/>
    </row>
    <row r="17873" spans="32:32" x14ac:dyDescent="0.2">
      <c r="AF17873" s="12"/>
    </row>
    <row r="17874" spans="32:32" x14ac:dyDescent="0.2">
      <c r="AF17874" s="12"/>
    </row>
    <row r="17875" spans="32:32" x14ac:dyDescent="0.2">
      <c r="AF17875" s="12"/>
    </row>
    <row r="17876" spans="32:32" x14ac:dyDescent="0.2">
      <c r="AF17876" s="12"/>
    </row>
    <row r="17877" spans="32:32" x14ac:dyDescent="0.2">
      <c r="AF17877" s="12"/>
    </row>
    <row r="17878" spans="32:32" x14ac:dyDescent="0.2">
      <c r="AF17878" s="12"/>
    </row>
    <row r="17879" spans="32:32" x14ac:dyDescent="0.2">
      <c r="AF17879" s="12"/>
    </row>
    <row r="17880" spans="32:32" x14ac:dyDescent="0.2">
      <c r="AF17880" s="12"/>
    </row>
    <row r="17881" spans="32:32" x14ac:dyDescent="0.2">
      <c r="AF17881" s="12"/>
    </row>
    <row r="17882" spans="32:32" x14ac:dyDescent="0.2">
      <c r="AF17882" s="12"/>
    </row>
    <row r="17883" spans="32:32" x14ac:dyDescent="0.2">
      <c r="AF17883" s="12"/>
    </row>
    <row r="17884" spans="32:32" x14ac:dyDescent="0.2">
      <c r="AF17884" s="12"/>
    </row>
    <row r="17885" spans="32:32" x14ac:dyDescent="0.2">
      <c r="AF17885" s="12"/>
    </row>
    <row r="17886" spans="32:32" x14ac:dyDescent="0.2">
      <c r="AF17886" s="12"/>
    </row>
    <row r="17887" spans="32:32" x14ac:dyDescent="0.2">
      <c r="AF17887" s="12"/>
    </row>
    <row r="17888" spans="32:32" x14ac:dyDescent="0.2">
      <c r="AF17888" s="12"/>
    </row>
    <row r="17889" spans="32:32" x14ac:dyDescent="0.2">
      <c r="AF17889" s="12"/>
    </row>
    <row r="17890" spans="32:32" x14ac:dyDescent="0.2">
      <c r="AF17890" s="12"/>
    </row>
    <row r="17891" spans="32:32" x14ac:dyDescent="0.2">
      <c r="AF17891" s="12"/>
    </row>
    <row r="17892" spans="32:32" x14ac:dyDescent="0.2">
      <c r="AF17892" s="12"/>
    </row>
    <row r="17893" spans="32:32" x14ac:dyDescent="0.2">
      <c r="AF17893" s="12"/>
    </row>
    <row r="17894" spans="32:32" x14ac:dyDescent="0.2">
      <c r="AF17894" s="12"/>
    </row>
    <row r="17895" spans="32:32" x14ac:dyDescent="0.2">
      <c r="AF17895" s="12"/>
    </row>
    <row r="17896" spans="32:32" x14ac:dyDescent="0.2">
      <c r="AF17896" s="12"/>
    </row>
    <row r="17897" spans="32:32" x14ac:dyDescent="0.2">
      <c r="AF17897" s="12"/>
    </row>
    <row r="17898" spans="32:32" x14ac:dyDescent="0.2">
      <c r="AF17898" s="12"/>
    </row>
    <row r="17899" spans="32:32" x14ac:dyDescent="0.2">
      <c r="AF17899" s="12"/>
    </row>
    <row r="17900" spans="32:32" x14ac:dyDescent="0.2">
      <c r="AF17900" s="12"/>
    </row>
    <row r="17901" spans="32:32" x14ac:dyDescent="0.2">
      <c r="AF17901" s="12"/>
    </row>
    <row r="17902" spans="32:32" x14ac:dyDescent="0.2">
      <c r="AF17902" s="12"/>
    </row>
    <row r="17903" spans="32:32" x14ac:dyDescent="0.2">
      <c r="AF17903" s="12"/>
    </row>
    <row r="17904" spans="32:32" x14ac:dyDescent="0.2">
      <c r="AF17904" s="12"/>
    </row>
    <row r="17905" spans="32:32" x14ac:dyDescent="0.2">
      <c r="AF17905" s="12"/>
    </row>
    <row r="17906" spans="32:32" x14ac:dyDescent="0.2">
      <c r="AF17906" s="12"/>
    </row>
    <row r="17907" spans="32:32" x14ac:dyDescent="0.2">
      <c r="AF17907" s="12"/>
    </row>
    <row r="17908" spans="32:32" x14ac:dyDescent="0.2">
      <c r="AF17908" s="12"/>
    </row>
    <row r="17909" spans="32:32" x14ac:dyDescent="0.2">
      <c r="AF17909" s="12"/>
    </row>
    <row r="17910" spans="32:32" x14ac:dyDescent="0.2">
      <c r="AF17910" s="12"/>
    </row>
    <row r="17911" spans="32:32" x14ac:dyDescent="0.2">
      <c r="AF17911" s="12"/>
    </row>
    <row r="17912" spans="32:32" x14ac:dyDescent="0.2">
      <c r="AF17912" s="12"/>
    </row>
    <row r="17913" spans="32:32" x14ac:dyDescent="0.2">
      <c r="AF17913" s="12"/>
    </row>
    <row r="17914" spans="32:32" x14ac:dyDescent="0.2">
      <c r="AF17914" s="12"/>
    </row>
    <row r="17915" spans="32:32" x14ac:dyDescent="0.2">
      <c r="AF17915" s="12"/>
    </row>
    <row r="17916" spans="32:32" x14ac:dyDescent="0.2">
      <c r="AF17916" s="12"/>
    </row>
    <row r="17917" spans="32:32" x14ac:dyDescent="0.2">
      <c r="AF17917" s="12"/>
    </row>
    <row r="17918" spans="32:32" x14ac:dyDescent="0.2">
      <c r="AF17918" s="12"/>
    </row>
    <row r="17919" spans="32:32" x14ac:dyDescent="0.2">
      <c r="AF17919" s="12"/>
    </row>
    <row r="17920" spans="32:32" x14ac:dyDescent="0.2">
      <c r="AF17920" s="12"/>
    </row>
    <row r="17921" spans="32:32" x14ac:dyDescent="0.2">
      <c r="AF17921" s="12"/>
    </row>
    <row r="17922" spans="32:32" x14ac:dyDescent="0.2">
      <c r="AF17922" s="12"/>
    </row>
    <row r="17923" spans="32:32" x14ac:dyDescent="0.2">
      <c r="AF17923" s="12"/>
    </row>
    <row r="17924" spans="32:32" x14ac:dyDescent="0.2">
      <c r="AF17924" s="12"/>
    </row>
    <row r="17925" spans="32:32" x14ac:dyDescent="0.2">
      <c r="AF17925" s="12"/>
    </row>
    <row r="17926" spans="32:32" x14ac:dyDescent="0.2">
      <c r="AF17926" s="12"/>
    </row>
    <row r="17927" spans="32:32" x14ac:dyDescent="0.2">
      <c r="AF17927" s="12"/>
    </row>
    <row r="17928" spans="32:32" x14ac:dyDescent="0.2">
      <c r="AF17928" s="12"/>
    </row>
    <row r="17929" spans="32:32" x14ac:dyDescent="0.2">
      <c r="AF17929" s="12"/>
    </row>
    <row r="17930" spans="32:32" x14ac:dyDescent="0.2">
      <c r="AF17930" s="12"/>
    </row>
    <row r="17931" spans="32:32" x14ac:dyDescent="0.2">
      <c r="AF17931" s="12"/>
    </row>
    <row r="17932" spans="32:32" x14ac:dyDescent="0.2">
      <c r="AF17932" s="12"/>
    </row>
    <row r="17933" spans="32:32" x14ac:dyDescent="0.2">
      <c r="AF17933" s="12"/>
    </row>
    <row r="17934" spans="32:32" x14ac:dyDescent="0.2">
      <c r="AF17934" s="12"/>
    </row>
    <row r="17935" spans="32:32" x14ac:dyDescent="0.2">
      <c r="AF17935" s="12"/>
    </row>
    <row r="17936" spans="32:32" x14ac:dyDescent="0.2">
      <c r="AF17936" s="12"/>
    </row>
    <row r="17937" spans="32:32" x14ac:dyDescent="0.2">
      <c r="AF17937" s="12"/>
    </row>
    <row r="17938" spans="32:32" x14ac:dyDescent="0.2">
      <c r="AF17938" s="12"/>
    </row>
    <row r="17939" spans="32:32" x14ac:dyDescent="0.2">
      <c r="AF17939" s="12"/>
    </row>
    <row r="17940" spans="32:32" x14ac:dyDescent="0.2">
      <c r="AF17940" s="12"/>
    </row>
    <row r="17941" spans="32:32" x14ac:dyDescent="0.2">
      <c r="AF17941" s="12"/>
    </row>
    <row r="17942" spans="32:32" x14ac:dyDescent="0.2">
      <c r="AF17942" s="12"/>
    </row>
    <row r="17943" spans="32:32" x14ac:dyDescent="0.2">
      <c r="AF17943" s="12"/>
    </row>
    <row r="17944" spans="32:32" x14ac:dyDescent="0.2">
      <c r="AF17944" s="12"/>
    </row>
    <row r="17945" spans="32:32" x14ac:dyDescent="0.2">
      <c r="AF17945" s="12"/>
    </row>
    <row r="17946" spans="32:32" x14ac:dyDescent="0.2">
      <c r="AF17946" s="12"/>
    </row>
    <row r="17947" spans="32:32" x14ac:dyDescent="0.2">
      <c r="AF17947" s="12"/>
    </row>
    <row r="17948" spans="32:32" x14ac:dyDescent="0.2">
      <c r="AF17948" s="12"/>
    </row>
    <row r="17949" spans="32:32" x14ac:dyDescent="0.2">
      <c r="AF17949" s="12"/>
    </row>
    <row r="17950" spans="32:32" x14ac:dyDescent="0.2">
      <c r="AF17950" s="12"/>
    </row>
    <row r="17951" spans="32:32" x14ac:dyDescent="0.2">
      <c r="AF17951" s="12"/>
    </row>
    <row r="17952" spans="32:32" x14ac:dyDescent="0.2">
      <c r="AF17952" s="12"/>
    </row>
    <row r="17953" spans="32:32" x14ac:dyDescent="0.2">
      <c r="AF17953" s="12"/>
    </row>
    <row r="17954" spans="32:32" x14ac:dyDescent="0.2">
      <c r="AF17954" s="12"/>
    </row>
    <row r="17955" spans="32:32" x14ac:dyDescent="0.2">
      <c r="AF17955" s="12"/>
    </row>
    <row r="17956" spans="32:32" x14ac:dyDescent="0.2">
      <c r="AF17956" s="12"/>
    </row>
    <row r="17957" spans="32:32" x14ac:dyDescent="0.2">
      <c r="AF17957" s="12"/>
    </row>
    <row r="17958" spans="32:32" x14ac:dyDescent="0.2">
      <c r="AF17958" s="12"/>
    </row>
    <row r="17959" spans="32:32" x14ac:dyDescent="0.2">
      <c r="AF17959" s="12"/>
    </row>
    <row r="17960" spans="32:32" x14ac:dyDescent="0.2">
      <c r="AF17960" s="12"/>
    </row>
    <row r="17961" spans="32:32" x14ac:dyDescent="0.2">
      <c r="AF17961" s="12"/>
    </row>
    <row r="17962" spans="32:32" x14ac:dyDescent="0.2">
      <c r="AF17962" s="12"/>
    </row>
    <row r="17963" spans="32:32" x14ac:dyDescent="0.2">
      <c r="AF17963" s="12"/>
    </row>
    <row r="17964" spans="32:32" x14ac:dyDescent="0.2">
      <c r="AF17964" s="12"/>
    </row>
    <row r="17965" spans="32:32" x14ac:dyDescent="0.2">
      <c r="AF17965" s="12"/>
    </row>
    <row r="17966" spans="32:32" x14ac:dyDescent="0.2">
      <c r="AF17966" s="12"/>
    </row>
    <row r="17967" spans="32:32" x14ac:dyDescent="0.2">
      <c r="AF17967" s="12"/>
    </row>
    <row r="17968" spans="32:32" x14ac:dyDescent="0.2">
      <c r="AF17968" s="12"/>
    </row>
    <row r="17969" spans="32:32" x14ac:dyDescent="0.2">
      <c r="AF17969" s="12"/>
    </row>
    <row r="17970" spans="32:32" x14ac:dyDescent="0.2">
      <c r="AF17970" s="12"/>
    </row>
    <row r="17971" spans="32:32" x14ac:dyDescent="0.2">
      <c r="AF17971" s="12"/>
    </row>
    <row r="17972" spans="32:32" x14ac:dyDescent="0.2">
      <c r="AF17972" s="12"/>
    </row>
    <row r="17973" spans="32:32" x14ac:dyDescent="0.2">
      <c r="AF17973" s="12"/>
    </row>
    <row r="17974" spans="32:32" x14ac:dyDescent="0.2">
      <c r="AF17974" s="12"/>
    </row>
    <row r="17975" spans="32:32" x14ac:dyDescent="0.2">
      <c r="AF17975" s="12"/>
    </row>
    <row r="17976" spans="32:32" x14ac:dyDescent="0.2">
      <c r="AF17976" s="12"/>
    </row>
    <row r="17977" spans="32:32" x14ac:dyDescent="0.2">
      <c r="AF17977" s="12"/>
    </row>
    <row r="17978" spans="32:32" x14ac:dyDescent="0.2">
      <c r="AF17978" s="12"/>
    </row>
    <row r="17979" spans="32:32" x14ac:dyDescent="0.2">
      <c r="AF17979" s="12"/>
    </row>
    <row r="17980" spans="32:32" x14ac:dyDescent="0.2">
      <c r="AF17980" s="12"/>
    </row>
    <row r="17981" spans="32:32" x14ac:dyDescent="0.2">
      <c r="AF17981" s="12"/>
    </row>
    <row r="17982" spans="32:32" x14ac:dyDescent="0.2">
      <c r="AF17982" s="12"/>
    </row>
    <row r="17983" spans="32:32" x14ac:dyDescent="0.2">
      <c r="AF17983" s="12"/>
    </row>
    <row r="17984" spans="32:32" x14ac:dyDescent="0.2">
      <c r="AF17984" s="12"/>
    </row>
    <row r="17985" spans="32:32" x14ac:dyDescent="0.2">
      <c r="AF17985" s="12"/>
    </row>
    <row r="17986" spans="32:32" x14ac:dyDescent="0.2">
      <c r="AF17986" s="12"/>
    </row>
    <row r="17987" spans="32:32" x14ac:dyDescent="0.2">
      <c r="AF17987" s="12"/>
    </row>
    <row r="17988" spans="32:32" x14ac:dyDescent="0.2">
      <c r="AF17988" s="12"/>
    </row>
    <row r="17989" spans="32:32" x14ac:dyDescent="0.2">
      <c r="AF17989" s="12"/>
    </row>
    <row r="17990" spans="32:32" x14ac:dyDescent="0.2">
      <c r="AF17990" s="12"/>
    </row>
    <row r="17991" spans="32:32" x14ac:dyDescent="0.2">
      <c r="AF17991" s="12"/>
    </row>
    <row r="17992" spans="32:32" x14ac:dyDescent="0.2">
      <c r="AF17992" s="12"/>
    </row>
    <row r="17993" spans="32:32" x14ac:dyDescent="0.2">
      <c r="AF17993" s="12"/>
    </row>
    <row r="17994" spans="32:32" x14ac:dyDescent="0.2">
      <c r="AF17994" s="12"/>
    </row>
    <row r="17995" spans="32:32" x14ac:dyDescent="0.2">
      <c r="AF17995" s="12"/>
    </row>
    <row r="17996" spans="32:32" x14ac:dyDescent="0.2">
      <c r="AF17996" s="12"/>
    </row>
    <row r="17997" spans="32:32" x14ac:dyDescent="0.2">
      <c r="AF17997" s="12"/>
    </row>
    <row r="17998" spans="32:32" x14ac:dyDescent="0.2">
      <c r="AF17998" s="12"/>
    </row>
    <row r="17999" spans="32:32" x14ac:dyDescent="0.2">
      <c r="AF17999" s="12"/>
    </row>
    <row r="18000" spans="32:32" x14ac:dyDescent="0.2">
      <c r="AF18000" s="12"/>
    </row>
    <row r="18001" spans="32:32" x14ac:dyDescent="0.2">
      <c r="AF18001" s="12"/>
    </row>
    <row r="18002" spans="32:32" x14ac:dyDescent="0.2">
      <c r="AF18002" s="12"/>
    </row>
    <row r="18003" spans="32:32" x14ac:dyDescent="0.2">
      <c r="AF18003" s="12"/>
    </row>
    <row r="18004" spans="32:32" x14ac:dyDescent="0.2">
      <c r="AF18004" s="12"/>
    </row>
    <row r="18005" spans="32:32" x14ac:dyDescent="0.2">
      <c r="AF18005" s="12"/>
    </row>
    <row r="18006" spans="32:32" x14ac:dyDescent="0.2">
      <c r="AF18006" s="12"/>
    </row>
    <row r="18007" spans="32:32" x14ac:dyDescent="0.2">
      <c r="AF18007" s="12"/>
    </row>
    <row r="18008" spans="32:32" x14ac:dyDescent="0.2">
      <c r="AF18008" s="12"/>
    </row>
    <row r="18009" spans="32:32" x14ac:dyDescent="0.2">
      <c r="AF18009" s="12"/>
    </row>
    <row r="18010" spans="32:32" x14ac:dyDescent="0.2">
      <c r="AF18010" s="12"/>
    </row>
    <row r="18011" spans="32:32" x14ac:dyDescent="0.2">
      <c r="AF18011" s="12"/>
    </row>
    <row r="18012" spans="32:32" x14ac:dyDescent="0.2">
      <c r="AF18012" s="12"/>
    </row>
    <row r="18013" spans="32:32" x14ac:dyDescent="0.2">
      <c r="AF18013" s="12"/>
    </row>
    <row r="18014" spans="32:32" x14ac:dyDescent="0.2">
      <c r="AF18014" s="12"/>
    </row>
    <row r="18015" spans="32:32" x14ac:dyDescent="0.2">
      <c r="AF18015" s="12"/>
    </row>
    <row r="18016" spans="32:32" x14ac:dyDescent="0.2">
      <c r="AF18016" s="12"/>
    </row>
    <row r="18017" spans="32:32" x14ac:dyDescent="0.2">
      <c r="AF18017" s="12"/>
    </row>
    <row r="18018" spans="32:32" x14ac:dyDescent="0.2">
      <c r="AF18018" s="12"/>
    </row>
    <row r="18019" spans="32:32" x14ac:dyDescent="0.2">
      <c r="AF18019" s="12"/>
    </row>
    <row r="18020" spans="32:32" x14ac:dyDescent="0.2">
      <c r="AF18020" s="12"/>
    </row>
    <row r="18021" spans="32:32" x14ac:dyDescent="0.2">
      <c r="AF18021" s="12"/>
    </row>
    <row r="18022" spans="32:32" x14ac:dyDescent="0.2">
      <c r="AF18022" s="12"/>
    </row>
    <row r="18023" spans="32:32" x14ac:dyDescent="0.2">
      <c r="AF18023" s="12"/>
    </row>
    <row r="18024" spans="32:32" x14ac:dyDescent="0.2">
      <c r="AF18024" s="12"/>
    </row>
    <row r="18025" spans="32:32" x14ac:dyDescent="0.2">
      <c r="AF18025" s="12"/>
    </row>
    <row r="18026" spans="32:32" x14ac:dyDescent="0.2">
      <c r="AF18026" s="12"/>
    </row>
    <row r="18027" spans="32:32" x14ac:dyDescent="0.2">
      <c r="AF18027" s="12"/>
    </row>
    <row r="18028" spans="32:32" x14ac:dyDescent="0.2">
      <c r="AF18028" s="12"/>
    </row>
    <row r="18029" spans="32:32" x14ac:dyDescent="0.2">
      <c r="AF18029" s="12"/>
    </row>
    <row r="18030" spans="32:32" x14ac:dyDescent="0.2">
      <c r="AF18030" s="12"/>
    </row>
    <row r="18031" spans="32:32" x14ac:dyDescent="0.2">
      <c r="AF18031" s="12"/>
    </row>
    <row r="18032" spans="32:32" x14ac:dyDescent="0.2">
      <c r="AF18032" s="12"/>
    </row>
    <row r="18033" spans="32:32" x14ac:dyDescent="0.2">
      <c r="AF18033" s="12"/>
    </row>
    <row r="18034" spans="32:32" x14ac:dyDescent="0.2">
      <c r="AF18034" s="12"/>
    </row>
    <row r="18035" spans="32:32" x14ac:dyDescent="0.2">
      <c r="AF18035" s="12"/>
    </row>
    <row r="18036" spans="32:32" x14ac:dyDescent="0.2">
      <c r="AF18036" s="12"/>
    </row>
    <row r="18037" spans="32:32" x14ac:dyDescent="0.2">
      <c r="AF18037" s="12"/>
    </row>
    <row r="18038" spans="32:32" x14ac:dyDescent="0.2">
      <c r="AF18038" s="12"/>
    </row>
    <row r="18039" spans="32:32" x14ac:dyDescent="0.2">
      <c r="AF18039" s="12"/>
    </row>
    <row r="18040" spans="32:32" x14ac:dyDescent="0.2">
      <c r="AF18040" s="12"/>
    </row>
    <row r="18041" spans="32:32" x14ac:dyDescent="0.2">
      <c r="AF18041" s="12"/>
    </row>
    <row r="18042" spans="32:32" x14ac:dyDescent="0.2">
      <c r="AF18042" s="12"/>
    </row>
    <row r="18043" spans="32:32" x14ac:dyDescent="0.2">
      <c r="AF18043" s="12"/>
    </row>
    <row r="18044" spans="32:32" x14ac:dyDescent="0.2">
      <c r="AF18044" s="12"/>
    </row>
    <row r="18045" spans="32:32" x14ac:dyDescent="0.2">
      <c r="AF18045" s="12"/>
    </row>
    <row r="18046" spans="32:32" x14ac:dyDescent="0.2">
      <c r="AF18046" s="12"/>
    </row>
    <row r="18047" spans="32:32" x14ac:dyDescent="0.2">
      <c r="AF18047" s="12"/>
    </row>
    <row r="18048" spans="32:32" x14ac:dyDescent="0.2">
      <c r="AF18048" s="12"/>
    </row>
    <row r="18049" spans="32:32" x14ac:dyDescent="0.2">
      <c r="AF18049" s="12"/>
    </row>
    <row r="18050" spans="32:32" x14ac:dyDescent="0.2">
      <c r="AF18050" s="12"/>
    </row>
    <row r="18051" spans="32:32" x14ac:dyDescent="0.2">
      <c r="AF18051" s="12"/>
    </row>
    <row r="18052" spans="32:32" x14ac:dyDescent="0.2">
      <c r="AF18052" s="12"/>
    </row>
    <row r="18053" spans="32:32" x14ac:dyDescent="0.2">
      <c r="AF18053" s="12"/>
    </row>
    <row r="18054" spans="32:32" x14ac:dyDescent="0.2">
      <c r="AF18054" s="12"/>
    </row>
    <row r="18055" spans="32:32" x14ac:dyDescent="0.2">
      <c r="AF18055" s="12"/>
    </row>
    <row r="18056" spans="32:32" x14ac:dyDescent="0.2">
      <c r="AF18056" s="12"/>
    </row>
    <row r="18057" spans="32:32" x14ac:dyDescent="0.2">
      <c r="AF18057" s="12"/>
    </row>
    <row r="18058" spans="32:32" x14ac:dyDescent="0.2">
      <c r="AF18058" s="12"/>
    </row>
    <row r="18059" spans="32:32" x14ac:dyDescent="0.2">
      <c r="AF18059" s="12"/>
    </row>
    <row r="18060" spans="32:32" x14ac:dyDescent="0.2">
      <c r="AF18060" s="12"/>
    </row>
    <row r="18061" spans="32:32" x14ac:dyDescent="0.2">
      <c r="AF18061" s="12"/>
    </row>
    <row r="18062" spans="32:32" x14ac:dyDescent="0.2">
      <c r="AF18062" s="12"/>
    </row>
    <row r="18063" spans="32:32" x14ac:dyDescent="0.2">
      <c r="AF18063" s="12"/>
    </row>
    <row r="18064" spans="32:32" x14ac:dyDescent="0.2">
      <c r="AF18064" s="12"/>
    </row>
    <row r="18065" spans="32:32" x14ac:dyDescent="0.2">
      <c r="AF18065" s="12"/>
    </row>
    <row r="18066" spans="32:32" x14ac:dyDescent="0.2">
      <c r="AF18066" s="12"/>
    </row>
    <row r="18067" spans="32:32" x14ac:dyDescent="0.2">
      <c r="AF18067" s="12"/>
    </row>
    <row r="18068" spans="32:32" x14ac:dyDescent="0.2">
      <c r="AF18068" s="12"/>
    </row>
    <row r="18069" spans="32:32" x14ac:dyDescent="0.2">
      <c r="AF18069" s="12"/>
    </row>
    <row r="18070" spans="32:32" x14ac:dyDescent="0.2">
      <c r="AF18070" s="12"/>
    </row>
    <row r="18071" spans="32:32" x14ac:dyDescent="0.2">
      <c r="AF18071" s="12"/>
    </row>
    <row r="18072" spans="32:32" x14ac:dyDescent="0.2">
      <c r="AF18072" s="12"/>
    </row>
    <row r="18073" spans="32:32" x14ac:dyDescent="0.2">
      <c r="AF18073" s="12"/>
    </row>
    <row r="18074" spans="32:32" x14ac:dyDescent="0.2">
      <c r="AF18074" s="12"/>
    </row>
    <row r="18075" spans="32:32" x14ac:dyDescent="0.2">
      <c r="AF18075" s="12"/>
    </row>
    <row r="18076" spans="32:32" x14ac:dyDescent="0.2">
      <c r="AF18076" s="12"/>
    </row>
    <row r="18077" spans="32:32" x14ac:dyDescent="0.2">
      <c r="AF18077" s="12"/>
    </row>
    <row r="18078" spans="32:32" x14ac:dyDescent="0.2">
      <c r="AF18078" s="12"/>
    </row>
    <row r="18079" spans="32:32" x14ac:dyDescent="0.2">
      <c r="AF18079" s="12"/>
    </row>
    <row r="18080" spans="32:32" x14ac:dyDescent="0.2">
      <c r="AF18080" s="12"/>
    </row>
    <row r="18081" spans="32:32" x14ac:dyDescent="0.2">
      <c r="AF18081" s="12"/>
    </row>
    <row r="18082" spans="32:32" x14ac:dyDescent="0.2">
      <c r="AF18082" s="12"/>
    </row>
    <row r="18083" spans="32:32" x14ac:dyDescent="0.2">
      <c r="AF18083" s="12"/>
    </row>
    <row r="18084" spans="32:32" x14ac:dyDescent="0.2">
      <c r="AF18084" s="12"/>
    </row>
    <row r="18085" spans="32:32" x14ac:dyDescent="0.2">
      <c r="AF18085" s="12"/>
    </row>
    <row r="18086" spans="32:32" x14ac:dyDescent="0.2">
      <c r="AF18086" s="12"/>
    </row>
    <row r="18087" spans="32:32" x14ac:dyDescent="0.2">
      <c r="AF18087" s="12"/>
    </row>
    <row r="18088" spans="32:32" x14ac:dyDescent="0.2">
      <c r="AF18088" s="12"/>
    </row>
    <row r="18089" spans="32:32" x14ac:dyDescent="0.2">
      <c r="AF18089" s="12"/>
    </row>
    <row r="18090" spans="32:32" x14ac:dyDescent="0.2">
      <c r="AF18090" s="12"/>
    </row>
    <row r="18091" spans="32:32" x14ac:dyDescent="0.2">
      <c r="AF18091" s="12"/>
    </row>
    <row r="18092" spans="32:32" x14ac:dyDescent="0.2">
      <c r="AF18092" s="12"/>
    </row>
    <row r="18093" spans="32:32" x14ac:dyDescent="0.2">
      <c r="AF18093" s="12"/>
    </row>
    <row r="18094" spans="32:32" x14ac:dyDescent="0.2">
      <c r="AF18094" s="12"/>
    </row>
    <row r="18095" spans="32:32" x14ac:dyDescent="0.2">
      <c r="AF18095" s="12"/>
    </row>
    <row r="18096" spans="32:32" x14ac:dyDescent="0.2">
      <c r="AF18096" s="12"/>
    </row>
    <row r="18097" spans="32:32" x14ac:dyDescent="0.2">
      <c r="AF18097" s="12"/>
    </row>
    <row r="18098" spans="32:32" x14ac:dyDescent="0.2">
      <c r="AF18098" s="12"/>
    </row>
    <row r="18099" spans="32:32" x14ac:dyDescent="0.2">
      <c r="AF18099" s="12"/>
    </row>
    <row r="18100" spans="32:32" x14ac:dyDescent="0.2">
      <c r="AF18100" s="12"/>
    </row>
    <row r="18101" spans="32:32" x14ac:dyDescent="0.2">
      <c r="AF18101" s="12"/>
    </row>
    <row r="18102" spans="32:32" x14ac:dyDescent="0.2">
      <c r="AF18102" s="12"/>
    </row>
    <row r="18103" spans="32:32" x14ac:dyDescent="0.2">
      <c r="AF18103" s="12"/>
    </row>
    <row r="18104" spans="32:32" x14ac:dyDescent="0.2">
      <c r="AF18104" s="12"/>
    </row>
    <row r="18105" spans="32:32" x14ac:dyDescent="0.2">
      <c r="AF18105" s="12"/>
    </row>
    <row r="18106" spans="32:32" x14ac:dyDescent="0.2">
      <c r="AF18106" s="12"/>
    </row>
    <row r="18107" spans="32:32" x14ac:dyDescent="0.2">
      <c r="AF18107" s="12"/>
    </row>
    <row r="18108" spans="32:32" x14ac:dyDescent="0.2">
      <c r="AF18108" s="12"/>
    </row>
    <row r="18109" spans="32:32" x14ac:dyDescent="0.2">
      <c r="AF18109" s="12"/>
    </row>
    <row r="18110" spans="32:32" x14ac:dyDescent="0.2">
      <c r="AF18110" s="12"/>
    </row>
    <row r="18111" spans="32:32" x14ac:dyDescent="0.2">
      <c r="AF18111" s="12"/>
    </row>
    <row r="18112" spans="32:32" x14ac:dyDescent="0.2">
      <c r="AF18112" s="12"/>
    </row>
    <row r="18113" spans="32:32" x14ac:dyDescent="0.2">
      <c r="AF18113" s="12"/>
    </row>
    <row r="18114" spans="32:32" x14ac:dyDescent="0.2">
      <c r="AF18114" s="12"/>
    </row>
    <row r="18115" spans="32:32" x14ac:dyDescent="0.2">
      <c r="AF18115" s="12"/>
    </row>
    <row r="18116" spans="32:32" x14ac:dyDescent="0.2">
      <c r="AF18116" s="12"/>
    </row>
    <row r="18117" spans="32:32" x14ac:dyDescent="0.2">
      <c r="AF18117" s="12"/>
    </row>
    <row r="18118" spans="32:32" x14ac:dyDescent="0.2">
      <c r="AF18118" s="12"/>
    </row>
    <row r="18119" spans="32:32" x14ac:dyDescent="0.2">
      <c r="AF18119" s="12"/>
    </row>
    <row r="18120" spans="32:32" x14ac:dyDescent="0.2">
      <c r="AF18120" s="12"/>
    </row>
    <row r="18121" spans="32:32" x14ac:dyDescent="0.2">
      <c r="AF18121" s="12"/>
    </row>
    <row r="18122" spans="32:32" x14ac:dyDescent="0.2">
      <c r="AF18122" s="12"/>
    </row>
    <row r="18123" spans="32:32" x14ac:dyDescent="0.2">
      <c r="AF18123" s="12"/>
    </row>
    <row r="18124" spans="32:32" x14ac:dyDescent="0.2">
      <c r="AF18124" s="12"/>
    </row>
    <row r="18125" spans="32:32" x14ac:dyDescent="0.2">
      <c r="AF18125" s="12"/>
    </row>
    <row r="18126" spans="32:32" x14ac:dyDescent="0.2">
      <c r="AF18126" s="12"/>
    </row>
    <row r="18127" spans="32:32" x14ac:dyDescent="0.2">
      <c r="AF18127" s="12"/>
    </row>
    <row r="18128" spans="32:32" x14ac:dyDescent="0.2">
      <c r="AF18128" s="12"/>
    </row>
    <row r="18129" spans="32:32" x14ac:dyDescent="0.2">
      <c r="AF18129" s="12"/>
    </row>
    <row r="18130" spans="32:32" x14ac:dyDescent="0.2">
      <c r="AF18130" s="12"/>
    </row>
    <row r="18131" spans="32:32" x14ac:dyDescent="0.2">
      <c r="AF18131" s="12"/>
    </row>
    <row r="18132" spans="32:32" x14ac:dyDescent="0.2">
      <c r="AF18132" s="12"/>
    </row>
    <row r="18133" spans="32:32" x14ac:dyDescent="0.2">
      <c r="AF18133" s="12"/>
    </row>
    <row r="18134" spans="32:32" x14ac:dyDescent="0.2">
      <c r="AF18134" s="12"/>
    </row>
    <row r="18135" spans="32:32" x14ac:dyDescent="0.2">
      <c r="AF18135" s="12"/>
    </row>
    <row r="18136" spans="32:32" x14ac:dyDescent="0.2">
      <c r="AF18136" s="12"/>
    </row>
    <row r="18137" spans="32:32" x14ac:dyDescent="0.2">
      <c r="AF18137" s="12"/>
    </row>
    <row r="18138" spans="32:32" x14ac:dyDescent="0.2">
      <c r="AF18138" s="12"/>
    </row>
    <row r="18139" spans="32:32" x14ac:dyDescent="0.2">
      <c r="AF18139" s="12"/>
    </row>
    <row r="18140" spans="32:32" x14ac:dyDescent="0.2">
      <c r="AF18140" s="12"/>
    </row>
    <row r="18141" spans="32:32" x14ac:dyDescent="0.2">
      <c r="AF18141" s="12"/>
    </row>
    <row r="18142" spans="32:32" x14ac:dyDescent="0.2">
      <c r="AF18142" s="12"/>
    </row>
    <row r="18143" spans="32:32" x14ac:dyDescent="0.2">
      <c r="AF18143" s="12"/>
    </row>
    <row r="18144" spans="32:32" x14ac:dyDescent="0.2">
      <c r="AF18144" s="12"/>
    </row>
    <row r="18145" spans="32:32" x14ac:dyDescent="0.2">
      <c r="AF18145" s="12"/>
    </row>
    <row r="18146" spans="32:32" x14ac:dyDescent="0.2">
      <c r="AF18146" s="12"/>
    </row>
    <row r="18147" spans="32:32" x14ac:dyDescent="0.2">
      <c r="AF18147" s="12"/>
    </row>
    <row r="18148" spans="32:32" x14ac:dyDescent="0.2">
      <c r="AF18148" s="12"/>
    </row>
    <row r="18149" spans="32:32" x14ac:dyDescent="0.2">
      <c r="AF18149" s="12"/>
    </row>
    <row r="18150" spans="32:32" x14ac:dyDescent="0.2">
      <c r="AF18150" s="12"/>
    </row>
    <row r="18151" spans="32:32" x14ac:dyDescent="0.2">
      <c r="AF18151" s="12"/>
    </row>
    <row r="18152" spans="32:32" x14ac:dyDescent="0.2">
      <c r="AF18152" s="12"/>
    </row>
    <row r="18153" spans="32:32" x14ac:dyDescent="0.2">
      <c r="AF18153" s="12"/>
    </row>
    <row r="18154" spans="32:32" x14ac:dyDescent="0.2">
      <c r="AF18154" s="12"/>
    </row>
    <row r="18155" spans="32:32" x14ac:dyDescent="0.2">
      <c r="AF18155" s="12"/>
    </row>
    <row r="18156" spans="32:32" x14ac:dyDescent="0.2">
      <c r="AF18156" s="12"/>
    </row>
    <row r="18157" spans="32:32" x14ac:dyDescent="0.2">
      <c r="AF18157" s="12"/>
    </row>
    <row r="18158" spans="32:32" x14ac:dyDescent="0.2">
      <c r="AF18158" s="12"/>
    </row>
    <row r="18159" spans="32:32" x14ac:dyDescent="0.2">
      <c r="AF18159" s="12"/>
    </row>
    <row r="18160" spans="32:32" x14ac:dyDescent="0.2">
      <c r="AF18160" s="12"/>
    </row>
    <row r="18161" spans="32:32" x14ac:dyDescent="0.2">
      <c r="AF18161" s="12"/>
    </row>
    <row r="18162" spans="32:32" x14ac:dyDescent="0.2">
      <c r="AF18162" s="12"/>
    </row>
    <row r="18163" spans="32:32" x14ac:dyDescent="0.2">
      <c r="AF18163" s="12"/>
    </row>
    <row r="18164" spans="32:32" x14ac:dyDescent="0.2">
      <c r="AF18164" s="12"/>
    </row>
    <row r="18165" spans="32:32" x14ac:dyDescent="0.2">
      <c r="AF18165" s="12"/>
    </row>
    <row r="18166" spans="32:32" x14ac:dyDescent="0.2">
      <c r="AF18166" s="12"/>
    </row>
    <row r="18167" spans="32:32" x14ac:dyDescent="0.2">
      <c r="AF18167" s="12"/>
    </row>
    <row r="18168" spans="32:32" x14ac:dyDescent="0.2">
      <c r="AF18168" s="12"/>
    </row>
    <row r="18169" spans="32:32" x14ac:dyDescent="0.2">
      <c r="AF18169" s="12"/>
    </row>
    <row r="18170" spans="32:32" x14ac:dyDescent="0.2">
      <c r="AF18170" s="12"/>
    </row>
    <row r="18171" spans="32:32" x14ac:dyDescent="0.2">
      <c r="AF18171" s="12"/>
    </row>
    <row r="18172" spans="32:32" x14ac:dyDescent="0.2">
      <c r="AF18172" s="12"/>
    </row>
    <row r="18173" spans="32:32" x14ac:dyDescent="0.2">
      <c r="AF18173" s="12"/>
    </row>
    <row r="18174" spans="32:32" x14ac:dyDescent="0.2">
      <c r="AF18174" s="12"/>
    </row>
    <row r="18175" spans="32:32" x14ac:dyDescent="0.2">
      <c r="AF18175" s="12"/>
    </row>
    <row r="18176" spans="32:32" x14ac:dyDescent="0.2">
      <c r="AF18176" s="12"/>
    </row>
    <row r="18177" spans="32:32" x14ac:dyDescent="0.2">
      <c r="AF18177" s="12"/>
    </row>
    <row r="18178" spans="32:32" x14ac:dyDescent="0.2">
      <c r="AF18178" s="12"/>
    </row>
    <row r="18179" spans="32:32" x14ac:dyDescent="0.2">
      <c r="AF18179" s="12"/>
    </row>
    <row r="18180" spans="32:32" x14ac:dyDescent="0.2">
      <c r="AF18180" s="12"/>
    </row>
    <row r="18181" spans="32:32" x14ac:dyDescent="0.2">
      <c r="AF18181" s="12"/>
    </row>
    <row r="18182" spans="32:32" x14ac:dyDescent="0.2">
      <c r="AF18182" s="12"/>
    </row>
    <row r="18183" spans="32:32" x14ac:dyDescent="0.2">
      <c r="AF18183" s="12"/>
    </row>
    <row r="18184" spans="32:32" x14ac:dyDescent="0.2">
      <c r="AF18184" s="12"/>
    </row>
    <row r="18185" spans="32:32" x14ac:dyDescent="0.2">
      <c r="AF18185" s="12"/>
    </row>
    <row r="18186" spans="32:32" x14ac:dyDescent="0.2">
      <c r="AF18186" s="12"/>
    </row>
    <row r="18187" spans="32:32" x14ac:dyDescent="0.2">
      <c r="AF18187" s="12"/>
    </row>
    <row r="18188" spans="32:32" x14ac:dyDescent="0.2">
      <c r="AF18188" s="12"/>
    </row>
    <row r="18189" spans="32:32" x14ac:dyDescent="0.2">
      <c r="AF18189" s="12"/>
    </row>
    <row r="18190" spans="32:32" x14ac:dyDescent="0.2">
      <c r="AF18190" s="12"/>
    </row>
    <row r="18191" spans="32:32" x14ac:dyDescent="0.2">
      <c r="AF18191" s="12"/>
    </row>
    <row r="18192" spans="32:32" x14ac:dyDescent="0.2">
      <c r="AF18192" s="12"/>
    </row>
    <row r="18193" spans="32:32" x14ac:dyDescent="0.2">
      <c r="AF18193" s="12"/>
    </row>
    <row r="18194" spans="32:32" x14ac:dyDescent="0.2">
      <c r="AF18194" s="12"/>
    </row>
    <row r="18195" spans="32:32" x14ac:dyDescent="0.2">
      <c r="AF18195" s="12"/>
    </row>
    <row r="18196" spans="32:32" x14ac:dyDescent="0.2">
      <c r="AF18196" s="12"/>
    </row>
    <row r="18197" spans="32:32" x14ac:dyDescent="0.2">
      <c r="AF18197" s="12"/>
    </row>
    <row r="18198" spans="32:32" x14ac:dyDescent="0.2">
      <c r="AF18198" s="12"/>
    </row>
    <row r="18199" spans="32:32" x14ac:dyDescent="0.2">
      <c r="AF18199" s="12"/>
    </row>
    <row r="18200" spans="32:32" x14ac:dyDescent="0.2">
      <c r="AF18200" s="12"/>
    </row>
    <row r="18201" spans="32:32" x14ac:dyDescent="0.2">
      <c r="AF18201" s="12"/>
    </row>
    <row r="18202" spans="32:32" x14ac:dyDescent="0.2">
      <c r="AF18202" s="12"/>
    </row>
    <row r="18203" spans="32:32" x14ac:dyDescent="0.2">
      <c r="AF18203" s="12"/>
    </row>
    <row r="18204" spans="32:32" x14ac:dyDescent="0.2">
      <c r="AF18204" s="12"/>
    </row>
    <row r="18205" spans="32:32" x14ac:dyDescent="0.2">
      <c r="AF18205" s="12"/>
    </row>
    <row r="18206" spans="32:32" x14ac:dyDescent="0.2">
      <c r="AF18206" s="12"/>
    </row>
    <row r="18207" spans="32:32" x14ac:dyDescent="0.2">
      <c r="AF18207" s="12"/>
    </row>
    <row r="18208" spans="32:32" x14ac:dyDescent="0.2">
      <c r="AF18208" s="12"/>
    </row>
    <row r="18209" spans="32:32" x14ac:dyDescent="0.2">
      <c r="AF18209" s="12"/>
    </row>
    <row r="18210" spans="32:32" x14ac:dyDescent="0.2">
      <c r="AF18210" s="12"/>
    </row>
    <row r="18211" spans="32:32" x14ac:dyDescent="0.2">
      <c r="AF18211" s="12"/>
    </row>
    <row r="18212" spans="32:32" x14ac:dyDescent="0.2">
      <c r="AF18212" s="12"/>
    </row>
    <row r="18213" spans="32:32" x14ac:dyDescent="0.2">
      <c r="AF18213" s="12"/>
    </row>
    <row r="18214" spans="32:32" x14ac:dyDescent="0.2">
      <c r="AF18214" s="12"/>
    </row>
    <row r="18215" spans="32:32" x14ac:dyDescent="0.2">
      <c r="AF18215" s="12"/>
    </row>
    <row r="18216" spans="32:32" x14ac:dyDescent="0.2">
      <c r="AF18216" s="12"/>
    </row>
    <row r="18217" spans="32:32" x14ac:dyDescent="0.2">
      <c r="AF18217" s="12"/>
    </row>
    <row r="18218" spans="32:32" x14ac:dyDescent="0.2">
      <c r="AF18218" s="12"/>
    </row>
    <row r="18219" spans="32:32" x14ac:dyDescent="0.2">
      <c r="AF18219" s="12"/>
    </row>
    <row r="18220" spans="32:32" x14ac:dyDescent="0.2">
      <c r="AF18220" s="12"/>
    </row>
    <row r="18221" spans="32:32" x14ac:dyDescent="0.2">
      <c r="AF18221" s="12"/>
    </row>
    <row r="18222" spans="32:32" x14ac:dyDescent="0.2">
      <c r="AF18222" s="12"/>
    </row>
    <row r="18223" spans="32:32" x14ac:dyDescent="0.2">
      <c r="AF18223" s="12"/>
    </row>
    <row r="18224" spans="32:32" x14ac:dyDescent="0.2">
      <c r="AF18224" s="12"/>
    </row>
    <row r="18225" spans="32:32" x14ac:dyDescent="0.2">
      <c r="AF18225" s="12"/>
    </row>
    <row r="18226" spans="32:32" x14ac:dyDescent="0.2">
      <c r="AF18226" s="12"/>
    </row>
    <row r="18227" spans="32:32" x14ac:dyDescent="0.2">
      <c r="AF18227" s="12"/>
    </row>
    <row r="18228" spans="32:32" x14ac:dyDescent="0.2">
      <c r="AF18228" s="12"/>
    </row>
    <row r="18229" spans="32:32" x14ac:dyDescent="0.2">
      <c r="AF18229" s="12"/>
    </row>
    <row r="18230" spans="32:32" x14ac:dyDescent="0.2">
      <c r="AF18230" s="12"/>
    </row>
    <row r="18231" spans="32:32" x14ac:dyDescent="0.2">
      <c r="AF18231" s="12"/>
    </row>
    <row r="18232" spans="32:32" x14ac:dyDescent="0.2">
      <c r="AF18232" s="12"/>
    </row>
    <row r="18233" spans="32:32" x14ac:dyDescent="0.2">
      <c r="AF18233" s="12"/>
    </row>
    <row r="18234" spans="32:32" x14ac:dyDescent="0.2">
      <c r="AF18234" s="12"/>
    </row>
    <row r="18235" spans="32:32" x14ac:dyDescent="0.2">
      <c r="AF18235" s="12"/>
    </row>
    <row r="18236" spans="32:32" x14ac:dyDescent="0.2">
      <c r="AF18236" s="12"/>
    </row>
    <row r="18237" spans="32:32" x14ac:dyDescent="0.2">
      <c r="AF18237" s="12"/>
    </row>
    <row r="18238" spans="32:32" x14ac:dyDescent="0.2">
      <c r="AF18238" s="12"/>
    </row>
    <row r="18239" spans="32:32" x14ac:dyDescent="0.2">
      <c r="AF18239" s="12"/>
    </row>
    <row r="18240" spans="32:32" x14ac:dyDescent="0.2">
      <c r="AF18240" s="12"/>
    </row>
    <row r="18241" spans="32:32" x14ac:dyDescent="0.2">
      <c r="AF18241" s="12"/>
    </row>
    <row r="18242" spans="32:32" x14ac:dyDescent="0.2">
      <c r="AF18242" s="12"/>
    </row>
    <row r="18243" spans="32:32" x14ac:dyDescent="0.2">
      <c r="AF18243" s="12"/>
    </row>
    <row r="18244" spans="32:32" x14ac:dyDescent="0.2">
      <c r="AF18244" s="12"/>
    </row>
    <row r="18245" spans="32:32" x14ac:dyDescent="0.2">
      <c r="AF18245" s="12"/>
    </row>
    <row r="18246" spans="32:32" x14ac:dyDescent="0.2">
      <c r="AF18246" s="12"/>
    </row>
    <row r="18247" spans="32:32" x14ac:dyDescent="0.2">
      <c r="AF18247" s="12"/>
    </row>
    <row r="18248" spans="32:32" x14ac:dyDescent="0.2">
      <c r="AF18248" s="12"/>
    </row>
    <row r="18249" spans="32:32" x14ac:dyDescent="0.2">
      <c r="AF18249" s="12"/>
    </row>
    <row r="18250" spans="32:32" x14ac:dyDescent="0.2">
      <c r="AF18250" s="12"/>
    </row>
    <row r="18251" spans="32:32" x14ac:dyDescent="0.2">
      <c r="AF18251" s="12"/>
    </row>
    <row r="18252" spans="32:32" x14ac:dyDescent="0.2">
      <c r="AF18252" s="12"/>
    </row>
    <row r="18253" spans="32:32" x14ac:dyDescent="0.2">
      <c r="AF18253" s="12"/>
    </row>
    <row r="18254" spans="32:32" x14ac:dyDescent="0.2">
      <c r="AF18254" s="12"/>
    </row>
    <row r="18255" spans="32:32" x14ac:dyDescent="0.2">
      <c r="AF18255" s="12"/>
    </row>
    <row r="18256" spans="32:32" x14ac:dyDescent="0.2">
      <c r="AF18256" s="12"/>
    </row>
    <row r="18257" spans="32:32" x14ac:dyDescent="0.2">
      <c r="AF18257" s="12"/>
    </row>
    <row r="18258" spans="32:32" x14ac:dyDescent="0.2">
      <c r="AF18258" s="12"/>
    </row>
    <row r="18259" spans="32:32" x14ac:dyDescent="0.2">
      <c r="AF18259" s="12"/>
    </row>
    <row r="18260" spans="32:32" x14ac:dyDescent="0.2">
      <c r="AF18260" s="12"/>
    </row>
    <row r="18261" spans="32:32" x14ac:dyDescent="0.2">
      <c r="AF18261" s="12"/>
    </row>
    <row r="18262" spans="32:32" x14ac:dyDescent="0.2">
      <c r="AF18262" s="12"/>
    </row>
    <row r="18263" spans="32:32" x14ac:dyDescent="0.2">
      <c r="AF18263" s="12"/>
    </row>
    <row r="18264" spans="32:32" x14ac:dyDescent="0.2">
      <c r="AF18264" s="12"/>
    </row>
    <row r="18265" spans="32:32" x14ac:dyDescent="0.2">
      <c r="AF18265" s="12"/>
    </row>
    <row r="18266" spans="32:32" x14ac:dyDescent="0.2">
      <c r="AF18266" s="12"/>
    </row>
    <row r="18267" spans="32:32" x14ac:dyDescent="0.2">
      <c r="AF18267" s="12"/>
    </row>
    <row r="18268" spans="32:32" x14ac:dyDescent="0.2">
      <c r="AF18268" s="12"/>
    </row>
    <row r="18269" spans="32:32" x14ac:dyDescent="0.2">
      <c r="AF18269" s="12"/>
    </row>
    <row r="18270" spans="32:32" x14ac:dyDescent="0.2">
      <c r="AF18270" s="12"/>
    </row>
    <row r="18271" spans="32:32" x14ac:dyDescent="0.2">
      <c r="AF18271" s="12"/>
    </row>
    <row r="18272" spans="32:32" x14ac:dyDescent="0.2">
      <c r="AF18272" s="12"/>
    </row>
    <row r="18273" spans="32:32" x14ac:dyDescent="0.2">
      <c r="AF18273" s="12"/>
    </row>
    <row r="18274" spans="32:32" x14ac:dyDescent="0.2">
      <c r="AF18274" s="12"/>
    </row>
    <row r="18275" spans="32:32" x14ac:dyDescent="0.2">
      <c r="AF18275" s="12"/>
    </row>
    <row r="18276" spans="32:32" x14ac:dyDescent="0.2">
      <c r="AF18276" s="12"/>
    </row>
    <row r="18277" spans="32:32" x14ac:dyDescent="0.2">
      <c r="AF18277" s="12"/>
    </row>
    <row r="18278" spans="32:32" x14ac:dyDescent="0.2">
      <c r="AF18278" s="12"/>
    </row>
    <row r="18279" spans="32:32" x14ac:dyDescent="0.2">
      <c r="AF18279" s="12"/>
    </row>
    <row r="18280" spans="32:32" x14ac:dyDescent="0.2">
      <c r="AF18280" s="12"/>
    </row>
    <row r="18281" spans="32:32" x14ac:dyDescent="0.2">
      <c r="AF18281" s="12"/>
    </row>
    <row r="18282" spans="32:32" x14ac:dyDescent="0.2">
      <c r="AF18282" s="12"/>
    </row>
    <row r="18283" spans="32:32" x14ac:dyDescent="0.2">
      <c r="AF18283" s="12"/>
    </row>
    <row r="18284" spans="32:32" x14ac:dyDescent="0.2">
      <c r="AF18284" s="12"/>
    </row>
    <row r="18285" spans="32:32" x14ac:dyDescent="0.2">
      <c r="AF18285" s="12"/>
    </row>
    <row r="18286" spans="32:32" x14ac:dyDescent="0.2">
      <c r="AF18286" s="12"/>
    </row>
    <row r="18287" spans="32:32" x14ac:dyDescent="0.2">
      <c r="AF18287" s="12"/>
    </row>
    <row r="18288" spans="32:32" x14ac:dyDescent="0.2">
      <c r="AF18288" s="12"/>
    </row>
    <row r="18289" spans="32:32" x14ac:dyDescent="0.2">
      <c r="AF18289" s="12"/>
    </row>
    <row r="18290" spans="32:32" x14ac:dyDescent="0.2">
      <c r="AF18290" s="12"/>
    </row>
    <row r="18291" spans="32:32" x14ac:dyDescent="0.2">
      <c r="AF18291" s="12"/>
    </row>
    <row r="18292" spans="32:32" x14ac:dyDescent="0.2">
      <c r="AF18292" s="12"/>
    </row>
    <row r="18293" spans="32:32" x14ac:dyDescent="0.2">
      <c r="AF18293" s="12"/>
    </row>
    <row r="18294" spans="32:32" x14ac:dyDescent="0.2">
      <c r="AF18294" s="12"/>
    </row>
    <row r="18295" spans="32:32" x14ac:dyDescent="0.2">
      <c r="AF18295" s="12"/>
    </row>
    <row r="18296" spans="32:32" x14ac:dyDescent="0.2">
      <c r="AF18296" s="12"/>
    </row>
    <row r="18297" spans="32:32" x14ac:dyDescent="0.2">
      <c r="AF18297" s="12"/>
    </row>
    <row r="18298" spans="32:32" x14ac:dyDescent="0.2">
      <c r="AF18298" s="12"/>
    </row>
    <row r="18299" spans="32:32" x14ac:dyDescent="0.2">
      <c r="AF18299" s="12"/>
    </row>
    <row r="18300" spans="32:32" x14ac:dyDescent="0.2">
      <c r="AF18300" s="12"/>
    </row>
    <row r="18301" spans="32:32" x14ac:dyDescent="0.2">
      <c r="AF18301" s="12"/>
    </row>
    <row r="18302" spans="32:32" x14ac:dyDescent="0.2">
      <c r="AF18302" s="12"/>
    </row>
    <row r="18303" spans="32:32" x14ac:dyDescent="0.2">
      <c r="AF18303" s="12"/>
    </row>
    <row r="18304" spans="32:32" x14ac:dyDescent="0.2">
      <c r="AF18304" s="12"/>
    </row>
    <row r="18305" spans="32:32" x14ac:dyDescent="0.2">
      <c r="AF18305" s="12"/>
    </row>
    <row r="18306" spans="32:32" x14ac:dyDescent="0.2">
      <c r="AF18306" s="12"/>
    </row>
    <row r="18307" spans="32:32" x14ac:dyDescent="0.2">
      <c r="AF18307" s="12"/>
    </row>
    <row r="18308" spans="32:32" x14ac:dyDescent="0.2">
      <c r="AF18308" s="12"/>
    </row>
    <row r="18309" spans="32:32" x14ac:dyDescent="0.2">
      <c r="AF18309" s="12"/>
    </row>
    <row r="18310" spans="32:32" x14ac:dyDescent="0.2">
      <c r="AF18310" s="12"/>
    </row>
    <row r="18311" spans="32:32" x14ac:dyDescent="0.2">
      <c r="AF18311" s="12"/>
    </row>
    <row r="18312" spans="32:32" x14ac:dyDescent="0.2">
      <c r="AF18312" s="12"/>
    </row>
    <row r="18313" spans="32:32" x14ac:dyDescent="0.2">
      <c r="AF18313" s="12"/>
    </row>
    <row r="18314" spans="32:32" x14ac:dyDescent="0.2">
      <c r="AF18314" s="12"/>
    </row>
    <row r="18315" spans="32:32" x14ac:dyDescent="0.2">
      <c r="AF18315" s="12"/>
    </row>
    <row r="18316" spans="32:32" x14ac:dyDescent="0.2">
      <c r="AF18316" s="12"/>
    </row>
    <row r="18317" spans="32:32" x14ac:dyDescent="0.2">
      <c r="AF18317" s="12"/>
    </row>
    <row r="18318" spans="32:32" x14ac:dyDescent="0.2">
      <c r="AF18318" s="12"/>
    </row>
    <row r="18319" spans="32:32" x14ac:dyDescent="0.2">
      <c r="AF18319" s="12"/>
    </row>
    <row r="18320" spans="32:32" x14ac:dyDescent="0.2">
      <c r="AF18320" s="12"/>
    </row>
    <row r="18321" spans="32:32" x14ac:dyDescent="0.2">
      <c r="AF18321" s="12"/>
    </row>
    <row r="18322" spans="32:32" x14ac:dyDescent="0.2">
      <c r="AF18322" s="12"/>
    </row>
    <row r="18323" spans="32:32" x14ac:dyDescent="0.2">
      <c r="AF18323" s="12"/>
    </row>
    <row r="18324" spans="32:32" x14ac:dyDescent="0.2">
      <c r="AF18324" s="12"/>
    </row>
    <row r="18325" spans="32:32" x14ac:dyDescent="0.2">
      <c r="AF18325" s="12"/>
    </row>
    <row r="18326" spans="32:32" x14ac:dyDescent="0.2">
      <c r="AF18326" s="12"/>
    </row>
    <row r="18327" spans="32:32" x14ac:dyDescent="0.2">
      <c r="AF18327" s="12"/>
    </row>
    <row r="18328" spans="32:32" x14ac:dyDescent="0.2">
      <c r="AF18328" s="12"/>
    </row>
    <row r="18329" spans="32:32" x14ac:dyDescent="0.2">
      <c r="AF18329" s="12"/>
    </row>
    <row r="18330" spans="32:32" x14ac:dyDescent="0.2">
      <c r="AF18330" s="12"/>
    </row>
    <row r="18331" spans="32:32" x14ac:dyDescent="0.2">
      <c r="AF18331" s="12"/>
    </row>
    <row r="18332" spans="32:32" x14ac:dyDescent="0.2">
      <c r="AF18332" s="12"/>
    </row>
    <row r="18333" spans="32:32" x14ac:dyDescent="0.2">
      <c r="AF18333" s="12"/>
    </row>
    <row r="18334" spans="32:32" x14ac:dyDescent="0.2">
      <c r="AF18334" s="12"/>
    </row>
    <row r="18335" spans="32:32" x14ac:dyDescent="0.2">
      <c r="AF18335" s="12"/>
    </row>
    <row r="18336" spans="32:32" x14ac:dyDescent="0.2">
      <c r="AF18336" s="12"/>
    </row>
    <row r="18337" spans="32:32" x14ac:dyDescent="0.2">
      <c r="AF18337" s="12"/>
    </row>
    <row r="18338" spans="32:32" x14ac:dyDescent="0.2">
      <c r="AF18338" s="12"/>
    </row>
    <row r="18339" spans="32:32" x14ac:dyDescent="0.2">
      <c r="AF18339" s="12"/>
    </row>
    <row r="18340" spans="32:32" x14ac:dyDescent="0.2">
      <c r="AF18340" s="12"/>
    </row>
    <row r="18341" spans="32:32" x14ac:dyDescent="0.2">
      <c r="AF18341" s="12"/>
    </row>
    <row r="18342" spans="32:32" x14ac:dyDescent="0.2">
      <c r="AF18342" s="12"/>
    </row>
    <row r="18343" spans="32:32" x14ac:dyDescent="0.2">
      <c r="AF18343" s="12"/>
    </row>
    <row r="18344" spans="32:32" x14ac:dyDescent="0.2">
      <c r="AF18344" s="12"/>
    </row>
    <row r="18345" spans="32:32" x14ac:dyDescent="0.2">
      <c r="AF18345" s="12"/>
    </row>
    <row r="18346" spans="32:32" x14ac:dyDescent="0.2">
      <c r="AF18346" s="12"/>
    </row>
    <row r="18347" spans="32:32" x14ac:dyDescent="0.2">
      <c r="AF18347" s="12"/>
    </row>
    <row r="18348" spans="32:32" x14ac:dyDescent="0.2">
      <c r="AF18348" s="12"/>
    </row>
    <row r="18349" spans="32:32" x14ac:dyDescent="0.2">
      <c r="AF18349" s="12"/>
    </row>
    <row r="18350" spans="32:32" x14ac:dyDescent="0.2">
      <c r="AF18350" s="12"/>
    </row>
    <row r="18351" spans="32:32" x14ac:dyDescent="0.2">
      <c r="AF18351" s="12"/>
    </row>
    <row r="18352" spans="32:32" x14ac:dyDescent="0.2">
      <c r="AF18352" s="12"/>
    </row>
    <row r="18353" spans="32:32" x14ac:dyDescent="0.2">
      <c r="AF18353" s="12"/>
    </row>
    <row r="18354" spans="32:32" x14ac:dyDescent="0.2">
      <c r="AF18354" s="12"/>
    </row>
    <row r="18355" spans="32:32" x14ac:dyDescent="0.2">
      <c r="AF18355" s="12"/>
    </row>
    <row r="18356" spans="32:32" x14ac:dyDescent="0.2">
      <c r="AF18356" s="12"/>
    </row>
    <row r="18357" spans="32:32" x14ac:dyDescent="0.2">
      <c r="AF18357" s="12"/>
    </row>
    <row r="18358" spans="32:32" x14ac:dyDescent="0.2">
      <c r="AF18358" s="12"/>
    </row>
    <row r="18359" spans="32:32" x14ac:dyDescent="0.2">
      <c r="AF18359" s="12"/>
    </row>
    <row r="18360" spans="32:32" x14ac:dyDescent="0.2">
      <c r="AF18360" s="12"/>
    </row>
    <row r="18361" spans="32:32" x14ac:dyDescent="0.2">
      <c r="AF18361" s="12"/>
    </row>
    <row r="18362" spans="32:32" x14ac:dyDescent="0.2">
      <c r="AF18362" s="12"/>
    </row>
    <row r="18363" spans="32:32" x14ac:dyDescent="0.2">
      <c r="AF18363" s="12"/>
    </row>
    <row r="18364" spans="32:32" x14ac:dyDescent="0.2">
      <c r="AF18364" s="12"/>
    </row>
    <row r="18365" spans="32:32" x14ac:dyDescent="0.2">
      <c r="AF18365" s="12"/>
    </row>
    <row r="18366" spans="32:32" x14ac:dyDescent="0.2">
      <c r="AF18366" s="12"/>
    </row>
    <row r="18367" spans="32:32" x14ac:dyDescent="0.2">
      <c r="AF18367" s="12"/>
    </row>
    <row r="18368" spans="32:32" x14ac:dyDescent="0.2">
      <c r="AF18368" s="12"/>
    </row>
    <row r="18369" spans="32:32" x14ac:dyDescent="0.2">
      <c r="AF18369" s="12"/>
    </row>
    <row r="18370" spans="32:32" x14ac:dyDescent="0.2">
      <c r="AF18370" s="12"/>
    </row>
    <row r="18371" spans="32:32" x14ac:dyDescent="0.2">
      <c r="AF18371" s="12"/>
    </row>
    <row r="18372" spans="32:32" x14ac:dyDescent="0.2">
      <c r="AF18372" s="12"/>
    </row>
    <row r="18373" spans="32:32" x14ac:dyDescent="0.2">
      <c r="AF18373" s="12"/>
    </row>
    <row r="18374" spans="32:32" x14ac:dyDescent="0.2">
      <c r="AF18374" s="12"/>
    </row>
    <row r="18375" spans="32:32" x14ac:dyDescent="0.2">
      <c r="AF18375" s="12"/>
    </row>
    <row r="18376" spans="32:32" x14ac:dyDescent="0.2">
      <c r="AF18376" s="12"/>
    </row>
    <row r="18377" spans="32:32" x14ac:dyDescent="0.2">
      <c r="AF18377" s="12"/>
    </row>
    <row r="18378" spans="32:32" x14ac:dyDescent="0.2">
      <c r="AF18378" s="12"/>
    </row>
    <row r="18379" spans="32:32" x14ac:dyDescent="0.2">
      <c r="AF18379" s="12"/>
    </row>
    <row r="18380" spans="32:32" x14ac:dyDescent="0.2">
      <c r="AF18380" s="12"/>
    </row>
    <row r="18381" spans="32:32" x14ac:dyDescent="0.2">
      <c r="AF18381" s="12"/>
    </row>
    <row r="18382" spans="32:32" x14ac:dyDescent="0.2">
      <c r="AF18382" s="12"/>
    </row>
    <row r="18383" spans="32:32" x14ac:dyDescent="0.2">
      <c r="AF18383" s="12"/>
    </row>
    <row r="18384" spans="32:32" x14ac:dyDescent="0.2">
      <c r="AF18384" s="12"/>
    </row>
    <row r="18385" spans="32:32" x14ac:dyDescent="0.2">
      <c r="AF18385" s="12"/>
    </row>
    <row r="18386" spans="32:32" x14ac:dyDescent="0.2">
      <c r="AF18386" s="12"/>
    </row>
    <row r="18387" spans="32:32" x14ac:dyDescent="0.2">
      <c r="AF18387" s="12"/>
    </row>
    <row r="18388" spans="32:32" x14ac:dyDescent="0.2">
      <c r="AF18388" s="12"/>
    </row>
    <row r="18389" spans="32:32" x14ac:dyDescent="0.2">
      <c r="AF18389" s="12"/>
    </row>
    <row r="18390" spans="32:32" x14ac:dyDescent="0.2">
      <c r="AF18390" s="12"/>
    </row>
    <row r="18391" spans="32:32" x14ac:dyDescent="0.2">
      <c r="AF18391" s="12"/>
    </row>
    <row r="18392" spans="32:32" x14ac:dyDescent="0.2">
      <c r="AF18392" s="12"/>
    </row>
    <row r="18393" spans="32:32" x14ac:dyDescent="0.2">
      <c r="AF18393" s="12"/>
    </row>
    <row r="18394" spans="32:32" x14ac:dyDescent="0.2">
      <c r="AF18394" s="12"/>
    </row>
    <row r="18395" spans="32:32" x14ac:dyDescent="0.2">
      <c r="AF18395" s="12"/>
    </row>
    <row r="18396" spans="32:32" x14ac:dyDescent="0.2">
      <c r="AF18396" s="12"/>
    </row>
    <row r="18397" spans="32:32" x14ac:dyDescent="0.2">
      <c r="AF18397" s="12"/>
    </row>
    <row r="18398" spans="32:32" x14ac:dyDescent="0.2">
      <c r="AF18398" s="12"/>
    </row>
    <row r="18399" spans="32:32" x14ac:dyDescent="0.2">
      <c r="AF18399" s="12"/>
    </row>
    <row r="18400" spans="32:32" x14ac:dyDescent="0.2">
      <c r="AF18400" s="12"/>
    </row>
    <row r="18401" spans="32:32" x14ac:dyDescent="0.2">
      <c r="AF18401" s="12"/>
    </row>
    <row r="18402" spans="32:32" x14ac:dyDescent="0.2">
      <c r="AF18402" s="12"/>
    </row>
    <row r="18403" spans="32:32" x14ac:dyDescent="0.2">
      <c r="AF18403" s="12"/>
    </row>
    <row r="18404" spans="32:32" x14ac:dyDescent="0.2">
      <c r="AF18404" s="12"/>
    </row>
    <row r="18405" spans="32:32" x14ac:dyDescent="0.2">
      <c r="AF18405" s="12"/>
    </row>
    <row r="18406" spans="32:32" x14ac:dyDescent="0.2">
      <c r="AF18406" s="12"/>
    </row>
    <row r="18407" spans="32:32" x14ac:dyDescent="0.2">
      <c r="AF18407" s="12"/>
    </row>
    <row r="18408" spans="32:32" x14ac:dyDescent="0.2">
      <c r="AF18408" s="12"/>
    </row>
    <row r="18409" spans="32:32" x14ac:dyDescent="0.2">
      <c r="AF18409" s="12"/>
    </row>
    <row r="18410" spans="32:32" x14ac:dyDescent="0.2">
      <c r="AF18410" s="12"/>
    </row>
    <row r="18411" spans="32:32" x14ac:dyDescent="0.2">
      <c r="AF18411" s="12"/>
    </row>
    <row r="18412" spans="32:32" x14ac:dyDescent="0.2">
      <c r="AF18412" s="12"/>
    </row>
    <row r="18413" spans="32:32" x14ac:dyDescent="0.2">
      <c r="AF18413" s="12"/>
    </row>
    <row r="18414" spans="32:32" x14ac:dyDescent="0.2">
      <c r="AF18414" s="12"/>
    </row>
    <row r="18415" spans="32:32" x14ac:dyDescent="0.2">
      <c r="AF18415" s="12"/>
    </row>
    <row r="18416" spans="32:32" x14ac:dyDescent="0.2">
      <c r="AF18416" s="12"/>
    </row>
    <row r="18417" spans="32:32" x14ac:dyDescent="0.2">
      <c r="AF18417" s="12"/>
    </row>
    <row r="18418" spans="32:32" x14ac:dyDescent="0.2">
      <c r="AF18418" s="12"/>
    </row>
    <row r="18419" spans="32:32" x14ac:dyDescent="0.2">
      <c r="AF18419" s="12"/>
    </row>
    <row r="18420" spans="32:32" x14ac:dyDescent="0.2">
      <c r="AF18420" s="12"/>
    </row>
    <row r="18421" spans="32:32" x14ac:dyDescent="0.2">
      <c r="AF18421" s="12"/>
    </row>
    <row r="18422" spans="32:32" x14ac:dyDescent="0.2">
      <c r="AF18422" s="12"/>
    </row>
    <row r="18423" spans="32:32" x14ac:dyDescent="0.2">
      <c r="AF18423" s="12"/>
    </row>
    <row r="18424" spans="32:32" x14ac:dyDescent="0.2">
      <c r="AF18424" s="12"/>
    </row>
    <row r="18425" spans="32:32" x14ac:dyDescent="0.2">
      <c r="AF18425" s="12"/>
    </row>
    <row r="18426" spans="32:32" x14ac:dyDescent="0.2">
      <c r="AF18426" s="12"/>
    </row>
    <row r="18427" spans="32:32" x14ac:dyDescent="0.2">
      <c r="AF18427" s="12"/>
    </row>
    <row r="18428" spans="32:32" x14ac:dyDescent="0.2">
      <c r="AF18428" s="12"/>
    </row>
    <row r="18429" spans="32:32" x14ac:dyDescent="0.2">
      <c r="AF18429" s="12"/>
    </row>
    <row r="18430" spans="32:32" x14ac:dyDescent="0.2">
      <c r="AF18430" s="12"/>
    </row>
    <row r="18431" spans="32:32" x14ac:dyDescent="0.2">
      <c r="AF18431" s="12"/>
    </row>
    <row r="18432" spans="32:32" x14ac:dyDescent="0.2">
      <c r="AF18432" s="12"/>
    </row>
    <row r="18433" spans="32:32" x14ac:dyDescent="0.2">
      <c r="AF18433" s="12"/>
    </row>
    <row r="18434" spans="32:32" x14ac:dyDescent="0.2">
      <c r="AF18434" s="12"/>
    </row>
    <row r="18435" spans="32:32" x14ac:dyDescent="0.2">
      <c r="AF18435" s="12"/>
    </row>
    <row r="18436" spans="32:32" x14ac:dyDescent="0.2">
      <c r="AF18436" s="12"/>
    </row>
    <row r="18437" spans="32:32" x14ac:dyDescent="0.2">
      <c r="AF18437" s="12"/>
    </row>
    <row r="18438" spans="32:32" x14ac:dyDescent="0.2">
      <c r="AF18438" s="12"/>
    </row>
    <row r="18439" spans="32:32" x14ac:dyDescent="0.2">
      <c r="AF18439" s="12"/>
    </row>
    <row r="18440" spans="32:32" x14ac:dyDescent="0.2">
      <c r="AF18440" s="12"/>
    </row>
    <row r="18441" spans="32:32" x14ac:dyDescent="0.2">
      <c r="AF18441" s="12"/>
    </row>
    <row r="18442" spans="32:32" x14ac:dyDescent="0.2">
      <c r="AF18442" s="12"/>
    </row>
    <row r="18443" spans="32:32" x14ac:dyDescent="0.2">
      <c r="AF18443" s="12"/>
    </row>
    <row r="18444" spans="32:32" x14ac:dyDescent="0.2">
      <c r="AF18444" s="12"/>
    </row>
    <row r="18445" spans="32:32" x14ac:dyDescent="0.2">
      <c r="AF18445" s="12"/>
    </row>
    <row r="18446" spans="32:32" x14ac:dyDescent="0.2">
      <c r="AF18446" s="12"/>
    </row>
    <row r="18447" spans="32:32" x14ac:dyDescent="0.2">
      <c r="AF18447" s="12"/>
    </row>
    <row r="18448" spans="32:32" x14ac:dyDescent="0.2">
      <c r="AF18448" s="12"/>
    </row>
    <row r="18449" spans="32:32" x14ac:dyDescent="0.2">
      <c r="AF18449" s="12"/>
    </row>
    <row r="18450" spans="32:32" x14ac:dyDescent="0.2">
      <c r="AF18450" s="12"/>
    </row>
    <row r="18451" spans="32:32" x14ac:dyDescent="0.2">
      <c r="AF18451" s="12"/>
    </row>
    <row r="18452" spans="32:32" x14ac:dyDescent="0.2">
      <c r="AF18452" s="12"/>
    </row>
    <row r="18453" spans="32:32" x14ac:dyDescent="0.2">
      <c r="AF18453" s="12"/>
    </row>
    <row r="18454" spans="32:32" x14ac:dyDescent="0.2">
      <c r="AF18454" s="12"/>
    </row>
    <row r="18455" spans="32:32" x14ac:dyDescent="0.2">
      <c r="AF18455" s="12"/>
    </row>
    <row r="18456" spans="32:32" x14ac:dyDescent="0.2">
      <c r="AF18456" s="12"/>
    </row>
    <row r="18457" spans="32:32" x14ac:dyDescent="0.2">
      <c r="AF18457" s="12"/>
    </row>
    <row r="18458" spans="32:32" x14ac:dyDescent="0.2">
      <c r="AF18458" s="12"/>
    </row>
    <row r="18459" spans="32:32" x14ac:dyDescent="0.2">
      <c r="AF18459" s="12"/>
    </row>
    <row r="18460" spans="32:32" x14ac:dyDescent="0.2">
      <c r="AF18460" s="12"/>
    </row>
    <row r="18461" spans="32:32" x14ac:dyDescent="0.2">
      <c r="AF18461" s="12"/>
    </row>
    <row r="18462" spans="32:32" x14ac:dyDescent="0.2">
      <c r="AF18462" s="12"/>
    </row>
    <row r="18463" spans="32:32" x14ac:dyDescent="0.2">
      <c r="AF18463" s="12"/>
    </row>
    <row r="18464" spans="32:32" x14ac:dyDescent="0.2">
      <c r="AF18464" s="12"/>
    </row>
    <row r="18465" spans="32:32" x14ac:dyDescent="0.2">
      <c r="AF18465" s="12"/>
    </row>
    <row r="18466" spans="32:32" x14ac:dyDescent="0.2">
      <c r="AF18466" s="12"/>
    </row>
    <row r="18467" spans="32:32" x14ac:dyDescent="0.2">
      <c r="AF18467" s="12"/>
    </row>
    <row r="18468" spans="32:32" x14ac:dyDescent="0.2">
      <c r="AF18468" s="12"/>
    </row>
    <row r="18469" spans="32:32" x14ac:dyDescent="0.2">
      <c r="AF18469" s="12"/>
    </row>
    <row r="18470" spans="32:32" x14ac:dyDescent="0.2">
      <c r="AF18470" s="12"/>
    </row>
    <row r="18471" spans="32:32" x14ac:dyDescent="0.2">
      <c r="AF18471" s="12"/>
    </row>
    <row r="18472" spans="32:32" x14ac:dyDescent="0.2">
      <c r="AF18472" s="12"/>
    </row>
    <row r="18473" spans="32:32" x14ac:dyDescent="0.2">
      <c r="AF18473" s="12"/>
    </row>
    <row r="18474" spans="32:32" x14ac:dyDescent="0.2">
      <c r="AF18474" s="12"/>
    </row>
    <row r="18475" spans="32:32" x14ac:dyDescent="0.2">
      <c r="AF18475" s="12"/>
    </row>
    <row r="18476" spans="32:32" x14ac:dyDescent="0.2">
      <c r="AF18476" s="12"/>
    </row>
    <row r="18477" spans="32:32" x14ac:dyDescent="0.2">
      <c r="AF18477" s="12"/>
    </row>
    <row r="18478" spans="32:32" x14ac:dyDescent="0.2">
      <c r="AF18478" s="12"/>
    </row>
    <row r="18479" spans="32:32" x14ac:dyDescent="0.2">
      <c r="AF18479" s="12"/>
    </row>
    <row r="18480" spans="32:32" x14ac:dyDescent="0.2">
      <c r="AF18480" s="12"/>
    </row>
    <row r="18481" spans="32:32" x14ac:dyDescent="0.2">
      <c r="AF18481" s="12"/>
    </row>
    <row r="18482" spans="32:32" x14ac:dyDescent="0.2">
      <c r="AF18482" s="12"/>
    </row>
    <row r="18483" spans="32:32" x14ac:dyDescent="0.2">
      <c r="AF18483" s="12"/>
    </row>
    <row r="18484" spans="32:32" x14ac:dyDescent="0.2">
      <c r="AF18484" s="12"/>
    </row>
    <row r="18485" spans="32:32" x14ac:dyDescent="0.2">
      <c r="AF18485" s="12"/>
    </row>
    <row r="18486" spans="32:32" x14ac:dyDescent="0.2">
      <c r="AF18486" s="12"/>
    </row>
    <row r="18487" spans="32:32" x14ac:dyDescent="0.2">
      <c r="AF18487" s="12"/>
    </row>
    <row r="18488" spans="32:32" x14ac:dyDescent="0.2">
      <c r="AF18488" s="12"/>
    </row>
    <row r="18489" spans="32:32" x14ac:dyDescent="0.2">
      <c r="AF18489" s="12"/>
    </row>
    <row r="18490" spans="32:32" x14ac:dyDescent="0.2">
      <c r="AF18490" s="12"/>
    </row>
    <row r="18491" spans="32:32" x14ac:dyDescent="0.2">
      <c r="AF18491" s="12"/>
    </row>
    <row r="18492" spans="32:32" x14ac:dyDescent="0.2">
      <c r="AF18492" s="12"/>
    </row>
    <row r="18493" spans="32:32" x14ac:dyDescent="0.2">
      <c r="AF18493" s="12"/>
    </row>
    <row r="18494" spans="32:32" x14ac:dyDescent="0.2">
      <c r="AF18494" s="12"/>
    </row>
    <row r="18495" spans="32:32" x14ac:dyDescent="0.2">
      <c r="AF18495" s="12"/>
    </row>
    <row r="18496" spans="32:32" x14ac:dyDescent="0.2">
      <c r="AF18496" s="12"/>
    </row>
    <row r="18497" spans="32:32" x14ac:dyDescent="0.2">
      <c r="AF18497" s="12"/>
    </row>
    <row r="18498" spans="32:32" x14ac:dyDescent="0.2">
      <c r="AF18498" s="12"/>
    </row>
    <row r="18499" spans="32:32" x14ac:dyDescent="0.2">
      <c r="AF18499" s="12"/>
    </row>
    <row r="18500" spans="32:32" x14ac:dyDescent="0.2">
      <c r="AF18500" s="12"/>
    </row>
    <row r="18501" spans="32:32" x14ac:dyDescent="0.2">
      <c r="AF18501" s="12"/>
    </row>
    <row r="18502" spans="32:32" x14ac:dyDescent="0.2">
      <c r="AF18502" s="12"/>
    </row>
    <row r="18503" spans="32:32" x14ac:dyDescent="0.2">
      <c r="AF18503" s="12"/>
    </row>
    <row r="18504" spans="32:32" x14ac:dyDescent="0.2">
      <c r="AF18504" s="12"/>
    </row>
    <row r="18505" spans="32:32" x14ac:dyDescent="0.2">
      <c r="AF18505" s="12"/>
    </row>
    <row r="18506" spans="32:32" x14ac:dyDescent="0.2">
      <c r="AF18506" s="12"/>
    </row>
    <row r="18507" spans="32:32" x14ac:dyDescent="0.2">
      <c r="AF18507" s="12"/>
    </row>
    <row r="18508" spans="32:32" x14ac:dyDescent="0.2">
      <c r="AF18508" s="12"/>
    </row>
    <row r="18509" spans="32:32" x14ac:dyDescent="0.2">
      <c r="AF18509" s="12"/>
    </row>
    <row r="18510" spans="32:32" x14ac:dyDescent="0.2">
      <c r="AF18510" s="12"/>
    </row>
    <row r="18511" spans="32:32" x14ac:dyDescent="0.2">
      <c r="AF18511" s="12"/>
    </row>
    <row r="18512" spans="32:32" x14ac:dyDescent="0.2">
      <c r="AF18512" s="12"/>
    </row>
    <row r="18513" spans="32:32" x14ac:dyDescent="0.2">
      <c r="AF18513" s="12"/>
    </row>
    <row r="18514" spans="32:32" x14ac:dyDescent="0.2">
      <c r="AF18514" s="12"/>
    </row>
    <row r="18515" spans="32:32" x14ac:dyDescent="0.2">
      <c r="AF18515" s="12"/>
    </row>
    <row r="18516" spans="32:32" x14ac:dyDescent="0.2">
      <c r="AF18516" s="12"/>
    </row>
    <row r="18517" spans="32:32" x14ac:dyDescent="0.2">
      <c r="AF18517" s="12"/>
    </row>
    <row r="18518" spans="32:32" x14ac:dyDescent="0.2">
      <c r="AF18518" s="12"/>
    </row>
    <row r="18519" spans="32:32" x14ac:dyDescent="0.2">
      <c r="AF18519" s="12"/>
    </row>
    <row r="18520" spans="32:32" x14ac:dyDescent="0.2">
      <c r="AF18520" s="12"/>
    </row>
    <row r="18521" spans="32:32" x14ac:dyDescent="0.2">
      <c r="AF18521" s="12"/>
    </row>
    <row r="18522" spans="32:32" x14ac:dyDescent="0.2">
      <c r="AF18522" s="12"/>
    </row>
    <row r="18523" spans="32:32" x14ac:dyDescent="0.2">
      <c r="AF18523" s="12"/>
    </row>
    <row r="18524" spans="32:32" x14ac:dyDescent="0.2">
      <c r="AF18524" s="12"/>
    </row>
    <row r="18525" spans="32:32" x14ac:dyDescent="0.2">
      <c r="AF18525" s="12"/>
    </row>
    <row r="18526" spans="32:32" x14ac:dyDescent="0.2">
      <c r="AF18526" s="12"/>
    </row>
    <row r="18527" spans="32:32" x14ac:dyDescent="0.2">
      <c r="AF18527" s="12"/>
    </row>
    <row r="18528" spans="32:32" x14ac:dyDescent="0.2">
      <c r="AF18528" s="12"/>
    </row>
    <row r="18529" spans="32:32" x14ac:dyDescent="0.2">
      <c r="AF18529" s="12"/>
    </row>
    <row r="18530" spans="32:32" x14ac:dyDescent="0.2">
      <c r="AF18530" s="12"/>
    </row>
    <row r="18531" spans="32:32" x14ac:dyDescent="0.2">
      <c r="AF18531" s="12"/>
    </row>
    <row r="18532" spans="32:32" x14ac:dyDescent="0.2">
      <c r="AF18532" s="12"/>
    </row>
    <row r="18533" spans="32:32" x14ac:dyDescent="0.2">
      <c r="AF18533" s="12"/>
    </row>
    <row r="18534" spans="32:32" x14ac:dyDescent="0.2">
      <c r="AF18534" s="12"/>
    </row>
    <row r="18535" spans="32:32" x14ac:dyDescent="0.2">
      <c r="AF18535" s="12"/>
    </row>
    <row r="18536" spans="32:32" x14ac:dyDescent="0.2">
      <c r="AF18536" s="12"/>
    </row>
    <row r="18537" spans="32:32" x14ac:dyDescent="0.2">
      <c r="AF18537" s="12"/>
    </row>
    <row r="18538" spans="32:32" x14ac:dyDescent="0.2">
      <c r="AF18538" s="12"/>
    </row>
    <row r="18539" spans="32:32" x14ac:dyDescent="0.2">
      <c r="AF18539" s="12"/>
    </row>
    <row r="18540" spans="32:32" x14ac:dyDescent="0.2">
      <c r="AF18540" s="12"/>
    </row>
    <row r="18541" spans="32:32" x14ac:dyDescent="0.2">
      <c r="AF18541" s="12"/>
    </row>
    <row r="18542" spans="32:32" x14ac:dyDescent="0.2">
      <c r="AF18542" s="12"/>
    </row>
    <row r="18543" spans="32:32" x14ac:dyDescent="0.2">
      <c r="AF18543" s="12"/>
    </row>
    <row r="18544" spans="32:32" x14ac:dyDescent="0.2">
      <c r="AF18544" s="12"/>
    </row>
    <row r="18545" spans="32:32" x14ac:dyDescent="0.2">
      <c r="AF18545" s="12"/>
    </row>
    <row r="18546" spans="32:32" x14ac:dyDescent="0.2">
      <c r="AF18546" s="12"/>
    </row>
    <row r="18547" spans="32:32" x14ac:dyDescent="0.2">
      <c r="AF18547" s="12"/>
    </row>
    <row r="18548" spans="32:32" x14ac:dyDescent="0.2">
      <c r="AF18548" s="12"/>
    </row>
    <row r="18549" spans="32:32" x14ac:dyDescent="0.2">
      <c r="AF18549" s="12"/>
    </row>
    <row r="18550" spans="32:32" x14ac:dyDescent="0.2">
      <c r="AF18550" s="12"/>
    </row>
    <row r="18551" spans="32:32" x14ac:dyDescent="0.2">
      <c r="AF18551" s="12"/>
    </row>
    <row r="18552" spans="32:32" x14ac:dyDescent="0.2">
      <c r="AF18552" s="12"/>
    </row>
    <row r="18553" spans="32:32" x14ac:dyDescent="0.2">
      <c r="AF18553" s="12"/>
    </row>
    <row r="18554" spans="32:32" x14ac:dyDescent="0.2">
      <c r="AF18554" s="12"/>
    </row>
    <row r="18555" spans="32:32" x14ac:dyDescent="0.2">
      <c r="AF18555" s="12"/>
    </row>
    <row r="18556" spans="32:32" x14ac:dyDescent="0.2">
      <c r="AF18556" s="12"/>
    </row>
    <row r="18557" spans="32:32" x14ac:dyDescent="0.2">
      <c r="AF18557" s="12"/>
    </row>
    <row r="18558" spans="32:32" x14ac:dyDescent="0.2">
      <c r="AF18558" s="12"/>
    </row>
    <row r="18559" spans="32:32" x14ac:dyDescent="0.2">
      <c r="AF18559" s="12"/>
    </row>
    <row r="18560" spans="32:32" x14ac:dyDescent="0.2">
      <c r="AF18560" s="12"/>
    </row>
    <row r="18561" spans="32:32" x14ac:dyDescent="0.2">
      <c r="AF18561" s="12"/>
    </row>
    <row r="18562" spans="32:32" x14ac:dyDescent="0.2">
      <c r="AF18562" s="12"/>
    </row>
    <row r="18563" spans="32:32" x14ac:dyDescent="0.2">
      <c r="AF18563" s="12"/>
    </row>
    <row r="18564" spans="32:32" x14ac:dyDescent="0.2">
      <c r="AF18564" s="12"/>
    </row>
    <row r="18565" spans="32:32" x14ac:dyDescent="0.2">
      <c r="AF18565" s="12"/>
    </row>
    <row r="18566" spans="32:32" x14ac:dyDescent="0.2">
      <c r="AF18566" s="12"/>
    </row>
    <row r="18567" spans="32:32" x14ac:dyDescent="0.2">
      <c r="AF18567" s="12"/>
    </row>
    <row r="18568" spans="32:32" x14ac:dyDescent="0.2">
      <c r="AF18568" s="12"/>
    </row>
    <row r="18569" spans="32:32" x14ac:dyDescent="0.2">
      <c r="AF18569" s="12"/>
    </row>
    <row r="18570" spans="32:32" x14ac:dyDescent="0.2">
      <c r="AF18570" s="12"/>
    </row>
    <row r="18571" spans="32:32" x14ac:dyDescent="0.2">
      <c r="AF18571" s="12"/>
    </row>
    <row r="18572" spans="32:32" x14ac:dyDescent="0.2">
      <c r="AF18572" s="12"/>
    </row>
    <row r="18573" spans="32:32" x14ac:dyDescent="0.2">
      <c r="AF18573" s="12"/>
    </row>
    <row r="18574" spans="32:32" x14ac:dyDescent="0.2">
      <c r="AF18574" s="12"/>
    </row>
    <row r="18575" spans="32:32" x14ac:dyDescent="0.2">
      <c r="AF18575" s="12"/>
    </row>
    <row r="18576" spans="32:32" x14ac:dyDescent="0.2">
      <c r="AF18576" s="12"/>
    </row>
    <row r="18577" spans="32:32" x14ac:dyDescent="0.2">
      <c r="AF18577" s="12"/>
    </row>
    <row r="18578" spans="32:32" x14ac:dyDescent="0.2">
      <c r="AF18578" s="12"/>
    </row>
    <row r="18579" spans="32:32" x14ac:dyDescent="0.2">
      <c r="AF18579" s="12"/>
    </row>
    <row r="18580" spans="32:32" x14ac:dyDescent="0.2">
      <c r="AF18580" s="12"/>
    </row>
    <row r="18581" spans="32:32" x14ac:dyDescent="0.2">
      <c r="AF18581" s="12"/>
    </row>
    <row r="18582" spans="32:32" x14ac:dyDescent="0.2">
      <c r="AF18582" s="12"/>
    </row>
    <row r="18583" spans="32:32" x14ac:dyDescent="0.2">
      <c r="AF18583" s="12"/>
    </row>
    <row r="18584" spans="32:32" x14ac:dyDescent="0.2">
      <c r="AF18584" s="12"/>
    </row>
    <row r="18585" spans="32:32" x14ac:dyDescent="0.2">
      <c r="AF18585" s="12"/>
    </row>
    <row r="18586" spans="32:32" x14ac:dyDescent="0.2">
      <c r="AF18586" s="12"/>
    </row>
    <row r="18587" spans="32:32" x14ac:dyDescent="0.2">
      <c r="AF18587" s="12"/>
    </row>
    <row r="18588" spans="32:32" x14ac:dyDescent="0.2">
      <c r="AF18588" s="12"/>
    </row>
    <row r="18589" spans="32:32" x14ac:dyDescent="0.2">
      <c r="AF18589" s="12"/>
    </row>
    <row r="18590" spans="32:32" x14ac:dyDescent="0.2">
      <c r="AF18590" s="12"/>
    </row>
    <row r="18591" spans="32:32" x14ac:dyDescent="0.2">
      <c r="AF18591" s="12"/>
    </row>
    <row r="18592" spans="32:32" x14ac:dyDescent="0.2">
      <c r="AF18592" s="12"/>
    </row>
    <row r="18593" spans="32:32" x14ac:dyDescent="0.2">
      <c r="AF18593" s="12"/>
    </row>
    <row r="18594" spans="32:32" x14ac:dyDescent="0.2">
      <c r="AF18594" s="12"/>
    </row>
    <row r="18595" spans="32:32" x14ac:dyDescent="0.2">
      <c r="AF18595" s="12"/>
    </row>
    <row r="18596" spans="32:32" x14ac:dyDescent="0.2">
      <c r="AF18596" s="12"/>
    </row>
    <row r="18597" spans="32:32" x14ac:dyDescent="0.2">
      <c r="AF18597" s="12"/>
    </row>
    <row r="18598" spans="32:32" x14ac:dyDescent="0.2">
      <c r="AF18598" s="12"/>
    </row>
    <row r="18599" spans="32:32" x14ac:dyDescent="0.2">
      <c r="AF18599" s="12"/>
    </row>
    <row r="18600" spans="32:32" x14ac:dyDescent="0.2">
      <c r="AF18600" s="12"/>
    </row>
    <row r="18601" spans="32:32" x14ac:dyDescent="0.2">
      <c r="AF18601" s="12"/>
    </row>
    <row r="18602" spans="32:32" x14ac:dyDescent="0.2">
      <c r="AF18602" s="12"/>
    </row>
    <row r="18603" spans="32:32" x14ac:dyDescent="0.2">
      <c r="AF18603" s="12"/>
    </row>
    <row r="18604" spans="32:32" x14ac:dyDescent="0.2">
      <c r="AF18604" s="12"/>
    </row>
    <row r="18605" spans="32:32" x14ac:dyDescent="0.2">
      <c r="AF18605" s="12"/>
    </row>
    <row r="18606" spans="32:32" x14ac:dyDescent="0.2">
      <c r="AF18606" s="12"/>
    </row>
    <row r="18607" spans="32:32" x14ac:dyDescent="0.2">
      <c r="AF18607" s="12"/>
    </row>
    <row r="18608" spans="32:32" x14ac:dyDescent="0.2">
      <c r="AF18608" s="12"/>
    </row>
    <row r="18609" spans="32:32" x14ac:dyDescent="0.2">
      <c r="AF18609" s="12"/>
    </row>
    <row r="18610" spans="32:32" x14ac:dyDescent="0.2">
      <c r="AF18610" s="12"/>
    </row>
    <row r="18611" spans="32:32" x14ac:dyDescent="0.2">
      <c r="AF18611" s="12"/>
    </row>
    <row r="18612" spans="32:32" x14ac:dyDescent="0.2">
      <c r="AF18612" s="12"/>
    </row>
    <row r="18613" spans="32:32" x14ac:dyDescent="0.2">
      <c r="AF18613" s="12"/>
    </row>
    <row r="18614" spans="32:32" x14ac:dyDescent="0.2">
      <c r="AF18614" s="12"/>
    </row>
    <row r="18615" spans="32:32" x14ac:dyDescent="0.2">
      <c r="AF18615" s="12"/>
    </row>
    <row r="18616" spans="32:32" x14ac:dyDescent="0.2">
      <c r="AF18616" s="12"/>
    </row>
    <row r="18617" spans="32:32" x14ac:dyDescent="0.2">
      <c r="AF18617" s="12"/>
    </row>
    <row r="18618" spans="32:32" x14ac:dyDescent="0.2">
      <c r="AF18618" s="12"/>
    </row>
    <row r="18619" spans="32:32" x14ac:dyDescent="0.2">
      <c r="AF18619" s="12"/>
    </row>
    <row r="18620" spans="32:32" x14ac:dyDescent="0.2">
      <c r="AF18620" s="12"/>
    </row>
    <row r="18621" spans="32:32" x14ac:dyDescent="0.2">
      <c r="AF18621" s="12"/>
    </row>
    <row r="18622" spans="32:32" x14ac:dyDescent="0.2">
      <c r="AF18622" s="12"/>
    </row>
    <row r="18623" spans="32:32" x14ac:dyDescent="0.2">
      <c r="AF18623" s="12"/>
    </row>
    <row r="18624" spans="32:32" x14ac:dyDescent="0.2">
      <c r="AF18624" s="12"/>
    </row>
    <row r="18625" spans="32:32" x14ac:dyDescent="0.2">
      <c r="AF18625" s="12"/>
    </row>
    <row r="18626" spans="32:32" x14ac:dyDescent="0.2">
      <c r="AF18626" s="12"/>
    </row>
    <row r="18627" spans="32:32" x14ac:dyDescent="0.2">
      <c r="AF18627" s="12"/>
    </row>
    <row r="18628" spans="32:32" x14ac:dyDescent="0.2">
      <c r="AF18628" s="12"/>
    </row>
    <row r="18629" spans="32:32" x14ac:dyDescent="0.2">
      <c r="AF18629" s="12"/>
    </row>
    <row r="18630" spans="32:32" x14ac:dyDescent="0.2">
      <c r="AF18630" s="12"/>
    </row>
    <row r="18631" spans="32:32" x14ac:dyDescent="0.2">
      <c r="AF18631" s="12"/>
    </row>
    <row r="18632" spans="32:32" x14ac:dyDescent="0.2">
      <c r="AF18632" s="12"/>
    </row>
    <row r="18633" spans="32:32" x14ac:dyDescent="0.2">
      <c r="AF18633" s="12"/>
    </row>
    <row r="18634" spans="32:32" x14ac:dyDescent="0.2">
      <c r="AF18634" s="12"/>
    </row>
    <row r="18635" spans="32:32" x14ac:dyDescent="0.2">
      <c r="AF18635" s="12"/>
    </row>
    <row r="18636" spans="32:32" x14ac:dyDescent="0.2">
      <c r="AF18636" s="12"/>
    </row>
    <row r="18637" spans="32:32" x14ac:dyDescent="0.2">
      <c r="AF18637" s="12"/>
    </row>
    <row r="18638" spans="32:32" x14ac:dyDescent="0.2">
      <c r="AF18638" s="12"/>
    </row>
    <row r="18639" spans="32:32" x14ac:dyDescent="0.2">
      <c r="AF18639" s="12"/>
    </row>
    <row r="18640" spans="32:32" x14ac:dyDescent="0.2">
      <c r="AF18640" s="12"/>
    </row>
    <row r="18641" spans="32:32" x14ac:dyDescent="0.2">
      <c r="AF18641" s="12"/>
    </row>
    <row r="18642" spans="32:32" x14ac:dyDescent="0.2">
      <c r="AF18642" s="12"/>
    </row>
    <row r="18643" spans="32:32" x14ac:dyDescent="0.2">
      <c r="AF18643" s="12"/>
    </row>
    <row r="18644" spans="32:32" x14ac:dyDescent="0.2">
      <c r="AF18644" s="12"/>
    </row>
    <row r="18645" spans="32:32" x14ac:dyDescent="0.2">
      <c r="AF18645" s="12"/>
    </row>
    <row r="18646" spans="32:32" x14ac:dyDescent="0.2">
      <c r="AF18646" s="12"/>
    </row>
    <row r="18647" spans="32:32" x14ac:dyDescent="0.2">
      <c r="AF18647" s="12"/>
    </row>
    <row r="18648" spans="32:32" x14ac:dyDescent="0.2">
      <c r="AF18648" s="12"/>
    </row>
    <row r="18649" spans="32:32" x14ac:dyDescent="0.2">
      <c r="AF18649" s="12"/>
    </row>
    <row r="18650" spans="32:32" x14ac:dyDescent="0.2">
      <c r="AF18650" s="12"/>
    </row>
    <row r="18651" spans="32:32" x14ac:dyDescent="0.2">
      <c r="AF18651" s="12"/>
    </row>
    <row r="18652" spans="32:32" x14ac:dyDescent="0.2">
      <c r="AF18652" s="12"/>
    </row>
    <row r="18653" spans="32:32" x14ac:dyDescent="0.2">
      <c r="AF18653" s="12"/>
    </row>
    <row r="18654" spans="32:32" x14ac:dyDescent="0.2">
      <c r="AF18654" s="12"/>
    </row>
    <row r="18655" spans="32:32" x14ac:dyDescent="0.2">
      <c r="AF18655" s="12"/>
    </row>
    <row r="18656" spans="32:32" x14ac:dyDescent="0.2">
      <c r="AF18656" s="12"/>
    </row>
    <row r="18657" spans="32:32" x14ac:dyDescent="0.2">
      <c r="AF18657" s="12"/>
    </row>
    <row r="18658" spans="32:32" x14ac:dyDescent="0.2">
      <c r="AF18658" s="12"/>
    </row>
    <row r="18659" spans="32:32" x14ac:dyDescent="0.2">
      <c r="AF18659" s="12"/>
    </row>
    <row r="18660" spans="32:32" x14ac:dyDescent="0.2">
      <c r="AF18660" s="12"/>
    </row>
    <row r="18661" spans="32:32" x14ac:dyDescent="0.2">
      <c r="AF18661" s="12"/>
    </row>
    <row r="18662" spans="32:32" x14ac:dyDescent="0.2">
      <c r="AF18662" s="12"/>
    </row>
    <row r="18663" spans="32:32" x14ac:dyDescent="0.2">
      <c r="AF18663" s="12"/>
    </row>
    <row r="18664" spans="32:32" x14ac:dyDescent="0.2">
      <c r="AF18664" s="12"/>
    </row>
    <row r="18665" spans="32:32" x14ac:dyDescent="0.2">
      <c r="AF18665" s="12"/>
    </row>
    <row r="18666" spans="32:32" x14ac:dyDescent="0.2">
      <c r="AF18666" s="12"/>
    </row>
    <row r="18667" spans="32:32" x14ac:dyDescent="0.2">
      <c r="AF18667" s="12"/>
    </row>
    <row r="18668" spans="32:32" x14ac:dyDescent="0.2">
      <c r="AF18668" s="12"/>
    </row>
    <row r="18669" spans="32:32" x14ac:dyDescent="0.2">
      <c r="AF18669" s="12"/>
    </row>
    <row r="18670" spans="32:32" x14ac:dyDescent="0.2">
      <c r="AF18670" s="12"/>
    </row>
    <row r="18671" spans="32:32" x14ac:dyDescent="0.2">
      <c r="AF18671" s="12"/>
    </row>
    <row r="18672" spans="32:32" x14ac:dyDescent="0.2">
      <c r="AF18672" s="12"/>
    </row>
    <row r="18673" spans="32:32" x14ac:dyDescent="0.2">
      <c r="AF18673" s="12"/>
    </row>
    <row r="18674" spans="32:32" x14ac:dyDescent="0.2">
      <c r="AF18674" s="12"/>
    </row>
    <row r="18675" spans="32:32" x14ac:dyDescent="0.2">
      <c r="AF18675" s="12"/>
    </row>
    <row r="18676" spans="32:32" x14ac:dyDescent="0.2">
      <c r="AF18676" s="12"/>
    </row>
    <row r="18677" spans="32:32" x14ac:dyDescent="0.2">
      <c r="AF18677" s="12"/>
    </row>
    <row r="18678" spans="32:32" x14ac:dyDescent="0.2">
      <c r="AF18678" s="12"/>
    </row>
    <row r="18679" spans="32:32" x14ac:dyDescent="0.2">
      <c r="AF18679" s="12"/>
    </row>
    <row r="18680" spans="32:32" x14ac:dyDescent="0.2">
      <c r="AF18680" s="12"/>
    </row>
    <row r="18681" spans="32:32" x14ac:dyDescent="0.2">
      <c r="AF18681" s="12"/>
    </row>
    <row r="18682" spans="32:32" x14ac:dyDescent="0.2">
      <c r="AF18682" s="12"/>
    </row>
    <row r="18683" spans="32:32" x14ac:dyDescent="0.2">
      <c r="AF18683" s="12"/>
    </row>
    <row r="18684" spans="32:32" x14ac:dyDescent="0.2">
      <c r="AF18684" s="12"/>
    </row>
    <row r="18685" spans="32:32" x14ac:dyDescent="0.2">
      <c r="AF18685" s="12"/>
    </row>
    <row r="18686" spans="32:32" x14ac:dyDescent="0.2">
      <c r="AF18686" s="12"/>
    </row>
    <row r="18687" spans="32:32" x14ac:dyDescent="0.2">
      <c r="AF18687" s="12"/>
    </row>
    <row r="18688" spans="32:32" x14ac:dyDescent="0.2">
      <c r="AF18688" s="12"/>
    </row>
    <row r="18689" spans="32:32" x14ac:dyDescent="0.2">
      <c r="AF18689" s="12"/>
    </row>
    <row r="18690" spans="32:32" x14ac:dyDescent="0.2">
      <c r="AF18690" s="12"/>
    </row>
    <row r="18691" spans="32:32" x14ac:dyDescent="0.2">
      <c r="AF18691" s="12"/>
    </row>
    <row r="18692" spans="32:32" x14ac:dyDescent="0.2">
      <c r="AF18692" s="12"/>
    </row>
    <row r="18693" spans="32:32" x14ac:dyDescent="0.2">
      <c r="AF18693" s="12"/>
    </row>
    <row r="18694" spans="32:32" x14ac:dyDescent="0.2">
      <c r="AF18694" s="12"/>
    </row>
    <row r="18695" spans="32:32" x14ac:dyDescent="0.2">
      <c r="AF18695" s="12"/>
    </row>
    <row r="18696" spans="32:32" x14ac:dyDescent="0.2">
      <c r="AF18696" s="12"/>
    </row>
    <row r="18697" spans="32:32" x14ac:dyDescent="0.2">
      <c r="AF18697" s="12"/>
    </row>
    <row r="18698" spans="32:32" x14ac:dyDescent="0.2">
      <c r="AF18698" s="12"/>
    </row>
    <row r="18699" spans="32:32" x14ac:dyDescent="0.2">
      <c r="AF18699" s="12"/>
    </row>
    <row r="18700" spans="32:32" x14ac:dyDescent="0.2">
      <c r="AF18700" s="12"/>
    </row>
    <row r="18701" spans="32:32" x14ac:dyDescent="0.2">
      <c r="AF18701" s="12"/>
    </row>
    <row r="18702" spans="32:32" x14ac:dyDescent="0.2">
      <c r="AF18702" s="12"/>
    </row>
    <row r="18703" spans="32:32" x14ac:dyDescent="0.2">
      <c r="AF18703" s="12"/>
    </row>
    <row r="18704" spans="32:32" x14ac:dyDescent="0.2">
      <c r="AF18704" s="12"/>
    </row>
    <row r="18705" spans="32:32" x14ac:dyDescent="0.2">
      <c r="AF18705" s="12"/>
    </row>
    <row r="18706" spans="32:32" x14ac:dyDescent="0.2">
      <c r="AF18706" s="12"/>
    </row>
    <row r="18707" spans="32:32" x14ac:dyDescent="0.2">
      <c r="AF18707" s="12"/>
    </row>
    <row r="18708" spans="32:32" x14ac:dyDescent="0.2">
      <c r="AF18708" s="12"/>
    </row>
    <row r="18709" spans="32:32" x14ac:dyDescent="0.2">
      <c r="AF18709" s="12"/>
    </row>
    <row r="18710" spans="32:32" x14ac:dyDescent="0.2">
      <c r="AF18710" s="12"/>
    </row>
    <row r="18711" spans="32:32" x14ac:dyDescent="0.2">
      <c r="AF18711" s="12"/>
    </row>
    <row r="18712" spans="32:32" x14ac:dyDescent="0.2">
      <c r="AF18712" s="12"/>
    </row>
    <row r="18713" spans="32:32" x14ac:dyDescent="0.2">
      <c r="AF18713" s="12"/>
    </row>
    <row r="18714" spans="32:32" x14ac:dyDescent="0.2">
      <c r="AF18714" s="12"/>
    </row>
    <row r="18715" spans="32:32" x14ac:dyDescent="0.2">
      <c r="AF18715" s="12"/>
    </row>
    <row r="18716" spans="32:32" x14ac:dyDescent="0.2">
      <c r="AF18716" s="12"/>
    </row>
    <row r="18717" spans="32:32" x14ac:dyDescent="0.2">
      <c r="AF18717" s="12"/>
    </row>
    <row r="18718" spans="32:32" x14ac:dyDescent="0.2">
      <c r="AF18718" s="12"/>
    </row>
    <row r="18719" spans="32:32" x14ac:dyDescent="0.2">
      <c r="AF18719" s="12"/>
    </row>
    <row r="18720" spans="32:32" x14ac:dyDescent="0.2">
      <c r="AF18720" s="12"/>
    </row>
    <row r="18721" spans="32:32" x14ac:dyDescent="0.2">
      <c r="AF18721" s="12"/>
    </row>
    <row r="18722" spans="32:32" x14ac:dyDescent="0.2">
      <c r="AF18722" s="12"/>
    </row>
    <row r="18723" spans="32:32" x14ac:dyDescent="0.2">
      <c r="AF18723" s="12"/>
    </row>
    <row r="18724" spans="32:32" x14ac:dyDescent="0.2">
      <c r="AF18724" s="12"/>
    </row>
    <row r="18725" spans="32:32" x14ac:dyDescent="0.2">
      <c r="AF18725" s="12"/>
    </row>
    <row r="18726" spans="32:32" x14ac:dyDescent="0.2">
      <c r="AF18726" s="12"/>
    </row>
    <row r="18727" spans="32:32" x14ac:dyDescent="0.2">
      <c r="AF18727" s="12"/>
    </row>
    <row r="18728" spans="32:32" x14ac:dyDescent="0.2">
      <c r="AF18728" s="12"/>
    </row>
    <row r="18729" spans="32:32" x14ac:dyDescent="0.2">
      <c r="AF18729" s="12"/>
    </row>
    <row r="18730" spans="32:32" x14ac:dyDescent="0.2">
      <c r="AF18730" s="12"/>
    </row>
    <row r="18731" spans="32:32" x14ac:dyDescent="0.2">
      <c r="AF18731" s="12"/>
    </row>
    <row r="18732" spans="32:32" x14ac:dyDescent="0.2">
      <c r="AF18732" s="12"/>
    </row>
    <row r="18733" spans="32:32" x14ac:dyDescent="0.2">
      <c r="AF18733" s="12"/>
    </row>
    <row r="18734" spans="32:32" x14ac:dyDescent="0.2">
      <c r="AF18734" s="12"/>
    </row>
    <row r="18735" spans="32:32" x14ac:dyDescent="0.2">
      <c r="AF18735" s="12"/>
    </row>
    <row r="18736" spans="32:32" x14ac:dyDescent="0.2">
      <c r="AF18736" s="12"/>
    </row>
    <row r="18737" spans="32:32" x14ac:dyDescent="0.2">
      <c r="AF18737" s="12"/>
    </row>
    <row r="18738" spans="32:32" x14ac:dyDescent="0.2">
      <c r="AF18738" s="12"/>
    </row>
    <row r="18739" spans="32:32" x14ac:dyDescent="0.2">
      <c r="AF18739" s="12"/>
    </row>
    <row r="18740" spans="32:32" x14ac:dyDescent="0.2">
      <c r="AF18740" s="12"/>
    </row>
    <row r="18741" spans="32:32" x14ac:dyDescent="0.2">
      <c r="AF18741" s="12"/>
    </row>
    <row r="18742" spans="32:32" x14ac:dyDescent="0.2">
      <c r="AF18742" s="12"/>
    </row>
    <row r="18743" spans="32:32" x14ac:dyDescent="0.2">
      <c r="AF18743" s="12"/>
    </row>
    <row r="18744" spans="32:32" x14ac:dyDescent="0.2">
      <c r="AF18744" s="12"/>
    </row>
    <row r="18745" spans="32:32" x14ac:dyDescent="0.2">
      <c r="AF18745" s="12"/>
    </row>
    <row r="18746" spans="32:32" x14ac:dyDescent="0.2">
      <c r="AF18746" s="12"/>
    </row>
    <row r="18747" spans="32:32" x14ac:dyDescent="0.2">
      <c r="AF18747" s="12"/>
    </row>
    <row r="18748" spans="32:32" x14ac:dyDescent="0.2">
      <c r="AF18748" s="12"/>
    </row>
    <row r="18749" spans="32:32" x14ac:dyDescent="0.2">
      <c r="AF18749" s="12"/>
    </row>
    <row r="18750" spans="32:32" x14ac:dyDescent="0.2">
      <c r="AF18750" s="12"/>
    </row>
    <row r="18751" spans="32:32" x14ac:dyDescent="0.2">
      <c r="AF18751" s="12"/>
    </row>
    <row r="18752" spans="32:32" x14ac:dyDescent="0.2">
      <c r="AF18752" s="12"/>
    </row>
    <row r="18753" spans="32:32" x14ac:dyDescent="0.2">
      <c r="AF18753" s="12"/>
    </row>
    <row r="18754" spans="32:32" x14ac:dyDescent="0.2">
      <c r="AF18754" s="12"/>
    </row>
    <row r="18755" spans="32:32" x14ac:dyDescent="0.2">
      <c r="AF18755" s="12"/>
    </row>
    <row r="18756" spans="32:32" x14ac:dyDescent="0.2">
      <c r="AF18756" s="12"/>
    </row>
    <row r="18757" spans="32:32" x14ac:dyDescent="0.2">
      <c r="AF18757" s="12"/>
    </row>
    <row r="18758" spans="32:32" x14ac:dyDescent="0.2">
      <c r="AF18758" s="12"/>
    </row>
    <row r="18759" spans="32:32" x14ac:dyDescent="0.2">
      <c r="AF18759" s="12"/>
    </row>
    <row r="18760" spans="32:32" x14ac:dyDescent="0.2">
      <c r="AF18760" s="12"/>
    </row>
    <row r="18761" spans="32:32" x14ac:dyDescent="0.2">
      <c r="AF18761" s="12"/>
    </row>
    <row r="18762" spans="32:32" x14ac:dyDescent="0.2">
      <c r="AF18762" s="12"/>
    </row>
    <row r="18763" spans="32:32" x14ac:dyDescent="0.2">
      <c r="AF18763" s="12"/>
    </row>
    <row r="18764" spans="32:32" x14ac:dyDescent="0.2">
      <c r="AF18764" s="12"/>
    </row>
    <row r="18765" spans="32:32" x14ac:dyDescent="0.2">
      <c r="AF18765" s="12"/>
    </row>
    <row r="18766" spans="32:32" x14ac:dyDescent="0.2">
      <c r="AF18766" s="12"/>
    </row>
    <row r="18767" spans="32:32" x14ac:dyDescent="0.2">
      <c r="AF18767" s="12"/>
    </row>
    <row r="18768" spans="32:32" x14ac:dyDescent="0.2">
      <c r="AF18768" s="12"/>
    </row>
    <row r="18769" spans="32:32" x14ac:dyDescent="0.2">
      <c r="AF18769" s="12"/>
    </row>
    <row r="18770" spans="32:32" x14ac:dyDescent="0.2">
      <c r="AF18770" s="12"/>
    </row>
    <row r="18771" spans="32:32" x14ac:dyDescent="0.2">
      <c r="AF18771" s="12"/>
    </row>
    <row r="18772" spans="32:32" x14ac:dyDescent="0.2">
      <c r="AF18772" s="12"/>
    </row>
    <row r="18773" spans="32:32" x14ac:dyDescent="0.2">
      <c r="AF18773" s="12"/>
    </row>
    <row r="18774" spans="32:32" x14ac:dyDescent="0.2">
      <c r="AF18774" s="12"/>
    </row>
    <row r="18775" spans="32:32" x14ac:dyDescent="0.2">
      <c r="AF18775" s="12"/>
    </row>
    <row r="18776" spans="32:32" x14ac:dyDescent="0.2">
      <c r="AF18776" s="12"/>
    </row>
    <row r="18777" spans="32:32" x14ac:dyDescent="0.2">
      <c r="AF18777" s="12"/>
    </row>
    <row r="18778" spans="32:32" x14ac:dyDescent="0.2">
      <c r="AF18778" s="12"/>
    </row>
    <row r="18779" spans="32:32" x14ac:dyDescent="0.2">
      <c r="AF18779" s="12"/>
    </row>
    <row r="18780" spans="32:32" x14ac:dyDescent="0.2">
      <c r="AF18780" s="12"/>
    </row>
    <row r="18781" spans="32:32" x14ac:dyDescent="0.2">
      <c r="AF18781" s="12"/>
    </row>
    <row r="18782" spans="32:32" x14ac:dyDescent="0.2">
      <c r="AF18782" s="12"/>
    </row>
    <row r="18783" spans="32:32" x14ac:dyDescent="0.2">
      <c r="AF18783" s="12"/>
    </row>
    <row r="18784" spans="32:32" x14ac:dyDescent="0.2">
      <c r="AF18784" s="12"/>
    </row>
    <row r="18785" spans="32:32" x14ac:dyDescent="0.2">
      <c r="AF18785" s="12"/>
    </row>
    <row r="18786" spans="32:32" x14ac:dyDescent="0.2">
      <c r="AF18786" s="12"/>
    </row>
    <row r="18787" spans="32:32" x14ac:dyDescent="0.2">
      <c r="AF18787" s="12"/>
    </row>
    <row r="18788" spans="32:32" x14ac:dyDescent="0.2">
      <c r="AF18788" s="12"/>
    </row>
    <row r="18789" spans="32:32" x14ac:dyDescent="0.2">
      <c r="AF18789" s="12"/>
    </row>
    <row r="18790" spans="32:32" x14ac:dyDescent="0.2">
      <c r="AF18790" s="12"/>
    </row>
    <row r="18791" spans="32:32" x14ac:dyDescent="0.2">
      <c r="AF18791" s="12"/>
    </row>
    <row r="18792" spans="32:32" x14ac:dyDescent="0.2">
      <c r="AF18792" s="12"/>
    </row>
    <row r="18793" spans="32:32" x14ac:dyDescent="0.2">
      <c r="AF18793" s="12"/>
    </row>
    <row r="18794" spans="32:32" x14ac:dyDescent="0.2">
      <c r="AF18794" s="12"/>
    </row>
    <row r="18795" spans="32:32" x14ac:dyDescent="0.2">
      <c r="AF18795" s="12"/>
    </row>
    <row r="18796" spans="32:32" x14ac:dyDescent="0.2">
      <c r="AF18796" s="12"/>
    </row>
    <row r="18797" spans="32:32" x14ac:dyDescent="0.2">
      <c r="AF18797" s="12"/>
    </row>
    <row r="18798" spans="32:32" x14ac:dyDescent="0.2">
      <c r="AF18798" s="12"/>
    </row>
    <row r="18799" spans="32:32" x14ac:dyDescent="0.2">
      <c r="AF18799" s="12"/>
    </row>
    <row r="18800" spans="32:32" x14ac:dyDescent="0.2">
      <c r="AF18800" s="12"/>
    </row>
    <row r="18801" spans="32:32" x14ac:dyDescent="0.2">
      <c r="AF18801" s="12"/>
    </row>
    <row r="18802" spans="32:32" x14ac:dyDescent="0.2">
      <c r="AF18802" s="12"/>
    </row>
    <row r="18803" spans="32:32" x14ac:dyDescent="0.2">
      <c r="AF18803" s="12"/>
    </row>
    <row r="18804" spans="32:32" x14ac:dyDescent="0.2">
      <c r="AF18804" s="12"/>
    </row>
    <row r="18805" spans="32:32" x14ac:dyDescent="0.2">
      <c r="AF18805" s="12"/>
    </row>
    <row r="18806" spans="32:32" x14ac:dyDescent="0.2">
      <c r="AF18806" s="12"/>
    </row>
    <row r="18807" spans="32:32" x14ac:dyDescent="0.2">
      <c r="AF18807" s="12"/>
    </row>
    <row r="18808" spans="32:32" x14ac:dyDescent="0.2">
      <c r="AF18808" s="12"/>
    </row>
    <row r="18809" spans="32:32" x14ac:dyDescent="0.2">
      <c r="AF18809" s="12"/>
    </row>
    <row r="18810" spans="32:32" x14ac:dyDescent="0.2">
      <c r="AF18810" s="12"/>
    </row>
    <row r="18811" spans="32:32" x14ac:dyDescent="0.2">
      <c r="AF18811" s="12"/>
    </row>
    <row r="18812" spans="32:32" x14ac:dyDescent="0.2">
      <c r="AF18812" s="12"/>
    </row>
    <row r="18813" spans="32:32" x14ac:dyDescent="0.2">
      <c r="AF18813" s="12"/>
    </row>
    <row r="18814" spans="32:32" x14ac:dyDescent="0.2">
      <c r="AF18814" s="12"/>
    </row>
    <row r="18815" spans="32:32" x14ac:dyDescent="0.2">
      <c r="AF18815" s="12"/>
    </row>
    <row r="18816" spans="32:32" x14ac:dyDescent="0.2">
      <c r="AF18816" s="12"/>
    </row>
    <row r="18817" spans="32:32" x14ac:dyDescent="0.2">
      <c r="AF18817" s="12"/>
    </row>
    <row r="18818" spans="32:32" x14ac:dyDescent="0.2">
      <c r="AF18818" s="12"/>
    </row>
    <row r="18819" spans="32:32" x14ac:dyDescent="0.2">
      <c r="AF18819" s="12"/>
    </row>
    <row r="18820" spans="32:32" x14ac:dyDescent="0.2">
      <c r="AF18820" s="12"/>
    </row>
    <row r="18821" spans="32:32" x14ac:dyDescent="0.2">
      <c r="AF18821" s="12"/>
    </row>
    <row r="18822" spans="32:32" x14ac:dyDescent="0.2">
      <c r="AF18822" s="12"/>
    </row>
    <row r="18823" spans="32:32" x14ac:dyDescent="0.2">
      <c r="AF18823" s="12"/>
    </row>
    <row r="18824" spans="32:32" x14ac:dyDescent="0.2">
      <c r="AF18824" s="12"/>
    </row>
    <row r="18825" spans="32:32" x14ac:dyDescent="0.2">
      <c r="AF18825" s="12"/>
    </row>
    <row r="18826" spans="32:32" x14ac:dyDescent="0.2">
      <c r="AF18826" s="12"/>
    </row>
    <row r="18827" spans="32:32" x14ac:dyDescent="0.2">
      <c r="AF18827" s="12"/>
    </row>
    <row r="18828" spans="32:32" x14ac:dyDescent="0.2">
      <c r="AF18828" s="12"/>
    </row>
    <row r="18829" spans="32:32" x14ac:dyDescent="0.2">
      <c r="AF18829" s="12"/>
    </row>
    <row r="18830" spans="32:32" x14ac:dyDescent="0.2">
      <c r="AF18830" s="12"/>
    </row>
    <row r="18831" spans="32:32" x14ac:dyDescent="0.2">
      <c r="AF18831" s="12"/>
    </row>
    <row r="18832" spans="32:32" x14ac:dyDescent="0.2">
      <c r="AF18832" s="12"/>
    </row>
    <row r="18833" spans="32:32" x14ac:dyDescent="0.2">
      <c r="AF18833" s="12"/>
    </row>
    <row r="18834" spans="32:32" x14ac:dyDescent="0.2">
      <c r="AF18834" s="12"/>
    </row>
    <row r="18835" spans="32:32" x14ac:dyDescent="0.2">
      <c r="AF18835" s="12"/>
    </row>
    <row r="18836" spans="32:32" x14ac:dyDescent="0.2">
      <c r="AF18836" s="12"/>
    </row>
    <row r="18837" spans="32:32" x14ac:dyDescent="0.2">
      <c r="AF18837" s="12"/>
    </row>
    <row r="18838" spans="32:32" x14ac:dyDescent="0.2">
      <c r="AF18838" s="12"/>
    </row>
    <row r="18839" spans="32:32" x14ac:dyDescent="0.2">
      <c r="AF18839" s="12"/>
    </row>
    <row r="18840" spans="32:32" x14ac:dyDescent="0.2">
      <c r="AF18840" s="12"/>
    </row>
    <row r="18841" spans="32:32" x14ac:dyDescent="0.2">
      <c r="AF18841" s="12"/>
    </row>
    <row r="18842" spans="32:32" x14ac:dyDescent="0.2">
      <c r="AF18842" s="12"/>
    </row>
    <row r="18843" spans="32:32" x14ac:dyDescent="0.2">
      <c r="AF18843" s="12"/>
    </row>
    <row r="18844" spans="32:32" x14ac:dyDescent="0.2">
      <c r="AF18844" s="12"/>
    </row>
    <row r="18845" spans="32:32" x14ac:dyDescent="0.2">
      <c r="AF18845" s="12"/>
    </row>
    <row r="18846" spans="32:32" x14ac:dyDescent="0.2">
      <c r="AF18846" s="12"/>
    </row>
    <row r="18847" spans="32:32" x14ac:dyDescent="0.2">
      <c r="AF18847" s="12"/>
    </row>
    <row r="18848" spans="32:32" x14ac:dyDescent="0.2">
      <c r="AF18848" s="12"/>
    </row>
    <row r="18849" spans="32:32" x14ac:dyDescent="0.2">
      <c r="AF18849" s="12"/>
    </row>
    <row r="18850" spans="32:32" x14ac:dyDescent="0.2">
      <c r="AF18850" s="12"/>
    </row>
    <row r="18851" spans="32:32" x14ac:dyDescent="0.2">
      <c r="AF18851" s="12"/>
    </row>
    <row r="18852" spans="32:32" x14ac:dyDescent="0.2">
      <c r="AF18852" s="12"/>
    </row>
    <row r="18853" spans="32:32" x14ac:dyDescent="0.2">
      <c r="AF18853" s="12"/>
    </row>
    <row r="18854" spans="32:32" x14ac:dyDescent="0.2">
      <c r="AF18854" s="12"/>
    </row>
    <row r="18855" spans="32:32" x14ac:dyDescent="0.2">
      <c r="AF18855" s="12"/>
    </row>
    <row r="18856" spans="32:32" x14ac:dyDescent="0.2">
      <c r="AF18856" s="12"/>
    </row>
    <row r="18857" spans="32:32" x14ac:dyDescent="0.2">
      <c r="AF18857" s="12"/>
    </row>
    <row r="18858" spans="32:32" x14ac:dyDescent="0.2">
      <c r="AF18858" s="12"/>
    </row>
    <row r="18859" spans="32:32" x14ac:dyDescent="0.2">
      <c r="AF18859" s="12"/>
    </row>
    <row r="18860" spans="32:32" x14ac:dyDescent="0.2">
      <c r="AF18860" s="12"/>
    </row>
    <row r="18861" spans="32:32" x14ac:dyDescent="0.2">
      <c r="AF18861" s="12"/>
    </row>
    <row r="18862" spans="32:32" x14ac:dyDescent="0.2">
      <c r="AF18862" s="12"/>
    </row>
    <row r="18863" spans="32:32" x14ac:dyDescent="0.2">
      <c r="AF18863" s="12"/>
    </row>
    <row r="18864" spans="32:32" x14ac:dyDescent="0.2">
      <c r="AF18864" s="12"/>
    </row>
    <row r="18865" spans="32:32" x14ac:dyDescent="0.2">
      <c r="AF18865" s="12"/>
    </row>
    <row r="18866" spans="32:32" x14ac:dyDescent="0.2">
      <c r="AF18866" s="12"/>
    </row>
    <row r="18867" spans="32:32" x14ac:dyDescent="0.2">
      <c r="AF18867" s="12"/>
    </row>
    <row r="18868" spans="32:32" x14ac:dyDescent="0.2">
      <c r="AF18868" s="12"/>
    </row>
    <row r="18869" spans="32:32" x14ac:dyDescent="0.2">
      <c r="AF18869" s="12"/>
    </row>
    <row r="18870" spans="32:32" x14ac:dyDescent="0.2">
      <c r="AF18870" s="12"/>
    </row>
    <row r="18871" spans="32:32" x14ac:dyDescent="0.2">
      <c r="AF18871" s="12"/>
    </row>
    <row r="18872" spans="32:32" x14ac:dyDescent="0.2">
      <c r="AF18872" s="12"/>
    </row>
    <row r="18873" spans="32:32" x14ac:dyDescent="0.2">
      <c r="AF18873" s="12"/>
    </row>
    <row r="18874" spans="32:32" x14ac:dyDescent="0.2">
      <c r="AF18874" s="12"/>
    </row>
    <row r="18875" spans="32:32" x14ac:dyDescent="0.2">
      <c r="AF18875" s="12"/>
    </row>
    <row r="18876" spans="32:32" x14ac:dyDescent="0.2">
      <c r="AF18876" s="12"/>
    </row>
    <row r="18877" spans="32:32" x14ac:dyDescent="0.2">
      <c r="AF18877" s="12"/>
    </row>
    <row r="18878" spans="32:32" x14ac:dyDescent="0.2">
      <c r="AF18878" s="12"/>
    </row>
    <row r="18879" spans="32:32" x14ac:dyDescent="0.2">
      <c r="AF18879" s="12"/>
    </row>
    <row r="18880" spans="32:32" x14ac:dyDescent="0.2">
      <c r="AF18880" s="12"/>
    </row>
    <row r="18881" spans="32:32" x14ac:dyDescent="0.2">
      <c r="AF18881" s="12"/>
    </row>
    <row r="18882" spans="32:32" x14ac:dyDescent="0.2">
      <c r="AF18882" s="12"/>
    </row>
    <row r="18883" spans="32:32" x14ac:dyDescent="0.2">
      <c r="AF18883" s="12"/>
    </row>
    <row r="18884" spans="32:32" x14ac:dyDescent="0.2">
      <c r="AF18884" s="12"/>
    </row>
    <row r="18885" spans="32:32" x14ac:dyDescent="0.2">
      <c r="AF18885" s="12"/>
    </row>
    <row r="18886" spans="32:32" x14ac:dyDescent="0.2">
      <c r="AF18886" s="12"/>
    </row>
    <row r="18887" spans="32:32" x14ac:dyDescent="0.2">
      <c r="AF18887" s="12"/>
    </row>
    <row r="18888" spans="32:32" x14ac:dyDescent="0.2">
      <c r="AF18888" s="12"/>
    </row>
    <row r="18889" spans="32:32" x14ac:dyDescent="0.2">
      <c r="AF18889" s="12"/>
    </row>
    <row r="18890" spans="32:32" x14ac:dyDescent="0.2">
      <c r="AF18890" s="12"/>
    </row>
    <row r="18891" spans="32:32" x14ac:dyDescent="0.2">
      <c r="AF18891" s="12"/>
    </row>
    <row r="18892" spans="32:32" x14ac:dyDescent="0.2">
      <c r="AF18892" s="12"/>
    </row>
    <row r="18893" spans="32:32" x14ac:dyDescent="0.2">
      <c r="AF18893" s="12"/>
    </row>
    <row r="18894" spans="32:32" x14ac:dyDescent="0.2">
      <c r="AF18894" s="12"/>
    </row>
    <row r="18895" spans="32:32" x14ac:dyDescent="0.2">
      <c r="AF18895" s="12"/>
    </row>
    <row r="18896" spans="32:32" x14ac:dyDescent="0.2">
      <c r="AF18896" s="12"/>
    </row>
    <row r="18897" spans="32:32" x14ac:dyDescent="0.2">
      <c r="AF18897" s="12"/>
    </row>
    <row r="18898" spans="32:32" x14ac:dyDescent="0.2">
      <c r="AF18898" s="12"/>
    </row>
    <row r="18899" spans="32:32" x14ac:dyDescent="0.2">
      <c r="AF18899" s="12"/>
    </row>
    <row r="18900" spans="32:32" x14ac:dyDescent="0.2">
      <c r="AF18900" s="12"/>
    </row>
    <row r="18901" spans="32:32" x14ac:dyDescent="0.2">
      <c r="AF18901" s="12"/>
    </row>
    <row r="18902" spans="32:32" x14ac:dyDescent="0.2">
      <c r="AF18902" s="12"/>
    </row>
    <row r="18903" spans="32:32" x14ac:dyDescent="0.2">
      <c r="AF18903" s="12"/>
    </row>
    <row r="18904" spans="32:32" x14ac:dyDescent="0.2">
      <c r="AF18904" s="12"/>
    </row>
    <row r="18905" spans="32:32" x14ac:dyDescent="0.2">
      <c r="AF18905" s="12"/>
    </row>
    <row r="18906" spans="32:32" x14ac:dyDescent="0.2">
      <c r="AF18906" s="12"/>
    </row>
    <row r="18907" spans="32:32" x14ac:dyDescent="0.2">
      <c r="AF18907" s="12"/>
    </row>
    <row r="18908" spans="32:32" x14ac:dyDescent="0.2">
      <c r="AF18908" s="12"/>
    </row>
    <row r="18909" spans="32:32" x14ac:dyDescent="0.2">
      <c r="AF18909" s="12"/>
    </row>
    <row r="18910" spans="32:32" x14ac:dyDescent="0.2">
      <c r="AF18910" s="12"/>
    </row>
    <row r="18911" spans="32:32" x14ac:dyDescent="0.2">
      <c r="AF18911" s="12"/>
    </row>
    <row r="18912" spans="32:32" x14ac:dyDescent="0.2">
      <c r="AF18912" s="12"/>
    </row>
    <row r="18913" spans="32:32" x14ac:dyDescent="0.2">
      <c r="AF18913" s="12"/>
    </row>
    <row r="18914" spans="32:32" x14ac:dyDescent="0.2">
      <c r="AF18914" s="12"/>
    </row>
    <row r="18915" spans="32:32" x14ac:dyDescent="0.2">
      <c r="AF18915" s="12"/>
    </row>
    <row r="18916" spans="32:32" x14ac:dyDescent="0.2">
      <c r="AF18916" s="12"/>
    </row>
    <row r="18917" spans="32:32" x14ac:dyDescent="0.2">
      <c r="AF18917" s="12"/>
    </row>
    <row r="18918" spans="32:32" x14ac:dyDescent="0.2">
      <c r="AF18918" s="12"/>
    </row>
    <row r="18919" spans="32:32" x14ac:dyDescent="0.2">
      <c r="AF18919" s="12"/>
    </row>
    <row r="18920" spans="32:32" x14ac:dyDescent="0.2">
      <c r="AF18920" s="12"/>
    </row>
    <row r="18921" spans="32:32" x14ac:dyDescent="0.2">
      <c r="AF18921" s="12"/>
    </row>
    <row r="18922" spans="32:32" x14ac:dyDescent="0.2">
      <c r="AF18922" s="12"/>
    </row>
    <row r="18923" spans="32:32" x14ac:dyDescent="0.2">
      <c r="AF18923" s="12"/>
    </row>
    <row r="18924" spans="32:32" x14ac:dyDescent="0.2">
      <c r="AF18924" s="12"/>
    </row>
    <row r="18925" spans="32:32" x14ac:dyDescent="0.2">
      <c r="AF18925" s="12"/>
    </row>
    <row r="18926" spans="32:32" x14ac:dyDescent="0.2">
      <c r="AF18926" s="12"/>
    </row>
    <row r="18927" spans="32:32" x14ac:dyDescent="0.2">
      <c r="AF18927" s="12"/>
    </row>
    <row r="18928" spans="32:32" x14ac:dyDescent="0.2">
      <c r="AF18928" s="12"/>
    </row>
    <row r="18929" spans="32:32" x14ac:dyDescent="0.2">
      <c r="AF18929" s="12"/>
    </row>
    <row r="18930" spans="32:32" x14ac:dyDescent="0.2">
      <c r="AF18930" s="12"/>
    </row>
    <row r="18931" spans="32:32" x14ac:dyDescent="0.2">
      <c r="AF18931" s="12"/>
    </row>
    <row r="18932" spans="32:32" x14ac:dyDescent="0.2">
      <c r="AF18932" s="12"/>
    </row>
    <row r="18933" spans="32:32" x14ac:dyDescent="0.2">
      <c r="AF18933" s="12"/>
    </row>
    <row r="18934" spans="32:32" x14ac:dyDescent="0.2">
      <c r="AF18934" s="12"/>
    </row>
    <row r="18935" spans="32:32" x14ac:dyDescent="0.2">
      <c r="AF18935" s="12"/>
    </row>
    <row r="18936" spans="32:32" x14ac:dyDescent="0.2">
      <c r="AF18936" s="12"/>
    </row>
    <row r="18937" spans="32:32" x14ac:dyDescent="0.2">
      <c r="AF18937" s="12"/>
    </row>
    <row r="18938" spans="32:32" x14ac:dyDescent="0.2">
      <c r="AF18938" s="12"/>
    </row>
    <row r="18939" spans="32:32" x14ac:dyDescent="0.2">
      <c r="AF18939" s="12"/>
    </row>
    <row r="18940" spans="32:32" x14ac:dyDescent="0.2">
      <c r="AF18940" s="12"/>
    </row>
    <row r="18941" spans="32:32" x14ac:dyDescent="0.2">
      <c r="AF18941" s="12"/>
    </row>
    <row r="18942" spans="32:32" x14ac:dyDescent="0.2">
      <c r="AF18942" s="12"/>
    </row>
    <row r="18943" spans="32:32" x14ac:dyDescent="0.2">
      <c r="AF18943" s="12"/>
    </row>
    <row r="18944" spans="32:32" x14ac:dyDescent="0.2">
      <c r="AF18944" s="12"/>
    </row>
    <row r="18945" spans="32:32" x14ac:dyDescent="0.2">
      <c r="AF18945" s="12"/>
    </row>
    <row r="18946" spans="32:32" x14ac:dyDescent="0.2">
      <c r="AF18946" s="12"/>
    </row>
    <row r="18947" spans="32:32" x14ac:dyDescent="0.2">
      <c r="AF18947" s="12"/>
    </row>
    <row r="18948" spans="32:32" x14ac:dyDescent="0.2">
      <c r="AF18948" s="12"/>
    </row>
    <row r="18949" spans="32:32" x14ac:dyDescent="0.2">
      <c r="AF18949" s="12"/>
    </row>
    <row r="18950" spans="32:32" x14ac:dyDescent="0.2">
      <c r="AF18950" s="12"/>
    </row>
    <row r="18951" spans="32:32" x14ac:dyDescent="0.2">
      <c r="AF18951" s="12"/>
    </row>
    <row r="18952" spans="32:32" x14ac:dyDescent="0.2">
      <c r="AF18952" s="12"/>
    </row>
    <row r="18953" spans="32:32" x14ac:dyDescent="0.2">
      <c r="AF18953" s="12"/>
    </row>
    <row r="18954" spans="32:32" x14ac:dyDescent="0.2">
      <c r="AF18954" s="12"/>
    </row>
    <row r="18955" spans="32:32" x14ac:dyDescent="0.2">
      <c r="AF18955" s="12"/>
    </row>
    <row r="18956" spans="32:32" x14ac:dyDescent="0.2">
      <c r="AF18956" s="12"/>
    </row>
    <row r="18957" spans="32:32" x14ac:dyDescent="0.2">
      <c r="AF18957" s="12"/>
    </row>
    <row r="18958" spans="32:32" x14ac:dyDescent="0.2">
      <c r="AF18958" s="12"/>
    </row>
    <row r="18959" spans="32:32" x14ac:dyDescent="0.2">
      <c r="AF18959" s="12"/>
    </row>
    <row r="18960" spans="32:32" x14ac:dyDescent="0.2">
      <c r="AF18960" s="12"/>
    </row>
    <row r="18961" spans="32:32" x14ac:dyDescent="0.2">
      <c r="AF18961" s="12"/>
    </row>
    <row r="18962" spans="32:32" x14ac:dyDescent="0.2">
      <c r="AF18962" s="12"/>
    </row>
    <row r="18963" spans="32:32" x14ac:dyDescent="0.2">
      <c r="AF18963" s="12"/>
    </row>
    <row r="18964" spans="32:32" x14ac:dyDescent="0.2">
      <c r="AF18964" s="12"/>
    </row>
    <row r="18965" spans="32:32" x14ac:dyDescent="0.2">
      <c r="AF18965" s="12"/>
    </row>
    <row r="18966" spans="32:32" x14ac:dyDescent="0.2">
      <c r="AF18966" s="12"/>
    </row>
    <row r="18967" spans="32:32" x14ac:dyDescent="0.2">
      <c r="AF18967" s="12"/>
    </row>
    <row r="18968" spans="32:32" x14ac:dyDescent="0.2">
      <c r="AF18968" s="12"/>
    </row>
    <row r="18969" spans="32:32" x14ac:dyDescent="0.2">
      <c r="AF18969" s="12"/>
    </row>
    <row r="18970" spans="32:32" x14ac:dyDescent="0.2">
      <c r="AF18970" s="12"/>
    </row>
    <row r="18971" spans="32:32" x14ac:dyDescent="0.2">
      <c r="AF18971" s="12"/>
    </row>
    <row r="18972" spans="32:32" x14ac:dyDescent="0.2">
      <c r="AF18972" s="12"/>
    </row>
    <row r="18973" spans="32:32" x14ac:dyDescent="0.2">
      <c r="AF18973" s="12"/>
    </row>
    <row r="18974" spans="32:32" x14ac:dyDescent="0.2">
      <c r="AF18974" s="12"/>
    </row>
    <row r="18975" spans="32:32" x14ac:dyDescent="0.2">
      <c r="AF18975" s="12"/>
    </row>
    <row r="18976" spans="32:32" x14ac:dyDescent="0.2">
      <c r="AF18976" s="12"/>
    </row>
    <row r="18977" spans="32:32" x14ac:dyDescent="0.2">
      <c r="AF18977" s="12"/>
    </row>
    <row r="18978" spans="32:32" x14ac:dyDescent="0.2">
      <c r="AF18978" s="12"/>
    </row>
    <row r="18979" spans="32:32" x14ac:dyDescent="0.2">
      <c r="AF18979" s="12"/>
    </row>
    <row r="18980" spans="32:32" x14ac:dyDescent="0.2">
      <c r="AF18980" s="12"/>
    </row>
    <row r="18981" spans="32:32" x14ac:dyDescent="0.2">
      <c r="AF18981" s="12"/>
    </row>
    <row r="18982" spans="32:32" x14ac:dyDescent="0.2">
      <c r="AF18982" s="12"/>
    </row>
    <row r="18983" spans="32:32" x14ac:dyDescent="0.2">
      <c r="AF18983" s="12"/>
    </row>
    <row r="18984" spans="32:32" x14ac:dyDescent="0.2">
      <c r="AF18984" s="12"/>
    </row>
    <row r="18985" spans="32:32" x14ac:dyDescent="0.2">
      <c r="AF18985" s="12"/>
    </row>
    <row r="18986" spans="32:32" x14ac:dyDescent="0.2">
      <c r="AF18986" s="12"/>
    </row>
    <row r="18987" spans="32:32" x14ac:dyDescent="0.2">
      <c r="AF18987" s="12"/>
    </row>
    <row r="18988" spans="32:32" x14ac:dyDescent="0.2">
      <c r="AF18988" s="12"/>
    </row>
    <row r="18989" spans="32:32" x14ac:dyDescent="0.2">
      <c r="AF18989" s="12"/>
    </row>
    <row r="18990" spans="32:32" x14ac:dyDescent="0.2">
      <c r="AF18990" s="12"/>
    </row>
    <row r="18991" spans="32:32" x14ac:dyDescent="0.2">
      <c r="AF18991" s="12"/>
    </row>
    <row r="18992" spans="32:32" x14ac:dyDescent="0.2">
      <c r="AF18992" s="12"/>
    </row>
    <row r="18993" spans="32:32" x14ac:dyDescent="0.2">
      <c r="AF18993" s="12"/>
    </row>
    <row r="18994" spans="32:32" x14ac:dyDescent="0.2">
      <c r="AF18994" s="12"/>
    </row>
    <row r="18995" spans="32:32" x14ac:dyDescent="0.2">
      <c r="AF18995" s="12"/>
    </row>
    <row r="18996" spans="32:32" x14ac:dyDescent="0.2">
      <c r="AF18996" s="12"/>
    </row>
    <row r="18997" spans="32:32" x14ac:dyDescent="0.2">
      <c r="AF18997" s="12"/>
    </row>
    <row r="18998" spans="32:32" x14ac:dyDescent="0.2">
      <c r="AF18998" s="12"/>
    </row>
    <row r="18999" spans="32:32" x14ac:dyDescent="0.2">
      <c r="AF18999" s="12"/>
    </row>
    <row r="19000" spans="32:32" x14ac:dyDescent="0.2">
      <c r="AF19000" s="12"/>
    </row>
    <row r="19001" spans="32:32" x14ac:dyDescent="0.2">
      <c r="AF19001" s="12"/>
    </row>
    <row r="19002" spans="32:32" x14ac:dyDescent="0.2">
      <c r="AF19002" s="12"/>
    </row>
    <row r="19003" spans="32:32" x14ac:dyDescent="0.2">
      <c r="AF19003" s="12"/>
    </row>
    <row r="19004" spans="32:32" x14ac:dyDescent="0.2">
      <c r="AF19004" s="12"/>
    </row>
    <row r="19005" spans="32:32" x14ac:dyDescent="0.2">
      <c r="AF19005" s="12"/>
    </row>
    <row r="19006" spans="32:32" x14ac:dyDescent="0.2">
      <c r="AF19006" s="12"/>
    </row>
    <row r="19007" spans="32:32" x14ac:dyDescent="0.2">
      <c r="AF19007" s="12"/>
    </row>
    <row r="19008" spans="32:32" x14ac:dyDescent="0.2">
      <c r="AF19008" s="12"/>
    </row>
    <row r="19009" spans="32:32" x14ac:dyDescent="0.2">
      <c r="AF19009" s="12"/>
    </row>
    <row r="19010" spans="32:32" x14ac:dyDescent="0.2">
      <c r="AF19010" s="12"/>
    </row>
    <row r="19011" spans="32:32" x14ac:dyDescent="0.2">
      <c r="AF19011" s="12"/>
    </row>
    <row r="19012" spans="32:32" x14ac:dyDescent="0.2">
      <c r="AF19012" s="12"/>
    </row>
    <row r="19013" spans="32:32" x14ac:dyDescent="0.2">
      <c r="AF19013" s="12"/>
    </row>
    <row r="19014" spans="32:32" x14ac:dyDescent="0.2">
      <c r="AF19014" s="12"/>
    </row>
    <row r="19015" spans="32:32" x14ac:dyDescent="0.2">
      <c r="AF19015" s="12"/>
    </row>
    <row r="19016" spans="32:32" x14ac:dyDescent="0.2">
      <c r="AF19016" s="12"/>
    </row>
    <row r="19017" spans="32:32" x14ac:dyDescent="0.2">
      <c r="AF19017" s="12"/>
    </row>
    <row r="19018" spans="32:32" x14ac:dyDescent="0.2">
      <c r="AF19018" s="12"/>
    </row>
    <row r="19019" spans="32:32" x14ac:dyDescent="0.2">
      <c r="AF19019" s="12"/>
    </row>
    <row r="19020" spans="32:32" x14ac:dyDescent="0.2">
      <c r="AF19020" s="12"/>
    </row>
    <row r="19021" spans="32:32" x14ac:dyDescent="0.2">
      <c r="AF19021" s="12"/>
    </row>
    <row r="19022" spans="32:32" x14ac:dyDescent="0.2">
      <c r="AF19022" s="12"/>
    </row>
    <row r="19023" spans="32:32" x14ac:dyDescent="0.2">
      <c r="AF19023" s="12"/>
    </row>
    <row r="19024" spans="32:32" x14ac:dyDescent="0.2">
      <c r="AF19024" s="12"/>
    </row>
    <row r="19025" spans="32:32" x14ac:dyDescent="0.2">
      <c r="AF19025" s="12"/>
    </row>
    <row r="19026" spans="32:32" x14ac:dyDescent="0.2">
      <c r="AF19026" s="12"/>
    </row>
    <row r="19027" spans="32:32" x14ac:dyDescent="0.2">
      <c r="AF19027" s="12"/>
    </row>
    <row r="19028" spans="32:32" x14ac:dyDescent="0.2">
      <c r="AF19028" s="12"/>
    </row>
    <row r="19029" spans="32:32" x14ac:dyDescent="0.2">
      <c r="AF19029" s="12"/>
    </row>
    <row r="19030" spans="32:32" x14ac:dyDescent="0.2">
      <c r="AF19030" s="12"/>
    </row>
    <row r="19031" spans="32:32" x14ac:dyDescent="0.2">
      <c r="AF19031" s="12"/>
    </row>
    <row r="19032" spans="32:32" x14ac:dyDescent="0.2">
      <c r="AF19032" s="12"/>
    </row>
    <row r="19033" spans="32:32" x14ac:dyDescent="0.2">
      <c r="AF19033" s="12"/>
    </row>
    <row r="19034" spans="32:32" x14ac:dyDescent="0.2">
      <c r="AF19034" s="12"/>
    </row>
    <row r="19035" spans="32:32" x14ac:dyDescent="0.2">
      <c r="AF19035" s="12"/>
    </row>
    <row r="19036" spans="32:32" x14ac:dyDescent="0.2">
      <c r="AF19036" s="12"/>
    </row>
    <row r="19037" spans="32:32" x14ac:dyDescent="0.2">
      <c r="AF19037" s="12"/>
    </row>
    <row r="19038" spans="32:32" x14ac:dyDescent="0.2">
      <c r="AF19038" s="12"/>
    </row>
    <row r="19039" spans="32:32" x14ac:dyDescent="0.2">
      <c r="AF19039" s="12"/>
    </row>
    <row r="19040" spans="32:32" x14ac:dyDescent="0.2">
      <c r="AF19040" s="12"/>
    </row>
    <row r="19041" spans="32:32" x14ac:dyDescent="0.2">
      <c r="AF19041" s="12"/>
    </row>
    <row r="19042" spans="32:32" x14ac:dyDescent="0.2">
      <c r="AF19042" s="12"/>
    </row>
    <row r="19043" spans="32:32" x14ac:dyDescent="0.2">
      <c r="AF19043" s="12"/>
    </row>
    <row r="19044" spans="32:32" x14ac:dyDescent="0.2">
      <c r="AF19044" s="12"/>
    </row>
    <row r="19045" spans="32:32" x14ac:dyDescent="0.2">
      <c r="AF19045" s="12"/>
    </row>
    <row r="19046" spans="32:32" x14ac:dyDescent="0.2">
      <c r="AF19046" s="12"/>
    </row>
    <row r="19047" spans="32:32" x14ac:dyDescent="0.2">
      <c r="AF19047" s="12"/>
    </row>
    <row r="19048" spans="32:32" x14ac:dyDescent="0.2">
      <c r="AF19048" s="12"/>
    </row>
    <row r="19049" spans="32:32" x14ac:dyDescent="0.2">
      <c r="AF19049" s="12"/>
    </row>
    <row r="19050" spans="32:32" x14ac:dyDescent="0.2">
      <c r="AF19050" s="12"/>
    </row>
    <row r="19051" spans="32:32" x14ac:dyDescent="0.2">
      <c r="AF19051" s="12"/>
    </row>
    <row r="19052" spans="32:32" x14ac:dyDescent="0.2">
      <c r="AF19052" s="12"/>
    </row>
    <row r="19053" spans="32:32" x14ac:dyDescent="0.2">
      <c r="AF19053" s="12"/>
    </row>
    <row r="19054" spans="32:32" x14ac:dyDescent="0.2">
      <c r="AF19054" s="12"/>
    </row>
    <row r="19055" spans="32:32" x14ac:dyDescent="0.2">
      <c r="AF19055" s="12"/>
    </row>
    <row r="19056" spans="32:32" x14ac:dyDescent="0.2">
      <c r="AF19056" s="12"/>
    </row>
    <row r="19057" spans="32:32" x14ac:dyDescent="0.2">
      <c r="AF19057" s="12"/>
    </row>
    <row r="19058" spans="32:32" x14ac:dyDescent="0.2">
      <c r="AF19058" s="12"/>
    </row>
    <row r="19059" spans="32:32" x14ac:dyDescent="0.2">
      <c r="AF19059" s="12"/>
    </row>
    <row r="19060" spans="32:32" x14ac:dyDescent="0.2">
      <c r="AF19060" s="12"/>
    </row>
    <row r="19061" spans="32:32" x14ac:dyDescent="0.2">
      <c r="AF19061" s="12"/>
    </row>
    <row r="19062" spans="32:32" x14ac:dyDescent="0.2">
      <c r="AF19062" s="12"/>
    </row>
    <row r="19063" spans="32:32" x14ac:dyDescent="0.2">
      <c r="AF19063" s="12"/>
    </row>
    <row r="19064" spans="32:32" x14ac:dyDescent="0.2">
      <c r="AF19064" s="12"/>
    </row>
    <row r="19065" spans="32:32" x14ac:dyDescent="0.2">
      <c r="AF19065" s="12"/>
    </row>
    <row r="19066" spans="32:32" x14ac:dyDescent="0.2">
      <c r="AF19066" s="12"/>
    </row>
    <row r="19067" spans="32:32" x14ac:dyDescent="0.2">
      <c r="AF19067" s="12"/>
    </row>
    <row r="19068" spans="32:32" x14ac:dyDescent="0.2">
      <c r="AF19068" s="12"/>
    </row>
    <row r="19069" spans="32:32" x14ac:dyDescent="0.2">
      <c r="AF19069" s="12"/>
    </row>
    <row r="19070" spans="32:32" x14ac:dyDescent="0.2">
      <c r="AF19070" s="12"/>
    </row>
    <row r="19071" spans="32:32" x14ac:dyDescent="0.2">
      <c r="AF19071" s="12"/>
    </row>
    <row r="19072" spans="32:32" x14ac:dyDescent="0.2">
      <c r="AF19072" s="12"/>
    </row>
    <row r="19073" spans="32:32" x14ac:dyDescent="0.2">
      <c r="AF19073" s="12"/>
    </row>
    <row r="19074" spans="32:32" x14ac:dyDescent="0.2">
      <c r="AF19074" s="12"/>
    </row>
    <row r="19075" spans="32:32" x14ac:dyDescent="0.2">
      <c r="AF19075" s="12"/>
    </row>
    <row r="19076" spans="32:32" x14ac:dyDescent="0.2">
      <c r="AF19076" s="12"/>
    </row>
    <row r="19077" spans="32:32" x14ac:dyDescent="0.2">
      <c r="AF19077" s="12"/>
    </row>
    <row r="19078" spans="32:32" x14ac:dyDescent="0.2">
      <c r="AF19078" s="12"/>
    </row>
    <row r="19079" spans="32:32" x14ac:dyDescent="0.2">
      <c r="AF19079" s="12"/>
    </row>
    <row r="19080" spans="32:32" x14ac:dyDescent="0.2">
      <c r="AF19080" s="12"/>
    </row>
    <row r="19081" spans="32:32" x14ac:dyDescent="0.2">
      <c r="AF19081" s="12"/>
    </row>
    <row r="19082" spans="32:32" x14ac:dyDescent="0.2">
      <c r="AF19082" s="12"/>
    </row>
    <row r="19083" spans="32:32" x14ac:dyDescent="0.2">
      <c r="AF19083" s="12"/>
    </row>
    <row r="19084" spans="32:32" x14ac:dyDescent="0.2">
      <c r="AF19084" s="12"/>
    </row>
    <row r="19085" spans="32:32" x14ac:dyDescent="0.2">
      <c r="AF19085" s="12"/>
    </row>
    <row r="19086" spans="32:32" x14ac:dyDescent="0.2">
      <c r="AF19086" s="12"/>
    </row>
    <row r="19087" spans="32:32" x14ac:dyDescent="0.2">
      <c r="AF19087" s="12"/>
    </row>
    <row r="19088" spans="32:32" x14ac:dyDescent="0.2">
      <c r="AF19088" s="12"/>
    </row>
    <row r="19089" spans="32:32" x14ac:dyDescent="0.2">
      <c r="AF19089" s="12"/>
    </row>
    <row r="19090" spans="32:32" x14ac:dyDescent="0.2">
      <c r="AF19090" s="12"/>
    </row>
    <row r="19091" spans="32:32" x14ac:dyDescent="0.2">
      <c r="AF19091" s="12"/>
    </row>
    <row r="19092" spans="32:32" x14ac:dyDescent="0.2">
      <c r="AF19092" s="12"/>
    </row>
    <row r="19093" spans="32:32" x14ac:dyDescent="0.2">
      <c r="AF19093" s="12"/>
    </row>
    <row r="19094" spans="32:32" x14ac:dyDescent="0.2">
      <c r="AF19094" s="12"/>
    </row>
    <row r="19095" spans="32:32" x14ac:dyDescent="0.2">
      <c r="AF19095" s="12"/>
    </row>
    <row r="19096" spans="32:32" x14ac:dyDescent="0.2">
      <c r="AF19096" s="12"/>
    </row>
    <row r="19097" spans="32:32" x14ac:dyDescent="0.2">
      <c r="AF19097" s="12"/>
    </row>
    <row r="19098" spans="32:32" x14ac:dyDescent="0.2">
      <c r="AF19098" s="12"/>
    </row>
    <row r="19099" spans="32:32" x14ac:dyDescent="0.2">
      <c r="AF19099" s="12"/>
    </row>
    <row r="19100" spans="32:32" x14ac:dyDescent="0.2">
      <c r="AF19100" s="12"/>
    </row>
    <row r="19101" spans="32:32" x14ac:dyDescent="0.2">
      <c r="AF19101" s="12"/>
    </row>
    <row r="19102" spans="32:32" x14ac:dyDescent="0.2">
      <c r="AF19102" s="12"/>
    </row>
    <row r="19103" spans="32:32" x14ac:dyDescent="0.2">
      <c r="AF19103" s="12"/>
    </row>
    <row r="19104" spans="32:32" x14ac:dyDescent="0.2">
      <c r="AF19104" s="12"/>
    </row>
    <row r="19105" spans="32:32" x14ac:dyDescent="0.2">
      <c r="AF19105" s="12"/>
    </row>
    <row r="19106" spans="32:32" x14ac:dyDescent="0.2">
      <c r="AF19106" s="12"/>
    </row>
    <row r="19107" spans="32:32" x14ac:dyDescent="0.2">
      <c r="AF19107" s="12"/>
    </row>
    <row r="19108" spans="32:32" x14ac:dyDescent="0.2">
      <c r="AF19108" s="12"/>
    </row>
    <row r="19109" spans="32:32" x14ac:dyDescent="0.2">
      <c r="AF19109" s="12"/>
    </row>
    <row r="19110" spans="32:32" x14ac:dyDescent="0.2">
      <c r="AF19110" s="12"/>
    </row>
    <row r="19111" spans="32:32" x14ac:dyDescent="0.2">
      <c r="AF19111" s="12"/>
    </row>
    <row r="19112" spans="32:32" x14ac:dyDescent="0.2">
      <c r="AF19112" s="12"/>
    </row>
    <row r="19113" spans="32:32" x14ac:dyDescent="0.2">
      <c r="AF19113" s="12"/>
    </row>
    <row r="19114" spans="32:32" x14ac:dyDescent="0.2">
      <c r="AF19114" s="12"/>
    </row>
    <row r="19115" spans="32:32" x14ac:dyDescent="0.2">
      <c r="AF19115" s="12"/>
    </row>
    <row r="19116" spans="32:32" x14ac:dyDescent="0.2">
      <c r="AF19116" s="12"/>
    </row>
    <row r="19117" spans="32:32" x14ac:dyDescent="0.2">
      <c r="AF19117" s="12"/>
    </row>
    <row r="19118" spans="32:32" x14ac:dyDescent="0.2">
      <c r="AF19118" s="12"/>
    </row>
    <row r="19119" spans="32:32" x14ac:dyDescent="0.2">
      <c r="AF19119" s="12"/>
    </row>
    <row r="19120" spans="32:32" x14ac:dyDescent="0.2">
      <c r="AF19120" s="12"/>
    </row>
    <row r="19121" spans="32:32" x14ac:dyDescent="0.2">
      <c r="AF19121" s="12"/>
    </row>
    <row r="19122" spans="32:32" x14ac:dyDescent="0.2">
      <c r="AF19122" s="12"/>
    </row>
    <row r="19123" spans="32:32" x14ac:dyDescent="0.2">
      <c r="AF19123" s="12"/>
    </row>
    <row r="19124" spans="32:32" x14ac:dyDescent="0.2">
      <c r="AF19124" s="12"/>
    </row>
    <row r="19125" spans="32:32" x14ac:dyDescent="0.2">
      <c r="AF19125" s="12"/>
    </row>
    <row r="19126" spans="32:32" x14ac:dyDescent="0.2">
      <c r="AF19126" s="12"/>
    </row>
    <row r="19127" spans="32:32" x14ac:dyDescent="0.2">
      <c r="AF19127" s="12"/>
    </row>
    <row r="19128" spans="32:32" x14ac:dyDescent="0.2">
      <c r="AF19128" s="12"/>
    </row>
    <row r="19129" spans="32:32" x14ac:dyDescent="0.2">
      <c r="AF19129" s="12"/>
    </row>
    <row r="19130" spans="32:32" x14ac:dyDescent="0.2">
      <c r="AF19130" s="12"/>
    </row>
    <row r="19131" spans="32:32" x14ac:dyDescent="0.2">
      <c r="AF19131" s="12"/>
    </row>
    <row r="19132" spans="32:32" x14ac:dyDescent="0.2">
      <c r="AF19132" s="12"/>
    </row>
    <row r="19133" spans="32:32" x14ac:dyDescent="0.2">
      <c r="AF19133" s="12"/>
    </row>
    <row r="19134" spans="32:32" x14ac:dyDescent="0.2">
      <c r="AF19134" s="12"/>
    </row>
    <row r="19135" spans="32:32" x14ac:dyDescent="0.2">
      <c r="AF19135" s="12"/>
    </row>
    <row r="19136" spans="32:32" x14ac:dyDescent="0.2">
      <c r="AF19136" s="12"/>
    </row>
    <row r="19137" spans="32:32" x14ac:dyDescent="0.2">
      <c r="AF19137" s="12"/>
    </row>
    <row r="19138" spans="32:32" x14ac:dyDescent="0.2">
      <c r="AF19138" s="12"/>
    </row>
    <row r="19139" spans="32:32" x14ac:dyDescent="0.2">
      <c r="AF19139" s="12"/>
    </row>
    <row r="19140" spans="32:32" x14ac:dyDescent="0.2">
      <c r="AF19140" s="12"/>
    </row>
    <row r="19141" spans="32:32" x14ac:dyDescent="0.2">
      <c r="AF19141" s="12"/>
    </row>
    <row r="19142" spans="32:32" x14ac:dyDescent="0.2">
      <c r="AF19142" s="12"/>
    </row>
    <row r="19143" spans="32:32" x14ac:dyDescent="0.2">
      <c r="AF19143" s="12"/>
    </row>
    <row r="19144" spans="32:32" x14ac:dyDescent="0.2">
      <c r="AF19144" s="12"/>
    </row>
    <row r="19145" spans="32:32" x14ac:dyDescent="0.2">
      <c r="AF19145" s="12"/>
    </row>
    <row r="19146" spans="32:32" x14ac:dyDescent="0.2">
      <c r="AF19146" s="12"/>
    </row>
    <row r="19147" spans="32:32" x14ac:dyDescent="0.2">
      <c r="AF19147" s="12"/>
    </row>
    <row r="19148" spans="32:32" x14ac:dyDescent="0.2">
      <c r="AF19148" s="12"/>
    </row>
    <row r="19149" spans="32:32" x14ac:dyDescent="0.2">
      <c r="AF19149" s="12"/>
    </row>
    <row r="19150" spans="32:32" x14ac:dyDescent="0.2">
      <c r="AF19150" s="12"/>
    </row>
    <row r="19151" spans="32:32" x14ac:dyDescent="0.2">
      <c r="AF19151" s="12"/>
    </row>
    <row r="19152" spans="32:32" x14ac:dyDescent="0.2">
      <c r="AF19152" s="12"/>
    </row>
    <row r="19153" spans="32:32" x14ac:dyDescent="0.2">
      <c r="AF19153" s="12"/>
    </row>
    <row r="19154" spans="32:32" x14ac:dyDescent="0.2">
      <c r="AF19154" s="12"/>
    </row>
    <row r="19155" spans="32:32" x14ac:dyDescent="0.2">
      <c r="AF19155" s="12"/>
    </row>
    <row r="19156" spans="32:32" x14ac:dyDescent="0.2">
      <c r="AF19156" s="12"/>
    </row>
    <row r="19157" spans="32:32" x14ac:dyDescent="0.2">
      <c r="AF19157" s="12"/>
    </row>
    <row r="19158" spans="32:32" x14ac:dyDescent="0.2">
      <c r="AF19158" s="12"/>
    </row>
    <row r="19159" spans="32:32" x14ac:dyDescent="0.2">
      <c r="AF19159" s="12"/>
    </row>
    <row r="19160" spans="32:32" x14ac:dyDescent="0.2">
      <c r="AF19160" s="12"/>
    </row>
    <row r="19161" spans="32:32" x14ac:dyDescent="0.2">
      <c r="AF19161" s="12"/>
    </row>
    <row r="19162" spans="32:32" x14ac:dyDescent="0.2">
      <c r="AF19162" s="12"/>
    </row>
    <row r="19163" spans="32:32" x14ac:dyDescent="0.2">
      <c r="AF19163" s="12"/>
    </row>
    <row r="19164" spans="32:32" x14ac:dyDescent="0.2">
      <c r="AF19164" s="12"/>
    </row>
    <row r="19165" spans="32:32" x14ac:dyDescent="0.2">
      <c r="AF19165" s="12"/>
    </row>
    <row r="19166" spans="32:32" x14ac:dyDescent="0.2">
      <c r="AF19166" s="12"/>
    </row>
    <row r="19167" spans="32:32" x14ac:dyDescent="0.2">
      <c r="AF19167" s="12"/>
    </row>
    <row r="19168" spans="32:32" x14ac:dyDescent="0.2">
      <c r="AF19168" s="12"/>
    </row>
    <row r="19169" spans="32:32" x14ac:dyDescent="0.2">
      <c r="AF19169" s="12"/>
    </row>
    <row r="19170" spans="32:32" x14ac:dyDescent="0.2">
      <c r="AF19170" s="12"/>
    </row>
    <row r="19171" spans="32:32" x14ac:dyDescent="0.2">
      <c r="AF19171" s="12"/>
    </row>
    <row r="19172" spans="32:32" x14ac:dyDescent="0.2">
      <c r="AF19172" s="12"/>
    </row>
    <row r="19173" spans="32:32" x14ac:dyDescent="0.2">
      <c r="AF19173" s="12"/>
    </row>
    <row r="19174" spans="32:32" x14ac:dyDescent="0.2">
      <c r="AF19174" s="12"/>
    </row>
    <row r="19175" spans="32:32" x14ac:dyDescent="0.2">
      <c r="AF19175" s="12"/>
    </row>
    <row r="19176" spans="32:32" x14ac:dyDescent="0.2">
      <c r="AF19176" s="12"/>
    </row>
    <row r="19177" spans="32:32" x14ac:dyDescent="0.2">
      <c r="AF19177" s="12"/>
    </row>
    <row r="19178" spans="32:32" x14ac:dyDescent="0.2">
      <c r="AF19178" s="12"/>
    </row>
    <row r="19179" spans="32:32" x14ac:dyDescent="0.2">
      <c r="AF19179" s="12"/>
    </row>
    <row r="19180" spans="32:32" x14ac:dyDescent="0.2">
      <c r="AF19180" s="12"/>
    </row>
    <row r="19181" spans="32:32" x14ac:dyDescent="0.2">
      <c r="AF19181" s="12"/>
    </row>
    <row r="19182" spans="32:32" x14ac:dyDescent="0.2">
      <c r="AF19182" s="12"/>
    </row>
    <row r="19183" spans="32:32" x14ac:dyDescent="0.2">
      <c r="AF19183" s="12"/>
    </row>
    <row r="19184" spans="32:32" x14ac:dyDescent="0.2">
      <c r="AF19184" s="12"/>
    </row>
    <row r="19185" spans="32:32" x14ac:dyDescent="0.2">
      <c r="AF19185" s="12"/>
    </row>
    <row r="19186" spans="32:32" x14ac:dyDescent="0.2">
      <c r="AF19186" s="12"/>
    </row>
    <row r="19187" spans="32:32" x14ac:dyDescent="0.2">
      <c r="AF19187" s="12"/>
    </row>
    <row r="19188" spans="32:32" x14ac:dyDescent="0.2">
      <c r="AF19188" s="12"/>
    </row>
    <row r="19189" spans="32:32" x14ac:dyDescent="0.2">
      <c r="AF19189" s="12"/>
    </row>
    <row r="19190" spans="32:32" x14ac:dyDescent="0.2">
      <c r="AF19190" s="12"/>
    </row>
    <row r="19191" spans="32:32" x14ac:dyDescent="0.2">
      <c r="AF19191" s="12"/>
    </row>
    <row r="19192" spans="32:32" x14ac:dyDescent="0.2">
      <c r="AF19192" s="12"/>
    </row>
    <row r="19193" spans="32:32" x14ac:dyDescent="0.2">
      <c r="AF19193" s="12"/>
    </row>
    <row r="19194" spans="32:32" x14ac:dyDescent="0.2">
      <c r="AF19194" s="12"/>
    </row>
    <row r="19195" spans="32:32" x14ac:dyDescent="0.2">
      <c r="AF19195" s="12"/>
    </row>
    <row r="19196" spans="32:32" x14ac:dyDescent="0.2">
      <c r="AF19196" s="12"/>
    </row>
    <row r="19197" spans="32:32" x14ac:dyDescent="0.2">
      <c r="AF19197" s="12"/>
    </row>
    <row r="19198" spans="32:32" x14ac:dyDescent="0.2">
      <c r="AF19198" s="12"/>
    </row>
    <row r="19199" spans="32:32" x14ac:dyDescent="0.2">
      <c r="AF19199" s="12"/>
    </row>
    <row r="19200" spans="32:32" x14ac:dyDescent="0.2">
      <c r="AF19200" s="12"/>
    </row>
    <row r="19201" spans="32:32" x14ac:dyDescent="0.2">
      <c r="AF19201" s="12"/>
    </row>
    <row r="19202" spans="32:32" x14ac:dyDescent="0.2">
      <c r="AF19202" s="12"/>
    </row>
    <row r="19203" spans="32:32" x14ac:dyDescent="0.2">
      <c r="AF19203" s="12"/>
    </row>
    <row r="19204" spans="32:32" x14ac:dyDescent="0.2">
      <c r="AF19204" s="12"/>
    </row>
    <row r="19205" spans="32:32" x14ac:dyDescent="0.2">
      <c r="AF19205" s="12"/>
    </row>
    <row r="19206" spans="32:32" x14ac:dyDescent="0.2">
      <c r="AF19206" s="12"/>
    </row>
    <row r="19207" spans="32:32" x14ac:dyDescent="0.2">
      <c r="AF19207" s="12"/>
    </row>
    <row r="19208" spans="32:32" x14ac:dyDescent="0.2">
      <c r="AF19208" s="12"/>
    </row>
    <row r="19209" spans="32:32" x14ac:dyDescent="0.2">
      <c r="AF19209" s="12"/>
    </row>
    <row r="19210" spans="32:32" x14ac:dyDescent="0.2">
      <c r="AF19210" s="12"/>
    </row>
    <row r="19211" spans="32:32" x14ac:dyDescent="0.2">
      <c r="AF19211" s="12"/>
    </row>
    <row r="19212" spans="32:32" x14ac:dyDescent="0.2">
      <c r="AF19212" s="12"/>
    </row>
    <row r="19213" spans="32:32" x14ac:dyDescent="0.2">
      <c r="AF19213" s="12"/>
    </row>
    <row r="19214" spans="32:32" x14ac:dyDescent="0.2">
      <c r="AF19214" s="12"/>
    </row>
    <row r="19215" spans="32:32" x14ac:dyDescent="0.2">
      <c r="AF19215" s="12"/>
    </row>
    <row r="19216" spans="32:32" x14ac:dyDescent="0.2">
      <c r="AF19216" s="12"/>
    </row>
    <row r="19217" spans="32:32" x14ac:dyDescent="0.2">
      <c r="AF19217" s="12"/>
    </row>
    <row r="19218" spans="32:32" x14ac:dyDescent="0.2">
      <c r="AF19218" s="12"/>
    </row>
    <row r="19219" spans="32:32" x14ac:dyDescent="0.2">
      <c r="AF19219" s="12"/>
    </row>
    <row r="19220" spans="32:32" x14ac:dyDescent="0.2">
      <c r="AF19220" s="12"/>
    </row>
    <row r="19221" spans="32:32" x14ac:dyDescent="0.2">
      <c r="AF19221" s="12"/>
    </row>
    <row r="19222" spans="32:32" x14ac:dyDescent="0.2">
      <c r="AF19222" s="12"/>
    </row>
    <row r="19223" spans="32:32" x14ac:dyDescent="0.2">
      <c r="AF19223" s="12"/>
    </row>
    <row r="19224" spans="32:32" x14ac:dyDescent="0.2">
      <c r="AF19224" s="12"/>
    </row>
    <row r="19225" spans="32:32" x14ac:dyDescent="0.2">
      <c r="AF19225" s="12"/>
    </row>
    <row r="19226" spans="32:32" x14ac:dyDescent="0.2">
      <c r="AF19226" s="12"/>
    </row>
    <row r="19227" spans="32:32" x14ac:dyDescent="0.2">
      <c r="AF19227" s="12"/>
    </row>
    <row r="19228" spans="32:32" x14ac:dyDescent="0.2">
      <c r="AF19228" s="12"/>
    </row>
    <row r="19229" spans="32:32" x14ac:dyDescent="0.2">
      <c r="AF19229" s="12"/>
    </row>
    <row r="19230" spans="32:32" x14ac:dyDescent="0.2">
      <c r="AF19230" s="12"/>
    </row>
    <row r="19231" spans="32:32" x14ac:dyDescent="0.2">
      <c r="AF19231" s="12"/>
    </row>
    <row r="19232" spans="32:32" x14ac:dyDescent="0.2">
      <c r="AF19232" s="12"/>
    </row>
    <row r="19233" spans="32:32" x14ac:dyDescent="0.2">
      <c r="AF19233" s="12"/>
    </row>
    <row r="19234" spans="32:32" x14ac:dyDescent="0.2">
      <c r="AF19234" s="12"/>
    </row>
    <row r="19235" spans="32:32" x14ac:dyDescent="0.2">
      <c r="AF19235" s="12"/>
    </row>
    <row r="19236" spans="32:32" x14ac:dyDescent="0.2">
      <c r="AF19236" s="12"/>
    </row>
    <row r="19237" spans="32:32" x14ac:dyDescent="0.2">
      <c r="AF19237" s="12"/>
    </row>
    <row r="19238" spans="32:32" x14ac:dyDescent="0.2">
      <c r="AF19238" s="12"/>
    </row>
    <row r="19239" spans="32:32" x14ac:dyDescent="0.2">
      <c r="AF19239" s="12"/>
    </row>
    <row r="19240" spans="32:32" x14ac:dyDescent="0.2">
      <c r="AF19240" s="12"/>
    </row>
    <row r="19241" spans="32:32" x14ac:dyDescent="0.2">
      <c r="AF19241" s="12"/>
    </row>
    <row r="19242" spans="32:32" x14ac:dyDescent="0.2">
      <c r="AF19242" s="12"/>
    </row>
    <row r="19243" spans="32:32" x14ac:dyDescent="0.2">
      <c r="AF19243" s="12"/>
    </row>
    <row r="19244" spans="32:32" x14ac:dyDescent="0.2">
      <c r="AF19244" s="12"/>
    </row>
    <row r="19245" spans="32:32" x14ac:dyDescent="0.2">
      <c r="AF19245" s="12"/>
    </row>
    <row r="19246" spans="32:32" x14ac:dyDescent="0.2">
      <c r="AF19246" s="12"/>
    </row>
    <row r="19247" spans="32:32" x14ac:dyDescent="0.2">
      <c r="AF19247" s="12"/>
    </row>
    <row r="19248" spans="32:32" x14ac:dyDescent="0.2">
      <c r="AF19248" s="12"/>
    </row>
    <row r="19249" spans="32:32" x14ac:dyDescent="0.2">
      <c r="AF19249" s="12"/>
    </row>
    <row r="19250" spans="32:32" x14ac:dyDescent="0.2">
      <c r="AF19250" s="12"/>
    </row>
    <row r="19251" spans="32:32" x14ac:dyDescent="0.2">
      <c r="AF19251" s="12"/>
    </row>
    <row r="19252" spans="32:32" x14ac:dyDescent="0.2">
      <c r="AF19252" s="12"/>
    </row>
    <row r="19253" spans="32:32" x14ac:dyDescent="0.2">
      <c r="AF19253" s="12"/>
    </row>
    <row r="19254" spans="32:32" x14ac:dyDescent="0.2">
      <c r="AF19254" s="12"/>
    </row>
    <row r="19255" spans="32:32" x14ac:dyDescent="0.2">
      <c r="AF19255" s="12"/>
    </row>
    <row r="19256" spans="32:32" x14ac:dyDescent="0.2">
      <c r="AF19256" s="12"/>
    </row>
    <row r="19257" spans="32:32" x14ac:dyDescent="0.2">
      <c r="AF19257" s="12"/>
    </row>
    <row r="19258" spans="32:32" x14ac:dyDescent="0.2">
      <c r="AF19258" s="12"/>
    </row>
    <row r="19259" spans="32:32" x14ac:dyDescent="0.2">
      <c r="AF19259" s="12"/>
    </row>
    <row r="19260" spans="32:32" x14ac:dyDescent="0.2">
      <c r="AF19260" s="12"/>
    </row>
    <row r="19261" spans="32:32" x14ac:dyDescent="0.2">
      <c r="AF19261" s="12"/>
    </row>
    <row r="19262" spans="32:32" x14ac:dyDescent="0.2">
      <c r="AF19262" s="12"/>
    </row>
    <row r="19263" spans="32:32" x14ac:dyDescent="0.2">
      <c r="AF19263" s="12"/>
    </row>
    <row r="19264" spans="32:32" x14ac:dyDescent="0.2">
      <c r="AF19264" s="12"/>
    </row>
    <row r="19265" spans="32:32" x14ac:dyDescent="0.2">
      <c r="AF19265" s="12"/>
    </row>
    <row r="19266" spans="32:32" x14ac:dyDescent="0.2">
      <c r="AF19266" s="12"/>
    </row>
    <row r="19267" spans="32:32" x14ac:dyDescent="0.2">
      <c r="AF19267" s="12"/>
    </row>
    <row r="19268" spans="32:32" x14ac:dyDescent="0.2">
      <c r="AF19268" s="12"/>
    </row>
    <row r="19269" spans="32:32" x14ac:dyDescent="0.2">
      <c r="AF19269" s="12"/>
    </row>
    <row r="19270" spans="32:32" x14ac:dyDescent="0.2">
      <c r="AF19270" s="12"/>
    </row>
    <row r="19271" spans="32:32" x14ac:dyDescent="0.2">
      <c r="AF19271" s="12"/>
    </row>
    <row r="19272" spans="32:32" x14ac:dyDescent="0.2">
      <c r="AF19272" s="12"/>
    </row>
    <row r="19273" spans="32:32" x14ac:dyDescent="0.2">
      <c r="AF19273" s="12"/>
    </row>
    <row r="19274" spans="32:32" x14ac:dyDescent="0.2">
      <c r="AF19274" s="12"/>
    </row>
    <row r="19275" spans="32:32" x14ac:dyDescent="0.2">
      <c r="AF19275" s="12"/>
    </row>
    <row r="19276" spans="32:32" x14ac:dyDescent="0.2">
      <c r="AF19276" s="12"/>
    </row>
    <row r="19277" spans="32:32" x14ac:dyDescent="0.2">
      <c r="AF19277" s="12"/>
    </row>
    <row r="19278" spans="32:32" x14ac:dyDescent="0.2">
      <c r="AF19278" s="12"/>
    </row>
    <row r="19279" spans="32:32" x14ac:dyDescent="0.2">
      <c r="AF19279" s="12"/>
    </row>
    <row r="19280" spans="32:32" x14ac:dyDescent="0.2">
      <c r="AF19280" s="12"/>
    </row>
    <row r="19281" spans="32:32" x14ac:dyDescent="0.2">
      <c r="AF19281" s="12"/>
    </row>
    <row r="19282" spans="32:32" x14ac:dyDescent="0.2">
      <c r="AF19282" s="12"/>
    </row>
    <row r="19283" spans="32:32" x14ac:dyDescent="0.2">
      <c r="AF19283" s="12"/>
    </row>
    <row r="19284" spans="32:32" x14ac:dyDescent="0.2">
      <c r="AF19284" s="12"/>
    </row>
    <row r="19285" spans="32:32" x14ac:dyDescent="0.2">
      <c r="AF19285" s="12"/>
    </row>
    <row r="19286" spans="32:32" x14ac:dyDescent="0.2">
      <c r="AF19286" s="12"/>
    </row>
    <row r="19287" spans="32:32" x14ac:dyDescent="0.2">
      <c r="AF19287" s="12"/>
    </row>
    <row r="19288" spans="32:32" x14ac:dyDescent="0.2">
      <c r="AF19288" s="12"/>
    </row>
    <row r="19289" spans="32:32" x14ac:dyDescent="0.2">
      <c r="AF19289" s="12"/>
    </row>
    <row r="19290" spans="32:32" x14ac:dyDescent="0.2">
      <c r="AF19290" s="12"/>
    </row>
    <row r="19291" spans="32:32" x14ac:dyDescent="0.2">
      <c r="AF19291" s="12"/>
    </row>
    <row r="19292" spans="32:32" x14ac:dyDescent="0.2">
      <c r="AF19292" s="12"/>
    </row>
    <row r="19293" spans="32:32" x14ac:dyDescent="0.2">
      <c r="AF19293" s="12"/>
    </row>
    <row r="19294" spans="32:32" x14ac:dyDescent="0.2">
      <c r="AF19294" s="12"/>
    </row>
    <row r="19295" spans="32:32" x14ac:dyDescent="0.2">
      <c r="AF19295" s="12"/>
    </row>
    <row r="19296" spans="32:32" x14ac:dyDescent="0.2">
      <c r="AF19296" s="12"/>
    </row>
    <row r="19297" spans="32:32" x14ac:dyDescent="0.2">
      <c r="AF19297" s="12"/>
    </row>
    <row r="19298" spans="32:32" x14ac:dyDescent="0.2">
      <c r="AF19298" s="12"/>
    </row>
    <row r="19299" spans="32:32" x14ac:dyDescent="0.2">
      <c r="AF19299" s="12"/>
    </row>
    <row r="19300" spans="32:32" x14ac:dyDescent="0.2">
      <c r="AF19300" s="12"/>
    </row>
    <row r="19301" spans="32:32" x14ac:dyDescent="0.2">
      <c r="AF19301" s="12"/>
    </row>
    <row r="19302" spans="32:32" x14ac:dyDescent="0.2">
      <c r="AF19302" s="12"/>
    </row>
    <row r="19303" spans="32:32" x14ac:dyDescent="0.2">
      <c r="AF19303" s="12"/>
    </row>
    <row r="19304" spans="32:32" x14ac:dyDescent="0.2">
      <c r="AF19304" s="12"/>
    </row>
    <row r="19305" spans="32:32" x14ac:dyDescent="0.2">
      <c r="AF19305" s="12"/>
    </row>
    <row r="19306" spans="32:32" x14ac:dyDescent="0.2">
      <c r="AF19306" s="12"/>
    </row>
    <row r="19307" spans="32:32" x14ac:dyDescent="0.2">
      <c r="AF19307" s="12"/>
    </row>
    <row r="19308" spans="32:32" x14ac:dyDescent="0.2">
      <c r="AF19308" s="12"/>
    </row>
    <row r="19309" spans="32:32" x14ac:dyDescent="0.2">
      <c r="AF19309" s="12"/>
    </row>
    <row r="19310" spans="32:32" x14ac:dyDescent="0.2">
      <c r="AF19310" s="12"/>
    </row>
    <row r="19311" spans="32:32" x14ac:dyDescent="0.2">
      <c r="AF19311" s="12"/>
    </row>
    <row r="19312" spans="32:32" x14ac:dyDescent="0.2">
      <c r="AF19312" s="12"/>
    </row>
    <row r="19313" spans="32:32" x14ac:dyDescent="0.2">
      <c r="AF19313" s="12"/>
    </row>
    <row r="19314" spans="32:32" x14ac:dyDescent="0.2">
      <c r="AF19314" s="12"/>
    </row>
    <row r="19315" spans="32:32" x14ac:dyDescent="0.2">
      <c r="AF19315" s="12"/>
    </row>
    <row r="19316" spans="32:32" x14ac:dyDescent="0.2">
      <c r="AF19316" s="12"/>
    </row>
    <row r="19317" spans="32:32" x14ac:dyDescent="0.2">
      <c r="AF19317" s="12"/>
    </row>
    <row r="19318" spans="32:32" x14ac:dyDescent="0.2">
      <c r="AF19318" s="12"/>
    </row>
    <row r="19319" spans="32:32" x14ac:dyDescent="0.2">
      <c r="AF19319" s="12"/>
    </row>
    <row r="19320" spans="32:32" x14ac:dyDescent="0.2">
      <c r="AF19320" s="12"/>
    </row>
    <row r="19321" spans="32:32" x14ac:dyDescent="0.2">
      <c r="AF19321" s="12"/>
    </row>
    <row r="19322" spans="32:32" x14ac:dyDescent="0.2">
      <c r="AF19322" s="12"/>
    </row>
    <row r="19323" spans="32:32" x14ac:dyDescent="0.2">
      <c r="AF19323" s="12"/>
    </row>
    <row r="19324" spans="32:32" x14ac:dyDescent="0.2">
      <c r="AF19324" s="12"/>
    </row>
    <row r="19325" spans="32:32" x14ac:dyDescent="0.2">
      <c r="AF19325" s="12"/>
    </row>
    <row r="19326" spans="32:32" x14ac:dyDescent="0.2">
      <c r="AF19326" s="12"/>
    </row>
    <row r="19327" spans="32:32" x14ac:dyDescent="0.2">
      <c r="AF19327" s="12"/>
    </row>
    <row r="19328" spans="32:32" x14ac:dyDescent="0.2">
      <c r="AF19328" s="12"/>
    </row>
    <row r="19329" spans="32:32" x14ac:dyDescent="0.2">
      <c r="AF19329" s="12"/>
    </row>
    <row r="19330" spans="32:32" x14ac:dyDescent="0.2">
      <c r="AF19330" s="12"/>
    </row>
    <row r="19331" spans="32:32" x14ac:dyDescent="0.2">
      <c r="AF19331" s="12"/>
    </row>
    <row r="19332" spans="32:32" x14ac:dyDescent="0.2">
      <c r="AF19332" s="12"/>
    </row>
    <row r="19333" spans="32:32" x14ac:dyDescent="0.2">
      <c r="AF19333" s="12"/>
    </row>
    <row r="19334" spans="32:32" x14ac:dyDescent="0.2">
      <c r="AF19334" s="12"/>
    </row>
    <row r="19335" spans="32:32" x14ac:dyDescent="0.2">
      <c r="AF19335" s="12"/>
    </row>
    <row r="19336" spans="32:32" x14ac:dyDescent="0.2">
      <c r="AF19336" s="12"/>
    </row>
    <row r="19337" spans="32:32" x14ac:dyDescent="0.2">
      <c r="AF19337" s="12"/>
    </row>
    <row r="19338" spans="32:32" x14ac:dyDescent="0.2">
      <c r="AF19338" s="12"/>
    </row>
    <row r="19339" spans="32:32" x14ac:dyDescent="0.2">
      <c r="AF19339" s="12"/>
    </row>
    <row r="19340" spans="32:32" x14ac:dyDescent="0.2">
      <c r="AF19340" s="12"/>
    </row>
    <row r="19341" spans="32:32" x14ac:dyDescent="0.2">
      <c r="AF19341" s="12"/>
    </row>
    <row r="19342" spans="32:32" x14ac:dyDescent="0.2">
      <c r="AF19342" s="12"/>
    </row>
    <row r="19343" spans="32:32" x14ac:dyDescent="0.2">
      <c r="AF19343" s="12"/>
    </row>
    <row r="19344" spans="32:32" x14ac:dyDescent="0.2">
      <c r="AF19344" s="12"/>
    </row>
    <row r="19345" spans="32:32" x14ac:dyDescent="0.2">
      <c r="AF19345" s="12"/>
    </row>
    <row r="19346" spans="32:32" x14ac:dyDescent="0.2">
      <c r="AF19346" s="12"/>
    </row>
    <row r="19347" spans="32:32" x14ac:dyDescent="0.2">
      <c r="AF19347" s="12"/>
    </row>
    <row r="19348" spans="32:32" x14ac:dyDescent="0.2">
      <c r="AF19348" s="12"/>
    </row>
    <row r="19349" spans="32:32" x14ac:dyDescent="0.2">
      <c r="AF19349" s="12"/>
    </row>
    <row r="19350" spans="32:32" x14ac:dyDescent="0.2">
      <c r="AF19350" s="12"/>
    </row>
    <row r="19351" spans="32:32" x14ac:dyDescent="0.2">
      <c r="AF19351" s="12"/>
    </row>
    <row r="19352" spans="32:32" x14ac:dyDescent="0.2">
      <c r="AF19352" s="12"/>
    </row>
    <row r="19353" spans="32:32" x14ac:dyDescent="0.2">
      <c r="AF19353" s="12"/>
    </row>
    <row r="19354" spans="32:32" x14ac:dyDescent="0.2">
      <c r="AF19354" s="12"/>
    </row>
    <row r="19355" spans="32:32" x14ac:dyDescent="0.2">
      <c r="AF19355" s="12"/>
    </row>
    <row r="19356" spans="32:32" x14ac:dyDescent="0.2">
      <c r="AF19356" s="12"/>
    </row>
    <row r="19357" spans="32:32" x14ac:dyDescent="0.2">
      <c r="AF19357" s="12"/>
    </row>
    <row r="19358" spans="32:32" x14ac:dyDescent="0.2">
      <c r="AF19358" s="12"/>
    </row>
    <row r="19359" spans="32:32" x14ac:dyDescent="0.2">
      <c r="AF19359" s="12"/>
    </row>
    <row r="19360" spans="32:32" x14ac:dyDescent="0.2">
      <c r="AF19360" s="12"/>
    </row>
    <row r="19361" spans="32:32" x14ac:dyDescent="0.2">
      <c r="AF19361" s="12"/>
    </row>
    <row r="19362" spans="32:32" x14ac:dyDescent="0.2">
      <c r="AF19362" s="12"/>
    </row>
    <row r="19363" spans="32:32" x14ac:dyDescent="0.2">
      <c r="AF19363" s="12"/>
    </row>
    <row r="19364" spans="32:32" x14ac:dyDescent="0.2">
      <c r="AF19364" s="12"/>
    </row>
    <row r="19365" spans="32:32" x14ac:dyDescent="0.2">
      <c r="AF19365" s="12"/>
    </row>
    <row r="19366" spans="32:32" x14ac:dyDescent="0.2">
      <c r="AF19366" s="12"/>
    </row>
    <row r="19367" spans="32:32" x14ac:dyDescent="0.2">
      <c r="AF19367" s="12"/>
    </row>
    <row r="19368" spans="32:32" x14ac:dyDescent="0.2">
      <c r="AF19368" s="12"/>
    </row>
    <row r="19369" spans="32:32" x14ac:dyDescent="0.2">
      <c r="AF19369" s="12"/>
    </row>
    <row r="19370" spans="32:32" x14ac:dyDescent="0.2">
      <c r="AF19370" s="12"/>
    </row>
    <row r="19371" spans="32:32" x14ac:dyDescent="0.2">
      <c r="AF19371" s="12"/>
    </row>
    <row r="19372" spans="32:32" x14ac:dyDescent="0.2">
      <c r="AF19372" s="12"/>
    </row>
    <row r="19373" spans="32:32" x14ac:dyDescent="0.2">
      <c r="AF19373" s="12"/>
    </row>
    <row r="19374" spans="32:32" x14ac:dyDescent="0.2">
      <c r="AF19374" s="12"/>
    </row>
    <row r="19375" spans="32:32" x14ac:dyDescent="0.2">
      <c r="AF19375" s="12"/>
    </row>
    <row r="19376" spans="32:32" x14ac:dyDescent="0.2">
      <c r="AF19376" s="12"/>
    </row>
    <row r="19377" spans="32:32" x14ac:dyDescent="0.2">
      <c r="AF19377" s="12"/>
    </row>
    <row r="19378" spans="32:32" x14ac:dyDescent="0.2">
      <c r="AF19378" s="12"/>
    </row>
    <row r="19379" spans="32:32" x14ac:dyDescent="0.2">
      <c r="AF19379" s="12"/>
    </row>
    <row r="19380" spans="32:32" x14ac:dyDescent="0.2">
      <c r="AF19380" s="12"/>
    </row>
    <row r="19381" spans="32:32" x14ac:dyDescent="0.2">
      <c r="AF19381" s="12"/>
    </row>
    <row r="19382" spans="32:32" x14ac:dyDescent="0.2">
      <c r="AF19382" s="12"/>
    </row>
    <row r="19383" spans="32:32" x14ac:dyDescent="0.2">
      <c r="AF19383" s="12"/>
    </row>
    <row r="19384" spans="32:32" x14ac:dyDescent="0.2">
      <c r="AF19384" s="12"/>
    </row>
    <row r="19385" spans="32:32" x14ac:dyDescent="0.2">
      <c r="AF19385" s="12"/>
    </row>
    <row r="19386" spans="32:32" x14ac:dyDescent="0.2">
      <c r="AF19386" s="12"/>
    </row>
    <row r="19387" spans="32:32" x14ac:dyDescent="0.2">
      <c r="AF19387" s="12"/>
    </row>
    <row r="19388" spans="32:32" x14ac:dyDescent="0.2">
      <c r="AF19388" s="12"/>
    </row>
    <row r="19389" spans="32:32" x14ac:dyDescent="0.2">
      <c r="AF19389" s="12"/>
    </row>
    <row r="19390" spans="32:32" x14ac:dyDescent="0.2">
      <c r="AF19390" s="12"/>
    </row>
    <row r="19391" spans="32:32" x14ac:dyDescent="0.2">
      <c r="AF19391" s="12"/>
    </row>
    <row r="19392" spans="32:32" x14ac:dyDescent="0.2">
      <c r="AF19392" s="12"/>
    </row>
    <row r="19393" spans="32:32" x14ac:dyDescent="0.2">
      <c r="AF19393" s="12"/>
    </row>
    <row r="19394" spans="32:32" x14ac:dyDescent="0.2">
      <c r="AF19394" s="12"/>
    </row>
    <row r="19395" spans="32:32" x14ac:dyDescent="0.2">
      <c r="AF19395" s="12"/>
    </row>
    <row r="19396" spans="32:32" x14ac:dyDescent="0.2">
      <c r="AF19396" s="12"/>
    </row>
    <row r="19397" spans="32:32" x14ac:dyDescent="0.2">
      <c r="AF19397" s="12"/>
    </row>
    <row r="19398" spans="32:32" x14ac:dyDescent="0.2">
      <c r="AF19398" s="12"/>
    </row>
    <row r="19399" spans="32:32" x14ac:dyDescent="0.2">
      <c r="AF19399" s="12"/>
    </row>
    <row r="19400" spans="32:32" x14ac:dyDescent="0.2">
      <c r="AF19400" s="12"/>
    </row>
    <row r="19401" spans="32:32" x14ac:dyDescent="0.2">
      <c r="AF19401" s="12"/>
    </row>
    <row r="19402" spans="32:32" x14ac:dyDescent="0.2">
      <c r="AF19402" s="12"/>
    </row>
    <row r="19403" spans="32:32" x14ac:dyDescent="0.2">
      <c r="AF19403" s="12"/>
    </row>
    <row r="19404" spans="32:32" x14ac:dyDescent="0.2">
      <c r="AF19404" s="12"/>
    </row>
    <row r="19405" spans="32:32" x14ac:dyDescent="0.2">
      <c r="AF19405" s="12"/>
    </row>
    <row r="19406" spans="32:32" x14ac:dyDescent="0.2">
      <c r="AF19406" s="12"/>
    </row>
    <row r="19407" spans="32:32" x14ac:dyDescent="0.2">
      <c r="AF19407" s="12"/>
    </row>
    <row r="19408" spans="32:32" x14ac:dyDescent="0.2">
      <c r="AF19408" s="12"/>
    </row>
    <row r="19409" spans="32:32" x14ac:dyDescent="0.2">
      <c r="AF19409" s="12"/>
    </row>
    <row r="19410" spans="32:32" x14ac:dyDescent="0.2">
      <c r="AF19410" s="12"/>
    </row>
    <row r="19411" spans="32:32" x14ac:dyDescent="0.2">
      <c r="AF19411" s="12"/>
    </row>
    <row r="19412" spans="32:32" x14ac:dyDescent="0.2">
      <c r="AF19412" s="12"/>
    </row>
    <row r="19413" spans="32:32" x14ac:dyDescent="0.2">
      <c r="AF19413" s="12"/>
    </row>
    <row r="19414" spans="32:32" x14ac:dyDescent="0.2">
      <c r="AF19414" s="12"/>
    </row>
    <row r="19415" spans="32:32" x14ac:dyDescent="0.2">
      <c r="AF19415" s="12"/>
    </row>
    <row r="19416" spans="32:32" x14ac:dyDescent="0.2">
      <c r="AF19416" s="12"/>
    </row>
    <row r="19417" spans="32:32" x14ac:dyDescent="0.2">
      <c r="AF19417" s="12"/>
    </row>
    <row r="19418" spans="32:32" x14ac:dyDescent="0.2">
      <c r="AF19418" s="12"/>
    </row>
    <row r="19419" spans="32:32" x14ac:dyDescent="0.2">
      <c r="AF19419" s="12"/>
    </row>
    <row r="19420" spans="32:32" x14ac:dyDescent="0.2">
      <c r="AF19420" s="12"/>
    </row>
    <row r="19421" spans="32:32" x14ac:dyDescent="0.2">
      <c r="AF19421" s="12"/>
    </row>
    <row r="19422" spans="32:32" x14ac:dyDescent="0.2">
      <c r="AF19422" s="12"/>
    </row>
    <row r="19423" spans="32:32" x14ac:dyDescent="0.2">
      <c r="AF19423" s="12"/>
    </row>
    <row r="19424" spans="32:32" x14ac:dyDescent="0.2">
      <c r="AF19424" s="12"/>
    </row>
    <row r="19425" spans="32:32" x14ac:dyDescent="0.2">
      <c r="AF19425" s="12"/>
    </row>
    <row r="19426" spans="32:32" x14ac:dyDescent="0.2">
      <c r="AF19426" s="12"/>
    </row>
    <row r="19427" spans="32:32" x14ac:dyDescent="0.2">
      <c r="AF19427" s="12"/>
    </row>
    <row r="19428" spans="32:32" x14ac:dyDescent="0.2">
      <c r="AF19428" s="12"/>
    </row>
    <row r="19429" spans="32:32" x14ac:dyDescent="0.2">
      <c r="AF19429" s="12"/>
    </row>
    <row r="19430" spans="32:32" x14ac:dyDescent="0.2">
      <c r="AF19430" s="12"/>
    </row>
    <row r="19431" spans="32:32" x14ac:dyDescent="0.2">
      <c r="AF19431" s="12"/>
    </row>
    <row r="19432" spans="32:32" x14ac:dyDescent="0.2">
      <c r="AF19432" s="12"/>
    </row>
    <row r="19433" spans="32:32" x14ac:dyDescent="0.2">
      <c r="AF19433" s="12"/>
    </row>
    <row r="19434" spans="32:32" x14ac:dyDescent="0.2">
      <c r="AF19434" s="12"/>
    </row>
    <row r="19435" spans="32:32" x14ac:dyDescent="0.2">
      <c r="AF19435" s="12"/>
    </row>
    <row r="19436" spans="32:32" x14ac:dyDescent="0.2">
      <c r="AF19436" s="12"/>
    </row>
    <row r="19437" spans="32:32" x14ac:dyDescent="0.2">
      <c r="AF19437" s="12"/>
    </row>
    <row r="19438" spans="32:32" x14ac:dyDescent="0.2">
      <c r="AF19438" s="12"/>
    </row>
    <row r="19439" spans="32:32" x14ac:dyDescent="0.2">
      <c r="AF19439" s="12"/>
    </row>
    <row r="19440" spans="32:32" x14ac:dyDescent="0.2">
      <c r="AF19440" s="12"/>
    </row>
    <row r="19441" spans="32:32" x14ac:dyDescent="0.2">
      <c r="AF19441" s="12"/>
    </row>
    <row r="19442" spans="32:32" x14ac:dyDescent="0.2">
      <c r="AF19442" s="12"/>
    </row>
    <row r="19443" spans="32:32" x14ac:dyDescent="0.2">
      <c r="AF19443" s="12"/>
    </row>
    <row r="19444" spans="32:32" x14ac:dyDescent="0.2">
      <c r="AF19444" s="12"/>
    </row>
    <row r="19445" spans="32:32" x14ac:dyDescent="0.2">
      <c r="AF19445" s="12"/>
    </row>
    <row r="19446" spans="32:32" x14ac:dyDescent="0.2">
      <c r="AF19446" s="12"/>
    </row>
    <row r="19447" spans="32:32" x14ac:dyDescent="0.2">
      <c r="AF19447" s="12"/>
    </row>
    <row r="19448" spans="32:32" x14ac:dyDescent="0.2">
      <c r="AF19448" s="12"/>
    </row>
    <row r="19449" spans="32:32" x14ac:dyDescent="0.2">
      <c r="AF19449" s="12"/>
    </row>
    <row r="19450" spans="32:32" x14ac:dyDescent="0.2">
      <c r="AF19450" s="12"/>
    </row>
    <row r="19451" spans="32:32" x14ac:dyDescent="0.2">
      <c r="AF19451" s="12"/>
    </row>
    <row r="19452" spans="32:32" x14ac:dyDescent="0.2">
      <c r="AF19452" s="12"/>
    </row>
    <row r="19453" spans="32:32" x14ac:dyDescent="0.2">
      <c r="AF19453" s="12"/>
    </row>
    <row r="19454" spans="32:32" x14ac:dyDescent="0.2">
      <c r="AF19454" s="12"/>
    </row>
    <row r="19455" spans="32:32" x14ac:dyDescent="0.2">
      <c r="AF19455" s="12"/>
    </row>
    <row r="19456" spans="32:32" x14ac:dyDescent="0.2">
      <c r="AF19456" s="12"/>
    </row>
    <row r="19457" spans="32:32" x14ac:dyDescent="0.2">
      <c r="AF19457" s="12"/>
    </row>
    <row r="19458" spans="32:32" x14ac:dyDescent="0.2">
      <c r="AF19458" s="12"/>
    </row>
    <row r="19459" spans="32:32" x14ac:dyDescent="0.2">
      <c r="AF19459" s="12"/>
    </row>
    <row r="19460" spans="32:32" x14ac:dyDescent="0.2">
      <c r="AF19460" s="12"/>
    </row>
    <row r="19461" spans="32:32" x14ac:dyDescent="0.2">
      <c r="AF19461" s="12"/>
    </row>
    <row r="19462" spans="32:32" x14ac:dyDescent="0.2">
      <c r="AF19462" s="12"/>
    </row>
    <row r="19463" spans="32:32" x14ac:dyDescent="0.2">
      <c r="AF19463" s="12"/>
    </row>
    <row r="19464" spans="32:32" x14ac:dyDescent="0.2">
      <c r="AF19464" s="12"/>
    </row>
    <row r="19465" spans="32:32" x14ac:dyDescent="0.2">
      <c r="AF19465" s="12"/>
    </row>
    <row r="19466" spans="32:32" x14ac:dyDescent="0.2">
      <c r="AF19466" s="12"/>
    </row>
    <row r="19467" spans="32:32" x14ac:dyDescent="0.2">
      <c r="AF19467" s="12"/>
    </row>
    <row r="19468" spans="32:32" x14ac:dyDescent="0.2">
      <c r="AF19468" s="12"/>
    </row>
    <row r="19469" spans="32:32" x14ac:dyDescent="0.2">
      <c r="AF19469" s="12"/>
    </row>
    <row r="19470" spans="32:32" x14ac:dyDescent="0.2">
      <c r="AF19470" s="12"/>
    </row>
    <row r="19471" spans="32:32" x14ac:dyDescent="0.2">
      <c r="AF19471" s="12"/>
    </row>
    <row r="19472" spans="32:32" x14ac:dyDescent="0.2">
      <c r="AF19472" s="12"/>
    </row>
    <row r="19473" spans="32:32" x14ac:dyDescent="0.2">
      <c r="AF19473" s="12"/>
    </row>
    <row r="19474" spans="32:32" x14ac:dyDescent="0.2">
      <c r="AF19474" s="12"/>
    </row>
    <row r="19475" spans="32:32" x14ac:dyDescent="0.2">
      <c r="AF19475" s="12"/>
    </row>
    <row r="19476" spans="32:32" x14ac:dyDescent="0.2">
      <c r="AF19476" s="12"/>
    </row>
    <row r="19477" spans="32:32" x14ac:dyDescent="0.2">
      <c r="AF19477" s="12"/>
    </row>
    <row r="19478" spans="32:32" x14ac:dyDescent="0.2">
      <c r="AF19478" s="12"/>
    </row>
    <row r="19479" spans="32:32" x14ac:dyDescent="0.2">
      <c r="AF19479" s="12"/>
    </row>
    <row r="19480" spans="32:32" x14ac:dyDescent="0.2">
      <c r="AF19480" s="12"/>
    </row>
    <row r="19481" spans="32:32" x14ac:dyDescent="0.2">
      <c r="AF19481" s="12"/>
    </row>
    <row r="19482" spans="32:32" x14ac:dyDescent="0.2">
      <c r="AF19482" s="12"/>
    </row>
    <row r="19483" spans="32:32" x14ac:dyDescent="0.2">
      <c r="AF19483" s="12"/>
    </row>
    <row r="19484" spans="32:32" x14ac:dyDescent="0.2">
      <c r="AF19484" s="12"/>
    </row>
    <row r="19485" spans="32:32" x14ac:dyDescent="0.2">
      <c r="AF19485" s="12"/>
    </row>
    <row r="19486" spans="32:32" x14ac:dyDescent="0.2">
      <c r="AF19486" s="12"/>
    </row>
    <row r="19487" spans="32:32" x14ac:dyDescent="0.2">
      <c r="AF19487" s="12"/>
    </row>
    <row r="19488" spans="32:32" x14ac:dyDescent="0.2">
      <c r="AF19488" s="12"/>
    </row>
    <row r="19489" spans="32:32" x14ac:dyDescent="0.2">
      <c r="AF19489" s="12"/>
    </row>
    <row r="19490" spans="32:32" x14ac:dyDescent="0.2">
      <c r="AF19490" s="12"/>
    </row>
    <row r="19491" spans="32:32" x14ac:dyDescent="0.2">
      <c r="AF19491" s="12"/>
    </row>
    <row r="19492" spans="32:32" x14ac:dyDescent="0.2">
      <c r="AF19492" s="12"/>
    </row>
    <row r="19493" spans="32:32" x14ac:dyDescent="0.2">
      <c r="AF19493" s="12"/>
    </row>
    <row r="19494" spans="32:32" x14ac:dyDescent="0.2">
      <c r="AF19494" s="12"/>
    </row>
    <row r="19495" spans="32:32" x14ac:dyDescent="0.2">
      <c r="AF19495" s="12"/>
    </row>
    <row r="19496" spans="32:32" x14ac:dyDescent="0.2">
      <c r="AF19496" s="12"/>
    </row>
    <row r="19497" spans="32:32" x14ac:dyDescent="0.2">
      <c r="AF19497" s="12"/>
    </row>
    <row r="19498" spans="32:32" x14ac:dyDescent="0.2">
      <c r="AF19498" s="12"/>
    </row>
    <row r="19499" spans="32:32" x14ac:dyDescent="0.2">
      <c r="AF19499" s="12"/>
    </row>
    <row r="19500" spans="32:32" x14ac:dyDescent="0.2">
      <c r="AF19500" s="12"/>
    </row>
    <row r="19501" spans="32:32" x14ac:dyDescent="0.2">
      <c r="AF19501" s="12"/>
    </row>
    <row r="19502" spans="32:32" x14ac:dyDescent="0.2">
      <c r="AF19502" s="12"/>
    </row>
    <row r="19503" spans="32:32" x14ac:dyDescent="0.2">
      <c r="AF19503" s="12"/>
    </row>
    <row r="19504" spans="32:32" x14ac:dyDescent="0.2">
      <c r="AF19504" s="12"/>
    </row>
    <row r="19505" spans="32:32" x14ac:dyDescent="0.2">
      <c r="AF19505" s="12"/>
    </row>
    <row r="19506" spans="32:32" x14ac:dyDescent="0.2">
      <c r="AF19506" s="12"/>
    </row>
    <row r="19507" spans="32:32" x14ac:dyDescent="0.2">
      <c r="AF19507" s="12"/>
    </row>
    <row r="19508" spans="32:32" x14ac:dyDescent="0.2">
      <c r="AF19508" s="12"/>
    </row>
    <row r="19509" spans="32:32" x14ac:dyDescent="0.2">
      <c r="AF19509" s="12"/>
    </row>
    <row r="19510" spans="32:32" x14ac:dyDescent="0.2">
      <c r="AF19510" s="12"/>
    </row>
    <row r="19511" spans="32:32" x14ac:dyDescent="0.2">
      <c r="AF19511" s="12"/>
    </row>
    <row r="19512" spans="32:32" x14ac:dyDescent="0.2">
      <c r="AF19512" s="12"/>
    </row>
    <row r="19513" spans="32:32" x14ac:dyDescent="0.2">
      <c r="AF19513" s="12"/>
    </row>
    <row r="19514" spans="32:32" x14ac:dyDescent="0.2">
      <c r="AF19514" s="12"/>
    </row>
    <row r="19515" spans="32:32" x14ac:dyDescent="0.2">
      <c r="AF19515" s="12"/>
    </row>
    <row r="19516" spans="32:32" x14ac:dyDescent="0.2">
      <c r="AF19516" s="12"/>
    </row>
    <row r="19517" spans="32:32" x14ac:dyDescent="0.2">
      <c r="AF19517" s="12"/>
    </row>
    <row r="19518" spans="32:32" x14ac:dyDescent="0.2">
      <c r="AF19518" s="12"/>
    </row>
    <row r="19519" spans="32:32" x14ac:dyDescent="0.2">
      <c r="AF19519" s="12"/>
    </row>
    <row r="19520" spans="32:32" x14ac:dyDescent="0.2">
      <c r="AF19520" s="12"/>
    </row>
    <row r="19521" spans="32:32" x14ac:dyDescent="0.2">
      <c r="AF19521" s="12"/>
    </row>
    <row r="19522" spans="32:32" x14ac:dyDescent="0.2">
      <c r="AF19522" s="12"/>
    </row>
    <row r="19523" spans="32:32" x14ac:dyDescent="0.2">
      <c r="AF19523" s="12"/>
    </row>
    <row r="19524" spans="32:32" x14ac:dyDescent="0.2">
      <c r="AF19524" s="12"/>
    </row>
    <row r="19525" spans="32:32" x14ac:dyDescent="0.2">
      <c r="AF19525" s="12"/>
    </row>
    <row r="19526" spans="32:32" x14ac:dyDescent="0.2">
      <c r="AF19526" s="12"/>
    </row>
    <row r="19527" spans="32:32" x14ac:dyDescent="0.2">
      <c r="AF19527" s="12"/>
    </row>
    <row r="19528" spans="32:32" x14ac:dyDescent="0.2">
      <c r="AF19528" s="12"/>
    </row>
    <row r="19529" spans="32:32" x14ac:dyDescent="0.2">
      <c r="AF19529" s="12"/>
    </row>
    <row r="19530" spans="32:32" x14ac:dyDescent="0.2">
      <c r="AF19530" s="12"/>
    </row>
    <row r="19531" spans="32:32" x14ac:dyDescent="0.2">
      <c r="AF19531" s="12"/>
    </row>
    <row r="19532" spans="32:32" x14ac:dyDescent="0.2">
      <c r="AF19532" s="12"/>
    </row>
    <row r="19533" spans="32:32" x14ac:dyDescent="0.2">
      <c r="AF19533" s="12"/>
    </row>
    <row r="19534" spans="32:32" x14ac:dyDescent="0.2">
      <c r="AF19534" s="12"/>
    </row>
    <row r="19535" spans="32:32" x14ac:dyDescent="0.2">
      <c r="AF19535" s="12"/>
    </row>
    <row r="19536" spans="32:32" x14ac:dyDescent="0.2">
      <c r="AF19536" s="12"/>
    </row>
    <row r="19537" spans="32:32" x14ac:dyDescent="0.2">
      <c r="AF19537" s="12"/>
    </row>
    <row r="19538" spans="32:32" x14ac:dyDescent="0.2">
      <c r="AF19538" s="12"/>
    </row>
    <row r="19539" spans="32:32" x14ac:dyDescent="0.2">
      <c r="AF19539" s="12"/>
    </row>
    <row r="19540" spans="32:32" x14ac:dyDescent="0.2">
      <c r="AF19540" s="12"/>
    </row>
    <row r="19541" spans="32:32" x14ac:dyDescent="0.2">
      <c r="AF19541" s="12"/>
    </row>
    <row r="19542" spans="32:32" x14ac:dyDescent="0.2">
      <c r="AF19542" s="12"/>
    </row>
    <row r="19543" spans="32:32" x14ac:dyDescent="0.2">
      <c r="AF19543" s="12"/>
    </row>
    <row r="19544" spans="32:32" x14ac:dyDescent="0.2">
      <c r="AF19544" s="12"/>
    </row>
    <row r="19545" spans="32:32" x14ac:dyDescent="0.2">
      <c r="AF19545" s="12"/>
    </row>
    <row r="19546" spans="32:32" x14ac:dyDescent="0.2">
      <c r="AF19546" s="12"/>
    </row>
    <row r="19547" spans="32:32" x14ac:dyDescent="0.2">
      <c r="AF19547" s="12"/>
    </row>
    <row r="19548" spans="32:32" x14ac:dyDescent="0.2">
      <c r="AF19548" s="12"/>
    </row>
    <row r="19549" spans="32:32" x14ac:dyDescent="0.2">
      <c r="AF19549" s="12"/>
    </row>
    <row r="19550" spans="32:32" x14ac:dyDescent="0.2">
      <c r="AF19550" s="12"/>
    </row>
    <row r="19551" spans="32:32" x14ac:dyDescent="0.2">
      <c r="AF19551" s="12"/>
    </row>
    <row r="19552" spans="32:32" x14ac:dyDescent="0.2">
      <c r="AF19552" s="12"/>
    </row>
    <row r="19553" spans="32:32" x14ac:dyDescent="0.2">
      <c r="AF19553" s="12"/>
    </row>
    <row r="19554" spans="32:32" x14ac:dyDescent="0.2">
      <c r="AF19554" s="12"/>
    </row>
    <row r="19555" spans="32:32" x14ac:dyDescent="0.2">
      <c r="AF19555" s="12"/>
    </row>
    <row r="19556" spans="32:32" x14ac:dyDescent="0.2">
      <c r="AF19556" s="12"/>
    </row>
    <row r="19557" spans="32:32" x14ac:dyDescent="0.2">
      <c r="AF19557" s="12"/>
    </row>
    <row r="19558" spans="32:32" x14ac:dyDescent="0.2">
      <c r="AF19558" s="12"/>
    </row>
    <row r="19559" spans="32:32" x14ac:dyDescent="0.2">
      <c r="AF19559" s="12"/>
    </row>
    <row r="19560" spans="32:32" x14ac:dyDescent="0.2">
      <c r="AF19560" s="12"/>
    </row>
    <row r="19561" spans="32:32" x14ac:dyDescent="0.2">
      <c r="AF19561" s="12"/>
    </row>
    <row r="19562" spans="32:32" x14ac:dyDescent="0.2">
      <c r="AF19562" s="12"/>
    </row>
    <row r="19563" spans="32:32" x14ac:dyDescent="0.2">
      <c r="AF19563" s="12"/>
    </row>
    <row r="19564" spans="32:32" x14ac:dyDescent="0.2">
      <c r="AF19564" s="12"/>
    </row>
    <row r="19565" spans="32:32" x14ac:dyDescent="0.2">
      <c r="AF19565" s="12"/>
    </row>
    <row r="19566" spans="32:32" x14ac:dyDescent="0.2">
      <c r="AF19566" s="12"/>
    </row>
    <row r="19567" spans="32:32" x14ac:dyDescent="0.2">
      <c r="AF19567" s="12"/>
    </row>
    <row r="19568" spans="32:32" x14ac:dyDescent="0.2">
      <c r="AF19568" s="12"/>
    </row>
    <row r="19569" spans="32:32" x14ac:dyDescent="0.2">
      <c r="AF19569" s="12"/>
    </row>
    <row r="19570" spans="32:32" x14ac:dyDescent="0.2">
      <c r="AF19570" s="12"/>
    </row>
    <row r="19571" spans="32:32" x14ac:dyDescent="0.2">
      <c r="AF19571" s="12"/>
    </row>
    <row r="19572" spans="32:32" x14ac:dyDescent="0.2">
      <c r="AF19572" s="12"/>
    </row>
    <row r="19573" spans="32:32" x14ac:dyDescent="0.2">
      <c r="AF19573" s="12"/>
    </row>
    <row r="19574" spans="32:32" x14ac:dyDescent="0.2">
      <c r="AF19574" s="12"/>
    </row>
    <row r="19575" spans="32:32" x14ac:dyDescent="0.2">
      <c r="AF19575" s="12"/>
    </row>
    <row r="19576" spans="32:32" x14ac:dyDescent="0.2">
      <c r="AF19576" s="12"/>
    </row>
    <row r="19577" spans="32:32" x14ac:dyDescent="0.2">
      <c r="AF19577" s="12"/>
    </row>
    <row r="19578" spans="32:32" x14ac:dyDescent="0.2">
      <c r="AF19578" s="12"/>
    </row>
    <row r="19579" spans="32:32" x14ac:dyDescent="0.2">
      <c r="AF19579" s="12"/>
    </row>
    <row r="19580" spans="32:32" x14ac:dyDescent="0.2">
      <c r="AF19580" s="12"/>
    </row>
    <row r="19581" spans="32:32" x14ac:dyDescent="0.2">
      <c r="AF19581" s="12"/>
    </row>
    <row r="19582" spans="32:32" x14ac:dyDescent="0.2">
      <c r="AF19582" s="12"/>
    </row>
    <row r="19583" spans="32:32" x14ac:dyDescent="0.2">
      <c r="AF19583" s="12"/>
    </row>
    <row r="19584" spans="32:32" x14ac:dyDescent="0.2">
      <c r="AF19584" s="12"/>
    </row>
    <row r="19585" spans="32:32" x14ac:dyDescent="0.2">
      <c r="AF19585" s="12"/>
    </row>
    <row r="19586" spans="32:32" x14ac:dyDescent="0.2">
      <c r="AF19586" s="12"/>
    </row>
    <row r="19587" spans="32:32" x14ac:dyDescent="0.2">
      <c r="AF19587" s="12"/>
    </row>
    <row r="19588" spans="32:32" x14ac:dyDescent="0.2">
      <c r="AF19588" s="12"/>
    </row>
    <row r="19589" spans="32:32" x14ac:dyDescent="0.2">
      <c r="AF19589" s="12"/>
    </row>
    <row r="19590" spans="32:32" x14ac:dyDescent="0.2">
      <c r="AF19590" s="12"/>
    </row>
    <row r="19591" spans="32:32" x14ac:dyDescent="0.2">
      <c r="AF19591" s="12"/>
    </row>
    <row r="19592" spans="32:32" x14ac:dyDescent="0.2">
      <c r="AF19592" s="12"/>
    </row>
    <row r="19593" spans="32:32" x14ac:dyDescent="0.2">
      <c r="AF19593" s="12"/>
    </row>
    <row r="19594" spans="32:32" x14ac:dyDescent="0.2">
      <c r="AF19594" s="12"/>
    </row>
    <row r="19595" spans="32:32" x14ac:dyDescent="0.2">
      <c r="AF19595" s="12"/>
    </row>
    <row r="19596" spans="32:32" x14ac:dyDescent="0.2">
      <c r="AF19596" s="12"/>
    </row>
    <row r="19597" spans="32:32" x14ac:dyDescent="0.2">
      <c r="AF19597" s="12"/>
    </row>
    <row r="19598" spans="32:32" x14ac:dyDescent="0.2">
      <c r="AF19598" s="12"/>
    </row>
    <row r="19599" spans="32:32" x14ac:dyDescent="0.2">
      <c r="AF19599" s="12"/>
    </row>
    <row r="19600" spans="32:32" x14ac:dyDescent="0.2">
      <c r="AF19600" s="12"/>
    </row>
    <row r="19601" spans="32:32" x14ac:dyDescent="0.2">
      <c r="AF19601" s="12"/>
    </row>
    <row r="19602" spans="32:32" x14ac:dyDescent="0.2">
      <c r="AF19602" s="12"/>
    </row>
    <row r="19603" spans="32:32" x14ac:dyDescent="0.2">
      <c r="AF19603" s="12"/>
    </row>
    <row r="19604" spans="32:32" x14ac:dyDescent="0.2">
      <c r="AF19604" s="12"/>
    </row>
    <row r="19605" spans="32:32" x14ac:dyDescent="0.2">
      <c r="AF19605" s="12"/>
    </row>
    <row r="19606" spans="32:32" x14ac:dyDescent="0.2">
      <c r="AF19606" s="12"/>
    </row>
    <row r="19607" spans="32:32" x14ac:dyDescent="0.2">
      <c r="AF19607" s="12"/>
    </row>
    <row r="19608" spans="32:32" x14ac:dyDescent="0.2">
      <c r="AF19608" s="12"/>
    </row>
    <row r="19609" spans="32:32" x14ac:dyDescent="0.2">
      <c r="AF19609" s="12"/>
    </row>
    <row r="19610" spans="32:32" x14ac:dyDescent="0.2">
      <c r="AF19610" s="12"/>
    </row>
    <row r="19611" spans="32:32" x14ac:dyDescent="0.2">
      <c r="AF19611" s="12"/>
    </row>
    <row r="19612" spans="32:32" x14ac:dyDescent="0.2">
      <c r="AF19612" s="12"/>
    </row>
    <row r="19613" spans="32:32" x14ac:dyDescent="0.2">
      <c r="AF19613" s="12"/>
    </row>
    <row r="19614" spans="32:32" x14ac:dyDescent="0.2">
      <c r="AF19614" s="12"/>
    </row>
    <row r="19615" spans="32:32" x14ac:dyDescent="0.2">
      <c r="AF19615" s="12"/>
    </row>
    <row r="19616" spans="32:32" x14ac:dyDescent="0.2">
      <c r="AF19616" s="12"/>
    </row>
    <row r="19617" spans="32:32" x14ac:dyDescent="0.2">
      <c r="AF19617" s="12"/>
    </row>
    <row r="19618" spans="32:32" x14ac:dyDescent="0.2">
      <c r="AF19618" s="12"/>
    </row>
    <row r="19619" spans="32:32" x14ac:dyDescent="0.2">
      <c r="AF19619" s="12"/>
    </row>
    <row r="19620" spans="32:32" x14ac:dyDescent="0.2">
      <c r="AF19620" s="12"/>
    </row>
    <row r="19621" spans="32:32" x14ac:dyDescent="0.2">
      <c r="AF19621" s="12"/>
    </row>
    <row r="19622" spans="32:32" x14ac:dyDescent="0.2">
      <c r="AF19622" s="12"/>
    </row>
    <row r="19623" spans="32:32" x14ac:dyDescent="0.2">
      <c r="AF19623" s="12"/>
    </row>
    <row r="19624" spans="32:32" x14ac:dyDescent="0.2">
      <c r="AF19624" s="12"/>
    </row>
    <row r="19625" spans="32:32" x14ac:dyDescent="0.2">
      <c r="AF19625" s="12"/>
    </row>
    <row r="19626" spans="32:32" x14ac:dyDescent="0.2">
      <c r="AF19626" s="12"/>
    </row>
    <row r="19627" spans="32:32" x14ac:dyDescent="0.2">
      <c r="AF19627" s="12"/>
    </row>
    <row r="19628" spans="32:32" x14ac:dyDescent="0.2">
      <c r="AF19628" s="12"/>
    </row>
    <row r="19629" spans="32:32" x14ac:dyDescent="0.2">
      <c r="AF19629" s="12"/>
    </row>
    <row r="19630" spans="32:32" x14ac:dyDescent="0.2">
      <c r="AF19630" s="12"/>
    </row>
    <row r="19631" spans="32:32" x14ac:dyDescent="0.2">
      <c r="AF19631" s="12"/>
    </row>
    <row r="19632" spans="32:32" x14ac:dyDescent="0.2">
      <c r="AF19632" s="12"/>
    </row>
    <row r="19633" spans="32:32" x14ac:dyDescent="0.2">
      <c r="AF19633" s="12"/>
    </row>
    <row r="19634" spans="32:32" x14ac:dyDescent="0.2">
      <c r="AF19634" s="12"/>
    </row>
    <row r="19635" spans="32:32" x14ac:dyDescent="0.2">
      <c r="AF19635" s="12"/>
    </row>
    <row r="19636" spans="32:32" x14ac:dyDescent="0.2">
      <c r="AF19636" s="12"/>
    </row>
    <row r="19637" spans="32:32" x14ac:dyDescent="0.2">
      <c r="AF19637" s="12"/>
    </row>
    <row r="19638" spans="32:32" x14ac:dyDescent="0.2">
      <c r="AF19638" s="12"/>
    </row>
    <row r="19639" spans="32:32" x14ac:dyDescent="0.2">
      <c r="AF19639" s="12"/>
    </row>
    <row r="19640" spans="32:32" x14ac:dyDescent="0.2">
      <c r="AF19640" s="12"/>
    </row>
    <row r="19641" spans="32:32" x14ac:dyDescent="0.2">
      <c r="AF19641" s="12"/>
    </row>
    <row r="19642" spans="32:32" x14ac:dyDescent="0.2">
      <c r="AF19642" s="12"/>
    </row>
    <row r="19643" spans="32:32" x14ac:dyDescent="0.2">
      <c r="AF19643" s="12"/>
    </row>
    <row r="19644" spans="32:32" x14ac:dyDescent="0.2">
      <c r="AF19644" s="12"/>
    </row>
    <row r="19645" spans="32:32" x14ac:dyDescent="0.2">
      <c r="AF19645" s="12"/>
    </row>
    <row r="19646" spans="32:32" x14ac:dyDescent="0.2">
      <c r="AF19646" s="12"/>
    </row>
    <row r="19647" spans="32:32" x14ac:dyDescent="0.2">
      <c r="AF19647" s="12"/>
    </row>
    <row r="19648" spans="32:32" x14ac:dyDescent="0.2">
      <c r="AF19648" s="12"/>
    </row>
    <row r="19649" spans="32:32" x14ac:dyDescent="0.2">
      <c r="AF19649" s="12"/>
    </row>
    <row r="19650" spans="32:32" x14ac:dyDescent="0.2">
      <c r="AF19650" s="12"/>
    </row>
    <row r="19651" spans="32:32" x14ac:dyDescent="0.2">
      <c r="AF19651" s="12"/>
    </row>
    <row r="19652" spans="32:32" x14ac:dyDescent="0.2">
      <c r="AF19652" s="12"/>
    </row>
    <row r="19653" spans="32:32" x14ac:dyDescent="0.2">
      <c r="AF19653" s="12"/>
    </row>
    <row r="19654" spans="32:32" x14ac:dyDescent="0.2">
      <c r="AF19654" s="12"/>
    </row>
    <row r="19655" spans="32:32" x14ac:dyDescent="0.2">
      <c r="AF19655" s="12"/>
    </row>
    <row r="19656" spans="32:32" x14ac:dyDescent="0.2">
      <c r="AF19656" s="12"/>
    </row>
    <row r="19657" spans="32:32" x14ac:dyDescent="0.2">
      <c r="AF19657" s="12"/>
    </row>
    <row r="19658" spans="32:32" x14ac:dyDescent="0.2">
      <c r="AF19658" s="12"/>
    </row>
    <row r="19659" spans="32:32" x14ac:dyDescent="0.2">
      <c r="AF19659" s="12"/>
    </row>
    <row r="19660" spans="32:32" x14ac:dyDescent="0.2">
      <c r="AF19660" s="12"/>
    </row>
    <row r="19661" spans="32:32" x14ac:dyDescent="0.2">
      <c r="AF19661" s="12"/>
    </row>
    <row r="19662" spans="32:32" x14ac:dyDescent="0.2">
      <c r="AF19662" s="12"/>
    </row>
    <row r="19663" spans="32:32" x14ac:dyDescent="0.2">
      <c r="AF19663" s="12"/>
    </row>
    <row r="19664" spans="32:32" x14ac:dyDescent="0.2">
      <c r="AF19664" s="12"/>
    </row>
    <row r="19665" spans="32:32" x14ac:dyDescent="0.2">
      <c r="AF19665" s="12"/>
    </row>
    <row r="19666" spans="32:32" x14ac:dyDescent="0.2">
      <c r="AF19666" s="12"/>
    </row>
    <row r="19667" spans="32:32" x14ac:dyDescent="0.2">
      <c r="AF19667" s="12"/>
    </row>
    <row r="19668" spans="32:32" x14ac:dyDescent="0.2">
      <c r="AF19668" s="12"/>
    </row>
    <row r="19669" spans="32:32" x14ac:dyDescent="0.2">
      <c r="AF19669" s="12"/>
    </row>
    <row r="19670" spans="32:32" x14ac:dyDescent="0.2">
      <c r="AF19670" s="12"/>
    </row>
    <row r="19671" spans="32:32" x14ac:dyDescent="0.2">
      <c r="AF19671" s="12"/>
    </row>
    <row r="19672" spans="32:32" x14ac:dyDescent="0.2">
      <c r="AF19672" s="12"/>
    </row>
    <row r="19673" spans="32:32" x14ac:dyDescent="0.2">
      <c r="AF19673" s="12"/>
    </row>
    <row r="19674" spans="32:32" x14ac:dyDescent="0.2">
      <c r="AF19674" s="12"/>
    </row>
    <row r="19675" spans="32:32" x14ac:dyDescent="0.2">
      <c r="AF19675" s="12"/>
    </row>
    <row r="19676" spans="32:32" x14ac:dyDescent="0.2">
      <c r="AF19676" s="12"/>
    </row>
    <row r="19677" spans="32:32" x14ac:dyDescent="0.2">
      <c r="AF19677" s="12"/>
    </row>
    <row r="19678" spans="32:32" x14ac:dyDescent="0.2">
      <c r="AF19678" s="12"/>
    </row>
    <row r="19679" spans="32:32" x14ac:dyDescent="0.2">
      <c r="AF19679" s="12"/>
    </row>
    <row r="19680" spans="32:32" x14ac:dyDescent="0.2">
      <c r="AF19680" s="12"/>
    </row>
    <row r="19681" spans="32:32" x14ac:dyDescent="0.2">
      <c r="AF19681" s="12"/>
    </row>
    <row r="19682" spans="32:32" x14ac:dyDescent="0.2">
      <c r="AF19682" s="12"/>
    </row>
    <row r="19683" spans="32:32" x14ac:dyDescent="0.2">
      <c r="AF19683" s="12"/>
    </row>
    <row r="19684" spans="32:32" x14ac:dyDescent="0.2">
      <c r="AF19684" s="12"/>
    </row>
    <row r="19685" spans="32:32" x14ac:dyDescent="0.2">
      <c r="AF19685" s="12"/>
    </row>
    <row r="19686" spans="32:32" x14ac:dyDescent="0.2">
      <c r="AF19686" s="12"/>
    </row>
    <row r="19687" spans="32:32" x14ac:dyDescent="0.2">
      <c r="AF19687" s="12"/>
    </row>
    <row r="19688" spans="32:32" x14ac:dyDescent="0.2">
      <c r="AF19688" s="12"/>
    </row>
    <row r="19689" spans="32:32" x14ac:dyDescent="0.2">
      <c r="AF19689" s="12"/>
    </row>
    <row r="19690" spans="32:32" x14ac:dyDescent="0.2">
      <c r="AF19690" s="12"/>
    </row>
    <row r="19691" spans="32:32" x14ac:dyDescent="0.2">
      <c r="AF19691" s="12"/>
    </row>
    <row r="19692" spans="32:32" x14ac:dyDescent="0.2">
      <c r="AF19692" s="12"/>
    </row>
    <row r="19693" spans="32:32" x14ac:dyDescent="0.2">
      <c r="AF19693" s="12"/>
    </row>
    <row r="19694" spans="32:32" x14ac:dyDescent="0.2">
      <c r="AF19694" s="12"/>
    </row>
    <row r="19695" spans="32:32" x14ac:dyDescent="0.2">
      <c r="AF19695" s="12"/>
    </row>
    <row r="19696" spans="32:32" x14ac:dyDescent="0.2">
      <c r="AF19696" s="12"/>
    </row>
    <row r="19697" spans="32:32" x14ac:dyDescent="0.2">
      <c r="AF19697" s="12"/>
    </row>
    <row r="19698" spans="32:32" x14ac:dyDescent="0.2">
      <c r="AF19698" s="12"/>
    </row>
    <row r="19699" spans="32:32" x14ac:dyDescent="0.2">
      <c r="AF19699" s="12"/>
    </row>
    <row r="19700" spans="32:32" x14ac:dyDescent="0.2">
      <c r="AF19700" s="12"/>
    </row>
    <row r="19701" spans="32:32" x14ac:dyDescent="0.2">
      <c r="AF19701" s="12"/>
    </row>
    <row r="19702" spans="32:32" x14ac:dyDescent="0.2">
      <c r="AF19702" s="12"/>
    </row>
    <row r="19703" spans="32:32" x14ac:dyDescent="0.2">
      <c r="AF19703" s="12"/>
    </row>
    <row r="19704" spans="32:32" x14ac:dyDescent="0.2">
      <c r="AF19704" s="12"/>
    </row>
    <row r="19705" spans="32:32" x14ac:dyDescent="0.2">
      <c r="AF19705" s="12"/>
    </row>
    <row r="19706" spans="32:32" x14ac:dyDescent="0.2">
      <c r="AF19706" s="12"/>
    </row>
    <row r="19707" spans="32:32" x14ac:dyDescent="0.2">
      <c r="AF19707" s="12"/>
    </row>
    <row r="19708" spans="32:32" x14ac:dyDescent="0.2">
      <c r="AF19708" s="12"/>
    </row>
    <row r="19709" spans="32:32" x14ac:dyDescent="0.2">
      <c r="AF19709" s="12"/>
    </row>
    <row r="19710" spans="32:32" x14ac:dyDescent="0.2">
      <c r="AF19710" s="12"/>
    </row>
    <row r="19711" spans="32:32" x14ac:dyDescent="0.2">
      <c r="AF19711" s="12"/>
    </row>
    <row r="19712" spans="32:32" x14ac:dyDescent="0.2">
      <c r="AF19712" s="12"/>
    </row>
    <row r="19713" spans="32:32" x14ac:dyDescent="0.2">
      <c r="AF19713" s="12"/>
    </row>
    <row r="19714" spans="32:32" x14ac:dyDescent="0.2">
      <c r="AF19714" s="12"/>
    </row>
    <row r="19715" spans="32:32" x14ac:dyDescent="0.2">
      <c r="AF19715" s="12"/>
    </row>
    <row r="19716" spans="32:32" x14ac:dyDescent="0.2">
      <c r="AF19716" s="12"/>
    </row>
    <row r="19717" spans="32:32" x14ac:dyDescent="0.2">
      <c r="AF19717" s="12"/>
    </row>
    <row r="19718" spans="32:32" x14ac:dyDescent="0.2">
      <c r="AF19718" s="12"/>
    </row>
    <row r="19719" spans="32:32" x14ac:dyDescent="0.2">
      <c r="AF19719" s="12"/>
    </row>
    <row r="19720" spans="32:32" x14ac:dyDescent="0.2">
      <c r="AF19720" s="12"/>
    </row>
    <row r="19721" spans="32:32" x14ac:dyDescent="0.2">
      <c r="AF19721" s="12"/>
    </row>
    <row r="19722" spans="32:32" x14ac:dyDescent="0.2">
      <c r="AF19722" s="12"/>
    </row>
    <row r="19723" spans="32:32" x14ac:dyDescent="0.2">
      <c r="AF19723" s="12"/>
    </row>
    <row r="19724" spans="32:32" x14ac:dyDescent="0.2">
      <c r="AF19724" s="12"/>
    </row>
    <row r="19725" spans="32:32" x14ac:dyDescent="0.2">
      <c r="AF19725" s="12"/>
    </row>
    <row r="19726" spans="32:32" x14ac:dyDescent="0.2">
      <c r="AF19726" s="12"/>
    </row>
    <row r="19727" spans="32:32" x14ac:dyDescent="0.2">
      <c r="AF19727" s="12"/>
    </row>
    <row r="19728" spans="32:32" x14ac:dyDescent="0.2">
      <c r="AF19728" s="12"/>
    </row>
    <row r="19729" spans="32:32" x14ac:dyDescent="0.2">
      <c r="AF19729" s="12"/>
    </row>
    <row r="19730" spans="32:32" x14ac:dyDescent="0.2">
      <c r="AF19730" s="12"/>
    </row>
    <row r="19731" spans="32:32" x14ac:dyDescent="0.2">
      <c r="AF19731" s="12"/>
    </row>
    <row r="19732" spans="32:32" x14ac:dyDescent="0.2">
      <c r="AF19732" s="12"/>
    </row>
    <row r="19733" spans="32:32" x14ac:dyDescent="0.2">
      <c r="AF19733" s="12"/>
    </row>
    <row r="19734" spans="32:32" x14ac:dyDescent="0.2">
      <c r="AF19734" s="12"/>
    </row>
    <row r="19735" spans="32:32" x14ac:dyDescent="0.2">
      <c r="AF19735" s="12"/>
    </row>
    <row r="19736" spans="32:32" x14ac:dyDescent="0.2">
      <c r="AF19736" s="12"/>
    </row>
    <row r="19737" spans="32:32" x14ac:dyDescent="0.2">
      <c r="AF19737" s="12"/>
    </row>
    <row r="19738" spans="32:32" x14ac:dyDescent="0.2">
      <c r="AF19738" s="12"/>
    </row>
    <row r="19739" spans="32:32" x14ac:dyDescent="0.2">
      <c r="AF19739" s="12"/>
    </row>
    <row r="19740" spans="32:32" x14ac:dyDescent="0.2">
      <c r="AF19740" s="12"/>
    </row>
    <row r="19741" spans="32:32" x14ac:dyDescent="0.2">
      <c r="AF19741" s="12"/>
    </row>
    <row r="19742" spans="32:32" x14ac:dyDescent="0.2">
      <c r="AF19742" s="12"/>
    </row>
    <row r="19743" spans="32:32" x14ac:dyDescent="0.2">
      <c r="AF19743" s="12"/>
    </row>
    <row r="19744" spans="32:32" x14ac:dyDescent="0.2">
      <c r="AF19744" s="12"/>
    </row>
    <row r="19745" spans="32:32" x14ac:dyDescent="0.2">
      <c r="AF19745" s="12"/>
    </row>
    <row r="19746" spans="32:32" x14ac:dyDescent="0.2">
      <c r="AF19746" s="12"/>
    </row>
    <row r="19747" spans="32:32" x14ac:dyDescent="0.2">
      <c r="AF19747" s="12"/>
    </row>
    <row r="19748" spans="32:32" x14ac:dyDescent="0.2">
      <c r="AF19748" s="12"/>
    </row>
    <row r="19749" spans="32:32" x14ac:dyDescent="0.2">
      <c r="AF19749" s="12"/>
    </row>
    <row r="19750" spans="32:32" x14ac:dyDescent="0.2">
      <c r="AF19750" s="12"/>
    </row>
    <row r="19751" spans="32:32" x14ac:dyDescent="0.2">
      <c r="AF19751" s="12"/>
    </row>
    <row r="19752" spans="32:32" x14ac:dyDescent="0.2">
      <c r="AF19752" s="12"/>
    </row>
    <row r="19753" spans="32:32" x14ac:dyDescent="0.2">
      <c r="AF19753" s="12"/>
    </row>
    <row r="19754" spans="32:32" x14ac:dyDescent="0.2">
      <c r="AF19754" s="12"/>
    </row>
    <row r="19755" spans="32:32" x14ac:dyDescent="0.2">
      <c r="AF19755" s="12"/>
    </row>
    <row r="19756" spans="32:32" x14ac:dyDescent="0.2">
      <c r="AF19756" s="12"/>
    </row>
    <row r="19757" spans="32:32" x14ac:dyDescent="0.2">
      <c r="AF19757" s="12"/>
    </row>
    <row r="19758" spans="32:32" x14ac:dyDescent="0.2">
      <c r="AF19758" s="12"/>
    </row>
    <row r="19759" spans="32:32" x14ac:dyDescent="0.2">
      <c r="AF19759" s="12"/>
    </row>
    <row r="19760" spans="32:32" x14ac:dyDescent="0.2">
      <c r="AF19760" s="12"/>
    </row>
    <row r="19761" spans="32:32" x14ac:dyDescent="0.2">
      <c r="AF19761" s="12"/>
    </row>
    <row r="19762" spans="32:32" x14ac:dyDescent="0.2">
      <c r="AF19762" s="12"/>
    </row>
    <row r="19763" spans="32:32" x14ac:dyDescent="0.2">
      <c r="AF19763" s="12"/>
    </row>
    <row r="19764" spans="32:32" x14ac:dyDescent="0.2">
      <c r="AF19764" s="12"/>
    </row>
    <row r="19765" spans="32:32" x14ac:dyDescent="0.2">
      <c r="AF19765" s="12"/>
    </row>
    <row r="19766" spans="32:32" x14ac:dyDescent="0.2">
      <c r="AF19766" s="12"/>
    </row>
    <row r="19767" spans="32:32" x14ac:dyDescent="0.2">
      <c r="AF19767" s="12"/>
    </row>
    <row r="19768" spans="32:32" x14ac:dyDescent="0.2">
      <c r="AF19768" s="12"/>
    </row>
    <row r="19769" spans="32:32" x14ac:dyDescent="0.2">
      <c r="AF19769" s="12"/>
    </row>
    <row r="19770" spans="32:32" x14ac:dyDescent="0.2">
      <c r="AF19770" s="12"/>
    </row>
    <row r="19771" spans="32:32" x14ac:dyDescent="0.2">
      <c r="AF19771" s="12"/>
    </row>
    <row r="19772" spans="32:32" x14ac:dyDescent="0.2">
      <c r="AF19772" s="12"/>
    </row>
    <row r="19773" spans="32:32" x14ac:dyDescent="0.2">
      <c r="AF19773" s="12"/>
    </row>
    <row r="19774" spans="32:32" x14ac:dyDescent="0.2">
      <c r="AF19774" s="12"/>
    </row>
    <row r="19775" spans="32:32" x14ac:dyDescent="0.2">
      <c r="AF19775" s="12"/>
    </row>
    <row r="19776" spans="32:32" x14ac:dyDescent="0.2">
      <c r="AF19776" s="12"/>
    </row>
    <row r="19777" spans="32:32" x14ac:dyDescent="0.2">
      <c r="AF19777" s="12"/>
    </row>
    <row r="19778" spans="32:32" x14ac:dyDescent="0.2">
      <c r="AF19778" s="12"/>
    </row>
    <row r="19779" spans="32:32" x14ac:dyDescent="0.2">
      <c r="AF19779" s="12"/>
    </row>
    <row r="19780" spans="32:32" x14ac:dyDescent="0.2">
      <c r="AF19780" s="12"/>
    </row>
    <row r="19781" spans="32:32" x14ac:dyDescent="0.2">
      <c r="AF19781" s="12"/>
    </row>
    <row r="19782" spans="32:32" x14ac:dyDescent="0.2">
      <c r="AF19782" s="12"/>
    </row>
    <row r="19783" spans="32:32" x14ac:dyDescent="0.2">
      <c r="AF19783" s="12"/>
    </row>
    <row r="19784" spans="32:32" x14ac:dyDescent="0.2">
      <c r="AF19784" s="12"/>
    </row>
    <row r="19785" spans="32:32" x14ac:dyDescent="0.2">
      <c r="AF19785" s="12"/>
    </row>
    <row r="19786" spans="32:32" x14ac:dyDescent="0.2">
      <c r="AF19786" s="12"/>
    </row>
    <row r="19787" spans="32:32" x14ac:dyDescent="0.2">
      <c r="AF19787" s="12"/>
    </row>
    <row r="19788" spans="32:32" x14ac:dyDescent="0.2">
      <c r="AF19788" s="12"/>
    </row>
    <row r="19789" spans="32:32" x14ac:dyDescent="0.2">
      <c r="AF19789" s="12"/>
    </row>
    <row r="19790" spans="32:32" x14ac:dyDescent="0.2">
      <c r="AF19790" s="12"/>
    </row>
    <row r="19791" spans="32:32" x14ac:dyDescent="0.2">
      <c r="AF19791" s="12"/>
    </row>
    <row r="19792" spans="32:32" x14ac:dyDescent="0.2">
      <c r="AF19792" s="12"/>
    </row>
    <row r="19793" spans="32:32" x14ac:dyDescent="0.2">
      <c r="AF19793" s="12"/>
    </row>
    <row r="19794" spans="32:32" x14ac:dyDescent="0.2">
      <c r="AF19794" s="12"/>
    </row>
    <row r="19795" spans="32:32" x14ac:dyDescent="0.2">
      <c r="AF19795" s="12"/>
    </row>
    <row r="19796" spans="32:32" x14ac:dyDescent="0.2">
      <c r="AF19796" s="12"/>
    </row>
    <row r="19797" spans="32:32" x14ac:dyDescent="0.2">
      <c r="AF19797" s="12"/>
    </row>
    <row r="19798" spans="32:32" x14ac:dyDescent="0.2">
      <c r="AF19798" s="12"/>
    </row>
    <row r="19799" spans="32:32" x14ac:dyDescent="0.2">
      <c r="AF19799" s="12"/>
    </row>
    <row r="19800" spans="32:32" x14ac:dyDescent="0.2">
      <c r="AF19800" s="12"/>
    </row>
    <row r="19801" spans="32:32" x14ac:dyDescent="0.2">
      <c r="AF19801" s="12"/>
    </row>
    <row r="19802" spans="32:32" x14ac:dyDescent="0.2">
      <c r="AF19802" s="12"/>
    </row>
    <row r="19803" spans="32:32" x14ac:dyDescent="0.2">
      <c r="AF19803" s="12"/>
    </row>
    <row r="19804" spans="32:32" x14ac:dyDescent="0.2">
      <c r="AF19804" s="12"/>
    </row>
    <row r="19805" spans="32:32" x14ac:dyDescent="0.2">
      <c r="AF19805" s="12"/>
    </row>
    <row r="19806" spans="32:32" x14ac:dyDescent="0.2">
      <c r="AF19806" s="12"/>
    </row>
    <row r="19807" spans="32:32" x14ac:dyDescent="0.2">
      <c r="AF19807" s="12"/>
    </row>
    <row r="19808" spans="32:32" x14ac:dyDescent="0.2">
      <c r="AF19808" s="12"/>
    </row>
    <row r="19809" spans="32:32" x14ac:dyDescent="0.2">
      <c r="AF19809" s="12"/>
    </row>
    <row r="19810" spans="32:32" x14ac:dyDescent="0.2">
      <c r="AF19810" s="12"/>
    </row>
    <row r="19811" spans="32:32" x14ac:dyDescent="0.2">
      <c r="AF19811" s="12"/>
    </row>
    <row r="19812" spans="32:32" x14ac:dyDescent="0.2">
      <c r="AF19812" s="12"/>
    </row>
    <row r="19813" spans="32:32" x14ac:dyDescent="0.2">
      <c r="AF19813" s="12"/>
    </row>
    <row r="19814" spans="32:32" x14ac:dyDescent="0.2">
      <c r="AF19814" s="12"/>
    </row>
    <row r="19815" spans="32:32" x14ac:dyDescent="0.2">
      <c r="AF19815" s="12"/>
    </row>
    <row r="19816" spans="32:32" x14ac:dyDescent="0.2">
      <c r="AF19816" s="12"/>
    </row>
    <row r="19817" spans="32:32" x14ac:dyDescent="0.2">
      <c r="AF19817" s="12"/>
    </row>
    <row r="19818" spans="32:32" x14ac:dyDescent="0.2">
      <c r="AF19818" s="12"/>
    </row>
    <row r="19819" spans="32:32" x14ac:dyDescent="0.2">
      <c r="AF19819" s="12"/>
    </row>
    <row r="19820" spans="32:32" x14ac:dyDescent="0.2">
      <c r="AF19820" s="12"/>
    </row>
    <row r="19821" spans="32:32" x14ac:dyDescent="0.2">
      <c r="AF19821" s="12"/>
    </row>
    <row r="19822" spans="32:32" x14ac:dyDescent="0.2">
      <c r="AF19822" s="12"/>
    </row>
    <row r="19823" spans="32:32" x14ac:dyDescent="0.2">
      <c r="AF19823" s="12"/>
    </row>
    <row r="19824" spans="32:32" x14ac:dyDescent="0.2">
      <c r="AF19824" s="12"/>
    </row>
    <row r="19825" spans="32:32" x14ac:dyDescent="0.2">
      <c r="AF19825" s="12"/>
    </row>
    <row r="19826" spans="32:32" x14ac:dyDescent="0.2">
      <c r="AF19826" s="12"/>
    </row>
    <row r="19827" spans="32:32" x14ac:dyDescent="0.2">
      <c r="AF19827" s="12"/>
    </row>
    <row r="19828" spans="32:32" x14ac:dyDescent="0.2">
      <c r="AF19828" s="12"/>
    </row>
    <row r="19829" spans="32:32" x14ac:dyDescent="0.2">
      <c r="AF19829" s="12"/>
    </row>
    <row r="19830" spans="32:32" x14ac:dyDescent="0.2">
      <c r="AF19830" s="12"/>
    </row>
    <row r="19831" spans="32:32" x14ac:dyDescent="0.2">
      <c r="AF19831" s="12"/>
    </row>
    <row r="19832" spans="32:32" x14ac:dyDescent="0.2">
      <c r="AF19832" s="12"/>
    </row>
    <row r="19833" spans="32:32" x14ac:dyDescent="0.2">
      <c r="AF19833" s="12"/>
    </row>
    <row r="19834" spans="32:32" x14ac:dyDescent="0.2">
      <c r="AF19834" s="12"/>
    </row>
    <row r="19835" spans="32:32" x14ac:dyDescent="0.2">
      <c r="AF19835" s="12"/>
    </row>
    <row r="19836" spans="32:32" x14ac:dyDescent="0.2">
      <c r="AF19836" s="12"/>
    </row>
    <row r="19837" spans="32:32" x14ac:dyDescent="0.2">
      <c r="AF19837" s="12"/>
    </row>
    <row r="19838" spans="32:32" x14ac:dyDescent="0.2">
      <c r="AF19838" s="12"/>
    </row>
    <row r="19839" spans="32:32" x14ac:dyDescent="0.2">
      <c r="AF19839" s="12"/>
    </row>
    <row r="19840" spans="32:32" x14ac:dyDescent="0.2">
      <c r="AF19840" s="12"/>
    </row>
    <row r="19841" spans="32:32" x14ac:dyDescent="0.2">
      <c r="AF19841" s="12"/>
    </row>
    <row r="19842" spans="32:32" x14ac:dyDescent="0.2">
      <c r="AF19842" s="12"/>
    </row>
    <row r="19843" spans="32:32" x14ac:dyDescent="0.2">
      <c r="AF19843" s="12"/>
    </row>
    <row r="19844" spans="32:32" x14ac:dyDescent="0.2">
      <c r="AF19844" s="12"/>
    </row>
    <row r="19845" spans="32:32" x14ac:dyDescent="0.2">
      <c r="AF19845" s="12"/>
    </row>
    <row r="19846" spans="32:32" x14ac:dyDescent="0.2">
      <c r="AF19846" s="12"/>
    </row>
    <row r="19847" spans="32:32" x14ac:dyDescent="0.2">
      <c r="AF19847" s="12"/>
    </row>
    <row r="19848" spans="32:32" x14ac:dyDescent="0.2">
      <c r="AF19848" s="12"/>
    </row>
    <row r="19849" spans="32:32" x14ac:dyDescent="0.2">
      <c r="AF19849" s="12"/>
    </row>
    <row r="19850" spans="32:32" x14ac:dyDescent="0.2">
      <c r="AF19850" s="12"/>
    </row>
    <row r="19851" spans="32:32" x14ac:dyDescent="0.2">
      <c r="AF19851" s="12"/>
    </row>
    <row r="19852" spans="32:32" x14ac:dyDescent="0.2">
      <c r="AF19852" s="12"/>
    </row>
    <row r="19853" spans="32:32" x14ac:dyDescent="0.2">
      <c r="AF19853" s="12"/>
    </row>
    <row r="19854" spans="32:32" x14ac:dyDescent="0.2">
      <c r="AF19854" s="12"/>
    </row>
    <row r="19855" spans="32:32" x14ac:dyDescent="0.2">
      <c r="AF19855" s="12"/>
    </row>
    <row r="19856" spans="32:32" x14ac:dyDescent="0.2">
      <c r="AF19856" s="12"/>
    </row>
    <row r="19857" spans="32:32" x14ac:dyDescent="0.2">
      <c r="AF19857" s="12"/>
    </row>
    <row r="19858" spans="32:32" x14ac:dyDescent="0.2">
      <c r="AF19858" s="12"/>
    </row>
    <row r="19859" spans="32:32" x14ac:dyDescent="0.2">
      <c r="AF19859" s="12"/>
    </row>
    <row r="19860" spans="32:32" x14ac:dyDescent="0.2">
      <c r="AF19860" s="12"/>
    </row>
    <row r="19861" spans="32:32" x14ac:dyDescent="0.2">
      <c r="AF19861" s="12"/>
    </row>
    <row r="19862" spans="32:32" x14ac:dyDescent="0.2">
      <c r="AF19862" s="12"/>
    </row>
    <row r="19863" spans="32:32" x14ac:dyDescent="0.2">
      <c r="AF19863" s="12"/>
    </row>
    <row r="19864" spans="32:32" x14ac:dyDescent="0.2">
      <c r="AF19864" s="12"/>
    </row>
    <row r="19865" spans="32:32" x14ac:dyDescent="0.2">
      <c r="AF19865" s="12"/>
    </row>
    <row r="19866" spans="32:32" x14ac:dyDescent="0.2">
      <c r="AF19866" s="12"/>
    </row>
    <row r="19867" spans="32:32" x14ac:dyDescent="0.2">
      <c r="AF19867" s="12"/>
    </row>
    <row r="19868" spans="32:32" x14ac:dyDescent="0.2">
      <c r="AF19868" s="12"/>
    </row>
    <row r="19869" spans="32:32" x14ac:dyDescent="0.2">
      <c r="AF19869" s="12"/>
    </row>
    <row r="19870" spans="32:32" x14ac:dyDescent="0.2">
      <c r="AF19870" s="12"/>
    </row>
    <row r="19871" spans="32:32" x14ac:dyDescent="0.2">
      <c r="AF19871" s="12"/>
    </row>
    <row r="19872" spans="32:32" x14ac:dyDescent="0.2">
      <c r="AF19872" s="12"/>
    </row>
    <row r="19873" spans="32:32" x14ac:dyDescent="0.2">
      <c r="AF19873" s="12"/>
    </row>
    <row r="19874" spans="32:32" x14ac:dyDescent="0.2">
      <c r="AF19874" s="12"/>
    </row>
    <row r="19875" spans="32:32" x14ac:dyDescent="0.2">
      <c r="AF19875" s="12"/>
    </row>
    <row r="19876" spans="32:32" x14ac:dyDescent="0.2">
      <c r="AF19876" s="12"/>
    </row>
    <row r="19877" spans="32:32" x14ac:dyDescent="0.2">
      <c r="AF19877" s="12"/>
    </row>
    <row r="19878" spans="32:32" x14ac:dyDescent="0.2">
      <c r="AF19878" s="12"/>
    </row>
    <row r="19879" spans="32:32" x14ac:dyDescent="0.2">
      <c r="AF19879" s="12"/>
    </row>
    <row r="19880" spans="32:32" x14ac:dyDescent="0.2">
      <c r="AF19880" s="12"/>
    </row>
    <row r="19881" spans="32:32" x14ac:dyDescent="0.2">
      <c r="AF19881" s="12"/>
    </row>
    <row r="19882" spans="32:32" x14ac:dyDescent="0.2">
      <c r="AF19882" s="12"/>
    </row>
    <row r="19883" spans="32:32" x14ac:dyDescent="0.2">
      <c r="AF19883" s="12"/>
    </row>
    <row r="19884" spans="32:32" x14ac:dyDescent="0.2">
      <c r="AF19884" s="12"/>
    </row>
    <row r="19885" spans="32:32" x14ac:dyDescent="0.2">
      <c r="AF19885" s="12"/>
    </row>
    <row r="19886" spans="32:32" x14ac:dyDescent="0.2">
      <c r="AF19886" s="12"/>
    </row>
    <row r="19887" spans="32:32" x14ac:dyDescent="0.2">
      <c r="AF19887" s="12"/>
    </row>
    <row r="19888" spans="32:32" x14ac:dyDescent="0.2">
      <c r="AF19888" s="12"/>
    </row>
    <row r="19889" spans="32:32" x14ac:dyDescent="0.2">
      <c r="AF19889" s="12"/>
    </row>
    <row r="19890" spans="32:32" x14ac:dyDescent="0.2">
      <c r="AF19890" s="12"/>
    </row>
    <row r="19891" spans="32:32" x14ac:dyDescent="0.2">
      <c r="AF19891" s="12"/>
    </row>
    <row r="19892" spans="32:32" x14ac:dyDescent="0.2">
      <c r="AF19892" s="12"/>
    </row>
    <row r="19893" spans="32:32" x14ac:dyDescent="0.2">
      <c r="AF19893" s="12"/>
    </row>
    <row r="19894" spans="32:32" x14ac:dyDescent="0.2">
      <c r="AF19894" s="12"/>
    </row>
    <row r="19895" spans="32:32" x14ac:dyDescent="0.2">
      <c r="AF19895" s="12"/>
    </row>
    <row r="19896" spans="32:32" x14ac:dyDescent="0.2">
      <c r="AF19896" s="12"/>
    </row>
    <row r="19897" spans="32:32" x14ac:dyDescent="0.2">
      <c r="AF19897" s="12"/>
    </row>
    <row r="19898" spans="32:32" x14ac:dyDescent="0.2">
      <c r="AF19898" s="12"/>
    </row>
    <row r="19899" spans="32:32" x14ac:dyDescent="0.2">
      <c r="AF19899" s="12"/>
    </row>
    <row r="19900" spans="32:32" x14ac:dyDescent="0.2">
      <c r="AF19900" s="12"/>
    </row>
    <row r="19901" spans="32:32" x14ac:dyDescent="0.2">
      <c r="AF19901" s="12"/>
    </row>
    <row r="19902" spans="32:32" x14ac:dyDescent="0.2">
      <c r="AF19902" s="12"/>
    </row>
    <row r="19903" spans="32:32" x14ac:dyDescent="0.2">
      <c r="AF19903" s="12"/>
    </row>
    <row r="19904" spans="32:32" x14ac:dyDescent="0.2">
      <c r="AF19904" s="12"/>
    </row>
    <row r="19905" spans="32:32" x14ac:dyDescent="0.2">
      <c r="AF19905" s="12"/>
    </row>
    <row r="19906" spans="32:32" x14ac:dyDescent="0.2">
      <c r="AF19906" s="12"/>
    </row>
    <row r="19907" spans="32:32" x14ac:dyDescent="0.2">
      <c r="AF19907" s="12"/>
    </row>
    <row r="19908" spans="32:32" x14ac:dyDescent="0.2">
      <c r="AF19908" s="12"/>
    </row>
    <row r="19909" spans="32:32" x14ac:dyDescent="0.2">
      <c r="AF19909" s="12"/>
    </row>
    <row r="19910" spans="32:32" x14ac:dyDescent="0.2">
      <c r="AF19910" s="12"/>
    </row>
    <row r="19911" spans="32:32" x14ac:dyDescent="0.2">
      <c r="AF19911" s="12"/>
    </row>
    <row r="19912" spans="32:32" x14ac:dyDescent="0.2">
      <c r="AF19912" s="12"/>
    </row>
    <row r="19913" spans="32:32" x14ac:dyDescent="0.2">
      <c r="AF19913" s="12"/>
    </row>
    <row r="19914" spans="32:32" x14ac:dyDescent="0.2">
      <c r="AF19914" s="12"/>
    </row>
    <row r="19915" spans="32:32" x14ac:dyDescent="0.2">
      <c r="AF19915" s="12"/>
    </row>
    <row r="19916" spans="32:32" x14ac:dyDescent="0.2">
      <c r="AF19916" s="12"/>
    </row>
    <row r="19917" spans="32:32" x14ac:dyDescent="0.2">
      <c r="AF19917" s="12"/>
    </row>
    <row r="19918" spans="32:32" x14ac:dyDescent="0.2">
      <c r="AF19918" s="12"/>
    </row>
    <row r="19919" spans="32:32" x14ac:dyDescent="0.2">
      <c r="AF19919" s="12"/>
    </row>
    <row r="19920" spans="32:32" x14ac:dyDescent="0.2">
      <c r="AF19920" s="12"/>
    </row>
    <row r="19921" spans="32:32" x14ac:dyDescent="0.2">
      <c r="AF19921" s="12"/>
    </row>
    <row r="19922" spans="32:32" x14ac:dyDescent="0.2">
      <c r="AF19922" s="12"/>
    </row>
    <row r="19923" spans="32:32" x14ac:dyDescent="0.2">
      <c r="AF19923" s="12"/>
    </row>
    <row r="19924" spans="32:32" x14ac:dyDescent="0.2">
      <c r="AF19924" s="12"/>
    </row>
    <row r="19925" spans="32:32" x14ac:dyDescent="0.2">
      <c r="AF19925" s="12"/>
    </row>
    <row r="19926" spans="32:32" x14ac:dyDescent="0.2">
      <c r="AF19926" s="12"/>
    </row>
    <row r="19927" spans="32:32" x14ac:dyDescent="0.2">
      <c r="AF19927" s="12"/>
    </row>
    <row r="19928" spans="32:32" x14ac:dyDescent="0.2">
      <c r="AF19928" s="12"/>
    </row>
    <row r="19929" spans="32:32" x14ac:dyDescent="0.2">
      <c r="AF19929" s="12"/>
    </row>
    <row r="19930" spans="32:32" x14ac:dyDescent="0.2">
      <c r="AF19930" s="12"/>
    </row>
    <row r="19931" spans="32:32" x14ac:dyDescent="0.2">
      <c r="AF19931" s="12"/>
    </row>
    <row r="19932" spans="32:32" x14ac:dyDescent="0.2">
      <c r="AF19932" s="12"/>
    </row>
    <row r="19933" spans="32:32" x14ac:dyDescent="0.2">
      <c r="AF19933" s="12"/>
    </row>
    <row r="19934" spans="32:32" x14ac:dyDescent="0.2">
      <c r="AF19934" s="12"/>
    </row>
    <row r="19935" spans="32:32" x14ac:dyDescent="0.2">
      <c r="AF19935" s="12"/>
    </row>
    <row r="19936" spans="32:32" x14ac:dyDescent="0.2">
      <c r="AF19936" s="12"/>
    </row>
    <row r="19937" spans="32:32" x14ac:dyDescent="0.2">
      <c r="AF19937" s="12"/>
    </row>
    <row r="19938" spans="32:32" x14ac:dyDescent="0.2">
      <c r="AF19938" s="12"/>
    </row>
    <row r="19939" spans="32:32" x14ac:dyDescent="0.2">
      <c r="AF19939" s="12"/>
    </row>
    <row r="19940" spans="32:32" x14ac:dyDescent="0.2">
      <c r="AF19940" s="12"/>
    </row>
    <row r="19941" spans="32:32" x14ac:dyDescent="0.2">
      <c r="AF19941" s="12"/>
    </row>
    <row r="19942" spans="32:32" x14ac:dyDescent="0.2">
      <c r="AF19942" s="12"/>
    </row>
    <row r="19943" spans="32:32" x14ac:dyDescent="0.2">
      <c r="AF19943" s="12"/>
    </row>
    <row r="19944" spans="32:32" x14ac:dyDescent="0.2">
      <c r="AF19944" s="12"/>
    </row>
    <row r="19945" spans="32:32" x14ac:dyDescent="0.2">
      <c r="AF19945" s="12"/>
    </row>
    <row r="19946" spans="32:32" x14ac:dyDescent="0.2">
      <c r="AF19946" s="12"/>
    </row>
    <row r="19947" spans="32:32" x14ac:dyDescent="0.2">
      <c r="AF19947" s="12"/>
    </row>
    <row r="19948" spans="32:32" x14ac:dyDescent="0.2">
      <c r="AF19948" s="12"/>
    </row>
    <row r="19949" spans="32:32" x14ac:dyDescent="0.2">
      <c r="AF19949" s="12"/>
    </row>
    <row r="19950" spans="32:32" x14ac:dyDescent="0.2">
      <c r="AF19950" s="12"/>
    </row>
    <row r="19951" spans="32:32" x14ac:dyDescent="0.2">
      <c r="AF19951" s="12"/>
    </row>
    <row r="19952" spans="32:32" x14ac:dyDescent="0.2">
      <c r="AF19952" s="12"/>
    </row>
    <row r="19953" spans="32:32" x14ac:dyDescent="0.2">
      <c r="AF19953" s="12"/>
    </row>
    <row r="19954" spans="32:32" x14ac:dyDescent="0.2">
      <c r="AF19954" s="12"/>
    </row>
    <row r="19955" spans="32:32" x14ac:dyDescent="0.2">
      <c r="AF19955" s="12"/>
    </row>
    <row r="19956" spans="32:32" x14ac:dyDescent="0.2">
      <c r="AF19956" s="12"/>
    </row>
    <row r="19957" spans="32:32" x14ac:dyDescent="0.2">
      <c r="AF19957" s="12"/>
    </row>
    <row r="19958" spans="32:32" x14ac:dyDescent="0.2">
      <c r="AF19958" s="12"/>
    </row>
    <row r="19959" spans="32:32" x14ac:dyDescent="0.2">
      <c r="AF19959" s="12"/>
    </row>
    <row r="19960" spans="32:32" x14ac:dyDescent="0.2">
      <c r="AF19960" s="12"/>
    </row>
    <row r="19961" spans="32:32" x14ac:dyDescent="0.2">
      <c r="AF19961" s="12"/>
    </row>
    <row r="19962" spans="32:32" x14ac:dyDescent="0.2">
      <c r="AF19962" s="12"/>
    </row>
    <row r="19963" spans="32:32" x14ac:dyDescent="0.2">
      <c r="AF19963" s="12"/>
    </row>
    <row r="19964" spans="32:32" x14ac:dyDescent="0.2">
      <c r="AF19964" s="12"/>
    </row>
    <row r="19965" spans="32:32" x14ac:dyDescent="0.2">
      <c r="AF19965" s="12"/>
    </row>
    <row r="19966" spans="32:32" x14ac:dyDescent="0.2">
      <c r="AF19966" s="12"/>
    </row>
    <row r="19967" spans="32:32" x14ac:dyDescent="0.2">
      <c r="AF19967" s="12"/>
    </row>
    <row r="19968" spans="32:32" x14ac:dyDescent="0.2">
      <c r="AF19968" s="12"/>
    </row>
    <row r="19969" spans="32:32" x14ac:dyDescent="0.2">
      <c r="AF19969" s="12"/>
    </row>
    <row r="19970" spans="32:32" x14ac:dyDescent="0.2">
      <c r="AF19970" s="12"/>
    </row>
    <row r="19971" spans="32:32" x14ac:dyDescent="0.2">
      <c r="AF19971" s="12"/>
    </row>
    <row r="19972" spans="32:32" x14ac:dyDescent="0.2">
      <c r="AF19972" s="12"/>
    </row>
    <row r="19973" spans="32:32" x14ac:dyDescent="0.2">
      <c r="AF19973" s="12"/>
    </row>
    <row r="19974" spans="32:32" x14ac:dyDescent="0.2">
      <c r="AF19974" s="12"/>
    </row>
    <row r="19975" spans="32:32" x14ac:dyDescent="0.2">
      <c r="AF19975" s="12"/>
    </row>
    <row r="19976" spans="32:32" x14ac:dyDescent="0.2">
      <c r="AF19976" s="12"/>
    </row>
    <row r="19977" spans="32:32" x14ac:dyDescent="0.2">
      <c r="AF19977" s="12"/>
    </row>
    <row r="19978" spans="32:32" x14ac:dyDescent="0.2">
      <c r="AF19978" s="12"/>
    </row>
    <row r="19979" spans="32:32" x14ac:dyDescent="0.2">
      <c r="AF19979" s="12"/>
    </row>
    <row r="19980" spans="32:32" x14ac:dyDescent="0.2">
      <c r="AF19980" s="12"/>
    </row>
    <row r="19981" spans="32:32" x14ac:dyDescent="0.2">
      <c r="AF19981" s="12"/>
    </row>
    <row r="19982" spans="32:32" x14ac:dyDescent="0.2">
      <c r="AF19982" s="12"/>
    </row>
    <row r="19983" spans="32:32" x14ac:dyDescent="0.2">
      <c r="AF19983" s="12"/>
    </row>
    <row r="19984" spans="32:32" x14ac:dyDescent="0.2">
      <c r="AF19984" s="12"/>
    </row>
    <row r="19985" spans="32:32" x14ac:dyDescent="0.2">
      <c r="AF19985" s="12"/>
    </row>
    <row r="19986" spans="32:32" x14ac:dyDescent="0.2">
      <c r="AF19986" s="12"/>
    </row>
    <row r="19987" spans="32:32" x14ac:dyDescent="0.2">
      <c r="AF19987" s="12"/>
    </row>
    <row r="19988" spans="32:32" x14ac:dyDescent="0.2">
      <c r="AF19988" s="12"/>
    </row>
    <row r="19989" spans="32:32" x14ac:dyDescent="0.2">
      <c r="AF19989" s="12"/>
    </row>
    <row r="19990" spans="32:32" x14ac:dyDescent="0.2">
      <c r="AF19990" s="12"/>
    </row>
    <row r="19991" spans="32:32" x14ac:dyDescent="0.2">
      <c r="AF19991" s="12"/>
    </row>
    <row r="19992" spans="32:32" x14ac:dyDescent="0.2">
      <c r="AF19992" s="12"/>
    </row>
    <row r="19993" spans="32:32" x14ac:dyDescent="0.2">
      <c r="AF19993" s="12"/>
    </row>
    <row r="19994" spans="32:32" x14ac:dyDescent="0.2">
      <c r="AF19994" s="12"/>
    </row>
    <row r="19995" spans="32:32" x14ac:dyDescent="0.2">
      <c r="AF19995" s="12"/>
    </row>
    <row r="19996" spans="32:32" x14ac:dyDescent="0.2">
      <c r="AF19996" s="12"/>
    </row>
    <row r="19997" spans="32:32" x14ac:dyDescent="0.2">
      <c r="AF19997" s="12"/>
    </row>
    <row r="19998" spans="32:32" x14ac:dyDescent="0.2">
      <c r="AF19998" s="12"/>
    </row>
    <row r="19999" spans="32:32" x14ac:dyDescent="0.2">
      <c r="AF19999" s="12"/>
    </row>
    <row r="20000" spans="32:32" x14ac:dyDescent="0.2">
      <c r="AF20000" s="12"/>
    </row>
    <row r="20001" spans="32:32" x14ac:dyDescent="0.2">
      <c r="AF20001" s="12"/>
    </row>
    <row r="20002" spans="32:32" x14ac:dyDescent="0.2">
      <c r="AF20002" s="12"/>
    </row>
    <row r="20003" spans="32:32" x14ac:dyDescent="0.2">
      <c r="AF20003" s="12"/>
    </row>
    <row r="20004" spans="32:32" x14ac:dyDescent="0.2">
      <c r="AF20004" s="12"/>
    </row>
    <row r="20005" spans="32:32" x14ac:dyDescent="0.2">
      <c r="AF20005" s="12"/>
    </row>
    <row r="20006" spans="32:32" x14ac:dyDescent="0.2">
      <c r="AF20006" s="12"/>
    </row>
    <row r="20007" spans="32:32" x14ac:dyDescent="0.2">
      <c r="AF20007" s="12"/>
    </row>
    <row r="20008" spans="32:32" x14ac:dyDescent="0.2">
      <c r="AF20008" s="12"/>
    </row>
    <row r="20009" spans="32:32" x14ac:dyDescent="0.2">
      <c r="AF20009" s="12"/>
    </row>
    <row r="20010" spans="32:32" x14ac:dyDescent="0.2">
      <c r="AF20010" s="12"/>
    </row>
    <row r="20011" spans="32:32" x14ac:dyDescent="0.2">
      <c r="AF20011" s="12"/>
    </row>
    <row r="20012" spans="32:32" x14ac:dyDescent="0.2">
      <c r="AF20012" s="12"/>
    </row>
    <row r="20013" spans="32:32" x14ac:dyDescent="0.2">
      <c r="AF20013" s="12"/>
    </row>
    <row r="20014" spans="32:32" x14ac:dyDescent="0.2">
      <c r="AF20014" s="12"/>
    </row>
    <row r="20015" spans="32:32" x14ac:dyDescent="0.2">
      <c r="AF20015" s="12"/>
    </row>
    <row r="20016" spans="32:32" x14ac:dyDescent="0.2">
      <c r="AF20016" s="12"/>
    </row>
    <row r="20017" spans="32:32" x14ac:dyDescent="0.2">
      <c r="AF20017" s="12"/>
    </row>
    <row r="20018" spans="32:32" x14ac:dyDescent="0.2">
      <c r="AF20018" s="12"/>
    </row>
    <row r="20019" spans="32:32" x14ac:dyDescent="0.2">
      <c r="AF20019" s="12"/>
    </row>
    <row r="20020" spans="32:32" x14ac:dyDescent="0.2">
      <c r="AF20020" s="12"/>
    </row>
    <row r="20021" spans="32:32" x14ac:dyDescent="0.2">
      <c r="AF20021" s="12"/>
    </row>
    <row r="20022" spans="32:32" x14ac:dyDescent="0.2">
      <c r="AF20022" s="12"/>
    </row>
    <row r="20023" spans="32:32" x14ac:dyDescent="0.2">
      <c r="AF20023" s="12"/>
    </row>
    <row r="20024" spans="32:32" x14ac:dyDescent="0.2">
      <c r="AF20024" s="12"/>
    </row>
    <row r="20025" spans="32:32" x14ac:dyDescent="0.2">
      <c r="AF20025" s="12"/>
    </row>
    <row r="20026" spans="32:32" x14ac:dyDescent="0.2">
      <c r="AF20026" s="12"/>
    </row>
    <row r="20027" spans="32:32" x14ac:dyDescent="0.2">
      <c r="AF20027" s="12"/>
    </row>
    <row r="20028" spans="32:32" x14ac:dyDescent="0.2">
      <c r="AF20028" s="12"/>
    </row>
    <row r="20029" spans="32:32" x14ac:dyDescent="0.2">
      <c r="AF20029" s="12"/>
    </row>
    <row r="20030" spans="32:32" x14ac:dyDescent="0.2">
      <c r="AF20030" s="12"/>
    </row>
    <row r="20031" spans="32:32" x14ac:dyDescent="0.2">
      <c r="AF20031" s="12"/>
    </row>
    <row r="20032" spans="32:32" x14ac:dyDescent="0.2">
      <c r="AF20032" s="12"/>
    </row>
    <row r="20033" spans="32:32" x14ac:dyDescent="0.2">
      <c r="AF20033" s="12"/>
    </row>
    <row r="20034" spans="32:32" x14ac:dyDescent="0.2">
      <c r="AF20034" s="12"/>
    </row>
    <row r="20035" spans="32:32" x14ac:dyDescent="0.2">
      <c r="AF20035" s="12"/>
    </row>
    <row r="20036" spans="32:32" x14ac:dyDescent="0.2">
      <c r="AF20036" s="12"/>
    </row>
    <row r="20037" spans="32:32" x14ac:dyDescent="0.2">
      <c r="AF20037" s="12"/>
    </row>
    <row r="20038" spans="32:32" x14ac:dyDescent="0.2">
      <c r="AF20038" s="12"/>
    </row>
    <row r="20039" spans="32:32" x14ac:dyDescent="0.2">
      <c r="AF20039" s="12"/>
    </row>
    <row r="20040" spans="32:32" x14ac:dyDescent="0.2">
      <c r="AF20040" s="12"/>
    </row>
    <row r="20041" spans="32:32" x14ac:dyDescent="0.2">
      <c r="AF20041" s="12"/>
    </row>
    <row r="20042" spans="32:32" x14ac:dyDescent="0.2">
      <c r="AF20042" s="12"/>
    </row>
    <row r="20043" spans="32:32" x14ac:dyDescent="0.2">
      <c r="AF20043" s="12"/>
    </row>
    <row r="20044" spans="32:32" x14ac:dyDescent="0.2">
      <c r="AF20044" s="12"/>
    </row>
    <row r="20045" spans="32:32" x14ac:dyDescent="0.2">
      <c r="AF20045" s="12"/>
    </row>
    <row r="20046" spans="32:32" x14ac:dyDescent="0.2">
      <c r="AF20046" s="12"/>
    </row>
    <row r="20047" spans="32:32" x14ac:dyDescent="0.2">
      <c r="AF20047" s="12"/>
    </row>
    <row r="20048" spans="32:32" x14ac:dyDescent="0.2">
      <c r="AF20048" s="12"/>
    </row>
    <row r="20049" spans="32:32" x14ac:dyDescent="0.2">
      <c r="AF20049" s="12"/>
    </row>
    <row r="20050" spans="32:32" x14ac:dyDescent="0.2">
      <c r="AF20050" s="12"/>
    </row>
    <row r="20051" spans="32:32" x14ac:dyDescent="0.2">
      <c r="AF20051" s="12"/>
    </row>
    <row r="20052" spans="32:32" x14ac:dyDescent="0.2">
      <c r="AF20052" s="12"/>
    </row>
    <row r="20053" spans="32:32" x14ac:dyDescent="0.2">
      <c r="AF20053" s="12"/>
    </row>
    <row r="20054" spans="32:32" x14ac:dyDescent="0.2">
      <c r="AF20054" s="12"/>
    </row>
    <row r="20055" spans="32:32" x14ac:dyDescent="0.2">
      <c r="AF20055" s="12"/>
    </row>
    <row r="20056" spans="32:32" x14ac:dyDescent="0.2">
      <c r="AF20056" s="12"/>
    </row>
    <row r="20057" spans="32:32" x14ac:dyDescent="0.2">
      <c r="AF20057" s="12"/>
    </row>
    <row r="20058" spans="32:32" x14ac:dyDescent="0.2">
      <c r="AF20058" s="12"/>
    </row>
    <row r="20059" spans="32:32" x14ac:dyDescent="0.2">
      <c r="AF20059" s="12"/>
    </row>
    <row r="20060" spans="32:32" x14ac:dyDescent="0.2">
      <c r="AF20060" s="12"/>
    </row>
    <row r="20061" spans="32:32" x14ac:dyDescent="0.2">
      <c r="AF20061" s="12"/>
    </row>
    <row r="20062" spans="32:32" x14ac:dyDescent="0.2">
      <c r="AF20062" s="12"/>
    </row>
    <row r="20063" spans="32:32" x14ac:dyDescent="0.2">
      <c r="AF20063" s="12"/>
    </row>
    <row r="20064" spans="32:32" x14ac:dyDescent="0.2">
      <c r="AF20064" s="12"/>
    </row>
    <row r="20065" spans="32:32" x14ac:dyDescent="0.2">
      <c r="AF20065" s="12"/>
    </row>
    <row r="20066" spans="32:32" x14ac:dyDescent="0.2">
      <c r="AF20066" s="12"/>
    </row>
    <row r="20067" spans="32:32" x14ac:dyDescent="0.2">
      <c r="AF20067" s="12"/>
    </row>
    <row r="20068" spans="32:32" x14ac:dyDescent="0.2">
      <c r="AF20068" s="12"/>
    </row>
    <row r="20069" spans="32:32" x14ac:dyDescent="0.2">
      <c r="AF20069" s="12"/>
    </row>
    <row r="20070" spans="32:32" x14ac:dyDescent="0.2">
      <c r="AF20070" s="12"/>
    </row>
    <row r="20071" spans="32:32" x14ac:dyDescent="0.2">
      <c r="AF20071" s="12"/>
    </row>
    <row r="20072" spans="32:32" x14ac:dyDescent="0.2">
      <c r="AF20072" s="12"/>
    </row>
    <row r="20073" spans="32:32" x14ac:dyDescent="0.2">
      <c r="AF20073" s="12"/>
    </row>
    <row r="20074" spans="32:32" x14ac:dyDescent="0.2">
      <c r="AF20074" s="12"/>
    </row>
    <row r="20075" spans="32:32" x14ac:dyDescent="0.2">
      <c r="AF20075" s="12"/>
    </row>
    <row r="20076" spans="32:32" x14ac:dyDescent="0.2">
      <c r="AF20076" s="12"/>
    </row>
    <row r="20077" spans="32:32" x14ac:dyDescent="0.2">
      <c r="AF20077" s="12"/>
    </row>
    <row r="20078" spans="32:32" x14ac:dyDescent="0.2">
      <c r="AF20078" s="12"/>
    </row>
    <row r="20079" spans="32:32" x14ac:dyDescent="0.2">
      <c r="AF20079" s="12"/>
    </row>
    <row r="20080" spans="32:32" x14ac:dyDescent="0.2">
      <c r="AF20080" s="12"/>
    </row>
    <row r="20081" spans="32:32" x14ac:dyDescent="0.2">
      <c r="AF20081" s="12"/>
    </row>
    <row r="20082" spans="32:32" x14ac:dyDescent="0.2">
      <c r="AF20082" s="12"/>
    </row>
    <row r="20083" spans="32:32" x14ac:dyDescent="0.2">
      <c r="AF20083" s="12"/>
    </row>
    <row r="20084" spans="32:32" x14ac:dyDescent="0.2">
      <c r="AF20084" s="12"/>
    </row>
    <row r="20085" spans="32:32" x14ac:dyDescent="0.2">
      <c r="AF20085" s="12"/>
    </row>
    <row r="20086" spans="32:32" x14ac:dyDescent="0.2">
      <c r="AF20086" s="12"/>
    </row>
    <row r="20087" spans="32:32" x14ac:dyDescent="0.2">
      <c r="AF20087" s="12"/>
    </row>
    <row r="20088" spans="32:32" x14ac:dyDescent="0.2">
      <c r="AF20088" s="12"/>
    </row>
    <row r="20089" spans="32:32" x14ac:dyDescent="0.2">
      <c r="AF20089" s="12"/>
    </row>
    <row r="20090" spans="32:32" x14ac:dyDescent="0.2">
      <c r="AF20090" s="12"/>
    </row>
    <row r="20091" spans="32:32" x14ac:dyDescent="0.2">
      <c r="AF20091" s="12"/>
    </row>
    <row r="20092" spans="32:32" x14ac:dyDescent="0.2">
      <c r="AF20092" s="12"/>
    </row>
    <row r="20093" spans="32:32" x14ac:dyDescent="0.2">
      <c r="AF20093" s="12"/>
    </row>
    <row r="20094" spans="32:32" x14ac:dyDescent="0.2">
      <c r="AF20094" s="12"/>
    </row>
    <row r="20095" spans="32:32" x14ac:dyDescent="0.2">
      <c r="AF20095" s="12"/>
    </row>
    <row r="20096" spans="32:32" x14ac:dyDescent="0.2">
      <c r="AF20096" s="12"/>
    </row>
    <row r="20097" spans="32:32" x14ac:dyDescent="0.2">
      <c r="AF20097" s="12"/>
    </row>
    <row r="20098" spans="32:32" x14ac:dyDescent="0.2">
      <c r="AF20098" s="12"/>
    </row>
    <row r="20099" spans="32:32" x14ac:dyDescent="0.2">
      <c r="AF20099" s="12"/>
    </row>
    <row r="20100" spans="32:32" x14ac:dyDescent="0.2">
      <c r="AF20100" s="12"/>
    </row>
    <row r="20101" spans="32:32" x14ac:dyDescent="0.2">
      <c r="AF20101" s="12"/>
    </row>
    <row r="20102" spans="32:32" x14ac:dyDescent="0.2">
      <c r="AF20102" s="12"/>
    </row>
    <row r="20103" spans="32:32" x14ac:dyDescent="0.2">
      <c r="AF20103" s="12"/>
    </row>
    <row r="20104" spans="32:32" x14ac:dyDescent="0.2">
      <c r="AF20104" s="12"/>
    </row>
    <row r="20105" spans="32:32" x14ac:dyDescent="0.2">
      <c r="AF20105" s="12"/>
    </row>
    <row r="20106" spans="32:32" x14ac:dyDescent="0.2">
      <c r="AF20106" s="12"/>
    </row>
    <row r="20107" spans="32:32" x14ac:dyDescent="0.2">
      <c r="AF20107" s="12"/>
    </row>
    <row r="20108" spans="32:32" x14ac:dyDescent="0.2">
      <c r="AF20108" s="12"/>
    </row>
    <row r="20109" spans="32:32" x14ac:dyDescent="0.2">
      <c r="AF20109" s="12"/>
    </row>
    <row r="20110" spans="32:32" x14ac:dyDescent="0.2">
      <c r="AF20110" s="12"/>
    </row>
    <row r="20111" spans="32:32" x14ac:dyDescent="0.2">
      <c r="AF20111" s="12"/>
    </row>
    <row r="20112" spans="32:32" x14ac:dyDescent="0.2">
      <c r="AF20112" s="12"/>
    </row>
    <row r="20113" spans="32:32" x14ac:dyDescent="0.2">
      <c r="AF20113" s="12"/>
    </row>
    <row r="20114" spans="32:32" x14ac:dyDescent="0.2">
      <c r="AF20114" s="12"/>
    </row>
    <row r="20115" spans="32:32" x14ac:dyDescent="0.2">
      <c r="AF20115" s="12"/>
    </row>
    <row r="20116" spans="32:32" x14ac:dyDescent="0.2">
      <c r="AF20116" s="12"/>
    </row>
    <row r="20117" spans="32:32" x14ac:dyDescent="0.2">
      <c r="AF20117" s="12"/>
    </row>
    <row r="20118" spans="32:32" x14ac:dyDescent="0.2">
      <c r="AF20118" s="12"/>
    </row>
    <row r="20119" spans="32:32" x14ac:dyDescent="0.2">
      <c r="AF20119" s="12"/>
    </row>
    <row r="20120" spans="32:32" x14ac:dyDescent="0.2">
      <c r="AF20120" s="12"/>
    </row>
    <row r="20121" spans="32:32" x14ac:dyDescent="0.2">
      <c r="AF20121" s="12"/>
    </row>
    <row r="20122" spans="32:32" x14ac:dyDescent="0.2">
      <c r="AF20122" s="12"/>
    </row>
    <row r="20123" spans="32:32" x14ac:dyDescent="0.2">
      <c r="AF20123" s="12"/>
    </row>
    <row r="20124" spans="32:32" x14ac:dyDescent="0.2">
      <c r="AF20124" s="12"/>
    </row>
    <row r="20125" spans="32:32" x14ac:dyDescent="0.2">
      <c r="AF20125" s="12"/>
    </row>
    <row r="20126" spans="32:32" x14ac:dyDescent="0.2">
      <c r="AF20126" s="12"/>
    </row>
    <row r="20127" spans="32:32" x14ac:dyDescent="0.2">
      <c r="AF20127" s="12"/>
    </row>
    <row r="20128" spans="32:32" x14ac:dyDescent="0.2">
      <c r="AF20128" s="12"/>
    </row>
    <row r="20129" spans="32:32" x14ac:dyDescent="0.2">
      <c r="AF20129" s="12"/>
    </row>
    <row r="20130" spans="32:32" x14ac:dyDescent="0.2">
      <c r="AF20130" s="12"/>
    </row>
    <row r="20131" spans="32:32" x14ac:dyDescent="0.2">
      <c r="AF20131" s="12"/>
    </row>
    <row r="20132" spans="32:32" x14ac:dyDescent="0.2">
      <c r="AF20132" s="12"/>
    </row>
    <row r="20133" spans="32:32" x14ac:dyDescent="0.2">
      <c r="AF20133" s="12"/>
    </row>
    <row r="20134" spans="32:32" x14ac:dyDescent="0.2">
      <c r="AF20134" s="12"/>
    </row>
    <row r="20135" spans="32:32" x14ac:dyDescent="0.2">
      <c r="AF20135" s="12"/>
    </row>
    <row r="20136" spans="32:32" x14ac:dyDescent="0.2">
      <c r="AF20136" s="12"/>
    </row>
    <row r="20137" spans="32:32" x14ac:dyDescent="0.2">
      <c r="AF20137" s="12"/>
    </row>
    <row r="20138" spans="32:32" x14ac:dyDescent="0.2">
      <c r="AF20138" s="12"/>
    </row>
    <row r="20139" spans="32:32" x14ac:dyDescent="0.2">
      <c r="AF20139" s="12"/>
    </row>
    <row r="20140" spans="32:32" x14ac:dyDescent="0.2">
      <c r="AF20140" s="12"/>
    </row>
    <row r="20141" spans="32:32" x14ac:dyDescent="0.2">
      <c r="AF20141" s="12"/>
    </row>
    <row r="20142" spans="32:32" x14ac:dyDescent="0.2">
      <c r="AF20142" s="12"/>
    </row>
    <row r="20143" spans="32:32" x14ac:dyDescent="0.2">
      <c r="AF20143" s="12"/>
    </row>
    <row r="20144" spans="32:32" x14ac:dyDescent="0.2">
      <c r="AF20144" s="12"/>
    </row>
    <row r="20145" spans="32:32" x14ac:dyDescent="0.2">
      <c r="AF20145" s="12"/>
    </row>
    <row r="20146" spans="32:32" x14ac:dyDescent="0.2">
      <c r="AF20146" s="12"/>
    </row>
    <row r="20147" spans="32:32" x14ac:dyDescent="0.2">
      <c r="AF20147" s="12"/>
    </row>
    <row r="20148" spans="32:32" x14ac:dyDescent="0.2">
      <c r="AF20148" s="12"/>
    </row>
    <row r="20149" spans="32:32" x14ac:dyDescent="0.2">
      <c r="AF20149" s="12"/>
    </row>
    <row r="20150" spans="32:32" x14ac:dyDescent="0.2">
      <c r="AF20150" s="12"/>
    </row>
    <row r="20151" spans="32:32" x14ac:dyDescent="0.2">
      <c r="AF20151" s="12"/>
    </row>
    <row r="20152" spans="32:32" x14ac:dyDescent="0.2">
      <c r="AF20152" s="12"/>
    </row>
    <row r="20153" spans="32:32" x14ac:dyDescent="0.2">
      <c r="AF20153" s="12"/>
    </row>
    <row r="20154" spans="32:32" x14ac:dyDescent="0.2">
      <c r="AF20154" s="12"/>
    </row>
    <row r="20155" spans="32:32" x14ac:dyDescent="0.2">
      <c r="AF20155" s="12"/>
    </row>
    <row r="20156" spans="32:32" x14ac:dyDescent="0.2">
      <c r="AF20156" s="12"/>
    </row>
    <row r="20157" spans="32:32" x14ac:dyDescent="0.2">
      <c r="AF20157" s="12"/>
    </row>
    <row r="20158" spans="32:32" x14ac:dyDescent="0.2">
      <c r="AF20158" s="12"/>
    </row>
    <row r="20159" spans="32:32" x14ac:dyDescent="0.2">
      <c r="AF20159" s="12"/>
    </row>
    <row r="20160" spans="32:32" x14ac:dyDescent="0.2">
      <c r="AF20160" s="12"/>
    </row>
    <row r="20161" spans="32:32" x14ac:dyDescent="0.2">
      <c r="AF20161" s="12"/>
    </row>
    <row r="20162" spans="32:32" x14ac:dyDescent="0.2">
      <c r="AF20162" s="12"/>
    </row>
    <row r="20163" spans="32:32" x14ac:dyDescent="0.2">
      <c r="AF20163" s="12"/>
    </row>
    <row r="20164" spans="32:32" x14ac:dyDescent="0.2">
      <c r="AF20164" s="12"/>
    </row>
    <row r="20165" spans="32:32" x14ac:dyDescent="0.2">
      <c r="AF20165" s="12"/>
    </row>
    <row r="20166" spans="32:32" x14ac:dyDescent="0.2">
      <c r="AF20166" s="12"/>
    </row>
    <row r="20167" spans="32:32" x14ac:dyDescent="0.2">
      <c r="AF20167" s="12"/>
    </row>
    <row r="20168" spans="32:32" x14ac:dyDescent="0.2">
      <c r="AF20168" s="12"/>
    </row>
    <row r="20169" spans="32:32" x14ac:dyDescent="0.2">
      <c r="AF20169" s="12"/>
    </row>
    <row r="20170" spans="32:32" x14ac:dyDescent="0.2">
      <c r="AF20170" s="12"/>
    </row>
    <row r="20171" spans="32:32" x14ac:dyDescent="0.2">
      <c r="AF20171" s="12"/>
    </row>
    <row r="20172" spans="32:32" x14ac:dyDescent="0.2">
      <c r="AF20172" s="12"/>
    </row>
    <row r="20173" spans="32:32" x14ac:dyDescent="0.2">
      <c r="AF20173" s="12"/>
    </row>
    <row r="20174" spans="32:32" x14ac:dyDescent="0.2">
      <c r="AF20174" s="12"/>
    </row>
    <row r="20175" spans="32:32" x14ac:dyDescent="0.2">
      <c r="AF20175" s="12"/>
    </row>
    <row r="20176" spans="32:32" x14ac:dyDescent="0.2">
      <c r="AF20176" s="12"/>
    </row>
    <row r="20177" spans="32:32" x14ac:dyDescent="0.2">
      <c r="AF20177" s="12"/>
    </row>
    <row r="20178" spans="32:32" x14ac:dyDescent="0.2">
      <c r="AF20178" s="12"/>
    </row>
    <row r="20179" spans="32:32" x14ac:dyDescent="0.2">
      <c r="AF20179" s="12"/>
    </row>
    <row r="20180" spans="32:32" x14ac:dyDescent="0.2">
      <c r="AF20180" s="12"/>
    </row>
    <row r="20181" spans="32:32" x14ac:dyDescent="0.2">
      <c r="AF20181" s="12"/>
    </row>
    <row r="20182" spans="32:32" x14ac:dyDescent="0.2">
      <c r="AF20182" s="12"/>
    </row>
    <row r="20183" spans="32:32" x14ac:dyDescent="0.2">
      <c r="AF20183" s="12"/>
    </row>
    <row r="20184" spans="32:32" x14ac:dyDescent="0.2">
      <c r="AF20184" s="12"/>
    </row>
    <row r="20185" spans="32:32" x14ac:dyDescent="0.2">
      <c r="AF20185" s="12"/>
    </row>
    <row r="20186" spans="32:32" x14ac:dyDescent="0.2">
      <c r="AF20186" s="12"/>
    </row>
    <row r="20187" spans="32:32" x14ac:dyDescent="0.2">
      <c r="AF20187" s="12"/>
    </row>
    <row r="20188" spans="32:32" x14ac:dyDescent="0.2">
      <c r="AF20188" s="12"/>
    </row>
    <row r="20189" spans="32:32" x14ac:dyDescent="0.2">
      <c r="AF20189" s="12"/>
    </row>
    <row r="20190" spans="32:32" x14ac:dyDescent="0.2">
      <c r="AF20190" s="12"/>
    </row>
    <row r="20191" spans="32:32" x14ac:dyDescent="0.2">
      <c r="AF20191" s="12"/>
    </row>
    <row r="20192" spans="32:32" x14ac:dyDescent="0.2">
      <c r="AF20192" s="12"/>
    </row>
    <row r="20193" spans="32:32" x14ac:dyDescent="0.2">
      <c r="AF20193" s="12"/>
    </row>
    <row r="20194" spans="32:32" x14ac:dyDescent="0.2">
      <c r="AF20194" s="12"/>
    </row>
    <row r="20195" spans="32:32" x14ac:dyDescent="0.2">
      <c r="AF20195" s="12"/>
    </row>
    <row r="20196" spans="32:32" x14ac:dyDescent="0.2">
      <c r="AF20196" s="12"/>
    </row>
    <row r="20197" spans="32:32" x14ac:dyDescent="0.2">
      <c r="AF20197" s="12"/>
    </row>
    <row r="20198" spans="32:32" x14ac:dyDescent="0.2">
      <c r="AF20198" s="12"/>
    </row>
    <row r="20199" spans="32:32" x14ac:dyDescent="0.2">
      <c r="AF20199" s="12"/>
    </row>
    <row r="20200" spans="32:32" x14ac:dyDescent="0.2">
      <c r="AF20200" s="12"/>
    </row>
    <row r="20201" spans="32:32" x14ac:dyDescent="0.2">
      <c r="AF20201" s="12"/>
    </row>
    <row r="20202" spans="32:32" x14ac:dyDescent="0.2">
      <c r="AF20202" s="12"/>
    </row>
    <row r="20203" spans="32:32" x14ac:dyDescent="0.2">
      <c r="AF20203" s="12"/>
    </row>
    <row r="20204" spans="32:32" x14ac:dyDescent="0.2">
      <c r="AF20204" s="12"/>
    </row>
    <row r="20205" spans="32:32" x14ac:dyDescent="0.2">
      <c r="AF20205" s="12"/>
    </row>
    <row r="20206" spans="32:32" x14ac:dyDescent="0.2">
      <c r="AF20206" s="12"/>
    </row>
    <row r="20207" spans="32:32" x14ac:dyDescent="0.2">
      <c r="AF20207" s="12"/>
    </row>
    <row r="20208" spans="32:32" x14ac:dyDescent="0.2">
      <c r="AF20208" s="12"/>
    </row>
    <row r="20209" spans="32:32" x14ac:dyDescent="0.2">
      <c r="AF20209" s="12"/>
    </row>
    <row r="20210" spans="32:32" x14ac:dyDescent="0.2">
      <c r="AF20210" s="12"/>
    </row>
    <row r="20211" spans="32:32" x14ac:dyDescent="0.2">
      <c r="AF20211" s="12"/>
    </row>
    <row r="20212" spans="32:32" x14ac:dyDescent="0.2">
      <c r="AF20212" s="12"/>
    </row>
    <row r="20213" spans="32:32" x14ac:dyDescent="0.2">
      <c r="AF20213" s="12"/>
    </row>
    <row r="20214" spans="32:32" x14ac:dyDescent="0.2">
      <c r="AF20214" s="12"/>
    </row>
    <row r="20215" spans="32:32" x14ac:dyDescent="0.2">
      <c r="AF20215" s="12"/>
    </row>
    <row r="20216" spans="32:32" x14ac:dyDescent="0.2">
      <c r="AF20216" s="12"/>
    </row>
    <row r="20217" spans="32:32" x14ac:dyDescent="0.2">
      <c r="AF20217" s="12"/>
    </row>
    <row r="20218" spans="32:32" x14ac:dyDescent="0.2">
      <c r="AF20218" s="12"/>
    </row>
    <row r="20219" spans="32:32" x14ac:dyDescent="0.2">
      <c r="AF20219" s="12"/>
    </row>
    <row r="20220" spans="32:32" x14ac:dyDescent="0.2">
      <c r="AF20220" s="12"/>
    </row>
    <row r="20221" spans="32:32" x14ac:dyDescent="0.2">
      <c r="AF20221" s="12"/>
    </row>
    <row r="20222" spans="32:32" x14ac:dyDescent="0.2">
      <c r="AF20222" s="12"/>
    </row>
    <row r="20223" spans="32:32" x14ac:dyDescent="0.2">
      <c r="AF20223" s="12"/>
    </row>
    <row r="20224" spans="32:32" x14ac:dyDescent="0.2">
      <c r="AF20224" s="12"/>
    </row>
    <row r="20225" spans="32:32" x14ac:dyDescent="0.2">
      <c r="AF20225" s="12"/>
    </row>
    <row r="20226" spans="32:32" x14ac:dyDescent="0.2">
      <c r="AF20226" s="12"/>
    </row>
    <row r="20227" spans="32:32" x14ac:dyDescent="0.2">
      <c r="AF20227" s="12"/>
    </row>
    <row r="20228" spans="32:32" x14ac:dyDescent="0.2">
      <c r="AF20228" s="12"/>
    </row>
    <row r="20229" spans="32:32" x14ac:dyDescent="0.2">
      <c r="AF20229" s="12"/>
    </row>
    <row r="20230" spans="32:32" x14ac:dyDescent="0.2">
      <c r="AF20230" s="12"/>
    </row>
    <row r="20231" spans="32:32" x14ac:dyDescent="0.2">
      <c r="AF20231" s="12"/>
    </row>
    <row r="20232" spans="32:32" x14ac:dyDescent="0.2">
      <c r="AF20232" s="12"/>
    </row>
    <row r="20233" spans="32:32" x14ac:dyDescent="0.2">
      <c r="AF20233" s="12"/>
    </row>
    <row r="20234" spans="32:32" x14ac:dyDescent="0.2">
      <c r="AF20234" s="12"/>
    </row>
    <row r="20235" spans="32:32" x14ac:dyDescent="0.2">
      <c r="AF20235" s="12"/>
    </row>
    <row r="20236" spans="32:32" x14ac:dyDescent="0.2">
      <c r="AF20236" s="12"/>
    </row>
    <row r="20237" spans="32:32" x14ac:dyDescent="0.2">
      <c r="AF20237" s="12"/>
    </row>
    <row r="20238" spans="32:32" x14ac:dyDescent="0.2">
      <c r="AF20238" s="12"/>
    </row>
    <row r="20239" spans="32:32" x14ac:dyDescent="0.2">
      <c r="AF20239" s="12"/>
    </row>
    <row r="20240" spans="32:32" x14ac:dyDescent="0.2">
      <c r="AF20240" s="12"/>
    </row>
    <row r="20241" spans="32:32" x14ac:dyDescent="0.2">
      <c r="AF20241" s="12"/>
    </row>
    <row r="20242" spans="32:32" x14ac:dyDescent="0.2">
      <c r="AF20242" s="12"/>
    </row>
    <row r="20243" spans="32:32" x14ac:dyDescent="0.2">
      <c r="AF20243" s="12"/>
    </row>
    <row r="20244" spans="32:32" x14ac:dyDescent="0.2">
      <c r="AF20244" s="12"/>
    </row>
    <row r="20245" spans="32:32" x14ac:dyDescent="0.2">
      <c r="AF20245" s="12"/>
    </row>
    <row r="20246" spans="32:32" x14ac:dyDescent="0.2">
      <c r="AF20246" s="12"/>
    </row>
    <row r="20247" spans="32:32" x14ac:dyDescent="0.2">
      <c r="AF20247" s="12"/>
    </row>
    <row r="20248" spans="32:32" x14ac:dyDescent="0.2">
      <c r="AF20248" s="12"/>
    </row>
    <row r="20249" spans="32:32" x14ac:dyDescent="0.2">
      <c r="AF20249" s="12"/>
    </row>
    <row r="20250" spans="32:32" x14ac:dyDescent="0.2">
      <c r="AF20250" s="12"/>
    </row>
    <row r="20251" spans="32:32" x14ac:dyDescent="0.2">
      <c r="AF20251" s="12"/>
    </row>
    <row r="20252" spans="32:32" x14ac:dyDescent="0.2">
      <c r="AF20252" s="12"/>
    </row>
    <row r="20253" spans="32:32" x14ac:dyDescent="0.2">
      <c r="AF20253" s="12"/>
    </row>
    <row r="20254" spans="32:32" x14ac:dyDescent="0.2">
      <c r="AF20254" s="12"/>
    </row>
    <row r="20255" spans="32:32" x14ac:dyDescent="0.2">
      <c r="AF20255" s="12"/>
    </row>
    <row r="20256" spans="32:32" x14ac:dyDescent="0.2">
      <c r="AF20256" s="12"/>
    </row>
    <row r="20257" spans="32:32" x14ac:dyDescent="0.2">
      <c r="AF20257" s="12"/>
    </row>
    <row r="20258" spans="32:32" x14ac:dyDescent="0.2">
      <c r="AF20258" s="12"/>
    </row>
    <row r="20259" spans="32:32" x14ac:dyDescent="0.2">
      <c r="AF20259" s="12"/>
    </row>
    <row r="20260" spans="32:32" x14ac:dyDescent="0.2">
      <c r="AF20260" s="12"/>
    </row>
    <row r="20261" spans="32:32" x14ac:dyDescent="0.2">
      <c r="AF20261" s="12"/>
    </row>
    <row r="20262" spans="32:32" x14ac:dyDescent="0.2">
      <c r="AF20262" s="12"/>
    </row>
    <row r="20263" spans="32:32" x14ac:dyDescent="0.2">
      <c r="AF20263" s="12"/>
    </row>
    <row r="20264" spans="32:32" x14ac:dyDescent="0.2">
      <c r="AF20264" s="12"/>
    </row>
    <row r="20265" spans="32:32" x14ac:dyDescent="0.2">
      <c r="AF20265" s="12"/>
    </row>
    <row r="20266" spans="32:32" x14ac:dyDescent="0.2">
      <c r="AF20266" s="12"/>
    </row>
    <row r="20267" spans="32:32" x14ac:dyDescent="0.2">
      <c r="AF20267" s="12"/>
    </row>
    <row r="20268" spans="32:32" x14ac:dyDescent="0.2">
      <c r="AF20268" s="12"/>
    </row>
    <row r="20269" spans="32:32" x14ac:dyDescent="0.2">
      <c r="AF20269" s="12"/>
    </row>
    <row r="20270" spans="32:32" x14ac:dyDescent="0.2">
      <c r="AF20270" s="12"/>
    </row>
    <row r="20271" spans="32:32" x14ac:dyDescent="0.2">
      <c r="AF20271" s="12"/>
    </row>
    <row r="20272" spans="32:32" x14ac:dyDescent="0.2">
      <c r="AF20272" s="12"/>
    </row>
    <row r="20273" spans="32:32" x14ac:dyDescent="0.2">
      <c r="AF20273" s="12"/>
    </row>
    <row r="20274" spans="32:32" x14ac:dyDescent="0.2">
      <c r="AF20274" s="12"/>
    </row>
    <row r="20275" spans="32:32" x14ac:dyDescent="0.2">
      <c r="AF20275" s="12"/>
    </row>
    <row r="20276" spans="32:32" x14ac:dyDescent="0.2">
      <c r="AF20276" s="12"/>
    </row>
    <row r="20277" spans="32:32" x14ac:dyDescent="0.2">
      <c r="AF20277" s="12"/>
    </row>
    <row r="20278" spans="32:32" x14ac:dyDescent="0.2">
      <c r="AF20278" s="12"/>
    </row>
    <row r="20279" spans="32:32" x14ac:dyDescent="0.2">
      <c r="AF20279" s="12"/>
    </row>
    <row r="20280" spans="32:32" x14ac:dyDescent="0.2">
      <c r="AF20280" s="12"/>
    </row>
    <row r="20281" spans="32:32" x14ac:dyDescent="0.2">
      <c r="AF20281" s="12"/>
    </row>
    <row r="20282" spans="32:32" x14ac:dyDescent="0.2">
      <c r="AF20282" s="12"/>
    </row>
    <row r="20283" spans="32:32" x14ac:dyDescent="0.2">
      <c r="AF20283" s="12"/>
    </row>
    <row r="20284" spans="32:32" x14ac:dyDescent="0.2">
      <c r="AF20284" s="12"/>
    </row>
    <row r="20285" spans="32:32" x14ac:dyDescent="0.2">
      <c r="AF20285" s="12"/>
    </row>
    <row r="20286" spans="32:32" x14ac:dyDescent="0.2">
      <c r="AF20286" s="12"/>
    </row>
    <row r="20287" spans="32:32" x14ac:dyDescent="0.2">
      <c r="AF20287" s="12"/>
    </row>
    <row r="20288" spans="32:32" x14ac:dyDescent="0.2">
      <c r="AF20288" s="12"/>
    </row>
    <row r="20289" spans="32:32" x14ac:dyDescent="0.2">
      <c r="AF20289" s="12"/>
    </row>
    <row r="20290" spans="32:32" x14ac:dyDescent="0.2">
      <c r="AF20290" s="12"/>
    </row>
    <row r="20291" spans="32:32" x14ac:dyDescent="0.2">
      <c r="AF20291" s="12"/>
    </row>
    <row r="20292" spans="32:32" x14ac:dyDescent="0.2">
      <c r="AF20292" s="12"/>
    </row>
    <row r="20293" spans="32:32" x14ac:dyDescent="0.2">
      <c r="AF20293" s="12"/>
    </row>
    <row r="20294" spans="32:32" x14ac:dyDescent="0.2">
      <c r="AF20294" s="12"/>
    </row>
    <row r="20295" spans="32:32" x14ac:dyDescent="0.2">
      <c r="AF20295" s="12"/>
    </row>
    <row r="20296" spans="32:32" x14ac:dyDescent="0.2">
      <c r="AF20296" s="12"/>
    </row>
    <row r="20297" spans="32:32" x14ac:dyDescent="0.2">
      <c r="AF20297" s="12"/>
    </row>
    <row r="20298" spans="32:32" x14ac:dyDescent="0.2">
      <c r="AF20298" s="12"/>
    </row>
    <row r="20299" spans="32:32" x14ac:dyDescent="0.2">
      <c r="AF20299" s="12"/>
    </row>
    <row r="20300" spans="32:32" x14ac:dyDescent="0.2">
      <c r="AF20300" s="12"/>
    </row>
    <row r="20301" spans="32:32" x14ac:dyDescent="0.2">
      <c r="AF20301" s="12"/>
    </row>
    <row r="20302" spans="32:32" x14ac:dyDescent="0.2">
      <c r="AF20302" s="12"/>
    </row>
    <row r="20303" spans="32:32" x14ac:dyDescent="0.2">
      <c r="AF20303" s="12"/>
    </row>
    <row r="20304" spans="32:32" x14ac:dyDescent="0.2">
      <c r="AF20304" s="12"/>
    </row>
    <row r="20305" spans="32:32" x14ac:dyDescent="0.2">
      <c r="AF20305" s="12"/>
    </row>
    <row r="20306" spans="32:32" x14ac:dyDescent="0.2">
      <c r="AF20306" s="12"/>
    </row>
    <row r="20307" spans="32:32" x14ac:dyDescent="0.2">
      <c r="AF20307" s="12"/>
    </row>
    <row r="20308" spans="32:32" x14ac:dyDescent="0.2">
      <c r="AF20308" s="12"/>
    </row>
    <row r="20309" spans="32:32" x14ac:dyDescent="0.2">
      <c r="AF20309" s="12"/>
    </row>
    <row r="20310" spans="32:32" x14ac:dyDescent="0.2">
      <c r="AF20310" s="12"/>
    </row>
    <row r="20311" spans="32:32" x14ac:dyDescent="0.2">
      <c r="AF20311" s="12"/>
    </row>
    <row r="20312" spans="32:32" x14ac:dyDescent="0.2">
      <c r="AF20312" s="12"/>
    </row>
    <row r="20313" spans="32:32" x14ac:dyDescent="0.2">
      <c r="AF20313" s="12"/>
    </row>
    <row r="20314" spans="32:32" x14ac:dyDescent="0.2">
      <c r="AF20314" s="12"/>
    </row>
    <row r="20315" spans="32:32" x14ac:dyDescent="0.2">
      <c r="AF20315" s="12"/>
    </row>
    <row r="20316" spans="32:32" x14ac:dyDescent="0.2">
      <c r="AF20316" s="12"/>
    </row>
    <row r="20317" spans="32:32" x14ac:dyDescent="0.2">
      <c r="AF20317" s="12"/>
    </row>
    <row r="20318" spans="32:32" x14ac:dyDescent="0.2">
      <c r="AF20318" s="12"/>
    </row>
    <row r="20319" spans="32:32" x14ac:dyDescent="0.2">
      <c r="AF20319" s="12"/>
    </row>
    <row r="20320" spans="32:32" x14ac:dyDescent="0.2">
      <c r="AF20320" s="12"/>
    </row>
    <row r="20321" spans="32:32" x14ac:dyDescent="0.2">
      <c r="AF20321" s="12"/>
    </row>
    <row r="20322" spans="32:32" x14ac:dyDescent="0.2">
      <c r="AF20322" s="12"/>
    </row>
    <row r="20323" spans="32:32" x14ac:dyDescent="0.2">
      <c r="AF20323" s="12"/>
    </row>
    <row r="20324" spans="32:32" x14ac:dyDescent="0.2">
      <c r="AF20324" s="12"/>
    </row>
    <row r="20325" spans="32:32" x14ac:dyDescent="0.2">
      <c r="AF20325" s="12"/>
    </row>
    <row r="20326" spans="32:32" x14ac:dyDescent="0.2">
      <c r="AF20326" s="12"/>
    </row>
    <row r="20327" spans="32:32" x14ac:dyDescent="0.2">
      <c r="AF20327" s="12"/>
    </row>
    <row r="20328" spans="32:32" x14ac:dyDescent="0.2">
      <c r="AF20328" s="12"/>
    </row>
    <row r="20329" spans="32:32" x14ac:dyDescent="0.2">
      <c r="AF20329" s="12"/>
    </row>
    <row r="20330" spans="32:32" x14ac:dyDescent="0.2">
      <c r="AF20330" s="12"/>
    </row>
    <row r="20331" spans="32:32" x14ac:dyDescent="0.2">
      <c r="AF20331" s="12"/>
    </row>
    <row r="20332" spans="32:32" x14ac:dyDescent="0.2">
      <c r="AF20332" s="12"/>
    </row>
    <row r="20333" spans="32:32" x14ac:dyDescent="0.2">
      <c r="AF20333" s="12"/>
    </row>
    <row r="20334" spans="32:32" x14ac:dyDescent="0.2">
      <c r="AF20334" s="12"/>
    </row>
    <row r="20335" spans="32:32" x14ac:dyDescent="0.2">
      <c r="AF20335" s="12"/>
    </row>
    <row r="20336" spans="32:32" x14ac:dyDescent="0.2">
      <c r="AF20336" s="12"/>
    </row>
    <row r="20337" spans="32:32" x14ac:dyDescent="0.2">
      <c r="AF20337" s="12"/>
    </row>
    <row r="20338" spans="32:32" x14ac:dyDescent="0.2">
      <c r="AF20338" s="12"/>
    </row>
    <row r="20339" spans="32:32" x14ac:dyDescent="0.2">
      <c r="AF20339" s="12"/>
    </row>
    <row r="20340" spans="32:32" x14ac:dyDescent="0.2">
      <c r="AF20340" s="12"/>
    </row>
    <row r="20341" spans="32:32" x14ac:dyDescent="0.2">
      <c r="AF20341" s="12"/>
    </row>
    <row r="20342" spans="32:32" x14ac:dyDescent="0.2">
      <c r="AF20342" s="12"/>
    </row>
    <row r="20343" spans="32:32" x14ac:dyDescent="0.2">
      <c r="AF20343" s="12"/>
    </row>
    <row r="20344" spans="32:32" x14ac:dyDescent="0.2">
      <c r="AF20344" s="12"/>
    </row>
    <row r="20345" spans="32:32" x14ac:dyDescent="0.2">
      <c r="AF20345" s="12"/>
    </row>
    <row r="20346" spans="32:32" x14ac:dyDescent="0.2">
      <c r="AF20346" s="12"/>
    </row>
    <row r="20347" spans="32:32" x14ac:dyDescent="0.2">
      <c r="AF20347" s="12"/>
    </row>
    <row r="20348" spans="32:32" x14ac:dyDescent="0.2">
      <c r="AF20348" s="12"/>
    </row>
    <row r="20349" spans="32:32" x14ac:dyDescent="0.2">
      <c r="AF20349" s="12"/>
    </row>
    <row r="20350" spans="32:32" x14ac:dyDescent="0.2">
      <c r="AF20350" s="12"/>
    </row>
    <row r="20351" spans="32:32" x14ac:dyDescent="0.2">
      <c r="AF20351" s="12"/>
    </row>
    <row r="20352" spans="32:32" x14ac:dyDescent="0.2">
      <c r="AF20352" s="12"/>
    </row>
    <row r="20353" spans="32:32" x14ac:dyDescent="0.2">
      <c r="AF20353" s="12"/>
    </row>
    <row r="20354" spans="32:32" x14ac:dyDescent="0.2">
      <c r="AF20354" s="12"/>
    </row>
    <row r="20355" spans="32:32" x14ac:dyDescent="0.2">
      <c r="AF20355" s="12"/>
    </row>
    <row r="20356" spans="32:32" x14ac:dyDescent="0.2">
      <c r="AF20356" s="12"/>
    </row>
    <row r="20357" spans="32:32" x14ac:dyDescent="0.2">
      <c r="AF20357" s="12"/>
    </row>
    <row r="20358" spans="32:32" x14ac:dyDescent="0.2">
      <c r="AF20358" s="12"/>
    </row>
    <row r="20359" spans="32:32" x14ac:dyDescent="0.2">
      <c r="AF20359" s="12"/>
    </row>
    <row r="20360" spans="32:32" x14ac:dyDescent="0.2">
      <c r="AF20360" s="12"/>
    </row>
    <row r="20361" spans="32:32" x14ac:dyDescent="0.2">
      <c r="AF20361" s="12"/>
    </row>
    <row r="20362" spans="32:32" x14ac:dyDescent="0.2">
      <c r="AF20362" s="12"/>
    </row>
    <row r="20363" spans="32:32" x14ac:dyDescent="0.2">
      <c r="AF20363" s="12"/>
    </row>
    <row r="20364" spans="32:32" x14ac:dyDescent="0.2">
      <c r="AF20364" s="12"/>
    </row>
    <row r="20365" spans="32:32" x14ac:dyDescent="0.2">
      <c r="AF20365" s="12"/>
    </row>
    <row r="20366" spans="32:32" x14ac:dyDescent="0.2">
      <c r="AF20366" s="12"/>
    </row>
    <row r="20367" spans="32:32" x14ac:dyDescent="0.2">
      <c r="AF20367" s="12"/>
    </row>
    <row r="20368" spans="32:32" x14ac:dyDescent="0.2">
      <c r="AF20368" s="12"/>
    </row>
    <row r="20369" spans="32:32" x14ac:dyDescent="0.2">
      <c r="AF20369" s="12"/>
    </row>
    <row r="20370" spans="32:32" x14ac:dyDescent="0.2">
      <c r="AF20370" s="12"/>
    </row>
    <row r="20371" spans="32:32" x14ac:dyDescent="0.2">
      <c r="AF20371" s="12"/>
    </row>
    <row r="20372" spans="32:32" x14ac:dyDescent="0.2">
      <c r="AF20372" s="12"/>
    </row>
    <row r="20373" spans="32:32" x14ac:dyDescent="0.2">
      <c r="AF20373" s="12"/>
    </row>
    <row r="20374" spans="32:32" x14ac:dyDescent="0.2">
      <c r="AF20374" s="12"/>
    </row>
    <row r="20375" spans="32:32" x14ac:dyDescent="0.2">
      <c r="AF20375" s="12"/>
    </row>
    <row r="20376" spans="32:32" x14ac:dyDescent="0.2">
      <c r="AF20376" s="12"/>
    </row>
    <row r="20377" spans="32:32" x14ac:dyDescent="0.2">
      <c r="AF20377" s="12"/>
    </row>
    <row r="20378" spans="32:32" x14ac:dyDescent="0.2">
      <c r="AF20378" s="12"/>
    </row>
    <row r="20379" spans="32:32" x14ac:dyDescent="0.2">
      <c r="AF20379" s="12"/>
    </row>
    <row r="20380" spans="32:32" x14ac:dyDescent="0.2">
      <c r="AF20380" s="12"/>
    </row>
    <row r="20381" spans="32:32" x14ac:dyDescent="0.2">
      <c r="AF20381" s="12"/>
    </row>
    <row r="20382" spans="32:32" x14ac:dyDescent="0.2">
      <c r="AF20382" s="12"/>
    </row>
    <row r="20383" spans="32:32" x14ac:dyDescent="0.2">
      <c r="AF20383" s="12"/>
    </row>
    <row r="20384" spans="32:32" x14ac:dyDescent="0.2">
      <c r="AF20384" s="12"/>
    </row>
    <row r="20385" spans="32:32" x14ac:dyDescent="0.2">
      <c r="AF20385" s="12"/>
    </row>
    <row r="20386" spans="32:32" x14ac:dyDescent="0.2">
      <c r="AF20386" s="12"/>
    </row>
    <row r="20387" spans="32:32" x14ac:dyDescent="0.2">
      <c r="AF20387" s="12"/>
    </row>
    <row r="20388" spans="32:32" x14ac:dyDescent="0.2">
      <c r="AF20388" s="12"/>
    </row>
    <row r="20389" spans="32:32" x14ac:dyDescent="0.2">
      <c r="AF20389" s="12"/>
    </row>
    <row r="20390" spans="32:32" x14ac:dyDescent="0.2">
      <c r="AF20390" s="12"/>
    </row>
    <row r="20391" spans="32:32" x14ac:dyDescent="0.2">
      <c r="AF20391" s="12"/>
    </row>
    <row r="20392" spans="32:32" x14ac:dyDescent="0.2">
      <c r="AF20392" s="12"/>
    </row>
    <row r="20393" spans="32:32" x14ac:dyDescent="0.2">
      <c r="AF20393" s="12"/>
    </row>
    <row r="20394" spans="32:32" x14ac:dyDescent="0.2">
      <c r="AF20394" s="12"/>
    </row>
    <row r="20395" spans="32:32" x14ac:dyDescent="0.2">
      <c r="AF20395" s="12"/>
    </row>
    <row r="20396" spans="32:32" x14ac:dyDescent="0.2">
      <c r="AF20396" s="12"/>
    </row>
    <row r="20397" spans="32:32" x14ac:dyDescent="0.2">
      <c r="AF20397" s="12"/>
    </row>
    <row r="20398" spans="32:32" x14ac:dyDescent="0.2">
      <c r="AF20398" s="12"/>
    </row>
    <row r="20399" spans="32:32" x14ac:dyDescent="0.2">
      <c r="AF20399" s="12"/>
    </row>
    <row r="20400" spans="32:32" x14ac:dyDescent="0.2">
      <c r="AF20400" s="12"/>
    </row>
    <row r="20401" spans="32:32" x14ac:dyDescent="0.2">
      <c r="AF20401" s="12"/>
    </row>
    <row r="20402" spans="32:32" x14ac:dyDescent="0.2">
      <c r="AF20402" s="12"/>
    </row>
    <row r="20403" spans="32:32" x14ac:dyDescent="0.2">
      <c r="AF20403" s="12"/>
    </row>
    <row r="20404" spans="32:32" x14ac:dyDescent="0.2">
      <c r="AF20404" s="12"/>
    </row>
    <row r="20405" spans="32:32" x14ac:dyDescent="0.2">
      <c r="AF20405" s="12"/>
    </row>
    <row r="20406" spans="32:32" x14ac:dyDescent="0.2">
      <c r="AF20406" s="12"/>
    </row>
    <row r="20407" spans="32:32" x14ac:dyDescent="0.2">
      <c r="AF20407" s="12"/>
    </row>
    <row r="20408" spans="32:32" x14ac:dyDescent="0.2">
      <c r="AF20408" s="12"/>
    </row>
    <row r="20409" spans="32:32" x14ac:dyDescent="0.2">
      <c r="AF20409" s="12"/>
    </row>
    <row r="20410" spans="32:32" x14ac:dyDescent="0.2">
      <c r="AF20410" s="12"/>
    </row>
    <row r="20411" spans="32:32" x14ac:dyDescent="0.2">
      <c r="AF20411" s="12"/>
    </row>
    <row r="20412" spans="32:32" x14ac:dyDescent="0.2">
      <c r="AF20412" s="12"/>
    </row>
    <row r="20413" spans="32:32" x14ac:dyDescent="0.2">
      <c r="AF20413" s="12"/>
    </row>
    <row r="20414" spans="32:32" x14ac:dyDescent="0.2">
      <c r="AF20414" s="12"/>
    </row>
    <row r="20415" spans="32:32" x14ac:dyDescent="0.2">
      <c r="AF20415" s="12"/>
    </row>
    <row r="20416" spans="32:32" x14ac:dyDescent="0.2">
      <c r="AF20416" s="12"/>
    </row>
    <row r="20417" spans="32:32" x14ac:dyDescent="0.2">
      <c r="AF20417" s="12"/>
    </row>
    <row r="20418" spans="32:32" x14ac:dyDescent="0.2">
      <c r="AF20418" s="12"/>
    </row>
    <row r="20419" spans="32:32" x14ac:dyDescent="0.2">
      <c r="AF20419" s="12"/>
    </row>
    <row r="20420" spans="32:32" x14ac:dyDescent="0.2">
      <c r="AF20420" s="12"/>
    </row>
    <row r="20421" spans="32:32" x14ac:dyDescent="0.2">
      <c r="AF20421" s="12"/>
    </row>
    <row r="20422" spans="32:32" x14ac:dyDescent="0.2">
      <c r="AF20422" s="12"/>
    </row>
    <row r="20423" spans="32:32" x14ac:dyDescent="0.2">
      <c r="AF20423" s="12"/>
    </row>
    <row r="20424" spans="32:32" x14ac:dyDescent="0.2">
      <c r="AF20424" s="12"/>
    </row>
    <row r="20425" spans="32:32" x14ac:dyDescent="0.2">
      <c r="AF20425" s="12"/>
    </row>
    <row r="20426" spans="32:32" x14ac:dyDescent="0.2">
      <c r="AF20426" s="12"/>
    </row>
    <row r="20427" spans="32:32" x14ac:dyDescent="0.2">
      <c r="AF20427" s="12"/>
    </row>
    <row r="20428" spans="32:32" x14ac:dyDescent="0.2">
      <c r="AF20428" s="12"/>
    </row>
    <row r="20429" spans="32:32" x14ac:dyDescent="0.2">
      <c r="AF20429" s="12"/>
    </row>
    <row r="20430" spans="32:32" x14ac:dyDescent="0.2">
      <c r="AF20430" s="12"/>
    </row>
    <row r="20431" spans="32:32" x14ac:dyDescent="0.2">
      <c r="AF20431" s="12"/>
    </row>
    <row r="20432" spans="32:32" x14ac:dyDescent="0.2">
      <c r="AF20432" s="12"/>
    </row>
    <row r="20433" spans="32:32" x14ac:dyDescent="0.2">
      <c r="AF20433" s="12"/>
    </row>
    <row r="20434" spans="32:32" x14ac:dyDescent="0.2">
      <c r="AF20434" s="12"/>
    </row>
    <row r="20435" spans="32:32" x14ac:dyDescent="0.2">
      <c r="AF20435" s="12"/>
    </row>
    <row r="20436" spans="32:32" x14ac:dyDescent="0.2">
      <c r="AF20436" s="12"/>
    </row>
    <row r="20437" spans="32:32" x14ac:dyDescent="0.2">
      <c r="AF20437" s="12"/>
    </row>
    <row r="20438" spans="32:32" x14ac:dyDescent="0.2">
      <c r="AF20438" s="12"/>
    </row>
    <row r="20439" spans="32:32" x14ac:dyDescent="0.2">
      <c r="AF20439" s="12"/>
    </row>
    <row r="20440" spans="32:32" x14ac:dyDescent="0.2">
      <c r="AF20440" s="12"/>
    </row>
    <row r="20441" spans="32:32" x14ac:dyDescent="0.2">
      <c r="AF20441" s="12"/>
    </row>
    <row r="20442" spans="32:32" x14ac:dyDescent="0.2">
      <c r="AF20442" s="12"/>
    </row>
    <row r="20443" spans="32:32" x14ac:dyDescent="0.2">
      <c r="AF20443" s="12"/>
    </row>
    <row r="20444" spans="32:32" x14ac:dyDescent="0.2">
      <c r="AF20444" s="12"/>
    </row>
    <row r="20445" spans="32:32" x14ac:dyDescent="0.2">
      <c r="AF20445" s="12"/>
    </row>
    <row r="20446" spans="32:32" x14ac:dyDescent="0.2">
      <c r="AF20446" s="12"/>
    </row>
    <row r="20447" spans="32:32" x14ac:dyDescent="0.2">
      <c r="AF20447" s="12"/>
    </row>
    <row r="20448" spans="32:32" x14ac:dyDescent="0.2">
      <c r="AF20448" s="12"/>
    </row>
    <row r="20449" spans="32:32" x14ac:dyDescent="0.2">
      <c r="AF20449" s="12"/>
    </row>
    <row r="20450" spans="32:32" x14ac:dyDescent="0.2">
      <c r="AF20450" s="12"/>
    </row>
    <row r="20451" spans="32:32" x14ac:dyDescent="0.2">
      <c r="AF20451" s="12"/>
    </row>
    <row r="20452" spans="32:32" x14ac:dyDescent="0.2">
      <c r="AF20452" s="12"/>
    </row>
    <row r="20453" spans="32:32" x14ac:dyDescent="0.2">
      <c r="AF20453" s="12"/>
    </row>
    <row r="20454" spans="32:32" x14ac:dyDescent="0.2">
      <c r="AF20454" s="12"/>
    </row>
    <row r="20455" spans="32:32" x14ac:dyDescent="0.2">
      <c r="AF20455" s="12"/>
    </row>
    <row r="20456" spans="32:32" x14ac:dyDescent="0.2">
      <c r="AF20456" s="12"/>
    </row>
    <row r="20457" spans="32:32" x14ac:dyDescent="0.2">
      <c r="AF20457" s="12"/>
    </row>
    <row r="20458" spans="32:32" x14ac:dyDescent="0.2">
      <c r="AF20458" s="12"/>
    </row>
    <row r="20459" spans="32:32" x14ac:dyDescent="0.2">
      <c r="AF20459" s="12"/>
    </row>
    <row r="20460" spans="32:32" x14ac:dyDescent="0.2">
      <c r="AF20460" s="12"/>
    </row>
    <row r="20461" spans="32:32" x14ac:dyDescent="0.2">
      <c r="AF20461" s="12"/>
    </row>
    <row r="20462" spans="32:32" x14ac:dyDescent="0.2">
      <c r="AF20462" s="12"/>
    </row>
    <row r="20463" spans="32:32" x14ac:dyDescent="0.2">
      <c r="AF20463" s="12"/>
    </row>
    <row r="20464" spans="32:32" x14ac:dyDescent="0.2">
      <c r="AF20464" s="12"/>
    </row>
    <row r="20465" spans="32:32" x14ac:dyDescent="0.2">
      <c r="AF20465" s="12"/>
    </row>
    <row r="20466" spans="32:32" x14ac:dyDescent="0.2">
      <c r="AF20466" s="12"/>
    </row>
    <row r="20467" spans="32:32" x14ac:dyDescent="0.2">
      <c r="AF20467" s="12"/>
    </row>
    <row r="20468" spans="32:32" x14ac:dyDescent="0.2">
      <c r="AF20468" s="12"/>
    </row>
    <row r="20469" spans="32:32" x14ac:dyDescent="0.2">
      <c r="AF20469" s="12"/>
    </row>
    <row r="20470" spans="32:32" x14ac:dyDescent="0.2">
      <c r="AF20470" s="12"/>
    </row>
    <row r="20471" spans="32:32" x14ac:dyDescent="0.2">
      <c r="AF20471" s="12"/>
    </row>
    <row r="20472" spans="32:32" x14ac:dyDescent="0.2">
      <c r="AF20472" s="12"/>
    </row>
    <row r="20473" spans="32:32" x14ac:dyDescent="0.2">
      <c r="AF20473" s="12"/>
    </row>
    <row r="20474" spans="32:32" x14ac:dyDescent="0.2">
      <c r="AF20474" s="12"/>
    </row>
    <row r="20475" spans="32:32" x14ac:dyDescent="0.2">
      <c r="AF20475" s="12"/>
    </row>
    <row r="20476" spans="32:32" x14ac:dyDescent="0.2">
      <c r="AF20476" s="12"/>
    </row>
    <row r="20477" spans="32:32" x14ac:dyDescent="0.2">
      <c r="AF20477" s="12"/>
    </row>
    <row r="20478" spans="32:32" x14ac:dyDescent="0.2">
      <c r="AF20478" s="12"/>
    </row>
    <row r="20479" spans="32:32" x14ac:dyDescent="0.2">
      <c r="AF20479" s="12"/>
    </row>
    <row r="20480" spans="32:32" x14ac:dyDescent="0.2">
      <c r="AF20480" s="12"/>
    </row>
    <row r="20481" spans="32:32" x14ac:dyDescent="0.2">
      <c r="AF20481" s="12"/>
    </row>
    <row r="20482" spans="32:32" x14ac:dyDescent="0.2">
      <c r="AF20482" s="12"/>
    </row>
    <row r="20483" spans="32:32" x14ac:dyDescent="0.2">
      <c r="AF20483" s="12"/>
    </row>
    <row r="20484" spans="32:32" x14ac:dyDescent="0.2">
      <c r="AF20484" s="12"/>
    </row>
    <row r="20485" spans="32:32" x14ac:dyDescent="0.2">
      <c r="AF20485" s="12"/>
    </row>
    <row r="20486" spans="32:32" x14ac:dyDescent="0.2">
      <c r="AF20486" s="12"/>
    </row>
    <row r="20487" spans="32:32" x14ac:dyDescent="0.2">
      <c r="AF20487" s="12"/>
    </row>
    <row r="20488" spans="32:32" x14ac:dyDescent="0.2">
      <c r="AF20488" s="12"/>
    </row>
    <row r="20489" spans="32:32" x14ac:dyDescent="0.2">
      <c r="AF20489" s="12"/>
    </row>
    <row r="20490" spans="32:32" x14ac:dyDescent="0.2">
      <c r="AF20490" s="12"/>
    </row>
    <row r="20491" spans="32:32" x14ac:dyDescent="0.2">
      <c r="AF20491" s="12"/>
    </row>
    <row r="20492" spans="32:32" x14ac:dyDescent="0.2">
      <c r="AF20492" s="12"/>
    </row>
    <row r="20493" spans="32:32" x14ac:dyDescent="0.2">
      <c r="AF20493" s="12"/>
    </row>
    <row r="20494" spans="32:32" x14ac:dyDescent="0.2">
      <c r="AF20494" s="12"/>
    </row>
    <row r="20495" spans="32:32" x14ac:dyDescent="0.2">
      <c r="AF20495" s="12"/>
    </row>
    <row r="20496" spans="32:32" x14ac:dyDescent="0.2">
      <c r="AF20496" s="12"/>
    </row>
    <row r="20497" spans="32:32" x14ac:dyDescent="0.2">
      <c r="AF20497" s="12"/>
    </row>
    <row r="20498" spans="32:32" x14ac:dyDescent="0.2">
      <c r="AF20498" s="12"/>
    </row>
    <row r="20499" spans="32:32" x14ac:dyDescent="0.2">
      <c r="AF20499" s="12"/>
    </row>
    <row r="20500" spans="32:32" x14ac:dyDescent="0.2">
      <c r="AF20500" s="12"/>
    </row>
    <row r="20501" spans="32:32" x14ac:dyDescent="0.2">
      <c r="AF20501" s="12"/>
    </row>
    <row r="20502" spans="32:32" x14ac:dyDescent="0.2">
      <c r="AF20502" s="12"/>
    </row>
    <row r="20503" spans="32:32" x14ac:dyDescent="0.2">
      <c r="AF20503" s="12"/>
    </row>
    <row r="20504" spans="32:32" x14ac:dyDescent="0.2">
      <c r="AF20504" s="12"/>
    </row>
    <row r="20505" spans="32:32" x14ac:dyDescent="0.2">
      <c r="AF20505" s="12"/>
    </row>
    <row r="20506" spans="32:32" x14ac:dyDescent="0.2">
      <c r="AF20506" s="12"/>
    </row>
    <row r="20507" spans="32:32" x14ac:dyDescent="0.2">
      <c r="AF20507" s="12"/>
    </row>
    <row r="20508" spans="32:32" x14ac:dyDescent="0.2">
      <c r="AF20508" s="12"/>
    </row>
    <row r="20509" spans="32:32" x14ac:dyDescent="0.2">
      <c r="AF20509" s="12"/>
    </row>
    <row r="20510" spans="32:32" x14ac:dyDescent="0.2">
      <c r="AF20510" s="12"/>
    </row>
    <row r="20511" spans="32:32" x14ac:dyDescent="0.2">
      <c r="AF20511" s="12"/>
    </row>
    <row r="20512" spans="32:32" x14ac:dyDescent="0.2">
      <c r="AF20512" s="12"/>
    </row>
    <row r="20513" spans="32:32" x14ac:dyDescent="0.2">
      <c r="AF20513" s="12"/>
    </row>
    <row r="20514" spans="32:32" x14ac:dyDescent="0.2">
      <c r="AF20514" s="12"/>
    </row>
    <row r="20515" spans="32:32" x14ac:dyDescent="0.2">
      <c r="AF20515" s="12"/>
    </row>
    <row r="20516" spans="32:32" x14ac:dyDescent="0.2">
      <c r="AF20516" s="12"/>
    </row>
    <row r="20517" spans="32:32" x14ac:dyDescent="0.2">
      <c r="AF20517" s="12"/>
    </row>
    <row r="20518" spans="32:32" x14ac:dyDescent="0.2">
      <c r="AF20518" s="12"/>
    </row>
    <row r="20519" spans="32:32" x14ac:dyDescent="0.2">
      <c r="AF20519" s="12"/>
    </row>
    <row r="20520" spans="32:32" x14ac:dyDescent="0.2">
      <c r="AF20520" s="12"/>
    </row>
    <row r="20521" spans="32:32" x14ac:dyDescent="0.2">
      <c r="AF20521" s="12"/>
    </row>
    <row r="20522" spans="32:32" x14ac:dyDescent="0.2">
      <c r="AF20522" s="12"/>
    </row>
    <row r="20523" spans="32:32" x14ac:dyDescent="0.2">
      <c r="AF20523" s="12"/>
    </row>
    <row r="20524" spans="32:32" x14ac:dyDescent="0.2">
      <c r="AF20524" s="12"/>
    </row>
    <row r="20525" spans="32:32" x14ac:dyDescent="0.2">
      <c r="AF20525" s="12"/>
    </row>
    <row r="20526" spans="32:32" x14ac:dyDescent="0.2">
      <c r="AF20526" s="12"/>
    </row>
    <row r="20527" spans="32:32" x14ac:dyDescent="0.2">
      <c r="AF20527" s="12"/>
    </row>
    <row r="20528" spans="32:32" x14ac:dyDescent="0.2">
      <c r="AF20528" s="12"/>
    </row>
    <row r="20529" spans="32:32" x14ac:dyDescent="0.2">
      <c r="AF20529" s="12"/>
    </row>
    <row r="20530" spans="32:32" x14ac:dyDescent="0.2">
      <c r="AF20530" s="12"/>
    </row>
    <row r="20531" spans="32:32" x14ac:dyDescent="0.2">
      <c r="AF20531" s="12"/>
    </row>
    <row r="20532" spans="32:32" x14ac:dyDescent="0.2">
      <c r="AF20532" s="12"/>
    </row>
    <row r="20533" spans="32:32" x14ac:dyDescent="0.2">
      <c r="AF20533" s="12"/>
    </row>
    <row r="20534" spans="32:32" x14ac:dyDescent="0.2">
      <c r="AF20534" s="12"/>
    </row>
    <row r="20535" spans="32:32" x14ac:dyDescent="0.2">
      <c r="AF20535" s="12"/>
    </row>
    <row r="20536" spans="32:32" x14ac:dyDescent="0.2">
      <c r="AF20536" s="12"/>
    </row>
    <row r="20537" spans="32:32" x14ac:dyDescent="0.2">
      <c r="AF20537" s="12"/>
    </row>
    <row r="20538" spans="32:32" x14ac:dyDescent="0.2">
      <c r="AF20538" s="12"/>
    </row>
    <row r="20539" spans="32:32" x14ac:dyDescent="0.2">
      <c r="AF20539" s="12"/>
    </row>
    <row r="20540" spans="32:32" x14ac:dyDescent="0.2">
      <c r="AF20540" s="12"/>
    </row>
    <row r="20541" spans="32:32" x14ac:dyDescent="0.2">
      <c r="AF20541" s="12"/>
    </row>
    <row r="20542" spans="32:32" x14ac:dyDescent="0.2">
      <c r="AF20542" s="12"/>
    </row>
    <row r="20543" spans="32:32" x14ac:dyDescent="0.2">
      <c r="AF20543" s="12"/>
    </row>
    <row r="20544" spans="32:32" x14ac:dyDescent="0.2">
      <c r="AF20544" s="12"/>
    </row>
    <row r="20545" spans="32:32" x14ac:dyDescent="0.2">
      <c r="AF20545" s="12"/>
    </row>
    <row r="20546" spans="32:32" x14ac:dyDescent="0.2">
      <c r="AF20546" s="12"/>
    </row>
    <row r="20547" spans="32:32" x14ac:dyDescent="0.2">
      <c r="AF20547" s="12"/>
    </row>
    <row r="20548" spans="32:32" x14ac:dyDescent="0.2">
      <c r="AF20548" s="12"/>
    </row>
    <row r="20549" spans="32:32" x14ac:dyDescent="0.2">
      <c r="AF20549" s="12"/>
    </row>
    <row r="20550" spans="32:32" x14ac:dyDescent="0.2">
      <c r="AF20550" s="12"/>
    </row>
    <row r="20551" spans="32:32" x14ac:dyDescent="0.2">
      <c r="AF20551" s="12"/>
    </row>
    <row r="20552" spans="32:32" x14ac:dyDescent="0.2">
      <c r="AF20552" s="12"/>
    </row>
    <row r="20553" spans="32:32" x14ac:dyDescent="0.2">
      <c r="AF20553" s="12"/>
    </row>
    <row r="20554" spans="32:32" x14ac:dyDescent="0.2">
      <c r="AF20554" s="12"/>
    </row>
    <row r="20555" spans="32:32" x14ac:dyDescent="0.2">
      <c r="AF20555" s="12"/>
    </row>
    <row r="20556" spans="32:32" x14ac:dyDescent="0.2">
      <c r="AF20556" s="12"/>
    </row>
    <row r="20557" spans="32:32" x14ac:dyDescent="0.2">
      <c r="AF20557" s="12"/>
    </row>
    <row r="20558" spans="32:32" x14ac:dyDescent="0.2">
      <c r="AF20558" s="12"/>
    </row>
    <row r="20559" spans="32:32" x14ac:dyDescent="0.2">
      <c r="AF20559" s="12"/>
    </row>
    <row r="20560" spans="32:32" x14ac:dyDescent="0.2">
      <c r="AF20560" s="12"/>
    </row>
    <row r="20561" spans="32:32" x14ac:dyDescent="0.2">
      <c r="AF20561" s="12"/>
    </row>
    <row r="20562" spans="32:32" x14ac:dyDescent="0.2">
      <c r="AF20562" s="12"/>
    </row>
    <row r="20563" spans="32:32" x14ac:dyDescent="0.2">
      <c r="AF20563" s="12"/>
    </row>
    <row r="20564" spans="32:32" x14ac:dyDescent="0.2">
      <c r="AF20564" s="12"/>
    </row>
    <row r="20565" spans="32:32" x14ac:dyDescent="0.2">
      <c r="AF20565" s="12"/>
    </row>
    <row r="20566" spans="32:32" x14ac:dyDescent="0.2">
      <c r="AF20566" s="12"/>
    </row>
    <row r="20567" spans="32:32" x14ac:dyDescent="0.2">
      <c r="AF20567" s="12"/>
    </row>
    <row r="20568" spans="32:32" x14ac:dyDescent="0.2">
      <c r="AF20568" s="12"/>
    </row>
    <row r="20569" spans="32:32" x14ac:dyDescent="0.2">
      <c r="AF20569" s="12"/>
    </row>
    <row r="20570" spans="32:32" x14ac:dyDescent="0.2">
      <c r="AF20570" s="12"/>
    </row>
    <row r="20571" spans="32:32" x14ac:dyDescent="0.2">
      <c r="AF20571" s="12"/>
    </row>
    <row r="20572" spans="32:32" x14ac:dyDescent="0.2">
      <c r="AF20572" s="12"/>
    </row>
    <row r="20573" spans="32:32" x14ac:dyDescent="0.2">
      <c r="AF20573" s="12"/>
    </row>
    <row r="20574" spans="32:32" x14ac:dyDescent="0.2">
      <c r="AF20574" s="12"/>
    </row>
    <row r="20575" spans="32:32" x14ac:dyDescent="0.2">
      <c r="AF20575" s="12"/>
    </row>
    <row r="20576" spans="32:32" x14ac:dyDescent="0.2">
      <c r="AF20576" s="12"/>
    </row>
    <row r="20577" spans="32:32" x14ac:dyDescent="0.2">
      <c r="AF20577" s="12"/>
    </row>
    <row r="20578" spans="32:32" x14ac:dyDescent="0.2">
      <c r="AF20578" s="12"/>
    </row>
    <row r="20579" spans="32:32" x14ac:dyDescent="0.2">
      <c r="AF20579" s="12"/>
    </row>
    <row r="20580" spans="32:32" x14ac:dyDescent="0.2">
      <c r="AF20580" s="12"/>
    </row>
    <row r="20581" spans="32:32" x14ac:dyDescent="0.2">
      <c r="AF20581" s="12"/>
    </row>
    <row r="20582" spans="32:32" x14ac:dyDescent="0.2">
      <c r="AF20582" s="12"/>
    </row>
    <row r="20583" spans="32:32" x14ac:dyDescent="0.2">
      <c r="AF20583" s="12"/>
    </row>
    <row r="20584" spans="32:32" x14ac:dyDescent="0.2">
      <c r="AF20584" s="12"/>
    </row>
    <row r="20585" spans="32:32" x14ac:dyDescent="0.2">
      <c r="AF20585" s="12"/>
    </row>
    <row r="20586" spans="32:32" x14ac:dyDescent="0.2">
      <c r="AF20586" s="12"/>
    </row>
    <row r="20587" spans="32:32" x14ac:dyDescent="0.2">
      <c r="AF20587" s="12"/>
    </row>
    <row r="20588" spans="32:32" x14ac:dyDescent="0.2">
      <c r="AF20588" s="12"/>
    </row>
    <row r="20589" spans="32:32" x14ac:dyDescent="0.2">
      <c r="AF20589" s="12"/>
    </row>
    <row r="20590" spans="32:32" x14ac:dyDescent="0.2">
      <c r="AF20590" s="12"/>
    </row>
    <row r="20591" spans="32:32" x14ac:dyDescent="0.2">
      <c r="AF20591" s="12"/>
    </row>
    <row r="20592" spans="32:32" x14ac:dyDescent="0.2">
      <c r="AF20592" s="12"/>
    </row>
    <row r="20593" spans="32:32" x14ac:dyDescent="0.2">
      <c r="AF20593" s="12"/>
    </row>
    <row r="20594" spans="32:32" x14ac:dyDescent="0.2">
      <c r="AF20594" s="12"/>
    </row>
    <row r="20595" spans="32:32" x14ac:dyDescent="0.2">
      <c r="AF20595" s="12"/>
    </row>
    <row r="20596" spans="32:32" x14ac:dyDescent="0.2">
      <c r="AF20596" s="12"/>
    </row>
    <row r="20597" spans="32:32" x14ac:dyDescent="0.2">
      <c r="AF20597" s="12"/>
    </row>
    <row r="20598" spans="32:32" x14ac:dyDescent="0.2">
      <c r="AF20598" s="12"/>
    </row>
    <row r="20599" spans="32:32" x14ac:dyDescent="0.2">
      <c r="AF20599" s="12"/>
    </row>
    <row r="20600" spans="32:32" x14ac:dyDescent="0.2">
      <c r="AF20600" s="12"/>
    </row>
    <row r="20601" spans="32:32" x14ac:dyDescent="0.2">
      <c r="AF20601" s="12"/>
    </row>
    <row r="20602" spans="32:32" x14ac:dyDescent="0.2">
      <c r="AF20602" s="12"/>
    </row>
    <row r="20603" spans="32:32" x14ac:dyDescent="0.2">
      <c r="AF20603" s="12"/>
    </row>
    <row r="20604" spans="32:32" x14ac:dyDescent="0.2">
      <c r="AF20604" s="12"/>
    </row>
    <row r="20605" spans="32:32" x14ac:dyDescent="0.2">
      <c r="AF20605" s="12"/>
    </row>
    <row r="20606" spans="32:32" x14ac:dyDescent="0.2">
      <c r="AF20606" s="12"/>
    </row>
    <row r="20607" spans="32:32" x14ac:dyDescent="0.2">
      <c r="AF20607" s="12"/>
    </row>
    <row r="20608" spans="32:32" x14ac:dyDescent="0.2">
      <c r="AF20608" s="12"/>
    </row>
    <row r="20609" spans="32:32" x14ac:dyDescent="0.2">
      <c r="AF20609" s="12"/>
    </row>
    <row r="20610" spans="32:32" x14ac:dyDescent="0.2">
      <c r="AF20610" s="12"/>
    </row>
    <row r="20611" spans="32:32" x14ac:dyDescent="0.2">
      <c r="AF20611" s="12"/>
    </row>
    <row r="20612" spans="32:32" x14ac:dyDescent="0.2">
      <c r="AF20612" s="12"/>
    </row>
    <row r="20613" spans="32:32" x14ac:dyDescent="0.2">
      <c r="AF20613" s="12"/>
    </row>
    <row r="20614" spans="32:32" x14ac:dyDescent="0.2">
      <c r="AF20614" s="12"/>
    </row>
    <row r="20615" spans="32:32" x14ac:dyDescent="0.2">
      <c r="AF20615" s="12"/>
    </row>
    <row r="20616" spans="32:32" x14ac:dyDescent="0.2">
      <c r="AF20616" s="12"/>
    </row>
    <row r="20617" spans="32:32" x14ac:dyDescent="0.2">
      <c r="AF20617" s="12"/>
    </row>
    <row r="20618" spans="32:32" x14ac:dyDescent="0.2">
      <c r="AF20618" s="12"/>
    </row>
    <row r="20619" spans="32:32" x14ac:dyDescent="0.2">
      <c r="AF20619" s="12"/>
    </row>
    <row r="20620" spans="32:32" x14ac:dyDescent="0.2">
      <c r="AF20620" s="12"/>
    </row>
    <row r="20621" spans="32:32" x14ac:dyDescent="0.2">
      <c r="AF20621" s="12"/>
    </row>
    <row r="20622" spans="32:32" x14ac:dyDescent="0.2">
      <c r="AF20622" s="12"/>
    </row>
    <row r="20623" spans="32:32" x14ac:dyDescent="0.2">
      <c r="AF20623" s="12"/>
    </row>
    <row r="20624" spans="32:32" x14ac:dyDescent="0.2">
      <c r="AF20624" s="12"/>
    </row>
    <row r="20625" spans="32:32" x14ac:dyDescent="0.2">
      <c r="AF20625" s="12"/>
    </row>
    <row r="20626" spans="32:32" x14ac:dyDescent="0.2">
      <c r="AF20626" s="12"/>
    </row>
    <row r="20627" spans="32:32" x14ac:dyDescent="0.2">
      <c r="AF20627" s="12"/>
    </row>
    <row r="20628" spans="32:32" x14ac:dyDescent="0.2">
      <c r="AF20628" s="12"/>
    </row>
    <row r="20629" spans="32:32" x14ac:dyDescent="0.2">
      <c r="AF20629" s="12"/>
    </row>
    <row r="20630" spans="32:32" x14ac:dyDescent="0.2">
      <c r="AF20630" s="12"/>
    </row>
    <row r="20631" spans="32:32" x14ac:dyDescent="0.2">
      <c r="AF20631" s="12"/>
    </row>
    <row r="20632" spans="32:32" x14ac:dyDescent="0.2">
      <c r="AF20632" s="12"/>
    </row>
    <row r="20633" spans="32:32" x14ac:dyDescent="0.2">
      <c r="AF20633" s="12"/>
    </row>
    <row r="20634" spans="32:32" x14ac:dyDescent="0.2">
      <c r="AF20634" s="12"/>
    </row>
    <row r="20635" spans="32:32" x14ac:dyDescent="0.2">
      <c r="AF20635" s="12"/>
    </row>
    <row r="20636" spans="32:32" x14ac:dyDescent="0.2">
      <c r="AF20636" s="12"/>
    </row>
    <row r="20637" spans="32:32" x14ac:dyDescent="0.2">
      <c r="AF20637" s="12"/>
    </row>
    <row r="20638" spans="32:32" x14ac:dyDescent="0.2">
      <c r="AF20638" s="12"/>
    </row>
    <row r="20639" spans="32:32" x14ac:dyDescent="0.2">
      <c r="AF20639" s="12"/>
    </row>
    <row r="20640" spans="32:32" x14ac:dyDescent="0.2">
      <c r="AF20640" s="12"/>
    </row>
    <row r="20641" spans="32:32" x14ac:dyDescent="0.2">
      <c r="AF20641" s="12"/>
    </row>
    <row r="20642" spans="32:32" x14ac:dyDescent="0.2">
      <c r="AF20642" s="12"/>
    </row>
    <row r="20643" spans="32:32" x14ac:dyDescent="0.2">
      <c r="AF20643" s="12"/>
    </row>
    <row r="20644" spans="32:32" x14ac:dyDescent="0.2">
      <c r="AF20644" s="12"/>
    </row>
    <row r="20645" spans="32:32" x14ac:dyDescent="0.2">
      <c r="AF20645" s="12"/>
    </row>
    <row r="20646" spans="32:32" x14ac:dyDescent="0.2">
      <c r="AF20646" s="12"/>
    </row>
    <row r="20647" spans="32:32" x14ac:dyDescent="0.2">
      <c r="AF20647" s="12"/>
    </row>
    <row r="20648" spans="32:32" x14ac:dyDescent="0.2">
      <c r="AF20648" s="12"/>
    </row>
    <row r="20649" spans="32:32" x14ac:dyDescent="0.2">
      <c r="AF20649" s="12"/>
    </row>
    <row r="20650" spans="32:32" x14ac:dyDescent="0.2">
      <c r="AF20650" s="12"/>
    </row>
    <row r="20651" spans="32:32" x14ac:dyDescent="0.2">
      <c r="AF20651" s="12"/>
    </row>
    <row r="20652" spans="32:32" x14ac:dyDescent="0.2">
      <c r="AF20652" s="12"/>
    </row>
    <row r="20653" spans="32:32" x14ac:dyDescent="0.2">
      <c r="AF20653" s="12"/>
    </row>
    <row r="20654" spans="32:32" x14ac:dyDescent="0.2">
      <c r="AF20654" s="12"/>
    </row>
    <row r="20655" spans="32:32" x14ac:dyDescent="0.2">
      <c r="AF20655" s="12"/>
    </row>
    <row r="20656" spans="32:32" x14ac:dyDescent="0.2">
      <c r="AF20656" s="12"/>
    </row>
    <row r="20657" spans="32:32" x14ac:dyDescent="0.2">
      <c r="AF20657" s="12"/>
    </row>
    <row r="20658" spans="32:32" x14ac:dyDescent="0.2">
      <c r="AF20658" s="12"/>
    </row>
    <row r="20659" spans="32:32" x14ac:dyDescent="0.2">
      <c r="AF20659" s="12"/>
    </row>
    <row r="20660" spans="32:32" x14ac:dyDescent="0.2">
      <c r="AF20660" s="12"/>
    </row>
    <row r="20661" spans="32:32" x14ac:dyDescent="0.2">
      <c r="AF20661" s="12"/>
    </row>
    <row r="20662" spans="32:32" x14ac:dyDescent="0.2">
      <c r="AF20662" s="12"/>
    </row>
    <row r="20663" spans="32:32" x14ac:dyDescent="0.2">
      <c r="AF20663" s="12"/>
    </row>
    <row r="20664" spans="32:32" x14ac:dyDescent="0.2">
      <c r="AF20664" s="12"/>
    </row>
    <row r="20665" spans="32:32" x14ac:dyDescent="0.2">
      <c r="AF20665" s="12"/>
    </row>
    <row r="20666" spans="32:32" x14ac:dyDescent="0.2">
      <c r="AF20666" s="12"/>
    </row>
    <row r="20667" spans="32:32" x14ac:dyDescent="0.2">
      <c r="AF20667" s="12"/>
    </row>
    <row r="20668" spans="32:32" x14ac:dyDescent="0.2">
      <c r="AF20668" s="12"/>
    </row>
    <row r="20669" spans="32:32" x14ac:dyDescent="0.2">
      <c r="AF20669" s="12"/>
    </row>
    <row r="20670" spans="32:32" x14ac:dyDescent="0.2">
      <c r="AF20670" s="12"/>
    </row>
    <row r="20671" spans="32:32" x14ac:dyDescent="0.2">
      <c r="AF20671" s="12"/>
    </row>
    <row r="20672" spans="32:32" x14ac:dyDescent="0.2">
      <c r="AF20672" s="12"/>
    </row>
    <row r="20673" spans="32:32" x14ac:dyDescent="0.2">
      <c r="AF20673" s="12"/>
    </row>
    <row r="20674" spans="32:32" x14ac:dyDescent="0.2">
      <c r="AF20674" s="12"/>
    </row>
    <row r="20675" spans="32:32" x14ac:dyDescent="0.2">
      <c r="AF20675" s="12"/>
    </row>
    <row r="20676" spans="32:32" x14ac:dyDescent="0.2">
      <c r="AF20676" s="12"/>
    </row>
    <row r="20677" spans="32:32" x14ac:dyDescent="0.2">
      <c r="AF20677" s="12"/>
    </row>
    <row r="20678" spans="32:32" x14ac:dyDescent="0.2">
      <c r="AF20678" s="12"/>
    </row>
    <row r="20679" spans="32:32" x14ac:dyDescent="0.2">
      <c r="AF20679" s="12"/>
    </row>
    <row r="20680" spans="32:32" x14ac:dyDescent="0.2">
      <c r="AF20680" s="12"/>
    </row>
    <row r="20681" spans="32:32" x14ac:dyDescent="0.2">
      <c r="AF20681" s="12"/>
    </row>
    <row r="20682" spans="32:32" x14ac:dyDescent="0.2">
      <c r="AF20682" s="12"/>
    </row>
    <row r="20683" spans="32:32" x14ac:dyDescent="0.2">
      <c r="AF20683" s="12"/>
    </row>
    <row r="20684" spans="32:32" x14ac:dyDescent="0.2">
      <c r="AF20684" s="12"/>
    </row>
    <row r="20685" spans="32:32" x14ac:dyDescent="0.2">
      <c r="AF20685" s="12"/>
    </row>
    <row r="20686" spans="32:32" x14ac:dyDescent="0.2">
      <c r="AF20686" s="12"/>
    </row>
    <row r="20687" spans="32:32" x14ac:dyDescent="0.2">
      <c r="AF20687" s="12"/>
    </row>
    <row r="20688" spans="32:32" x14ac:dyDescent="0.2">
      <c r="AF20688" s="12"/>
    </row>
    <row r="20689" spans="32:32" x14ac:dyDescent="0.2">
      <c r="AF20689" s="12"/>
    </row>
    <row r="20690" spans="32:32" x14ac:dyDescent="0.2">
      <c r="AF20690" s="12"/>
    </row>
    <row r="20691" spans="32:32" x14ac:dyDescent="0.2">
      <c r="AF20691" s="12"/>
    </row>
    <row r="20692" spans="32:32" x14ac:dyDescent="0.2">
      <c r="AF20692" s="12"/>
    </row>
    <row r="20693" spans="32:32" x14ac:dyDescent="0.2">
      <c r="AF20693" s="12"/>
    </row>
    <row r="20694" spans="32:32" x14ac:dyDescent="0.2">
      <c r="AF20694" s="12"/>
    </row>
    <row r="20695" spans="32:32" x14ac:dyDescent="0.2">
      <c r="AF20695" s="12"/>
    </row>
    <row r="20696" spans="32:32" x14ac:dyDescent="0.2">
      <c r="AF20696" s="12"/>
    </row>
    <row r="20697" spans="32:32" x14ac:dyDescent="0.2">
      <c r="AF20697" s="12"/>
    </row>
    <row r="20698" spans="32:32" x14ac:dyDescent="0.2">
      <c r="AF20698" s="12"/>
    </row>
    <row r="20699" spans="32:32" x14ac:dyDescent="0.2">
      <c r="AF20699" s="12"/>
    </row>
    <row r="20700" spans="32:32" x14ac:dyDescent="0.2">
      <c r="AF20700" s="12"/>
    </row>
    <row r="20701" spans="32:32" x14ac:dyDescent="0.2">
      <c r="AF20701" s="12"/>
    </row>
    <row r="20702" spans="32:32" x14ac:dyDescent="0.2">
      <c r="AF20702" s="12"/>
    </row>
    <row r="20703" spans="32:32" x14ac:dyDescent="0.2">
      <c r="AF20703" s="12"/>
    </row>
    <row r="20704" spans="32:32" x14ac:dyDescent="0.2">
      <c r="AF20704" s="12"/>
    </row>
    <row r="20705" spans="32:32" x14ac:dyDescent="0.2">
      <c r="AF20705" s="12"/>
    </row>
    <row r="20706" spans="32:32" x14ac:dyDescent="0.2">
      <c r="AF20706" s="12"/>
    </row>
    <row r="20707" spans="32:32" x14ac:dyDescent="0.2">
      <c r="AF20707" s="12"/>
    </row>
    <row r="20708" spans="32:32" x14ac:dyDescent="0.2">
      <c r="AF20708" s="12"/>
    </row>
    <row r="20709" spans="32:32" x14ac:dyDescent="0.2">
      <c r="AF20709" s="12"/>
    </row>
    <row r="20710" spans="32:32" x14ac:dyDescent="0.2">
      <c r="AF20710" s="12"/>
    </row>
    <row r="20711" spans="32:32" x14ac:dyDescent="0.2">
      <c r="AF20711" s="12"/>
    </row>
    <row r="20712" spans="32:32" x14ac:dyDescent="0.2">
      <c r="AF20712" s="12"/>
    </row>
    <row r="20713" spans="32:32" x14ac:dyDescent="0.2">
      <c r="AF20713" s="12"/>
    </row>
    <row r="20714" spans="32:32" x14ac:dyDescent="0.2">
      <c r="AF20714" s="12"/>
    </row>
    <row r="20715" spans="32:32" x14ac:dyDescent="0.2">
      <c r="AF20715" s="12"/>
    </row>
    <row r="20716" spans="32:32" x14ac:dyDescent="0.2">
      <c r="AF20716" s="12"/>
    </row>
    <row r="20717" spans="32:32" x14ac:dyDescent="0.2">
      <c r="AF20717" s="12"/>
    </row>
    <row r="20718" spans="32:32" x14ac:dyDescent="0.2">
      <c r="AF20718" s="12"/>
    </row>
    <row r="20719" spans="32:32" x14ac:dyDescent="0.2">
      <c r="AF20719" s="12"/>
    </row>
    <row r="20720" spans="32:32" x14ac:dyDescent="0.2">
      <c r="AF20720" s="12"/>
    </row>
    <row r="20721" spans="32:32" x14ac:dyDescent="0.2">
      <c r="AF20721" s="12"/>
    </row>
    <row r="20722" spans="32:32" x14ac:dyDescent="0.2">
      <c r="AF20722" s="12"/>
    </row>
    <row r="20723" spans="32:32" x14ac:dyDescent="0.2">
      <c r="AF20723" s="12"/>
    </row>
    <row r="20724" spans="32:32" x14ac:dyDescent="0.2">
      <c r="AF20724" s="12"/>
    </row>
    <row r="20725" spans="32:32" x14ac:dyDescent="0.2">
      <c r="AF20725" s="12"/>
    </row>
    <row r="20726" spans="32:32" x14ac:dyDescent="0.2">
      <c r="AF20726" s="12"/>
    </row>
    <row r="20727" spans="32:32" x14ac:dyDescent="0.2">
      <c r="AF20727" s="12"/>
    </row>
    <row r="20728" spans="32:32" x14ac:dyDescent="0.2">
      <c r="AF20728" s="12"/>
    </row>
    <row r="20729" spans="32:32" x14ac:dyDescent="0.2">
      <c r="AF20729" s="12"/>
    </row>
    <row r="20730" spans="32:32" x14ac:dyDescent="0.2">
      <c r="AF20730" s="12"/>
    </row>
    <row r="20731" spans="32:32" x14ac:dyDescent="0.2">
      <c r="AF20731" s="12"/>
    </row>
    <row r="20732" spans="32:32" x14ac:dyDescent="0.2">
      <c r="AF20732" s="12"/>
    </row>
    <row r="20733" spans="32:32" x14ac:dyDescent="0.2">
      <c r="AF20733" s="12"/>
    </row>
    <row r="20734" spans="32:32" x14ac:dyDescent="0.2">
      <c r="AF20734" s="12"/>
    </row>
    <row r="20735" spans="32:32" x14ac:dyDescent="0.2">
      <c r="AF20735" s="12"/>
    </row>
    <row r="20736" spans="32:32" x14ac:dyDescent="0.2">
      <c r="AF20736" s="12"/>
    </row>
    <row r="20737" spans="32:32" x14ac:dyDescent="0.2">
      <c r="AF20737" s="12"/>
    </row>
    <row r="20738" spans="32:32" x14ac:dyDescent="0.2">
      <c r="AF20738" s="12"/>
    </row>
    <row r="20739" spans="32:32" x14ac:dyDescent="0.2">
      <c r="AF20739" s="12"/>
    </row>
    <row r="20740" spans="32:32" x14ac:dyDescent="0.2">
      <c r="AF20740" s="12"/>
    </row>
    <row r="20741" spans="32:32" x14ac:dyDescent="0.2">
      <c r="AF20741" s="12"/>
    </row>
    <row r="20742" spans="32:32" x14ac:dyDescent="0.2">
      <c r="AF20742" s="12"/>
    </row>
    <row r="20743" spans="32:32" x14ac:dyDescent="0.2">
      <c r="AF20743" s="12"/>
    </row>
    <row r="20744" spans="32:32" x14ac:dyDescent="0.2">
      <c r="AF20744" s="12"/>
    </row>
    <row r="20745" spans="32:32" x14ac:dyDescent="0.2">
      <c r="AF20745" s="12"/>
    </row>
    <row r="20746" spans="32:32" x14ac:dyDescent="0.2">
      <c r="AF20746" s="12"/>
    </row>
    <row r="20747" spans="32:32" x14ac:dyDescent="0.2">
      <c r="AF20747" s="12"/>
    </row>
    <row r="20748" spans="32:32" x14ac:dyDescent="0.2">
      <c r="AF20748" s="12"/>
    </row>
    <row r="20749" spans="32:32" x14ac:dyDescent="0.2">
      <c r="AF20749" s="12"/>
    </row>
    <row r="20750" spans="32:32" x14ac:dyDescent="0.2">
      <c r="AF20750" s="12"/>
    </row>
    <row r="20751" spans="32:32" x14ac:dyDescent="0.2">
      <c r="AF20751" s="12"/>
    </row>
    <row r="20752" spans="32:32" x14ac:dyDescent="0.2">
      <c r="AF20752" s="12"/>
    </row>
    <row r="20753" spans="32:32" x14ac:dyDescent="0.2">
      <c r="AF20753" s="12"/>
    </row>
    <row r="20754" spans="32:32" x14ac:dyDescent="0.2">
      <c r="AF20754" s="12"/>
    </row>
    <row r="20755" spans="32:32" x14ac:dyDescent="0.2">
      <c r="AF20755" s="12"/>
    </row>
    <row r="20756" spans="32:32" x14ac:dyDescent="0.2">
      <c r="AF20756" s="12"/>
    </row>
    <row r="20757" spans="32:32" x14ac:dyDescent="0.2">
      <c r="AF20757" s="12"/>
    </row>
    <row r="20758" spans="32:32" x14ac:dyDescent="0.2">
      <c r="AF20758" s="12"/>
    </row>
    <row r="20759" spans="32:32" x14ac:dyDescent="0.2">
      <c r="AF20759" s="12"/>
    </row>
    <row r="20760" spans="32:32" x14ac:dyDescent="0.2">
      <c r="AF20760" s="12"/>
    </row>
    <row r="20761" spans="32:32" x14ac:dyDescent="0.2">
      <c r="AF20761" s="12"/>
    </row>
    <row r="20762" spans="32:32" x14ac:dyDescent="0.2">
      <c r="AF20762" s="12"/>
    </row>
    <row r="20763" spans="32:32" x14ac:dyDescent="0.2">
      <c r="AF20763" s="12"/>
    </row>
    <row r="20764" spans="32:32" x14ac:dyDescent="0.2">
      <c r="AF20764" s="12"/>
    </row>
    <row r="20765" spans="32:32" x14ac:dyDescent="0.2">
      <c r="AF20765" s="12"/>
    </row>
    <row r="20766" spans="32:32" x14ac:dyDescent="0.2">
      <c r="AF20766" s="12"/>
    </row>
    <row r="20767" spans="32:32" x14ac:dyDescent="0.2">
      <c r="AF20767" s="12"/>
    </row>
    <row r="20768" spans="32:32" x14ac:dyDescent="0.2">
      <c r="AF20768" s="12"/>
    </row>
    <row r="20769" spans="32:32" x14ac:dyDescent="0.2">
      <c r="AF20769" s="12"/>
    </row>
    <row r="20770" spans="32:32" x14ac:dyDescent="0.2">
      <c r="AF20770" s="12"/>
    </row>
    <row r="20771" spans="32:32" x14ac:dyDescent="0.2">
      <c r="AF20771" s="12"/>
    </row>
    <row r="20772" spans="32:32" x14ac:dyDescent="0.2">
      <c r="AF20772" s="12"/>
    </row>
    <row r="20773" spans="32:32" x14ac:dyDescent="0.2">
      <c r="AF20773" s="12"/>
    </row>
    <row r="20774" spans="32:32" x14ac:dyDescent="0.2">
      <c r="AF20774" s="12"/>
    </row>
    <row r="20775" spans="32:32" x14ac:dyDescent="0.2">
      <c r="AF20775" s="12"/>
    </row>
    <row r="20776" spans="32:32" x14ac:dyDescent="0.2">
      <c r="AF20776" s="12"/>
    </row>
    <row r="20777" spans="32:32" x14ac:dyDescent="0.2">
      <c r="AF20777" s="12"/>
    </row>
    <row r="20778" spans="32:32" x14ac:dyDescent="0.2">
      <c r="AF20778" s="12"/>
    </row>
    <row r="20779" spans="32:32" x14ac:dyDescent="0.2">
      <c r="AF20779" s="12"/>
    </row>
    <row r="20780" spans="32:32" x14ac:dyDescent="0.2">
      <c r="AF20780" s="12"/>
    </row>
    <row r="20781" spans="32:32" x14ac:dyDescent="0.2">
      <c r="AF20781" s="12"/>
    </row>
    <row r="20782" spans="32:32" x14ac:dyDescent="0.2">
      <c r="AF20782" s="12"/>
    </row>
    <row r="20783" spans="32:32" x14ac:dyDescent="0.2">
      <c r="AF20783" s="12"/>
    </row>
    <row r="20784" spans="32:32" x14ac:dyDescent="0.2">
      <c r="AF20784" s="12"/>
    </row>
    <row r="20785" spans="32:32" x14ac:dyDescent="0.2">
      <c r="AF20785" s="12"/>
    </row>
    <row r="20786" spans="32:32" x14ac:dyDescent="0.2">
      <c r="AF20786" s="12"/>
    </row>
    <row r="20787" spans="32:32" x14ac:dyDescent="0.2">
      <c r="AF20787" s="12"/>
    </row>
    <row r="20788" spans="32:32" x14ac:dyDescent="0.2">
      <c r="AF20788" s="12"/>
    </row>
    <row r="20789" spans="32:32" x14ac:dyDescent="0.2">
      <c r="AF20789" s="12"/>
    </row>
    <row r="20790" spans="32:32" x14ac:dyDescent="0.2">
      <c r="AF20790" s="12"/>
    </row>
    <row r="20791" spans="32:32" x14ac:dyDescent="0.2">
      <c r="AF20791" s="12"/>
    </row>
    <row r="20792" spans="32:32" x14ac:dyDescent="0.2">
      <c r="AF20792" s="12"/>
    </row>
    <row r="20793" spans="32:32" x14ac:dyDescent="0.2">
      <c r="AF20793" s="12"/>
    </row>
    <row r="20794" spans="32:32" x14ac:dyDescent="0.2">
      <c r="AF20794" s="12"/>
    </row>
    <row r="20795" spans="32:32" x14ac:dyDescent="0.2">
      <c r="AF20795" s="12"/>
    </row>
    <row r="20796" spans="32:32" x14ac:dyDescent="0.2">
      <c r="AF20796" s="12"/>
    </row>
    <row r="20797" spans="32:32" x14ac:dyDescent="0.2">
      <c r="AF20797" s="12"/>
    </row>
    <row r="20798" spans="32:32" x14ac:dyDescent="0.2">
      <c r="AF20798" s="12"/>
    </row>
    <row r="20799" spans="32:32" x14ac:dyDescent="0.2">
      <c r="AF20799" s="12"/>
    </row>
    <row r="20800" spans="32:32" x14ac:dyDescent="0.2">
      <c r="AF20800" s="12"/>
    </row>
    <row r="20801" spans="32:32" x14ac:dyDescent="0.2">
      <c r="AF20801" s="12"/>
    </row>
    <row r="20802" spans="32:32" x14ac:dyDescent="0.2">
      <c r="AF20802" s="12"/>
    </row>
    <row r="20803" spans="32:32" x14ac:dyDescent="0.2">
      <c r="AF20803" s="12"/>
    </row>
    <row r="20804" spans="32:32" x14ac:dyDescent="0.2">
      <c r="AF20804" s="12"/>
    </row>
    <row r="20805" spans="32:32" x14ac:dyDescent="0.2">
      <c r="AF20805" s="12"/>
    </row>
    <row r="20806" spans="32:32" x14ac:dyDescent="0.2">
      <c r="AF20806" s="12"/>
    </row>
    <row r="20807" spans="32:32" x14ac:dyDescent="0.2">
      <c r="AF20807" s="12"/>
    </row>
    <row r="20808" spans="32:32" x14ac:dyDescent="0.2">
      <c r="AF20808" s="12"/>
    </row>
    <row r="20809" spans="32:32" x14ac:dyDescent="0.2">
      <c r="AF20809" s="12"/>
    </row>
    <row r="20810" spans="32:32" x14ac:dyDescent="0.2">
      <c r="AF20810" s="12"/>
    </row>
    <row r="20811" spans="32:32" x14ac:dyDescent="0.2">
      <c r="AF20811" s="12"/>
    </row>
    <row r="20812" spans="32:32" x14ac:dyDescent="0.2">
      <c r="AF20812" s="12"/>
    </row>
    <row r="20813" spans="32:32" x14ac:dyDescent="0.2">
      <c r="AF20813" s="12"/>
    </row>
    <row r="20814" spans="32:32" x14ac:dyDescent="0.2">
      <c r="AF20814" s="12"/>
    </row>
    <row r="20815" spans="32:32" x14ac:dyDescent="0.2">
      <c r="AF20815" s="12"/>
    </row>
    <row r="20816" spans="32:32" x14ac:dyDescent="0.2">
      <c r="AF20816" s="12"/>
    </row>
    <row r="20817" spans="32:32" x14ac:dyDescent="0.2">
      <c r="AF20817" s="12"/>
    </row>
    <row r="20818" spans="32:32" x14ac:dyDescent="0.2">
      <c r="AF20818" s="12"/>
    </row>
    <row r="20819" spans="32:32" x14ac:dyDescent="0.2">
      <c r="AF20819" s="12"/>
    </row>
    <row r="20820" spans="32:32" x14ac:dyDescent="0.2">
      <c r="AF20820" s="12"/>
    </row>
    <row r="20821" spans="32:32" x14ac:dyDescent="0.2">
      <c r="AF20821" s="12"/>
    </row>
    <row r="20822" spans="32:32" x14ac:dyDescent="0.2">
      <c r="AF20822" s="12"/>
    </row>
    <row r="20823" spans="32:32" x14ac:dyDescent="0.2">
      <c r="AF20823" s="12"/>
    </row>
    <row r="20824" spans="32:32" x14ac:dyDescent="0.2">
      <c r="AF20824" s="12"/>
    </row>
    <row r="20825" spans="32:32" x14ac:dyDescent="0.2">
      <c r="AF20825" s="12"/>
    </row>
    <row r="20826" spans="32:32" x14ac:dyDescent="0.2">
      <c r="AF20826" s="12"/>
    </row>
    <row r="20827" spans="32:32" x14ac:dyDescent="0.2">
      <c r="AF20827" s="12"/>
    </row>
    <row r="20828" spans="32:32" x14ac:dyDescent="0.2">
      <c r="AF20828" s="12"/>
    </row>
    <row r="20829" spans="32:32" x14ac:dyDescent="0.2">
      <c r="AF20829" s="12"/>
    </row>
    <row r="20830" spans="32:32" x14ac:dyDescent="0.2">
      <c r="AF20830" s="12"/>
    </row>
    <row r="20831" spans="32:32" x14ac:dyDescent="0.2">
      <c r="AF20831" s="12"/>
    </row>
    <row r="20832" spans="32:32" x14ac:dyDescent="0.2">
      <c r="AF20832" s="12"/>
    </row>
    <row r="20833" spans="32:32" x14ac:dyDescent="0.2">
      <c r="AF20833" s="12"/>
    </row>
    <row r="20834" spans="32:32" x14ac:dyDescent="0.2">
      <c r="AF20834" s="12"/>
    </row>
    <row r="20835" spans="32:32" x14ac:dyDescent="0.2">
      <c r="AF20835" s="12"/>
    </row>
    <row r="20836" spans="32:32" x14ac:dyDescent="0.2">
      <c r="AF20836" s="12"/>
    </row>
    <row r="20837" spans="32:32" x14ac:dyDescent="0.2">
      <c r="AF20837" s="12"/>
    </row>
    <row r="20838" spans="32:32" x14ac:dyDescent="0.2">
      <c r="AF20838" s="12"/>
    </row>
    <row r="20839" spans="32:32" x14ac:dyDescent="0.2">
      <c r="AF20839" s="12"/>
    </row>
    <row r="20840" spans="32:32" x14ac:dyDescent="0.2">
      <c r="AF20840" s="12"/>
    </row>
    <row r="20841" spans="32:32" x14ac:dyDescent="0.2">
      <c r="AF20841" s="12"/>
    </row>
    <row r="20842" spans="32:32" x14ac:dyDescent="0.2">
      <c r="AF20842" s="12"/>
    </row>
    <row r="20843" spans="32:32" x14ac:dyDescent="0.2">
      <c r="AF20843" s="12"/>
    </row>
    <row r="20844" spans="32:32" x14ac:dyDescent="0.2">
      <c r="AF20844" s="12"/>
    </row>
    <row r="20845" spans="32:32" x14ac:dyDescent="0.2">
      <c r="AF20845" s="12"/>
    </row>
    <row r="20846" spans="32:32" x14ac:dyDescent="0.2">
      <c r="AF20846" s="12"/>
    </row>
    <row r="20847" spans="32:32" x14ac:dyDescent="0.2">
      <c r="AF20847" s="12"/>
    </row>
    <row r="20848" spans="32:32" x14ac:dyDescent="0.2">
      <c r="AF20848" s="12"/>
    </row>
    <row r="20849" spans="32:32" x14ac:dyDescent="0.2">
      <c r="AF20849" s="12"/>
    </row>
    <row r="20850" spans="32:32" x14ac:dyDescent="0.2">
      <c r="AF20850" s="12"/>
    </row>
    <row r="20851" spans="32:32" x14ac:dyDescent="0.2">
      <c r="AF20851" s="12"/>
    </row>
    <row r="20852" spans="32:32" x14ac:dyDescent="0.2">
      <c r="AF20852" s="12"/>
    </row>
    <row r="20853" spans="32:32" x14ac:dyDescent="0.2">
      <c r="AF20853" s="12"/>
    </row>
    <row r="20854" spans="32:32" x14ac:dyDescent="0.2">
      <c r="AF20854" s="12"/>
    </row>
    <row r="20855" spans="32:32" x14ac:dyDescent="0.2">
      <c r="AF20855" s="12"/>
    </row>
    <row r="20856" spans="32:32" x14ac:dyDescent="0.2">
      <c r="AF20856" s="12"/>
    </row>
    <row r="20857" spans="32:32" x14ac:dyDescent="0.2">
      <c r="AF20857" s="12"/>
    </row>
    <row r="20858" spans="32:32" x14ac:dyDescent="0.2">
      <c r="AF20858" s="12"/>
    </row>
    <row r="20859" spans="32:32" x14ac:dyDescent="0.2">
      <c r="AF20859" s="12"/>
    </row>
    <row r="20860" spans="32:32" x14ac:dyDescent="0.2">
      <c r="AF20860" s="12"/>
    </row>
    <row r="20861" spans="32:32" x14ac:dyDescent="0.2">
      <c r="AF20861" s="12"/>
    </row>
    <row r="20862" spans="32:32" x14ac:dyDescent="0.2">
      <c r="AF20862" s="12"/>
    </row>
    <row r="20863" spans="32:32" x14ac:dyDescent="0.2">
      <c r="AF20863" s="12"/>
    </row>
    <row r="20864" spans="32:32" x14ac:dyDescent="0.2">
      <c r="AF20864" s="12"/>
    </row>
    <row r="20865" spans="32:32" x14ac:dyDescent="0.2">
      <c r="AF20865" s="12"/>
    </row>
    <row r="20866" spans="32:32" x14ac:dyDescent="0.2">
      <c r="AF20866" s="12"/>
    </row>
    <row r="20867" spans="32:32" x14ac:dyDescent="0.2">
      <c r="AF20867" s="12"/>
    </row>
    <row r="20868" spans="32:32" x14ac:dyDescent="0.2">
      <c r="AF20868" s="12"/>
    </row>
    <row r="20869" spans="32:32" x14ac:dyDescent="0.2">
      <c r="AF20869" s="12"/>
    </row>
    <row r="20870" spans="32:32" x14ac:dyDescent="0.2">
      <c r="AF20870" s="12"/>
    </row>
    <row r="20871" spans="32:32" x14ac:dyDescent="0.2">
      <c r="AF20871" s="12"/>
    </row>
    <row r="20872" spans="32:32" x14ac:dyDescent="0.2">
      <c r="AF20872" s="12"/>
    </row>
    <row r="20873" spans="32:32" x14ac:dyDescent="0.2">
      <c r="AF20873" s="12"/>
    </row>
    <row r="20874" spans="32:32" x14ac:dyDescent="0.2">
      <c r="AF20874" s="12"/>
    </row>
    <row r="20875" spans="32:32" x14ac:dyDescent="0.2">
      <c r="AF20875" s="12"/>
    </row>
    <row r="20876" spans="32:32" x14ac:dyDescent="0.2">
      <c r="AF20876" s="12"/>
    </row>
    <row r="20877" spans="32:32" x14ac:dyDescent="0.2">
      <c r="AF20877" s="12"/>
    </row>
    <row r="20878" spans="32:32" x14ac:dyDescent="0.2">
      <c r="AF20878" s="12"/>
    </row>
    <row r="20879" spans="32:32" x14ac:dyDescent="0.2">
      <c r="AF20879" s="12"/>
    </row>
    <row r="20880" spans="32:32" x14ac:dyDescent="0.2">
      <c r="AF20880" s="12"/>
    </row>
    <row r="20881" spans="32:32" x14ac:dyDescent="0.2">
      <c r="AF20881" s="12"/>
    </row>
    <row r="20882" spans="32:32" x14ac:dyDescent="0.2">
      <c r="AF20882" s="12"/>
    </row>
    <row r="20883" spans="32:32" x14ac:dyDescent="0.2">
      <c r="AF20883" s="12"/>
    </row>
    <row r="20884" spans="32:32" x14ac:dyDescent="0.2">
      <c r="AF20884" s="12"/>
    </row>
    <row r="20885" spans="32:32" x14ac:dyDescent="0.2">
      <c r="AF20885" s="12"/>
    </row>
    <row r="20886" spans="32:32" x14ac:dyDescent="0.2">
      <c r="AF20886" s="12"/>
    </row>
    <row r="20887" spans="32:32" x14ac:dyDescent="0.2">
      <c r="AF20887" s="12"/>
    </row>
    <row r="20888" spans="32:32" x14ac:dyDescent="0.2">
      <c r="AF20888" s="12"/>
    </row>
    <row r="20889" spans="32:32" x14ac:dyDescent="0.2">
      <c r="AF20889" s="12"/>
    </row>
    <row r="20890" spans="32:32" x14ac:dyDescent="0.2">
      <c r="AF20890" s="12"/>
    </row>
    <row r="20891" spans="32:32" x14ac:dyDescent="0.2">
      <c r="AF20891" s="12"/>
    </row>
    <row r="20892" spans="32:32" x14ac:dyDescent="0.2">
      <c r="AF20892" s="12"/>
    </row>
    <row r="20893" spans="32:32" x14ac:dyDescent="0.2">
      <c r="AF20893" s="12"/>
    </row>
    <row r="20894" spans="32:32" x14ac:dyDescent="0.2">
      <c r="AF20894" s="12"/>
    </row>
    <row r="20895" spans="32:32" x14ac:dyDescent="0.2">
      <c r="AF20895" s="12"/>
    </row>
    <row r="20896" spans="32:32" x14ac:dyDescent="0.2">
      <c r="AF20896" s="12"/>
    </row>
    <row r="20897" spans="32:32" x14ac:dyDescent="0.2">
      <c r="AF20897" s="12"/>
    </row>
    <row r="20898" spans="32:32" x14ac:dyDescent="0.2">
      <c r="AF20898" s="12"/>
    </row>
    <row r="20899" spans="32:32" x14ac:dyDescent="0.2">
      <c r="AF20899" s="12"/>
    </row>
    <row r="20900" spans="32:32" x14ac:dyDescent="0.2">
      <c r="AF20900" s="12"/>
    </row>
    <row r="20901" spans="32:32" x14ac:dyDescent="0.2">
      <c r="AF20901" s="12"/>
    </row>
    <row r="20902" spans="32:32" x14ac:dyDescent="0.2">
      <c r="AF20902" s="12"/>
    </row>
    <row r="20903" spans="32:32" x14ac:dyDescent="0.2">
      <c r="AF20903" s="12"/>
    </row>
    <row r="20904" spans="32:32" x14ac:dyDescent="0.2">
      <c r="AF20904" s="12"/>
    </row>
    <row r="20905" spans="32:32" x14ac:dyDescent="0.2">
      <c r="AF20905" s="12"/>
    </row>
    <row r="20906" spans="32:32" x14ac:dyDescent="0.2">
      <c r="AF20906" s="12"/>
    </row>
    <row r="20907" spans="32:32" x14ac:dyDescent="0.2">
      <c r="AF20907" s="12"/>
    </row>
    <row r="20908" spans="32:32" x14ac:dyDescent="0.2">
      <c r="AF20908" s="12"/>
    </row>
    <row r="20909" spans="32:32" x14ac:dyDescent="0.2">
      <c r="AF20909" s="12"/>
    </row>
    <row r="20910" spans="32:32" x14ac:dyDescent="0.2">
      <c r="AF20910" s="12"/>
    </row>
    <row r="20911" spans="32:32" x14ac:dyDescent="0.2">
      <c r="AF20911" s="12"/>
    </row>
    <row r="20912" spans="32:32" x14ac:dyDescent="0.2">
      <c r="AF20912" s="12"/>
    </row>
    <row r="20913" spans="32:32" x14ac:dyDescent="0.2">
      <c r="AF20913" s="12"/>
    </row>
    <row r="20914" spans="32:32" x14ac:dyDescent="0.2">
      <c r="AF20914" s="12"/>
    </row>
    <row r="20915" spans="32:32" x14ac:dyDescent="0.2">
      <c r="AF20915" s="12"/>
    </row>
    <row r="20916" spans="32:32" x14ac:dyDescent="0.2">
      <c r="AF20916" s="12"/>
    </row>
    <row r="20917" spans="32:32" x14ac:dyDescent="0.2">
      <c r="AF20917" s="12"/>
    </row>
    <row r="20918" spans="32:32" x14ac:dyDescent="0.2">
      <c r="AF20918" s="12"/>
    </row>
    <row r="20919" spans="32:32" x14ac:dyDescent="0.2">
      <c r="AF20919" s="12"/>
    </row>
    <row r="20920" spans="32:32" x14ac:dyDescent="0.2">
      <c r="AF20920" s="12"/>
    </row>
    <row r="20921" spans="32:32" x14ac:dyDescent="0.2">
      <c r="AF20921" s="12"/>
    </row>
    <row r="20922" spans="32:32" x14ac:dyDescent="0.2">
      <c r="AF20922" s="12"/>
    </row>
    <row r="20923" spans="32:32" x14ac:dyDescent="0.2">
      <c r="AF20923" s="12"/>
    </row>
    <row r="20924" spans="32:32" x14ac:dyDescent="0.2">
      <c r="AF20924" s="12"/>
    </row>
    <row r="20925" spans="32:32" x14ac:dyDescent="0.2">
      <c r="AF20925" s="12"/>
    </row>
    <row r="20926" spans="32:32" x14ac:dyDescent="0.2">
      <c r="AF20926" s="12"/>
    </row>
    <row r="20927" spans="32:32" x14ac:dyDescent="0.2">
      <c r="AF20927" s="12"/>
    </row>
    <row r="20928" spans="32:32" x14ac:dyDescent="0.2">
      <c r="AF20928" s="12"/>
    </row>
    <row r="20929" spans="32:32" x14ac:dyDescent="0.2">
      <c r="AF20929" s="12"/>
    </row>
    <row r="20930" spans="32:32" x14ac:dyDescent="0.2">
      <c r="AF20930" s="12"/>
    </row>
    <row r="20931" spans="32:32" x14ac:dyDescent="0.2">
      <c r="AF20931" s="12"/>
    </row>
    <row r="20932" spans="32:32" x14ac:dyDescent="0.2">
      <c r="AF20932" s="12"/>
    </row>
    <row r="20933" spans="32:32" x14ac:dyDescent="0.2">
      <c r="AF20933" s="12"/>
    </row>
    <row r="20934" spans="32:32" x14ac:dyDescent="0.2">
      <c r="AF20934" s="12"/>
    </row>
    <row r="20935" spans="32:32" x14ac:dyDescent="0.2">
      <c r="AF20935" s="12"/>
    </row>
    <row r="20936" spans="32:32" x14ac:dyDescent="0.2">
      <c r="AF20936" s="12"/>
    </row>
    <row r="20937" spans="32:32" x14ac:dyDescent="0.2">
      <c r="AF20937" s="12"/>
    </row>
    <row r="20938" spans="32:32" x14ac:dyDescent="0.2">
      <c r="AF20938" s="12"/>
    </row>
    <row r="20939" spans="32:32" x14ac:dyDescent="0.2">
      <c r="AF20939" s="12"/>
    </row>
    <row r="20940" spans="32:32" x14ac:dyDescent="0.2">
      <c r="AF20940" s="12"/>
    </row>
    <row r="20941" spans="32:32" x14ac:dyDescent="0.2">
      <c r="AF20941" s="12"/>
    </row>
    <row r="20942" spans="32:32" x14ac:dyDescent="0.2">
      <c r="AF20942" s="12"/>
    </row>
    <row r="20943" spans="32:32" x14ac:dyDescent="0.2">
      <c r="AF20943" s="12"/>
    </row>
    <row r="20944" spans="32:32" x14ac:dyDescent="0.2">
      <c r="AF20944" s="12"/>
    </row>
    <row r="20945" spans="32:32" x14ac:dyDescent="0.2">
      <c r="AF20945" s="12"/>
    </row>
    <row r="20946" spans="32:32" x14ac:dyDescent="0.2">
      <c r="AF20946" s="12"/>
    </row>
    <row r="20947" spans="32:32" x14ac:dyDescent="0.2">
      <c r="AF20947" s="12"/>
    </row>
    <row r="20948" spans="32:32" x14ac:dyDescent="0.2">
      <c r="AF20948" s="12"/>
    </row>
    <row r="20949" spans="32:32" x14ac:dyDescent="0.2">
      <c r="AF20949" s="12"/>
    </row>
    <row r="20950" spans="32:32" x14ac:dyDescent="0.2">
      <c r="AF20950" s="12"/>
    </row>
    <row r="20951" spans="32:32" x14ac:dyDescent="0.2">
      <c r="AF20951" s="12"/>
    </row>
    <row r="20952" spans="32:32" x14ac:dyDescent="0.2">
      <c r="AF20952" s="12"/>
    </row>
    <row r="20953" spans="32:32" x14ac:dyDescent="0.2">
      <c r="AF20953" s="12"/>
    </row>
    <row r="20954" spans="32:32" x14ac:dyDescent="0.2">
      <c r="AF20954" s="12"/>
    </row>
    <row r="20955" spans="32:32" x14ac:dyDescent="0.2">
      <c r="AF20955" s="12"/>
    </row>
    <row r="20956" spans="32:32" x14ac:dyDescent="0.2">
      <c r="AF20956" s="12"/>
    </row>
    <row r="20957" spans="32:32" x14ac:dyDescent="0.2">
      <c r="AF20957" s="12"/>
    </row>
    <row r="20958" spans="32:32" x14ac:dyDescent="0.2">
      <c r="AF20958" s="12"/>
    </row>
    <row r="20959" spans="32:32" x14ac:dyDescent="0.2">
      <c r="AF20959" s="12"/>
    </row>
    <row r="20960" spans="32:32" x14ac:dyDescent="0.2">
      <c r="AF20960" s="12"/>
    </row>
    <row r="20961" spans="32:32" x14ac:dyDescent="0.2">
      <c r="AF20961" s="12"/>
    </row>
    <row r="20962" spans="32:32" x14ac:dyDescent="0.2">
      <c r="AF20962" s="12"/>
    </row>
    <row r="20963" spans="32:32" x14ac:dyDescent="0.2">
      <c r="AF20963" s="12"/>
    </row>
    <row r="20964" spans="32:32" x14ac:dyDescent="0.2">
      <c r="AF20964" s="12"/>
    </row>
    <row r="20965" spans="32:32" x14ac:dyDescent="0.2">
      <c r="AF20965" s="12"/>
    </row>
    <row r="20966" spans="32:32" x14ac:dyDescent="0.2">
      <c r="AF20966" s="12"/>
    </row>
    <row r="20967" spans="32:32" x14ac:dyDescent="0.2">
      <c r="AF20967" s="12"/>
    </row>
    <row r="20968" spans="32:32" x14ac:dyDescent="0.2">
      <c r="AF20968" s="12"/>
    </row>
    <row r="20969" spans="32:32" x14ac:dyDescent="0.2">
      <c r="AF20969" s="12"/>
    </row>
    <row r="20970" spans="32:32" x14ac:dyDescent="0.2">
      <c r="AF20970" s="12"/>
    </row>
    <row r="20971" spans="32:32" x14ac:dyDescent="0.2">
      <c r="AF20971" s="12"/>
    </row>
    <row r="20972" spans="32:32" x14ac:dyDescent="0.2">
      <c r="AF20972" s="12"/>
    </row>
    <row r="20973" spans="32:32" x14ac:dyDescent="0.2">
      <c r="AF20973" s="12"/>
    </row>
    <row r="20974" spans="32:32" x14ac:dyDescent="0.2">
      <c r="AF20974" s="12"/>
    </row>
    <row r="20975" spans="32:32" x14ac:dyDescent="0.2">
      <c r="AF20975" s="12"/>
    </row>
    <row r="20976" spans="32:32" x14ac:dyDescent="0.2">
      <c r="AF20976" s="12"/>
    </row>
    <row r="20977" spans="32:32" x14ac:dyDescent="0.2">
      <c r="AF20977" s="12"/>
    </row>
    <row r="20978" spans="32:32" x14ac:dyDescent="0.2">
      <c r="AF20978" s="12"/>
    </row>
    <row r="20979" spans="32:32" x14ac:dyDescent="0.2">
      <c r="AF20979" s="12"/>
    </row>
    <row r="20980" spans="32:32" x14ac:dyDescent="0.2">
      <c r="AF20980" s="12"/>
    </row>
    <row r="20981" spans="32:32" x14ac:dyDescent="0.2">
      <c r="AF20981" s="12"/>
    </row>
    <row r="20982" spans="32:32" x14ac:dyDescent="0.2">
      <c r="AF20982" s="12"/>
    </row>
    <row r="20983" spans="32:32" x14ac:dyDescent="0.2">
      <c r="AF20983" s="12"/>
    </row>
    <row r="20984" spans="32:32" x14ac:dyDescent="0.2">
      <c r="AF20984" s="12"/>
    </row>
    <row r="20985" spans="32:32" x14ac:dyDescent="0.2">
      <c r="AF20985" s="12"/>
    </row>
    <row r="20986" spans="32:32" x14ac:dyDescent="0.2">
      <c r="AF20986" s="12"/>
    </row>
    <row r="20987" spans="32:32" x14ac:dyDescent="0.2">
      <c r="AF20987" s="12"/>
    </row>
    <row r="20988" spans="32:32" x14ac:dyDescent="0.2">
      <c r="AF20988" s="12"/>
    </row>
    <row r="20989" spans="32:32" x14ac:dyDescent="0.2">
      <c r="AF20989" s="12"/>
    </row>
    <row r="20990" spans="32:32" x14ac:dyDescent="0.2">
      <c r="AF20990" s="12"/>
    </row>
    <row r="20991" spans="32:32" x14ac:dyDescent="0.2">
      <c r="AF20991" s="12"/>
    </row>
    <row r="20992" spans="32:32" x14ac:dyDescent="0.2">
      <c r="AF20992" s="12"/>
    </row>
    <row r="20993" spans="32:32" x14ac:dyDescent="0.2">
      <c r="AF20993" s="12"/>
    </row>
    <row r="20994" spans="32:32" x14ac:dyDescent="0.2">
      <c r="AF20994" s="12"/>
    </row>
    <row r="20995" spans="32:32" x14ac:dyDescent="0.2">
      <c r="AF20995" s="12"/>
    </row>
    <row r="20996" spans="32:32" x14ac:dyDescent="0.2">
      <c r="AF20996" s="12"/>
    </row>
    <row r="20997" spans="32:32" x14ac:dyDescent="0.2">
      <c r="AF20997" s="12"/>
    </row>
    <row r="20998" spans="32:32" x14ac:dyDescent="0.2">
      <c r="AF20998" s="12"/>
    </row>
    <row r="20999" spans="32:32" x14ac:dyDescent="0.2">
      <c r="AF20999" s="12"/>
    </row>
    <row r="21000" spans="32:32" x14ac:dyDescent="0.2">
      <c r="AF21000" s="12"/>
    </row>
    <row r="21001" spans="32:32" x14ac:dyDescent="0.2">
      <c r="AF21001" s="12"/>
    </row>
    <row r="21002" spans="32:32" x14ac:dyDescent="0.2">
      <c r="AF21002" s="12"/>
    </row>
    <row r="21003" spans="32:32" x14ac:dyDescent="0.2">
      <c r="AF21003" s="12"/>
    </row>
    <row r="21004" spans="32:32" x14ac:dyDescent="0.2">
      <c r="AF21004" s="12"/>
    </row>
    <row r="21005" spans="32:32" x14ac:dyDescent="0.2">
      <c r="AF21005" s="12"/>
    </row>
    <row r="21006" spans="32:32" x14ac:dyDescent="0.2">
      <c r="AF21006" s="12"/>
    </row>
    <row r="21007" spans="32:32" x14ac:dyDescent="0.2">
      <c r="AF21007" s="12"/>
    </row>
    <row r="21008" spans="32:32" x14ac:dyDescent="0.2">
      <c r="AF21008" s="12"/>
    </row>
    <row r="21009" spans="32:32" x14ac:dyDescent="0.2">
      <c r="AF21009" s="12"/>
    </row>
    <row r="21010" spans="32:32" x14ac:dyDescent="0.2">
      <c r="AF21010" s="12"/>
    </row>
    <row r="21011" spans="32:32" x14ac:dyDescent="0.2">
      <c r="AF21011" s="12"/>
    </row>
    <row r="21012" spans="32:32" x14ac:dyDescent="0.2">
      <c r="AF21012" s="12"/>
    </row>
    <row r="21013" spans="32:32" x14ac:dyDescent="0.2">
      <c r="AF21013" s="12"/>
    </row>
    <row r="21014" spans="32:32" x14ac:dyDescent="0.2">
      <c r="AF21014" s="12"/>
    </row>
    <row r="21015" spans="32:32" x14ac:dyDescent="0.2">
      <c r="AF21015" s="12"/>
    </row>
    <row r="21016" spans="32:32" x14ac:dyDescent="0.2">
      <c r="AF21016" s="12"/>
    </row>
    <row r="21017" spans="32:32" x14ac:dyDescent="0.2">
      <c r="AF21017" s="12"/>
    </row>
    <row r="21018" spans="32:32" x14ac:dyDescent="0.2">
      <c r="AF21018" s="12"/>
    </row>
    <row r="21019" spans="32:32" x14ac:dyDescent="0.2">
      <c r="AF21019" s="12"/>
    </row>
    <row r="21020" spans="32:32" x14ac:dyDescent="0.2">
      <c r="AF21020" s="12"/>
    </row>
    <row r="21021" spans="32:32" x14ac:dyDescent="0.2">
      <c r="AF21021" s="12"/>
    </row>
    <row r="21022" spans="32:32" x14ac:dyDescent="0.2">
      <c r="AF21022" s="12"/>
    </row>
    <row r="21023" spans="32:32" x14ac:dyDescent="0.2">
      <c r="AF21023" s="12"/>
    </row>
    <row r="21024" spans="32:32" x14ac:dyDescent="0.2">
      <c r="AF21024" s="12"/>
    </row>
    <row r="21025" spans="32:32" x14ac:dyDescent="0.2">
      <c r="AF21025" s="12"/>
    </row>
    <row r="21026" spans="32:32" x14ac:dyDescent="0.2">
      <c r="AF21026" s="12"/>
    </row>
    <row r="21027" spans="32:32" x14ac:dyDescent="0.2">
      <c r="AF21027" s="12"/>
    </row>
    <row r="21028" spans="32:32" x14ac:dyDescent="0.2">
      <c r="AF21028" s="12"/>
    </row>
    <row r="21029" spans="32:32" x14ac:dyDescent="0.2">
      <c r="AF21029" s="12"/>
    </row>
    <row r="21030" spans="32:32" x14ac:dyDescent="0.2">
      <c r="AF21030" s="12"/>
    </row>
    <row r="21031" spans="32:32" x14ac:dyDescent="0.2">
      <c r="AF21031" s="12"/>
    </row>
    <row r="21032" spans="32:32" x14ac:dyDescent="0.2">
      <c r="AF21032" s="12"/>
    </row>
    <row r="21033" spans="32:32" x14ac:dyDescent="0.2">
      <c r="AF21033" s="12"/>
    </row>
    <row r="21034" spans="32:32" x14ac:dyDescent="0.2">
      <c r="AF21034" s="12"/>
    </row>
    <row r="21035" spans="32:32" x14ac:dyDescent="0.2">
      <c r="AF21035" s="12"/>
    </row>
    <row r="21036" spans="32:32" x14ac:dyDescent="0.2">
      <c r="AF21036" s="12"/>
    </row>
    <row r="21037" spans="32:32" x14ac:dyDescent="0.2">
      <c r="AF21037" s="12"/>
    </row>
    <row r="21038" spans="32:32" x14ac:dyDescent="0.2">
      <c r="AF21038" s="12"/>
    </row>
    <row r="21039" spans="32:32" x14ac:dyDescent="0.2">
      <c r="AF21039" s="12"/>
    </row>
    <row r="21040" spans="32:32" x14ac:dyDescent="0.2">
      <c r="AF21040" s="12"/>
    </row>
    <row r="21041" spans="32:32" x14ac:dyDescent="0.2">
      <c r="AF21041" s="12"/>
    </row>
    <row r="21042" spans="32:32" x14ac:dyDescent="0.2">
      <c r="AF21042" s="12"/>
    </row>
    <row r="21043" spans="32:32" x14ac:dyDescent="0.2">
      <c r="AF21043" s="12"/>
    </row>
    <row r="21044" spans="32:32" x14ac:dyDescent="0.2">
      <c r="AF21044" s="12"/>
    </row>
    <row r="21045" spans="32:32" x14ac:dyDescent="0.2">
      <c r="AF21045" s="12"/>
    </row>
    <row r="21046" spans="32:32" x14ac:dyDescent="0.2">
      <c r="AF21046" s="12"/>
    </row>
    <row r="21047" spans="32:32" x14ac:dyDescent="0.2">
      <c r="AF21047" s="12"/>
    </row>
    <row r="21048" spans="32:32" x14ac:dyDescent="0.2">
      <c r="AF21048" s="12"/>
    </row>
    <row r="21049" spans="32:32" x14ac:dyDescent="0.2">
      <c r="AF21049" s="12"/>
    </row>
    <row r="21050" spans="32:32" x14ac:dyDescent="0.2">
      <c r="AF21050" s="12"/>
    </row>
    <row r="21051" spans="32:32" x14ac:dyDescent="0.2">
      <c r="AF21051" s="12"/>
    </row>
    <row r="21052" spans="32:32" x14ac:dyDescent="0.2">
      <c r="AF21052" s="12"/>
    </row>
    <row r="21053" spans="32:32" x14ac:dyDescent="0.2">
      <c r="AF21053" s="12"/>
    </row>
    <row r="21054" spans="32:32" x14ac:dyDescent="0.2">
      <c r="AF21054" s="12"/>
    </row>
    <row r="21055" spans="32:32" x14ac:dyDescent="0.2">
      <c r="AF21055" s="12"/>
    </row>
    <row r="21056" spans="32:32" x14ac:dyDescent="0.2">
      <c r="AF21056" s="12"/>
    </row>
    <row r="21057" spans="32:32" x14ac:dyDescent="0.2">
      <c r="AF21057" s="12"/>
    </row>
    <row r="21058" spans="32:32" x14ac:dyDescent="0.2">
      <c r="AF21058" s="12"/>
    </row>
    <row r="21059" spans="32:32" x14ac:dyDescent="0.2">
      <c r="AF21059" s="12"/>
    </row>
    <row r="21060" spans="32:32" x14ac:dyDescent="0.2">
      <c r="AF21060" s="12"/>
    </row>
    <row r="21061" spans="32:32" x14ac:dyDescent="0.2">
      <c r="AF21061" s="12"/>
    </row>
    <row r="21062" spans="32:32" x14ac:dyDescent="0.2">
      <c r="AF21062" s="12"/>
    </row>
    <row r="21063" spans="32:32" x14ac:dyDescent="0.2">
      <c r="AF21063" s="12"/>
    </row>
    <row r="21064" spans="32:32" x14ac:dyDescent="0.2">
      <c r="AF21064" s="12"/>
    </row>
    <row r="21065" spans="32:32" x14ac:dyDescent="0.2">
      <c r="AF21065" s="12"/>
    </row>
    <row r="21066" spans="32:32" x14ac:dyDescent="0.2">
      <c r="AF21066" s="12"/>
    </row>
    <row r="21067" spans="32:32" x14ac:dyDescent="0.2">
      <c r="AF21067" s="12"/>
    </row>
    <row r="21068" spans="32:32" x14ac:dyDescent="0.2">
      <c r="AF21068" s="12"/>
    </row>
    <row r="21069" spans="32:32" x14ac:dyDescent="0.2">
      <c r="AF21069" s="12"/>
    </row>
    <row r="21070" spans="32:32" x14ac:dyDescent="0.2">
      <c r="AF21070" s="12"/>
    </row>
    <row r="21071" spans="32:32" x14ac:dyDescent="0.2">
      <c r="AF21071" s="12"/>
    </row>
    <row r="21072" spans="32:32" x14ac:dyDescent="0.2">
      <c r="AF21072" s="12"/>
    </row>
    <row r="21073" spans="32:32" x14ac:dyDescent="0.2">
      <c r="AF21073" s="12"/>
    </row>
    <row r="21074" spans="32:32" x14ac:dyDescent="0.2">
      <c r="AF21074" s="12"/>
    </row>
    <row r="21075" spans="32:32" x14ac:dyDescent="0.2">
      <c r="AF21075" s="12"/>
    </row>
    <row r="21076" spans="32:32" x14ac:dyDescent="0.2">
      <c r="AF21076" s="12"/>
    </row>
    <row r="21077" spans="32:32" x14ac:dyDescent="0.2">
      <c r="AF21077" s="12"/>
    </row>
    <row r="21078" spans="32:32" x14ac:dyDescent="0.2">
      <c r="AF21078" s="12"/>
    </row>
    <row r="21079" spans="32:32" x14ac:dyDescent="0.2">
      <c r="AF21079" s="12"/>
    </row>
    <row r="21080" spans="32:32" x14ac:dyDescent="0.2">
      <c r="AF21080" s="12"/>
    </row>
    <row r="21081" spans="32:32" x14ac:dyDescent="0.2">
      <c r="AF21081" s="12"/>
    </row>
    <row r="21082" spans="32:32" x14ac:dyDescent="0.2">
      <c r="AF21082" s="12"/>
    </row>
    <row r="21083" spans="32:32" x14ac:dyDescent="0.2">
      <c r="AF21083" s="12"/>
    </row>
    <row r="21084" spans="32:32" x14ac:dyDescent="0.2">
      <c r="AF21084" s="12"/>
    </row>
    <row r="21085" spans="32:32" x14ac:dyDescent="0.2">
      <c r="AF21085" s="12"/>
    </row>
    <row r="21086" spans="32:32" x14ac:dyDescent="0.2">
      <c r="AF21086" s="12"/>
    </row>
    <row r="21087" spans="32:32" x14ac:dyDescent="0.2">
      <c r="AF21087" s="12"/>
    </row>
    <row r="21088" spans="32:32" x14ac:dyDescent="0.2">
      <c r="AF21088" s="12"/>
    </row>
    <row r="21089" spans="32:32" x14ac:dyDescent="0.2">
      <c r="AF21089" s="12"/>
    </row>
    <row r="21090" spans="32:32" x14ac:dyDescent="0.2">
      <c r="AF21090" s="12"/>
    </row>
    <row r="21091" spans="32:32" x14ac:dyDescent="0.2">
      <c r="AF21091" s="12"/>
    </row>
    <row r="21092" spans="32:32" x14ac:dyDescent="0.2">
      <c r="AF21092" s="12"/>
    </row>
    <row r="21093" spans="32:32" x14ac:dyDescent="0.2">
      <c r="AF21093" s="12"/>
    </row>
    <row r="21094" spans="32:32" x14ac:dyDescent="0.2">
      <c r="AF21094" s="12"/>
    </row>
    <row r="21095" spans="32:32" x14ac:dyDescent="0.2">
      <c r="AF21095" s="12"/>
    </row>
    <row r="21096" spans="32:32" x14ac:dyDescent="0.2">
      <c r="AF21096" s="12"/>
    </row>
    <row r="21097" spans="32:32" x14ac:dyDescent="0.2">
      <c r="AF21097" s="12"/>
    </row>
    <row r="21098" spans="32:32" x14ac:dyDescent="0.2">
      <c r="AF21098" s="12"/>
    </row>
    <row r="21099" spans="32:32" x14ac:dyDescent="0.2">
      <c r="AF21099" s="12"/>
    </row>
    <row r="21100" spans="32:32" x14ac:dyDescent="0.2">
      <c r="AF21100" s="12"/>
    </row>
    <row r="21101" spans="32:32" x14ac:dyDescent="0.2">
      <c r="AF21101" s="12"/>
    </row>
    <row r="21102" spans="32:32" x14ac:dyDescent="0.2">
      <c r="AF21102" s="12"/>
    </row>
    <row r="21103" spans="32:32" x14ac:dyDescent="0.2">
      <c r="AF21103" s="12"/>
    </row>
    <row r="21104" spans="32:32" x14ac:dyDescent="0.2">
      <c r="AF21104" s="12"/>
    </row>
    <row r="21105" spans="32:32" x14ac:dyDescent="0.2">
      <c r="AF21105" s="12"/>
    </row>
    <row r="21106" spans="32:32" x14ac:dyDescent="0.2">
      <c r="AF21106" s="12"/>
    </row>
    <row r="21107" spans="32:32" x14ac:dyDescent="0.2">
      <c r="AF21107" s="12"/>
    </row>
    <row r="21108" spans="32:32" x14ac:dyDescent="0.2">
      <c r="AF21108" s="12"/>
    </row>
    <row r="21109" spans="32:32" x14ac:dyDescent="0.2">
      <c r="AF21109" s="12"/>
    </row>
    <row r="21110" spans="32:32" x14ac:dyDescent="0.2">
      <c r="AF21110" s="12"/>
    </row>
    <row r="21111" spans="32:32" x14ac:dyDescent="0.2">
      <c r="AF21111" s="12"/>
    </row>
    <row r="21112" spans="32:32" x14ac:dyDescent="0.2">
      <c r="AF21112" s="12"/>
    </row>
    <row r="21113" spans="32:32" x14ac:dyDescent="0.2">
      <c r="AF21113" s="12"/>
    </row>
    <row r="21114" spans="32:32" x14ac:dyDescent="0.2">
      <c r="AF21114" s="12"/>
    </row>
    <row r="21115" spans="32:32" x14ac:dyDescent="0.2">
      <c r="AF21115" s="12"/>
    </row>
    <row r="21116" spans="32:32" x14ac:dyDescent="0.2">
      <c r="AF21116" s="12"/>
    </row>
    <row r="21117" spans="32:32" x14ac:dyDescent="0.2">
      <c r="AF21117" s="12"/>
    </row>
    <row r="21118" spans="32:32" x14ac:dyDescent="0.2">
      <c r="AF21118" s="12"/>
    </row>
    <row r="21119" spans="32:32" x14ac:dyDescent="0.2">
      <c r="AF21119" s="12"/>
    </row>
    <row r="21120" spans="32:32" x14ac:dyDescent="0.2">
      <c r="AF21120" s="12"/>
    </row>
    <row r="21121" spans="32:32" x14ac:dyDescent="0.2">
      <c r="AF21121" s="12"/>
    </row>
    <row r="21122" spans="32:32" x14ac:dyDescent="0.2">
      <c r="AF21122" s="12"/>
    </row>
    <row r="21123" spans="32:32" x14ac:dyDescent="0.2">
      <c r="AF21123" s="12"/>
    </row>
    <row r="21124" spans="32:32" x14ac:dyDescent="0.2">
      <c r="AF21124" s="12"/>
    </row>
    <row r="21125" spans="32:32" x14ac:dyDescent="0.2">
      <c r="AF21125" s="12"/>
    </row>
    <row r="21126" spans="32:32" x14ac:dyDescent="0.2">
      <c r="AF21126" s="12"/>
    </row>
    <row r="21127" spans="32:32" x14ac:dyDescent="0.2">
      <c r="AF21127" s="12"/>
    </row>
    <row r="21128" spans="32:32" x14ac:dyDescent="0.2">
      <c r="AF21128" s="12"/>
    </row>
    <row r="21129" spans="32:32" x14ac:dyDescent="0.2">
      <c r="AF21129" s="12"/>
    </row>
    <row r="21130" spans="32:32" x14ac:dyDescent="0.2">
      <c r="AF21130" s="12"/>
    </row>
    <row r="21131" spans="32:32" x14ac:dyDescent="0.2">
      <c r="AF21131" s="12"/>
    </row>
    <row r="21132" spans="32:32" x14ac:dyDescent="0.2">
      <c r="AF21132" s="12"/>
    </row>
    <row r="21133" spans="32:32" x14ac:dyDescent="0.2">
      <c r="AF21133" s="12"/>
    </row>
    <row r="21134" spans="32:32" x14ac:dyDescent="0.2">
      <c r="AF21134" s="12"/>
    </row>
    <row r="21135" spans="32:32" x14ac:dyDescent="0.2">
      <c r="AF21135" s="12"/>
    </row>
    <row r="21136" spans="32:32" x14ac:dyDescent="0.2">
      <c r="AF21136" s="12"/>
    </row>
    <row r="21137" spans="32:32" x14ac:dyDescent="0.2">
      <c r="AF21137" s="12"/>
    </row>
    <row r="21138" spans="32:32" x14ac:dyDescent="0.2">
      <c r="AF21138" s="12"/>
    </row>
    <row r="21139" spans="32:32" x14ac:dyDescent="0.2">
      <c r="AF21139" s="12"/>
    </row>
    <row r="21140" spans="32:32" x14ac:dyDescent="0.2">
      <c r="AF21140" s="12"/>
    </row>
    <row r="21141" spans="32:32" x14ac:dyDescent="0.2">
      <c r="AF21141" s="12"/>
    </row>
    <row r="21142" spans="32:32" x14ac:dyDescent="0.2">
      <c r="AF21142" s="12"/>
    </row>
    <row r="21143" spans="32:32" x14ac:dyDescent="0.2">
      <c r="AF21143" s="12"/>
    </row>
    <row r="21144" spans="32:32" x14ac:dyDescent="0.2">
      <c r="AF21144" s="12"/>
    </row>
    <row r="21145" spans="32:32" x14ac:dyDescent="0.2">
      <c r="AF21145" s="12"/>
    </row>
    <row r="21146" spans="32:32" x14ac:dyDescent="0.2">
      <c r="AF21146" s="12"/>
    </row>
    <row r="21147" spans="32:32" x14ac:dyDescent="0.2">
      <c r="AF21147" s="12"/>
    </row>
    <row r="21148" spans="32:32" x14ac:dyDescent="0.2">
      <c r="AF21148" s="12"/>
    </row>
    <row r="21149" spans="32:32" x14ac:dyDescent="0.2">
      <c r="AF21149" s="12"/>
    </row>
    <row r="21150" spans="32:32" x14ac:dyDescent="0.2">
      <c r="AF21150" s="12"/>
    </row>
    <row r="21151" spans="32:32" x14ac:dyDescent="0.2">
      <c r="AF21151" s="12"/>
    </row>
    <row r="21152" spans="32:32" x14ac:dyDescent="0.2">
      <c r="AF21152" s="12"/>
    </row>
    <row r="21153" spans="32:32" x14ac:dyDescent="0.2">
      <c r="AF21153" s="12"/>
    </row>
    <row r="21154" spans="32:32" x14ac:dyDescent="0.2">
      <c r="AF21154" s="12"/>
    </row>
    <row r="21155" spans="32:32" x14ac:dyDescent="0.2">
      <c r="AF21155" s="12"/>
    </row>
    <row r="21156" spans="32:32" x14ac:dyDescent="0.2">
      <c r="AF21156" s="12"/>
    </row>
    <row r="21157" spans="32:32" x14ac:dyDescent="0.2">
      <c r="AF21157" s="12"/>
    </row>
    <row r="21158" spans="32:32" x14ac:dyDescent="0.2">
      <c r="AF21158" s="12"/>
    </row>
    <row r="21159" spans="32:32" x14ac:dyDescent="0.2">
      <c r="AF21159" s="12"/>
    </row>
    <row r="21160" spans="32:32" x14ac:dyDescent="0.2">
      <c r="AF21160" s="12"/>
    </row>
    <row r="21161" spans="32:32" x14ac:dyDescent="0.2">
      <c r="AF21161" s="12"/>
    </row>
    <row r="21162" spans="32:32" x14ac:dyDescent="0.2">
      <c r="AF21162" s="12"/>
    </row>
    <row r="21163" spans="32:32" x14ac:dyDescent="0.2">
      <c r="AF21163" s="12"/>
    </row>
    <row r="21164" spans="32:32" x14ac:dyDescent="0.2">
      <c r="AF21164" s="12"/>
    </row>
    <row r="21165" spans="32:32" x14ac:dyDescent="0.2">
      <c r="AF21165" s="12"/>
    </row>
    <row r="21166" spans="32:32" x14ac:dyDescent="0.2">
      <c r="AF21166" s="12"/>
    </row>
    <row r="21167" spans="32:32" x14ac:dyDescent="0.2">
      <c r="AF21167" s="12"/>
    </row>
    <row r="21168" spans="32:32" x14ac:dyDescent="0.2">
      <c r="AF21168" s="12"/>
    </row>
    <row r="21169" spans="32:32" x14ac:dyDescent="0.2">
      <c r="AF21169" s="12"/>
    </row>
    <row r="21170" spans="32:32" x14ac:dyDescent="0.2">
      <c r="AF21170" s="12"/>
    </row>
    <row r="21171" spans="32:32" x14ac:dyDescent="0.2">
      <c r="AF21171" s="12"/>
    </row>
    <row r="21172" spans="32:32" x14ac:dyDescent="0.2">
      <c r="AF21172" s="12"/>
    </row>
    <row r="21173" spans="32:32" x14ac:dyDescent="0.2">
      <c r="AF21173" s="12"/>
    </row>
    <row r="21174" spans="32:32" x14ac:dyDescent="0.2">
      <c r="AF21174" s="12"/>
    </row>
    <row r="21175" spans="32:32" x14ac:dyDescent="0.2">
      <c r="AF21175" s="12"/>
    </row>
    <row r="21176" spans="32:32" x14ac:dyDescent="0.2">
      <c r="AF21176" s="12"/>
    </row>
    <row r="21177" spans="32:32" x14ac:dyDescent="0.2">
      <c r="AF21177" s="12"/>
    </row>
    <row r="21178" spans="32:32" x14ac:dyDescent="0.2">
      <c r="AF21178" s="12"/>
    </row>
    <row r="21179" spans="32:32" x14ac:dyDescent="0.2">
      <c r="AF21179" s="12"/>
    </row>
    <row r="21180" spans="32:32" x14ac:dyDescent="0.2">
      <c r="AF21180" s="12"/>
    </row>
    <row r="21181" spans="32:32" x14ac:dyDescent="0.2">
      <c r="AF21181" s="12"/>
    </row>
    <row r="21182" spans="32:32" x14ac:dyDescent="0.2">
      <c r="AF21182" s="12"/>
    </row>
    <row r="21183" spans="32:32" x14ac:dyDescent="0.2">
      <c r="AF21183" s="12"/>
    </row>
    <row r="21184" spans="32:32" x14ac:dyDescent="0.2">
      <c r="AF21184" s="12"/>
    </row>
    <row r="21185" spans="32:32" x14ac:dyDescent="0.2">
      <c r="AF21185" s="12"/>
    </row>
    <row r="21186" spans="32:32" x14ac:dyDescent="0.2">
      <c r="AF21186" s="12"/>
    </row>
    <row r="21187" spans="32:32" x14ac:dyDescent="0.2">
      <c r="AF21187" s="12"/>
    </row>
    <row r="21188" spans="32:32" x14ac:dyDescent="0.2">
      <c r="AF21188" s="12"/>
    </row>
    <row r="21189" spans="32:32" x14ac:dyDescent="0.2">
      <c r="AF21189" s="12"/>
    </row>
    <row r="21190" spans="32:32" x14ac:dyDescent="0.2">
      <c r="AF21190" s="12"/>
    </row>
    <row r="21191" spans="32:32" x14ac:dyDescent="0.2">
      <c r="AF21191" s="12"/>
    </row>
    <row r="21192" spans="32:32" x14ac:dyDescent="0.2">
      <c r="AF21192" s="12"/>
    </row>
    <row r="21193" spans="32:32" x14ac:dyDescent="0.2">
      <c r="AF21193" s="12"/>
    </row>
    <row r="21194" spans="32:32" x14ac:dyDescent="0.2">
      <c r="AF21194" s="12"/>
    </row>
    <row r="21195" spans="32:32" x14ac:dyDescent="0.2">
      <c r="AF21195" s="12"/>
    </row>
    <row r="21196" spans="32:32" x14ac:dyDescent="0.2">
      <c r="AF21196" s="12"/>
    </row>
    <row r="21197" spans="32:32" x14ac:dyDescent="0.2">
      <c r="AF21197" s="12"/>
    </row>
    <row r="21198" spans="32:32" x14ac:dyDescent="0.2">
      <c r="AF21198" s="12"/>
    </row>
    <row r="21199" spans="32:32" x14ac:dyDescent="0.2">
      <c r="AF21199" s="12"/>
    </row>
    <row r="21200" spans="32:32" x14ac:dyDescent="0.2">
      <c r="AF21200" s="12"/>
    </row>
    <row r="21201" spans="32:32" x14ac:dyDescent="0.2">
      <c r="AF21201" s="12"/>
    </row>
    <row r="21202" spans="32:32" x14ac:dyDescent="0.2">
      <c r="AF21202" s="12"/>
    </row>
    <row r="21203" spans="32:32" x14ac:dyDescent="0.2">
      <c r="AF21203" s="12"/>
    </row>
    <row r="21204" spans="32:32" x14ac:dyDescent="0.2">
      <c r="AF21204" s="12"/>
    </row>
    <row r="21205" spans="32:32" x14ac:dyDescent="0.2">
      <c r="AF21205" s="12"/>
    </row>
    <row r="21206" spans="32:32" x14ac:dyDescent="0.2">
      <c r="AF21206" s="12"/>
    </row>
    <row r="21207" spans="32:32" x14ac:dyDescent="0.2">
      <c r="AF21207" s="12"/>
    </row>
    <row r="21208" spans="32:32" x14ac:dyDescent="0.2">
      <c r="AF21208" s="12"/>
    </row>
    <row r="21209" spans="32:32" x14ac:dyDescent="0.2">
      <c r="AF21209" s="12"/>
    </row>
    <row r="21210" spans="32:32" x14ac:dyDescent="0.2">
      <c r="AF21210" s="12"/>
    </row>
    <row r="21211" spans="32:32" x14ac:dyDescent="0.2">
      <c r="AF21211" s="12"/>
    </row>
    <row r="21212" spans="32:32" x14ac:dyDescent="0.2">
      <c r="AF21212" s="12"/>
    </row>
    <row r="21213" spans="32:32" x14ac:dyDescent="0.2">
      <c r="AF21213" s="12"/>
    </row>
    <row r="21214" spans="32:32" x14ac:dyDescent="0.2">
      <c r="AF21214" s="12"/>
    </row>
    <row r="21215" spans="32:32" x14ac:dyDescent="0.2">
      <c r="AF21215" s="12"/>
    </row>
    <row r="21216" spans="32:32" x14ac:dyDescent="0.2">
      <c r="AF21216" s="12"/>
    </row>
    <row r="21217" spans="32:32" x14ac:dyDescent="0.2">
      <c r="AF21217" s="12"/>
    </row>
    <row r="21218" spans="32:32" x14ac:dyDescent="0.2">
      <c r="AF21218" s="12"/>
    </row>
    <row r="21219" spans="32:32" x14ac:dyDescent="0.2">
      <c r="AF21219" s="12"/>
    </row>
    <row r="21220" spans="32:32" x14ac:dyDescent="0.2">
      <c r="AF21220" s="12"/>
    </row>
    <row r="21221" spans="32:32" x14ac:dyDescent="0.2">
      <c r="AF21221" s="12"/>
    </row>
    <row r="21222" spans="32:32" x14ac:dyDescent="0.2">
      <c r="AF21222" s="12"/>
    </row>
    <row r="21223" spans="32:32" x14ac:dyDescent="0.2">
      <c r="AF21223" s="12"/>
    </row>
    <row r="21224" spans="32:32" x14ac:dyDescent="0.2">
      <c r="AF21224" s="12"/>
    </row>
    <row r="21225" spans="32:32" x14ac:dyDescent="0.2">
      <c r="AF21225" s="12"/>
    </row>
    <row r="21226" spans="32:32" x14ac:dyDescent="0.2">
      <c r="AF21226" s="12"/>
    </row>
    <row r="21227" spans="32:32" x14ac:dyDescent="0.2">
      <c r="AF21227" s="12"/>
    </row>
    <row r="21228" spans="32:32" x14ac:dyDescent="0.2">
      <c r="AF21228" s="12"/>
    </row>
    <row r="21229" spans="32:32" x14ac:dyDescent="0.2">
      <c r="AF21229" s="12"/>
    </row>
    <row r="21230" spans="32:32" x14ac:dyDescent="0.2">
      <c r="AF21230" s="12"/>
    </row>
    <row r="21231" spans="32:32" x14ac:dyDescent="0.2">
      <c r="AF21231" s="12"/>
    </row>
    <row r="21232" spans="32:32" x14ac:dyDescent="0.2">
      <c r="AF21232" s="12"/>
    </row>
    <row r="21233" spans="32:32" x14ac:dyDescent="0.2">
      <c r="AF21233" s="12"/>
    </row>
    <row r="21234" spans="32:32" x14ac:dyDescent="0.2">
      <c r="AF21234" s="12"/>
    </row>
    <row r="21235" spans="32:32" x14ac:dyDescent="0.2">
      <c r="AF21235" s="12"/>
    </row>
    <row r="21236" spans="32:32" x14ac:dyDescent="0.2">
      <c r="AF21236" s="12"/>
    </row>
    <row r="21237" spans="32:32" x14ac:dyDescent="0.2">
      <c r="AF21237" s="12"/>
    </row>
    <row r="21238" spans="32:32" x14ac:dyDescent="0.2">
      <c r="AF21238" s="12"/>
    </row>
    <row r="21239" spans="32:32" x14ac:dyDescent="0.2">
      <c r="AF21239" s="12"/>
    </row>
    <row r="21240" spans="32:32" x14ac:dyDescent="0.2">
      <c r="AF21240" s="12"/>
    </row>
    <row r="21241" spans="32:32" x14ac:dyDescent="0.2">
      <c r="AF21241" s="12"/>
    </row>
    <row r="21242" spans="32:32" x14ac:dyDescent="0.2">
      <c r="AF21242" s="12"/>
    </row>
    <row r="21243" spans="32:32" x14ac:dyDescent="0.2">
      <c r="AF21243" s="12"/>
    </row>
    <row r="21244" spans="32:32" x14ac:dyDescent="0.2">
      <c r="AF21244" s="12"/>
    </row>
    <row r="21245" spans="32:32" x14ac:dyDescent="0.2">
      <c r="AF21245" s="12"/>
    </row>
    <row r="21246" spans="32:32" x14ac:dyDescent="0.2">
      <c r="AF21246" s="12"/>
    </row>
    <row r="21247" spans="32:32" x14ac:dyDescent="0.2">
      <c r="AF21247" s="12"/>
    </row>
    <row r="21248" spans="32:32" x14ac:dyDescent="0.2">
      <c r="AF21248" s="12"/>
    </row>
    <row r="21249" spans="32:32" x14ac:dyDescent="0.2">
      <c r="AF21249" s="12"/>
    </row>
    <row r="21250" spans="32:32" x14ac:dyDescent="0.2">
      <c r="AF21250" s="12"/>
    </row>
    <row r="21251" spans="32:32" x14ac:dyDescent="0.2">
      <c r="AF21251" s="12"/>
    </row>
    <row r="21252" spans="32:32" x14ac:dyDescent="0.2">
      <c r="AF21252" s="12"/>
    </row>
    <row r="21253" spans="32:32" x14ac:dyDescent="0.2">
      <c r="AF21253" s="12"/>
    </row>
    <row r="21254" spans="32:32" x14ac:dyDescent="0.2">
      <c r="AF21254" s="12"/>
    </row>
    <row r="21255" spans="32:32" x14ac:dyDescent="0.2">
      <c r="AF21255" s="12"/>
    </row>
    <row r="21256" spans="32:32" x14ac:dyDescent="0.2">
      <c r="AF21256" s="12"/>
    </row>
    <row r="21257" spans="32:32" x14ac:dyDescent="0.2">
      <c r="AF21257" s="12"/>
    </row>
    <row r="21258" spans="32:32" x14ac:dyDescent="0.2">
      <c r="AF21258" s="12"/>
    </row>
    <row r="21259" spans="32:32" x14ac:dyDescent="0.2">
      <c r="AF21259" s="12"/>
    </row>
    <row r="21260" spans="32:32" x14ac:dyDescent="0.2">
      <c r="AF21260" s="12"/>
    </row>
    <row r="21261" spans="32:32" x14ac:dyDescent="0.2">
      <c r="AF21261" s="12"/>
    </row>
    <row r="21262" spans="32:32" x14ac:dyDescent="0.2">
      <c r="AF21262" s="12"/>
    </row>
    <row r="21263" spans="32:32" x14ac:dyDescent="0.2">
      <c r="AF21263" s="12"/>
    </row>
    <row r="21264" spans="32:32" x14ac:dyDescent="0.2">
      <c r="AF21264" s="12"/>
    </row>
    <row r="21265" spans="32:32" x14ac:dyDescent="0.2">
      <c r="AF21265" s="12"/>
    </row>
    <row r="21266" spans="32:32" x14ac:dyDescent="0.2">
      <c r="AF21266" s="12"/>
    </row>
    <row r="21267" spans="32:32" x14ac:dyDescent="0.2">
      <c r="AF21267" s="12"/>
    </row>
    <row r="21268" spans="32:32" x14ac:dyDescent="0.2">
      <c r="AF21268" s="12"/>
    </row>
    <row r="21269" spans="32:32" x14ac:dyDescent="0.2">
      <c r="AF21269" s="12"/>
    </row>
    <row r="21270" spans="32:32" x14ac:dyDescent="0.2">
      <c r="AF21270" s="12"/>
    </row>
    <row r="21271" spans="32:32" x14ac:dyDescent="0.2">
      <c r="AF21271" s="12"/>
    </row>
    <row r="21272" spans="32:32" x14ac:dyDescent="0.2">
      <c r="AF21272" s="12"/>
    </row>
    <row r="21273" spans="32:32" x14ac:dyDescent="0.2">
      <c r="AF21273" s="12"/>
    </row>
    <row r="21274" spans="32:32" x14ac:dyDescent="0.2">
      <c r="AF21274" s="12"/>
    </row>
    <row r="21275" spans="32:32" x14ac:dyDescent="0.2">
      <c r="AF21275" s="12"/>
    </row>
    <row r="21276" spans="32:32" x14ac:dyDescent="0.2">
      <c r="AF21276" s="12"/>
    </row>
    <row r="21277" spans="32:32" x14ac:dyDescent="0.2">
      <c r="AF21277" s="12"/>
    </row>
    <row r="21278" spans="32:32" x14ac:dyDescent="0.2">
      <c r="AF21278" s="12"/>
    </row>
    <row r="21279" spans="32:32" x14ac:dyDescent="0.2">
      <c r="AF21279" s="12"/>
    </row>
    <row r="21280" spans="32:32" x14ac:dyDescent="0.2">
      <c r="AF21280" s="12"/>
    </row>
    <row r="21281" spans="32:32" x14ac:dyDescent="0.2">
      <c r="AF21281" s="12"/>
    </row>
    <row r="21282" spans="32:32" x14ac:dyDescent="0.2">
      <c r="AF21282" s="12"/>
    </row>
    <row r="21283" spans="32:32" x14ac:dyDescent="0.2">
      <c r="AF21283" s="12"/>
    </row>
    <row r="21284" spans="32:32" x14ac:dyDescent="0.2">
      <c r="AF21284" s="12"/>
    </row>
    <row r="21285" spans="32:32" x14ac:dyDescent="0.2">
      <c r="AF21285" s="12"/>
    </row>
    <row r="21286" spans="32:32" x14ac:dyDescent="0.2">
      <c r="AF21286" s="12"/>
    </row>
    <row r="21287" spans="32:32" x14ac:dyDescent="0.2">
      <c r="AF21287" s="12"/>
    </row>
    <row r="21288" spans="32:32" x14ac:dyDescent="0.2">
      <c r="AF21288" s="12"/>
    </row>
    <row r="21289" spans="32:32" x14ac:dyDescent="0.2">
      <c r="AF21289" s="12"/>
    </row>
    <row r="21290" spans="32:32" x14ac:dyDescent="0.2">
      <c r="AF21290" s="12"/>
    </row>
    <row r="21291" spans="32:32" x14ac:dyDescent="0.2">
      <c r="AF21291" s="12"/>
    </row>
    <row r="21292" spans="32:32" x14ac:dyDescent="0.2">
      <c r="AF21292" s="12"/>
    </row>
    <row r="21293" spans="32:32" x14ac:dyDescent="0.2">
      <c r="AF21293" s="12"/>
    </row>
    <row r="21294" spans="32:32" x14ac:dyDescent="0.2">
      <c r="AF21294" s="12"/>
    </row>
    <row r="21295" spans="32:32" x14ac:dyDescent="0.2">
      <c r="AF21295" s="12"/>
    </row>
    <row r="21296" spans="32:32" x14ac:dyDescent="0.2">
      <c r="AF21296" s="12"/>
    </row>
    <row r="21297" spans="32:32" x14ac:dyDescent="0.2">
      <c r="AF21297" s="12"/>
    </row>
    <row r="21298" spans="32:32" x14ac:dyDescent="0.2">
      <c r="AF21298" s="12"/>
    </row>
    <row r="21299" spans="32:32" x14ac:dyDescent="0.2">
      <c r="AF21299" s="12"/>
    </row>
    <row r="21300" spans="32:32" x14ac:dyDescent="0.2">
      <c r="AF21300" s="12"/>
    </row>
    <row r="21301" spans="32:32" x14ac:dyDescent="0.2">
      <c r="AF21301" s="12"/>
    </row>
    <row r="21302" spans="32:32" x14ac:dyDescent="0.2">
      <c r="AF21302" s="12"/>
    </row>
    <row r="21303" spans="32:32" x14ac:dyDescent="0.2">
      <c r="AF21303" s="12"/>
    </row>
    <row r="21304" spans="32:32" x14ac:dyDescent="0.2">
      <c r="AF21304" s="12"/>
    </row>
    <row r="21305" spans="32:32" x14ac:dyDescent="0.2">
      <c r="AF21305" s="12"/>
    </row>
    <row r="21306" spans="32:32" x14ac:dyDescent="0.2">
      <c r="AF21306" s="12"/>
    </row>
    <row r="21307" spans="32:32" x14ac:dyDescent="0.2">
      <c r="AF21307" s="12"/>
    </row>
    <row r="21308" spans="32:32" x14ac:dyDescent="0.2">
      <c r="AF21308" s="12"/>
    </row>
    <row r="21309" spans="32:32" x14ac:dyDescent="0.2">
      <c r="AF21309" s="12"/>
    </row>
    <row r="21310" spans="32:32" x14ac:dyDescent="0.2">
      <c r="AF21310" s="12"/>
    </row>
    <row r="21311" spans="32:32" x14ac:dyDescent="0.2">
      <c r="AF21311" s="12"/>
    </row>
    <row r="21312" spans="32:32" x14ac:dyDescent="0.2">
      <c r="AF21312" s="12"/>
    </row>
    <row r="21313" spans="32:32" x14ac:dyDescent="0.2">
      <c r="AF21313" s="12"/>
    </row>
    <row r="21314" spans="32:32" x14ac:dyDescent="0.2">
      <c r="AF21314" s="12"/>
    </row>
    <row r="21315" spans="32:32" x14ac:dyDescent="0.2">
      <c r="AF21315" s="12"/>
    </row>
    <row r="21316" spans="32:32" x14ac:dyDescent="0.2">
      <c r="AF21316" s="12"/>
    </row>
    <row r="21317" spans="32:32" x14ac:dyDescent="0.2">
      <c r="AF21317" s="12"/>
    </row>
    <row r="21318" spans="32:32" x14ac:dyDescent="0.2">
      <c r="AF21318" s="12"/>
    </row>
    <row r="21319" spans="32:32" x14ac:dyDescent="0.2">
      <c r="AF21319" s="12"/>
    </row>
    <row r="21320" spans="32:32" x14ac:dyDescent="0.2">
      <c r="AF21320" s="12"/>
    </row>
    <row r="21321" spans="32:32" x14ac:dyDescent="0.2">
      <c r="AF21321" s="12"/>
    </row>
    <row r="21322" spans="32:32" x14ac:dyDescent="0.2">
      <c r="AF21322" s="12"/>
    </row>
    <row r="21323" spans="32:32" x14ac:dyDescent="0.2">
      <c r="AF21323" s="12"/>
    </row>
    <row r="21324" spans="32:32" x14ac:dyDescent="0.2">
      <c r="AF21324" s="12"/>
    </row>
    <row r="21325" spans="32:32" x14ac:dyDescent="0.2">
      <c r="AF21325" s="12"/>
    </row>
    <row r="21326" spans="32:32" x14ac:dyDescent="0.2">
      <c r="AF21326" s="12"/>
    </row>
    <row r="21327" spans="32:32" x14ac:dyDescent="0.2">
      <c r="AF21327" s="12"/>
    </row>
    <row r="21328" spans="32:32" x14ac:dyDescent="0.2">
      <c r="AF21328" s="12"/>
    </row>
    <row r="21329" spans="32:32" x14ac:dyDescent="0.2">
      <c r="AF21329" s="12"/>
    </row>
    <row r="21330" spans="32:32" x14ac:dyDescent="0.2">
      <c r="AF21330" s="12"/>
    </row>
    <row r="21331" spans="32:32" x14ac:dyDescent="0.2">
      <c r="AF21331" s="12"/>
    </row>
    <row r="21332" spans="32:32" x14ac:dyDescent="0.2">
      <c r="AF21332" s="12"/>
    </row>
    <row r="21333" spans="32:32" x14ac:dyDescent="0.2">
      <c r="AF21333" s="12"/>
    </row>
    <row r="21334" spans="32:32" x14ac:dyDescent="0.2">
      <c r="AF21334" s="12"/>
    </row>
    <row r="21335" spans="32:32" x14ac:dyDescent="0.2">
      <c r="AF21335" s="12"/>
    </row>
    <row r="21336" spans="32:32" x14ac:dyDescent="0.2">
      <c r="AF21336" s="12"/>
    </row>
    <row r="21337" spans="32:32" x14ac:dyDescent="0.2">
      <c r="AF21337" s="12"/>
    </row>
    <row r="21338" spans="32:32" x14ac:dyDescent="0.2">
      <c r="AF21338" s="12"/>
    </row>
    <row r="21339" spans="32:32" x14ac:dyDescent="0.2">
      <c r="AF21339" s="12"/>
    </row>
    <row r="21340" spans="32:32" x14ac:dyDescent="0.2">
      <c r="AF21340" s="12"/>
    </row>
    <row r="21341" spans="32:32" x14ac:dyDescent="0.2">
      <c r="AF21341" s="12"/>
    </row>
    <row r="21342" spans="32:32" x14ac:dyDescent="0.2">
      <c r="AF21342" s="12"/>
    </row>
    <row r="21343" spans="32:32" x14ac:dyDescent="0.2">
      <c r="AF21343" s="12"/>
    </row>
    <row r="21344" spans="32:32" x14ac:dyDescent="0.2">
      <c r="AF21344" s="12"/>
    </row>
    <row r="21345" spans="32:32" x14ac:dyDescent="0.2">
      <c r="AF21345" s="12"/>
    </row>
    <row r="21346" spans="32:32" x14ac:dyDescent="0.2">
      <c r="AF21346" s="12"/>
    </row>
    <row r="21347" spans="32:32" x14ac:dyDescent="0.2">
      <c r="AF21347" s="12"/>
    </row>
    <row r="21348" spans="32:32" x14ac:dyDescent="0.2">
      <c r="AF21348" s="12"/>
    </row>
    <row r="21349" spans="32:32" x14ac:dyDescent="0.2">
      <c r="AF21349" s="12"/>
    </row>
    <row r="21350" spans="32:32" x14ac:dyDescent="0.2">
      <c r="AF21350" s="12"/>
    </row>
    <row r="21351" spans="32:32" x14ac:dyDescent="0.2">
      <c r="AF21351" s="12"/>
    </row>
    <row r="21352" spans="32:32" x14ac:dyDescent="0.2">
      <c r="AF21352" s="12"/>
    </row>
    <row r="21353" spans="32:32" x14ac:dyDescent="0.2">
      <c r="AF21353" s="12"/>
    </row>
    <row r="21354" spans="32:32" x14ac:dyDescent="0.2">
      <c r="AF21354" s="12"/>
    </row>
    <row r="21355" spans="32:32" x14ac:dyDescent="0.2">
      <c r="AF21355" s="12"/>
    </row>
    <row r="21356" spans="32:32" x14ac:dyDescent="0.2">
      <c r="AF21356" s="12"/>
    </row>
    <row r="21357" spans="32:32" x14ac:dyDescent="0.2">
      <c r="AF21357" s="12"/>
    </row>
    <row r="21358" spans="32:32" x14ac:dyDescent="0.2">
      <c r="AF21358" s="12"/>
    </row>
    <row r="21359" spans="32:32" x14ac:dyDescent="0.2">
      <c r="AF21359" s="12"/>
    </row>
    <row r="21360" spans="32:32" x14ac:dyDescent="0.2">
      <c r="AF21360" s="12"/>
    </row>
    <row r="21361" spans="32:32" x14ac:dyDescent="0.2">
      <c r="AF21361" s="12"/>
    </row>
    <row r="21362" spans="32:32" x14ac:dyDescent="0.2">
      <c r="AF21362" s="12"/>
    </row>
    <row r="21363" spans="32:32" x14ac:dyDescent="0.2">
      <c r="AF21363" s="12"/>
    </row>
    <row r="21364" spans="32:32" x14ac:dyDescent="0.2">
      <c r="AF21364" s="12"/>
    </row>
    <row r="21365" spans="32:32" x14ac:dyDescent="0.2">
      <c r="AF21365" s="12"/>
    </row>
    <row r="21366" spans="32:32" x14ac:dyDescent="0.2">
      <c r="AF21366" s="12"/>
    </row>
    <row r="21367" spans="32:32" x14ac:dyDescent="0.2">
      <c r="AF21367" s="12"/>
    </row>
    <row r="21368" spans="32:32" x14ac:dyDescent="0.2">
      <c r="AF21368" s="12"/>
    </row>
    <row r="21369" spans="32:32" x14ac:dyDescent="0.2">
      <c r="AF21369" s="12"/>
    </row>
    <row r="21370" spans="32:32" x14ac:dyDescent="0.2">
      <c r="AF21370" s="12"/>
    </row>
    <row r="21371" spans="32:32" x14ac:dyDescent="0.2">
      <c r="AF21371" s="12"/>
    </row>
    <row r="21372" spans="32:32" x14ac:dyDescent="0.2">
      <c r="AF21372" s="12"/>
    </row>
    <row r="21373" spans="32:32" x14ac:dyDescent="0.2">
      <c r="AF21373" s="12"/>
    </row>
    <row r="21374" spans="32:32" x14ac:dyDescent="0.2">
      <c r="AF21374" s="12"/>
    </row>
    <row r="21375" spans="32:32" x14ac:dyDescent="0.2">
      <c r="AF21375" s="12"/>
    </row>
    <row r="21376" spans="32:32" x14ac:dyDescent="0.2">
      <c r="AF21376" s="12"/>
    </row>
    <row r="21377" spans="32:32" x14ac:dyDescent="0.2">
      <c r="AF21377" s="12"/>
    </row>
    <row r="21378" spans="32:32" x14ac:dyDescent="0.2">
      <c r="AF21378" s="12"/>
    </row>
    <row r="21379" spans="32:32" x14ac:dyDescent="0.2">
      <c r="AF21379" s="12"/>
    </row>
    <row r="21380" spans="32:32" x14ac:dyDescent="0.2">
      <c r="AF21380" s="12"/>
    </row>
    <row r="21381" spans="32:32" x14ac:dyDescent="0.2">
      <c r="AF21381" s="12"/>
    </row>
    <row r="21382" spans="32:32" x14ac:dyDescent="0.2">
      <c r="AF21382" s="12"/>
    </row>
    <row r="21383" spans="32:32" x14ac:dyDescent="0.2">
      <c r="AF21383" s="12"/>
    </row>
    <row r="21384" spans="32:32" x14ac:dyDescent="0.2">
      <c r="AF21384" s="12"/>
    </row>
    <row r="21385" spans="32:32" x14ac:dyDescent="0.2">
      <c r="AF21385" s="12"/>
    </row>
    <row r="21386" spans="32:32" x14ac:dyDescent="0.2">
      <c r="AF21386" s="12"/>
    </row>
    <row r="21387" spans="32:32" x14ac:dyDescent="0.2">
      <c r="AF21387" s="12"/>
    </row>
    <row r="21388" spans="32:32" x14ac:dyDescent="0.2">
      <c r="AF21388" s="12"/>
    </row>
    <row r="21389" spans="32:32" x14ac:dyDescent="0.2">
      <c r="AF21389" s="12"/>
    </row>
    <row r="21390" spans="32:32" x14ac:dyDescent="0.2">
      <c r="AF21390" s="12"/>
    </row>
    <row r="21391" spans="32:32" x14ac:dyDescent="0.2">
      <c r="AF21391" s="12"/>
    </row>
    <row r="21392" spans="32:32" x14ac:dyDescent="0.2">
      <c r="AF21392" s="12"/>
    </row>
    <row r="21393" spans="32:32" x14ac:dyDescent="0.2">
      <c r="AF21393" s="12"/>
    </row>
    <row r="21394" spans="32:32" x14ac:dyDescent="0.2">
      <c r="AF21394" s="12"/>
    </row>
    <row r="21395" spans="32:32" x14ac:dyDescent="0.2">
      <c r="AF21395" s="12"/>
    </row>
    <row r="21396" spans="32:32" x14ac:dyDescent="0.2">
      <c r="AF21396" s="12"/>
    </row>
    <row r="21397" spans="32:32" x14ac:dyDescent="0.2">
      <c r="AF21397" s="12"/>
    </row>
    <row r="21398" spans="32:32" x14ac:dyDescent="0.2">
      <c r="AF21398" s="12"/>
    </row>
    <row r="21399" spans="32:32" x14ac:dyDescent="0.2">
      <c r="AF21399" s="12"/>
    </row>
    <row r="21400" spans="32:32" x14ac:dyDescent="0.2">
      <c r="AF21400" s="12"/>
    </row>
    <row r="21401" spans="32:32" x14ac:dyDescent="0.2">
      <c r="AF21401" s="12"/>
    </row>
    <row r="21402" spans="32:32" x14ac:dyDescent="0.2">
      <c r="AF21402" s="12"/>
    </row>
    <row r="21403" spans="32:32" x14ac:dyDescent="0.2">
      <c r="AF21403" s="12"/>
    </row>
    <row r="21404" spans="32:32" x14ac:dyDescent="0.2">
      <c r="AF21404" s="12"/>
    </row>
    <row r="21405" spans="32:32" x14ac:dyDescent="0.2">
      <c r="AF21405" s="12"/>
    </row>
    <row r="21406" spans="32:32" x14ac:dyDescent="0.2">
      <c r="AF21406" s="12"/>
    </row>
    <row r="21407" spans="32:32" x14ac:dyDescent="0.2">
      <c r="AF21407" s="12"/>
    </row>
    <row r="21408" spans="32:32" x14ac:dyDescent="0.2">
      <c r="AF21408" s="12"/>
    </row>
    <row r="21409" spans="32:32" x14ac:dyDescent="0.2">
      <c r="AF21409" s="12"/>
    </row>
    <row r="21410" spans="32:32" x14ac:dyDescent="0.2">
      <c r="AF21410" s="12"/>
    </row>
    <row r="21411" spans="32:32" x14ac:dyDescent="0.2">
      <c r="AF21411" s="12"/>
    </row>
    <row r="21412" spans="32:32" x14ac:dyDescent="0.2">
      <c r="AF21412" s="12"/>
    </row>
    <row r="21413" spans="32:32" x14ac:dyDescent="0.2">
      <c r="AF21413" s="12"/>
    </row>
    <row r="21414" spans="32:32" x14ac:dyDescent="0.2">
      <c r="AF21414" s="12"/>
    </row>
    <row r="21415" spans="32:32" x14ac:dyDescent="0.2">
      <c r="AF21415" s="12"/>
    </row>
    <row r="21416" spans="32:32" x14ac:dyDescent="0.2">
      <c r="AF21416" s="12"/>
    </row>
    <row r="21417" spans="32:32" x14ac:dyDescent="0.2">
      <c r="AF21417" s="12"/>
    </row>
    <row r="21418" spans="32:32" x14ac:dyDescent="0.2">
      <c r="AF21418" s="12"/>
    </row>
    <row r="21419" spans="32:32" x14ac:dyDescent="0.2">
      <c r="AF21419" s="12"/>
    </row>
    <row r="21420" spans="32:32" x14ac:dyDescent="0.2">
      <c r="AF21420" s="12"/>
    </row>
    <row r="21421" spans="32:32" x14ac:dyDescent="0.2">
      <c r="AF21421" s="12"/>
    </row>
    <row r="21422" spans="32:32" x14ac:dyDescent="0.2">
      <c r="AF21422" s="12"/>
    </row>
    <row r="21423" spans="32:32" x14ac:dyDescent="0.2">
      <c r="AF21423" s="12"/>
    </row>
    <row r="21424" spans="32:32" x14ac:dyDescent="0.2">
      <c r="AF21424" s="12"/>
    </row>
    <row r="21425" spans="32:32" x14ac:dyDescent="0.2">
      <c r="AF21425" s="12"/>
    </row>
    <row r="21426" spans="32:32" x14ac:dyDescent="0.2">
      <c r="AF21426" s="12"/>
    </row>
    <row r="21427" spans="32:32" x14ac:dyDescent="0.2">
      <c r="AF21427" s="12"/>
    </row>
    <row r="21428" spans="32:32" x14ac:dyDescent="0.2">
      <c r="AF21428" s="12"/>
    </row>
    <row r="21429" spans="32:32" x14ac:dyDescent="0.2">
      <c r="AF21429" s="12"/>
    </row>
    <row r="21430" spans="32:32" x14ac:dyDescent="0.2">
      <c r="AF21430" s="12"/>
    </row>
    <row r="21431" spans="32:32" x14ac:dyDescent="0.2">
      <c r="AF21431" s="12"/>
    </row>
    <row r="21432" spans="32:32" x14ac:dyDescent="0.2">
      <c r="AF21432" s="12"/>
    </row>
    <row r="21433" spans="32:32" x14ac:dyDescent="0.2">
      <c r="AF21433" s="12"/>
    </row>
    <row r="21434" spans="32:32" x14ac:dyDescent="0.2">
      <c r="AF21434" s="12"/>
    </row>
    <row r="21435" spans="32:32" x14ac:dyDescent="0.2">
      <c r="AF21435" s="12"/>
    </row>
    <row r="21436" spans="32:32" x14ac:dyDescent="0.2">
      <c r="AF21436" s="12"/>
    </row>
    <row r="21437" spans="32:32" x14ac:dyDescent="0.2">
      <c r="AF21437" s="12"/>
    </row>
    <row r="21438" spans="32:32" x14ac:dyDescent="0.2">
      <c r="AF21438" s="12"/>
    </row>
    <row r="21439" spans="32:32" x14ac:dyDescent="0.2">
      <c r="AF21439" s="12"/>
    </row>
    <row r="21440" spans="32:32" x14ac:dyDescent="0.2">
      <c r="AF21440" s="12"/>
    </row>
    <row r="21441" spans="32:32" x14ac:dyDescent="0.2">
      <c r="AF21441" s="12"/>
    </row>
    <row r="21442" spans="32:32" x14ac:dyDescent="0.2">
      <c r="AF21442" s="12"/>
    </row>
    <row r="21443" spans="32:32" x14ac:dyDescent="0.2">
      <c r="AF21443" s="12"/>
    </row>
    <row r="21444" spans="32:32" x14ac:dyDescent="0.2">
      <c r="AF21444" s="12"/>
    </row>
    <row r="21445" spans="32:32" x14ac:dyDescent="0.2">
      <c r="AF21445" s="12"/>
    </row>
    <row r="21446" spans="32:32" x14ac:dyDescent="0.2">
      <c r="AF21446" s="12"/>
    </row>
    <row r="21447" spans="32:32" x14ac:dyDescent="0.2">
      <c r="AF21447" s="12"/>
    </row>
    <row r="21448" spans="32:32" x14ac:dyDescent="0.2">
      <c r="AF21448" s="12"/>
    </row>
    <row r="21449" spans="32:32" x14ac:dyDescent="0.2">
      <c r="AF21449" s="12"/>
    </row>
    <row r="21450" spans="32:32" x14ac:dyDescent="0.2">
      <c r="AF21450" s="12"/>
    </row>
    <row r="21451" spans="32:32" x14ac:dyDescent="0.2">
      <c r="AF21451" s="12"/>
    </row>
    <row r="21452" spans="32:32" x14ac:dyDescent="0.2">
      <c r="AF21452" s="12"/>
    </row>
    <row r="21453" spans="32:32" x14ac:dyDescent="0.2">
      <c r="AF21453" s="12"/>
    </row>
    <row r="21454" spans="32:32" x14ac:dyDescent="0.2">
      <c r="AF21454" s="12"/>
    </row>
    <row r="21455" spans="32:32" x14ac:dyDescent="0.2">
      <c r="AF21455" s="12"/>
    </row>
    <row r="21456" spans="32:32" x14ac:dyDescent="0.2">
      <c r="AF21456" s="12"/>
    </row>
    <row r="21457" spans="32:32" x14ac:dyDescent="0.2">
      <c r="AF21457" s="12"/>
    </row>
    <row r="21458" spans="32:32" x14ac:dyDescent="0.2">
      <c r="AF21458" s="12"/>
    </row>
    <row r="21459" spans="32:32" x14ac:dyDescent="0.2">
      <c r="AF21459" s="12"/>
    </row>
    <row r="21460" spans="32:32" x14ac:dyDescent="0.2">
      <c r="AF21460" s="12"/>
    </row>
    <row r="21461" spans="32:32" x14ac:dyDescent="0.2">
      <c r="AF21461" s="12"/>
    </row>
    <row r="21462" spans="32:32" x14ac:dyDescent="0.2">
      <c r="AF21462" s="12"/>
    </row>
    <row r="21463" spans="32:32" x14ac:dyDescent="0.2">
      <c r="AF21463" s="12"/>
    </row>
    <row r="21464" spans="32:32" x14ac:dyDescent="0.2">
      <c r="AF21464" s="12"/>
    </row>
    <row r="21465" spans="32:32" x14ac:dyDescent="0.2">
      <c r="AF21465" s="12"/>
    </row>
    <row r="21466" spans="32:32" x14ac:dyDescent="0.2">
      <c r="AF21466" s="12"/>
    </row>
    <row r="21467" spans="32:32" x14ac:dyDescent="0.2">
      <c r="AF21467" s="12"/>
    </row>
    <row r="21468" spans="32:32" x14ac:dyDescent="0.2">
      <c r="AF21468" s="12"/>
    </row>
    <row r="21469" spans="32:32" x14ac:dyDescent="0.2">
      <c r="AF21469" s="12"/>
    </row>
    <row r="21470" spans="32:32" x14ac:dyDescent="0.2">
      <c r="AF21470" s="12"/>
    </row>
    <row r="21471" spans="32:32" x14ac:dyDescent="0.2">
      <c r="AF21471" s="12"/>
    </row>
    <row r="21472" spans="32:32" x14ac:dyDescent="0.2">
      <c r="AF21472" s="12"/>
    </row>
    <row r="21473" spans="32:32" x14ac:dyDescent="0.2">
      <c r="AF21473" s="12"/>
    </row>
    <row r="21474" spans="32:32" x14ac:dyDescent="0.2">
      <c r="AF21474" s="12"/>
    </row>
    <row r="21475" spans="32:32" x14ac:dyDescent="0.2">
      <c r="AF21475" s="12"/>
    </row>
    <row r="21476" spans="32:32" x14ac:dyDescent="0.2">
      <c r="AF21476" s="12"/>
    </row>
    <row r="21477" spans="32:32" x14ac:dyDescent="0.2">
      <c r="AF21477" s="12"/>
    </row>
    <row r="21478" spans="32:32" x14ac:dyDescent="0.2">
      <c r="AF21478" s="12"/>
    </row>
    <row r="21479" spans="32:32" x14ac:dyDescent="0.2">
      <c r="AF21479" s="12"/>
    </row>
    <row r="21480" spans="32:32" x14ac:dyDescent="0.2">
      <c r="AF21480" s="12"/>
    </row>
    <row r="21481" spans="32:32" x14ac:dyDescent="0.2">
      <c r="AF21481" s="12"/>
    </row>
    <row r="21482" spans="32:32" x14ac:dyDescent="0.2">
      <c r="AF21482" s="12"/>
    </row>
    <row r="21483" spans="32:32" x14ac:dyDescent="0.2">
      <c r="AF21483" s="12"/>
    </row>
    <row r="21484" spans="32:32" x14ac:dyDescent="0.2">
      <c r="AF21484" s="12"/>
    </row>
    <row r="21485" spans="32:32" x14ac:dyDescent="0.2">
      <c r="AF21485" s="12"/>
    </row>
    <row r="21486" spans="32:32" x14ac:dyDescent="0.2">
      <c r="AF21486" s="12"/>
    </row>
    <row r="21487" spans="32:32" x14ac:dyDescent="0.2">
      <c r="AF21487" s="12"/>
    </row>
    <row r="21488" spans="32:32" x14ac:dyDescent="0.2">
      <c r="AF21488" s="12"/>
    </row>
    <row r="21489" spans="32:32" x14ac:dyDescent="0.2">
      <c r="AF21489" s="12"/>
    </row>
    <row r="21490" spans="32:32" x14ac:dyDescent="0.2">
      <c r="AF21490" s="12"/>
    </row>
    <row r="21491" spans="32:32" x14ac:dyDescent="0.2">
      <c r="AF21491" s="12"/>
    </row>
    <row r="21492" spans="32:32" x14ac:dyDescent="0.2">
      <c r="AF21492" s="12"/>
    </row>
    <row r="21493" spans="32:32" x14ac:dyDescent="0.2">
      <c r="AF21493" s="12"/>
    </row>
    <row r="21494" spans="32:32" x14ac:dyDescent="0.2">
      <c r="AF21494" s="12"/>
    </row>
    <row r="21495" spans="32:32" x14ac:dyDescent="0.2">
      <c r="AF21495" s="12"/>
    </row>
    <row r="21496" spans="32:32" x14ac:dyDescent="0.2">
      <c r="AF21496" s="12"/>
    </row>
    <row r="21497" spans="32:32" x14ac:dyDescent="0.2">
      <c r="AF21497" s="12"/>
    </row>
    <row r="21498" spans="32:32" x14ac:dyDescent="0.2">
      <c r="AF21498" s="12"/>
    </row>
    <row r="21499" spans="32:32" x14ac:dyDescent="0.2">
      <c r="AF21499" s="12"/>
    </row>
    <row r="21500" spans="32:32" x14ac:dyDescent="0.2">
      <c r="AF21500" s="12"/>
    </row>
    <row r="21501" spans="32:32" x14ac:dyDescent="0.2">
      <c r="AF21501" s="12"/>
    </row>
    <row r="21502" spans="32:32" x14ac:dyDescent="0.2">
      <c r="AF21502" s="12"/>
    </row>
    <row r="21503" spans="32:32" x14ac:dyDescent="0.2">
      <c r="AF21503" s="12"/>
    </row>
    <row r="21504" spans="32:32" x14ac:dyDescent="0.2">
      <c r="AF21504" s="12"/>
    </row>
    <row r="21505" spans="32:32" x14ac:dyDescent="0.2">
      <c r="AF21505" s="12"/>
    </row>
    <row r="21506" spans="32:32" x14ac:dyDescent="0.2">
      <c r="AF21506" s="12"/>
    </row>
    <row r="21507" spans="32:32" x14ac:dyDescent="0.2">
      <c r="AF21507" s="12"/>
    </row>
    <row r="21508" spans="32:32" x14ac:dyDescent="0.2">
      <c r="AF21508" s="12"/>
    </row>
    <row r="21509" spans="32:32" x14ac:dyDescent="0.2">
      <c r="AF21509" s="12"/>
    </row>
    <row r="21510" spans="32:32" x14ac:dyDescent="0.2">
      <c r="AF21510" s="12"/>
    </row>
    <row r="21511" spans="32:32" x14ac:dyDescent="0.2">
      <c r="AF21511" s="12"/>
    </row>
    <row r="21512" spans="32:32" x14ac:dyDescent="0.2">
      <c r="AF21512" s="12"/>
    </row>
    <row r="21513" spans="32:32" x14ac:dyDescent="0.2">
      <c r="AF21513" s="12"/>
    </row>
    <row r="21514" spans="32:32" x14ac:dyDescent="0.2">
      <c r="AF21514" s="12"/>
    </row>
    <row r="21515" spans="32:32" x14ac:dyDescent="0.2">
      <c r="AF21515" s="12"/>
    </row>
    <row r="21516" spans="32:32" x14ac:dyDescent="0.2">
      <c r="AF21516" s="12"/>
    </row>
    <row r="21517" spans="32:32" x14ac:dyDescent="0.2">
      <c r="AF21517" s="12"/>
    </row>
    <row r="21518" spans="32:32" x14ac:dyDescent="0.2">
      <c r="AF21518" s="12"/>
    </row>
    <row r="21519" spans="32:32" x14ac:dyDescent="0.2">
      <c r="AF21519" s="12"/>
    </row>
    <row r="21520" spans="32:32" x14ac:dyDescent="0.2">
      <c r="AF21520" s="12"/>
    </row>
    <row r="21521" spans="32:32" x14ac:dyDescent="0.2">
      <c r="AF21521" s="12"/>
    </row>
    <row r="21522" spans="32:32" x14ac:dyDescent="0.2">
      <c r="AF21522" s="12"/>
    </row>
    <row r="21523" spans="32:32" x14ac:dyDescent="0.2">
      <c r="AF21523" s="12"/>
    </row>
    <row r="21524" spans="32:32" x14ac:dyDescent="0.2">
      <c r="AF21524" s="12"/>
    </row>
    <row r="21525" spans="32:32" x14ac:dyDescent="0.2">
      <c r="AF21525" s="12"/>
    </row>
    <row r="21526" spans="32:32" x14ac:dyDescent="0.2">
      <c r="AF21526" s="12"/>
    </row>
    <row r="21527" spans="32:32" x14ac:dyDescent="0.2">
      <c r="AF21527" s="12"/>
    </row>
    <row r="21528" spans="32:32" x14ac:dyDescent="0.2">
      <c r="AF21528" s="12"/>
    </row>
    <row r="21529" spans="32:32" x14ac:dyDescent="0.2">
      <c r="AF21529" s="12"/>
    </row>
    <row r="21530" spans="32:32" x14ac:dyDescent="0.2">
      <c r="AF21530" s="12"/>
    </row>
    <row r="21531" spans="32:32" x14ac:dyDescent="0.2">
      <c r="AF21531" s="12"/>
    </row>
    <row r="21532" spans="32:32" x14ac:dyDescent="0.2">
      <c r="AF21532" s="12"/>
    </row>
    <row r="21533" spans="32:32" x14ac:dyDescent="0.2">
      <c r="AF21533" s="12"/>
    </row>
    <row r="21534" spans="32:32" x14ac:dyDescent="0.2">
      <c r="AF21534" s="12"/>
    </row>
    <row r="21535" spans="32:32" x14ac:dyDescent="0.2">
      <c r="AF21535" s="12"/>
    </row>
    <row r="21536" spans="32:32" x14ac:dyDescent="0.2">
      <c r="AF21536" s="12"/>
    </row>
    <row r="21537" spans="32:32" x14ac:dyDescent="0.2">
      <c r="AF21537" s="12"/>
    </row>
    <row r="21538" spans="32:32" x14ac:dyDescent="0.2">
      <c r="AF21538" s="12"/>
    </row>
    <row r="21539" spans="32:32" x14ac:dyDescent="0.2">
      <c r="AF21539" s="12"/>
    </row>
    <row r="21540" spans="32:32" x14ac:dyDescent="0.2">
      <c r="AF21540" s="12"/>
    </row>
    <row r="21541" spans="32:32" x14ac:dyDescent="0.2">
      <c r="AF21541" s="12"/>
    </row>
    <row r="21542" spans="32:32" x14ac:dyDescent="0.2">
      <c r="AF21542" s="12"/>
    </row>
    <row r="21543" spans="32:32" x14ac:dyDescent="0.2">
      <c r="AF21543" s="12"/>
    </row>
    <row r="21544" spans="32:32" x14ac:dyDescent="0.2">
      <c r="AF21544" s="12"/>
    </row>
    <row r="21545" spans="32:32" x14ac:dyDescent="0.2">
      <c r="AF21545" s="12"/>
    </row>
    <row r="21546" spans="32:32" x14ac:dyDescent="0.2">
      <c r="AF21546" s="12"/>
    </row>
    <row r="21547" spans="32:32" x14ac:dyDescent="0.2">
      <c r="AF21547" s="12"/>
    </row>
    <row r="21548" spans="32:32" x14ac:dyDescent="0.2">
      <c r="AF21548" s="12"/>
    </row>
    <row r="21549" spans="32:32" x14ac:dyDescent="0.2">
      <c r="AF21549" s="12"/>
    </row>
    <row r="21550" spans="32:32" x14ac:dyDescent="0.2">
      <c r="AF21550" s="12"/>
    </row>
    <row r="21551" spans="32:32" x14ac:dyDescent="0.2">
      <c r="AF21551" s="12"/>
    </row>
    <row r="21552" spans="32:32" x14ac:dyDescent="0.2">
      <c r="AF21552" s="12"/>
    </row>
    <row r="21553" spans="32:32" x14ac:dyDescent="0.2">
      <c r="AF21553" s="12"/>
    </row>
    <row r="21554" spans="32:32" x14ac:dyDescent="0.2">
      <c r="AF21554" s="12"/>
    </row>
    <row r="21555" spans="32:32" x14ac:dyDescent="0.2">
      <c r="AF21555" s="12"/>
    </row>
    <row r="21556" spans="32:32" x14ac:dyDescent="0.2">
      <c r="AF21556" s="12"/>
    </row>
    <row r="21557" spans="32:32" x14ac:dyDescent="0.2">
      <c r="AF21557" s="12"/>
    </row>
    <row r="21558" spans="32:32" x14ac:dyDescent="0.2">
      <c r="AF21558" s="12"/>
    </row>
    <row r="21559" spans="32:32" x14ac:dyDescent="0.2">
      <c r="AF21559" s="12"/>
    </row>
    <row r="21560" spans="32:32" x14ac:dyDescent="0.2">
      <c r="AF21560" s="12"/>
    </row>
    <row r="21561" spans="32:32" x14ac:dyDescent="0.2">
      <c r="AF21561" s="12"/>
    </row>
    <row r="21562" spans="32:32" x14ac:dyDescent="0.2">
      <c r="AF21562" s="12"/>
    </row>
    <row r="21563" spans="32:32" x14ac:dyDescent="0.2">
      <c r="AF21563" s="12"/>
    </row>
    <row r="21564" spans="32:32" x14ac:dyDescent="0.2">
      <c r="AF21564" s="12"/>
    </row>
    <row r="21565" spans="32:32" x14ac:dyDescent="0.2">
      <c r="AF21565" s="12"/>
    </row>
    <row r="21566" spans="32:32" x14ac:dyDescent="0.2">
      <c r="AF21566" s="12"/>
    </row>
    <row r="21567" spans="32:32" x14ac:dyDescent="0.2">
      <c r="AF21567" s="12"/>
    </row>
    <row r="21568" spans="32:32" x14ac:dyDescent="0.2">
      <c r="AF21568" s="12"/>
    </row>
    <row r="21569" spans="32:32" x14ac:dyDescent="0.2">
      <c r="AF21569" s="12"/>
    </row>
    <row r="21570" spans="32:32" x14ac:dyDescent="0.2">
      <c r="AF21570" s="12"/>
    </row>
    <row r="21571" spans="32:32" x14ac:dyDescent="0.2">
      <c r="AF21571" s="12"/>
    </row>
    <row r="21572" spans="32:32" x14ac:dyDescent="0.2">
      <c r="AF21572" s="12"/>
    </row>
    <row r="21573" spans="32:32" x14ac:dyDescent="0.2">
      <c r="AF21573" s="12"/>
    </row>
    <row r="21574" spans="32:32" x14ac:dyDescent="0.2">
      <c r="AF21574" s="12"/>
    </row>
    <row r="21575" spans="32:32" x14ac:dyDescent="0.2">
      <c r="AF21575" s="12"/>
    </row>
    <row r="21576" spans="32:32" x14ac:dyDescent="0.2">
      <c r="AF21576" s="12"/>
    </row>
    <row r="21577" spans="32:32" x14ac:dyDescent="0.2">
      <c r="AF21577" s="12"/>
    </row>
    <row r="21578" spans="32:32" x14ac:dyDescent="0.2">
      <c r="AF21578" s="12"/>
    </row>
    <row r="21579" spans="32:32" x14ac:dyDescent="0.2">
      <c r="AF21579" s="12"/>
    </row>
    <row r="21580" spans="32:32" x14ac:dyDescent="0.2">
      <c r="AF21580" s="12"/>
    </row>
    <row r="21581" spans="32:32" x14ac:dyDescent="0.2">
      <c r="AF21581" s="12"/>
    </row>
    <row r="21582" spans="32:32" x14ac:dyDescent="0.2">
      <c r="AF21582" s="12"/>
    </row>
    <row r="21583" spans="32:32" x14ac:dyDescent="0.2">
      <c r="AF21583" s="12"/>
    </row>
    <row r="21584" spans="32:32" x14ac:dyDescent="0.2">
      <c r="AF21584" s="12"/>
    </row>
    <row r="21585" spans="32:32" x14ac:dyDescent="0.2">
      <c r="AF21585" s="12"/>
    </row>
    <row r="21586" spans="32:32" x14ac:dyDescent="0.2">
      <c r="AF21586" s="12"/>
    </row>
    <row r="21587" spans="32:32" x14ac:dyDescent="0.2">
      <c r="AF21587" s="12"/>
    </row>
    <row r="21588" spans="32:32" x14ac:dyDescent="0.2">
      <c r="AF21588" s="12"/>
    </row>
    <row r="21589" spans="32:32" x14ac:dyDescent="0.2">
      <c r="AF21589" s="12"/>
    </row>
    <row r="21590" spans="32:32" x14ac:dyDescent="0.2">
      <c r="AF21590" s="12"/>
    </row>
    <row r="21591" spans="32:32" x14ac:dyDescent="0.2">
      <c r="AF21591" s="12"/>
    </row>
    <row r="21592" spans="32:32" x14ac:dyDescent="0.2">
      <c r="AF21592" s="12"/>
    </row>
    <row r="21593" spans="32:32" x14ac:dyDescent="0.2">
      <c r="AF21593" s="12"/>
    </row>
    <row r="21594" spans="32:32" x14ac:dyDescent="0.2">
      <c r="AF21594" s="12"/>
    </row>
    <row r="21595" spans="32:32" x14ac:dyDescent="0.2">
      <c r="AF21595" s="12"/>
    </row>
    <row r="21596" spans="32:32" x14ac:dyDescent="0.2">
      <c r="AF21596" s="12"/>
    </row>
    <row r="21597" spans="32:32" x14ac:dyDescent="0.2">
      <c r="AF21597" s="12"/>
    </row>
    <row r="21598" spans="32:32" x14ac:dyDescent="0.2">
      <c r="AF21598" s="12"/>
    </row>
    <row r="21599" spans="32:32" x14ac:dyDescent="0.2">
      <c r="AF21599" s="12"/>
    </row>
    <row r="21600" spans="32:32" x14ac:dyDescent="0.2">
      <c r="AF21600" s="12"/>
    </row>
    <row r="21601" spans="32:32" x14ac:dyDescent="0.2">
      <c r="AF21601" s="12"/>
    </row>
    <row r="21602" spans="32:32" x14ac:dyDescent="0.2">
      <c r="AF21602" s="12"/>
    </row>
    <row r="21603" spans="32:32" x14ac:dyDescent="0.2">
      <c r="AF21603" s="12"/>
    </row>
    <row r="21604" spans="32:32" x14ac:dyDescent="0.2">
      <c r="AF21604" s="12"/>
    </row>
    <row r="21605" spans="32:32" x14ac:dyDescent="0.2">
      <c r="AF21605" s="12"/>
    </row>
    <row r="21606" spans="32:32" x14ac:dyDescent="0.2">
      <c r="AF21606" s="12"/>
    </row>
    <row r="21607" spans="32:32" x14ac:dyDescent="0.2">
      <c r="AF21607" s="12"/>
    </row>
    <row r="21608" spans="32:32" x14ac:dyDescent="0.2">
      <c r="AF21608" s="12"/>
    </row>
    <row r="21609" spans="32:32" x14ac:dyDescent="0.2">
      <c r="AF21609" s="12"/>
    </row>
    <row r="21610" spans="32:32" x14ac:dyDescent="0.2">
      <c r="AF21610" s="12"/>
    </row>
    <row r="21611" spans="32:32" x14ac:dyDescent="0.2">
      <c r="AF21611" s="12"/>
    </row>
    <row r="21612" spans="32:32" x14ac:dyDescent="0.2">
      <c r="AF21612" s="12"/>
    </row>
    <row r="21613" spans="32:32" x14ac:dyDescent="0.2">
      <c r="AF21613" s="12"/>
    </row>
    <row r="21614" spans="32:32" x14ac:dyDescent="0.2">
      <c r="AF21614" s="12"/>
    </row>
    <row r="21615" spans="32:32" x14ac:dyDescent="0.2">
      <c r="AF21615" s="12"/>
    </row>
    <row r="21616" spans="32:32" x14ac:dyDescent="0.2">
      <c r="AF21616" s="12"/>
    </row>
    <row r="21617" spans="32:32" x14ac:dyDescent="0.2">
      <c r="AF21617" s="12"/>
    </row>
    <row r="21618" spans="32:32" x14ac:dyDescent="0.2">
      <c r="AF21618" s="12"/>
    </row>
    <row r="21619" spans="32:32" x14ac:dyDescent="0.2">
      <c r="AF21619" s="12"/>
    </row>
    <row r="21620" spans="32:32" x14ac:dyDescent="0.2">
      <c r="AF21620" s="12"/>
    </row>
    <row r="21621" spans="32:32" x14ac:dyDescent="0.2">
      <c r="AF21621" s="12"/>
    </row>
    <row r="21622" spans="32:32" x14ac:dyDescent="0.2">
      <c r="AF21622" s="12"/>
    </row>
    <row r="21623" spans="32:32" x14ac:dyDescent="0.2">
      <c r="AF21623" s="12"/>
    </row>
    <row r="21624" spans="32:32" x14ac:dyDescent="0.2">
      <c r="AF21624" s="12"/>
    </row>
    <row r="21625" spans="32:32" x14ac:dyDescent="0.2">
      <c r="AF21625" s="12"/>
    </row>
    <row r="21626" spans="32:32" x14ac:dyDescent="0.2">
      <c r="AF21626" s="12"/>
    </row>
    <row r="21627" spans="32:32" x14ac:dyDescent="0.2">
      <c r="AF21627" s="12"/>
    </row>
    <row r="21628" spans="32:32" x14ac:dyDescent="0.2">
      <c r="AF21628" s="12"/>
    </row>
    <row r="21629" spans="32:32" x14ac:dyDescent="0.2">
      <c r="AF21629" s="12"/>
    </row>
    <row r="21630" spans="32:32" x14ac:dyDescent="0.2">
      <c r="AF21630" s="12"/>
    </row>
    <row r="21631" spans="32:32" x14ac:dyDescent="0.2">
      <c r="AF21631" s="12"/>
    </row>
    <row r="21632" spans="32:32" x14ac:dyDescent="0.2">
      <c r="AF21632" s="12"/>
    </row>
    <row r="21633" spans="32:32" x14ac:dyDescent="0.2">
      <c r="AF21633" s="12"/>
    </row>
    <row r="21634" spans="32:32" x14ac:dyDescent="0.2">
      <c r="AF21634" s="12"/>
    </row>
    <row r="21635" spans="32:32" x14ac:dyDescent="0.2">
      <c r="AF21635" s="12"/>
    </row>
    <row r="21636" spans="32:32" x14ac:dyDescent="0.2">
      <c r="AF21636" s="12"/>
    </row>
    <row r="21637" spans="32:32" x14ac:dyDescent="0.2">
      <c r="AF21637" s="12"/>
    </row>
    <row r="21638" spans="32:32" x14ac:dyDescent="0.2">
      <c r="AF21638" s="12"/>
    </row>
    <row r="21639" spans="32:32" x14ac:dyDescent="0.2">
      <c r="AF21639" s="12"/>
    </row>
    <row r="21640" spans="32:32" x14ac:dyDescent="0.2">
      <c r="AF21640" s="12"/>
    </row>
    <row r="21641" spans="32:32" x14ac:dyDescent="0.2">
      <c r="AF21641" s="12"/>
    </row>
    <row r="21642" spans="32:32" x14ac:dyDescent="0.2">
      <c r="AF21642" s="12"/>
    </row>
    <row r="21643" spans="32:32" x14ac:dyDescent="0.2">
      <c r="AF21643" s="12"/>
    </row>
    <row r="21644" spans="32:32" x14ac:dyDescent="0.2">
      <c r="AF21644" s="12"/>
    </row>
    <row r="21645" spans="32:32" x14ac:dyDescent="0.2">
      <c r="AF21645" s="12"/>
    </row>
    <row r="21646" spans="32:32" x14ac:dyDescent="0.2">
      <c r="AF21646" s="12"/>
    </row>
    <row r="21647" spans="32:32" x14ac:dyDescent="0.2">
      <c r="AF21647" s="12"/>
    </row>
    <row r="21648" spans="32:32" x14ac:dyDescent="0.2">
      <c r="AF21648" s="12"/>
    </row>
    <row r="21649" spans="32:32" x14ac:dyDescent="0.2">
      <c r="AF21649" s="12"/>
    </row>
    <row r="21650" spans="32:32" x14ac:dyDescent="0.2">
      <c r="AF21650" s="12"/>
    </row>
    <row r="21651" spans="32:32" x14ac:dyDescent="0.2">
      <c r="AF21651" s="12"/>
    </row>
    <row r="21652" spans="32:32" x14ac:dyDescent="0.2">
      <c r="AF21652" s="12"/>
    </row>
    <row r="21653" spans="32:32" x14ac:dyDescent="0.2">
      <c r="AF21653" s="12"/>
    </row>
    <row r="21654" spans="32:32" x14ac:dyDescent="0.2">
      <c r="AF21654" s="12"/>
    </row>
    <row r="21655" spans="32:32" x14ac:dyDescent="0.2">
      <c r="AF21655" s="12"/>
    </row>
    <row r="21656" spans="32:32" x14ac:dyDescent="0.2">
      <c r="AF21656" s="12"/>
    </row>
    <row r="21657" spans="32:32" x14ac:dyDescent="0.2">
      <c r="AF21657" s="12"/>
    </row>
    <row r="21658" spans="32:32" x14ac:dyDescent="0.2">
      <c r="AF21658" s="12"/>
    </row>
    <row r="21659" spans="32:32" x14ac:dyDescent="0.2">
      <c r="AF21659" s="12"/>
    </row>
    <row r="21660" spans="32:32" x14ac:dyDescent="0.2">
      <c r="AF21660" s="12"/>
    </row>
    <row r="21661" spans="32:32" x14ac:dyDescent="0.2">
      <c r="AF21661" s="12"/>
    </row>
    <row r="21662" spans="32:32" x14ac:dyDescent="0.2">
      <c r="AF21662" s="12"/>
    </row>
    <row r="21663" spans="32:32" x14ac:dyDescent="0.2">
      <c r="AF21663" s="12"/>
    </row>
    <row r="21664" spans="32:32" x14ac:dyDescent="0.2">
      <c r="AF21664" s="12"/>
    </row>
    <row r="21665" spans="32:32" x14ac:dyDescent="0.2">
      <c r="AF21665" s="12"/>
    </row>
    <row r="21666" spans="32:32" x14ac:dyDescent="0.2">
      <c r="AF21666" s="12"/>
    </row>
    <row r="21667" spans="32:32" x14ac:dyDescent="0.2">
      <c r="AF21667" s="12"/>
    </row>
    <row r="21668" spans="32:32" x14ac:dyDescent="0.2">
      <c r="AF21668" s="12"/>
    </row>
    <row r="21669" spans="32:32" x14ac:dyDescent="0.2">
      <c r="AF21669" s="12"/>
    </row>
    <row r="21670" spans="32:32" x14ac:dyDescent="0.2">
      <c r="AF21670" s="12"/>
    </row>
    <row r="21671" spans="32:32" x14ac:dyDescent="0.2">
      <c r="AF21671" s="12"/>
    </row>
    <row r="21672" spans="32:32" x14ac:dyDescent="0.2">
      <c r="AF21672" s="12"/>
    </row>
    <row r="21673" spans="32:32" x14ac:dyDescent="0.2">
      <c r="AF21673" s="12"/>
    </row>
    <row r="21674" spans="32:32" x14ac:dyDescent="0.2">
      <c r="AF21674" s="12"/>
    </row>
    <row r="21675" spans="32:32" x14ac:dyDescent="0.2">
      <c r="AF21675" s="12"/>
    </row>
    <row r="21676" spans="32:32" x14ac:dyDescent="0.2">
      <c r="AF21676" s="12"/>
    </row>
    <row r="21677" spans="32:32" x14ac:dyDescent="0.2">
      <c r="AF21677" s="12"/>
    </row>
    <row r="21678" spans="32:32" x14ac:dyDescent="0.2">
      <c r="AF21678" s="12"/>
    </row>
    <row r="21679" spans="32:32" x14ac:dyDescent="0.2">
      <c r="AF21679" s="12"/>
    </row>
    <row r="21680" spans="32:32" x14ac:dyDescent="0.2">
      <c r="AF21680" s="12"/>
    </row>
    <row r="21681" spans="32:32" x14ac:dyDescent="0.2">
      <c r="AF21681" s="12"/>
    </row>
    <row r="21682" spans="32:32" x14ac:dyDescent="0.2">
      <c r="AF21682" s="12"/>
    </row>
    <row r="21683" spans="32:32" x14ac:dyDescent="0.2">
      <c r="AF21683" s="12"/>
    </row>
    <row r="21684" spans="32:32" x14ac:dyDescent="0.2">
      <c r="AF21684" s="12"/>
    </row>
    <row r="21685" spans="32:32" x14ac:dyDescent="0.2">
      <c r="AF21685" s="12"/>
    </row>
    <row r="21686" spans="32:32" x14ac:dyDescent="0.2">
      <c r="AF21686" s="12"/>
    </row>
    <row r="21687" spans="32:32" x14ac:dyDescent="0.2">
      <c r="AF21687" s="12"/>
    </row>
    <row r="21688" spans="32:32" x14ac:dyDescent="0.2">
      <c r="AF21688" s="12"/>
    </row>
    <row r="21689" spans="32:32" x14ac:dyDescent="0.2">
      <c r="AF21689" s="12"/>
    </row>
    <row r="21690" spans="32:32" x14ac:dyDescent="0.2">
      <c r="AF21690" s="12"/>
    </row>
    <row r="21691" spans="32:32" x14ac:dyDescent="0.2">
      <c r="AF21691" s="12"/>
    </row>
    <row r="21692" spans="32:32" x14ac:dyDescent="0.2">
      <c r="AF21692" s="12"/>
    </row>
    <row r="21693" spans="32:32" x14ac:dyDescent="0.2">
      <c r="AF21693" s="12"/>
    </row>
    <row r="21694" spans="32:32" x14ac:dyDescent="0.2">
      <c r="AF21694" s="12"/>
    </row>
    <row r="21695" spans="32:32" x14ac:dyDescent="0.2">
      <c r="AF21695" s="12"/>
    </row>
    <row r="21696" spans="32:32" x14ac:dyDescent="0.2">
      <c r="AF21696" s="12"/>
    </row>
    <row r="21697" spans="32:32" x14ac:dyDescent="0.2">
      <c r="AF21697" s="12"/>
    </row>
    <row r="21698" spans="32:32" x14ac:dyDescent="0.2">
      <c r="AF21698" s="12"/>
    </row>
    <row r="21699" spans="32:32" x14ac:dyDescent="0.2">
      <c r="AF21699" s="12"/>
    </row>
    <row r="21700" spans="32:32" x14ac:dyDescent="0.2">
      <c r="AF21700" s="12"/>
    </row>
    <row r="21701" spans="32:32" x14ac:dyDescent="0.2">
      <c r="AF21701" s="12"/>
    </row>
    <row r="21702" spans="32:32" x14ac:dyDescent="0.2">
      <c r="AF21702" s="12"/>
    </row>
    <row r="21703" spans="32:32" x14ac:dyDescent="0.2">
      <c r="AF21703" s="12"/>
    </row>
    <row r="21704" spans="32:32" x14ac:dyDescent="0.2">
      <c r="AF21704" s="12"/>
    </row>
    <row r="21705" spans="32:32" x14ac:dyDescent="0.2">
      <c r="AF21705" s="12"/>
    </row>
    <row r="21706" spans="32:32" x14ac:dyDescent="0.2">
      <c r="AF21706" s="12"/>
    </row>
    <row r="21707" spans="32:32" x14ac:dyDescent="0.2">
      <c r="AF21707" s="12"/>
    </row>
    <row r="21708" spans="32:32" x14ac:dyDescent="0.2">
      <c r="AF21708" s="12"/>
    </row>
    <row r="21709" spans="32:32" x14ac:dyDescent="0.2">
      <c r="AF21709" s="12"/>
    </row>
    <row r="21710" spans="32:32" x14ac:dyDescent="0.2">
      <c r="AF21710" s="12"/>
    </row>
    <row r="21711" spans="32:32" x14ac:dyDescent="0.2">
      <c r="AF21711" s="12"/>
    </row>
    <row r="21712" spans="32:32" x14ac:dyDescent="0.2">
      <c r="AF21712" s="12"/>
    </row>
    <row r="21713" spans="32:32" x14ac:dyDescent="0.2">
      <c r="AF21713" s="12"/>
    </row>
    <row r="21714" spans="32:32" x14ac:dyDescent="0.2">
      <c r="AF21714" s="12"/>
    </row>
    <row r="21715" spans="32:32" x14ac:dyDescent="0.2">
      <c r="AF21715" s="12"/>
    </row>
    <row r="21716" spans="32:32" x14ac:dyDescent="0.2">
      <c r="AF21716" s="12"/>
    </row>
    <row r="21717" spans="32:32" x14ac:dyDescent="0.2">
      <c r="AF21717" s="12"/>
    </row>
    <row r="21718" spans="32:32" x14ac:dyDescent="0.2">
      <c r="AF21718" s="12"/>
    </row>
    <row r="21719" spans="32:32" x14ac:dyDescent="0.2">
      <c r="AF21719" s="12"/>
    </row>
    <row r="21720" spans="32:32" x14ac:dyDescent="0.2">
      <c r="AF21720" s="12"/>
    </row>
    <row r="21721" spans="32:32" x14ac:dyDescent="0.2">
      <c r="AF21721" s="12"/>
    </row>
    <row r="21722" spans="32:32" x14ac:dyDescent="0.2">
      <c r="AF21722" s="12"/>
    </row>
    <row r="21723" spans="32:32" x14ac:dyDescent="0.2">
      <c r="AF21723" s="12"/>
    </row>
    <row r="21724" spans="32:32" x14ac:dyDescent="0.2">
      <c r="AF21724" s="12"/>
    </row>
    <row r="21725" spans="32:32" x14ac:dyDescent="0.2">
      <c r="AF21725" s="12"/>
    </row>
    <row r="21726" spans="32:32" x14ac:dyDescent="0.2">
      <c r="AF21726" s="12"/>
    </row>
    <row r="21727" spans="32:32" x14ac:dyDescent="0.2">
      <c r="AF21727" s="12"/>
    </row>
    <row r="21728" spans="32:32" x14ac:dyDescent="0.2">
      <c r="AF21728" s="12"/>
    </row>
    <row r="21729" spans="32:32" x14ac:dyDescent="0.2">
      <c r="AF21729" s="12"/>
    </row>
    <row r="21730" spans="32:32" x14ac:dyDescent="0.2">
      <c r="AF21730" s="12"/>
    </row>
    <row r="21731" spans="32:32" x14ac:dyDescent="0.2">
      <c r="AF21731" s="12"/>
    </row>
    <row r="21732" spans="32:32" x14ac:dyDescent="0.2">
      <c r="AF21732" s="12"/>
    </row>
    <row r="21733" spans="32:32" x14ac:dyDescent="0.2">
      <c r="AF21733" s="12"/>
    </row>
    <row r="21734" spans="32:32" x14ac:dyDescent="0.2">
      <c r="AF21734" s="12"/>
    </row>
    <row r="21735" spans="32:32" x14ac:dyDescent="0.2">
      <c r="AF21735" s="12"/>
    </row>
    <row r="21736" spans="32:32" x14ac:dyDescent="0.2">
      <c r="AF21736" s="12"/>
    </row>
    <row r="21737" spans="32:32" x14ac:dyDescent="0.2">
      <c r="AF21737" s="12"/>
    </row>
    <row r="21738" spans="32:32" x14ac:dyDescent="0.2">
      <c r="AF21738" s="12"/>
    </row>
    <row r="21739" spans="32:32" x14ac:dyDescent="0.2">
      <c r="AF21739" s="12"/>
    </row>
    <row r="21740" spans="32:32" x14ac:dyDescent="0.2">
      <c r="AF21740" s="12"/>
    </row>
    <row r="21741" spans="32:32" x14ac:dyDescent="0.2">
      <c r="AF21741" s="12"/>
    </row>
    <row r="21742" spans="32:32" x14ac:dyDescent="0.2">
      <c r="AF21742" s="12"/>
    </row>
    <row r="21743" spans="32:32" x14ac:dyDescent="0.2">
      <c r="AF21743" s="12"/>
    </row>
    <row r="21744" spans="32:32" x14ac:dyDescent="0.2">
      <c r="AF21744" s="12"/>
    </row>
    <row r="21745" spans="32:32" x14ac:dyDescent="0.2">
      <c r="AF21745" s="12"/>
    </row>
    <row r="21746" spans="32:32" x14ac:dyDescent="0.2">
      <c r="AF21746" s="12"/>
    </row>
    <row r="21747" spans="32:32" x14ac:dyDescent="0.2">
      <c r="AF21747" s="12"/>
    </row>
    <row r="21748" spans="32:32" x14ac:dyDescent="0.2">
      <c r="AF21748" s="12"/>
    </row>
    <row r="21749" spans="32:32" x14ac:dyDescent="0.2">
      <c r="AF21749" s="12"/>
    </row>
    <row r="21750" spans="32:32" x14ac:dyDescent="0.2">
      <c r="AF21750" s="12"/>
    </row>
    <row r="21751" spans="32:32" x14ac:dyDescent="0.2">
      <c r="AF21751" s="12"/>
    </row>
    <row r="21752" spans="32:32" x14ac:dyDescent="0.2">
      <c r="AF21752" s="12"/>
    </row>
    <row r="21753" spans="32:32" x14ac:dyDescent="0.2">
      <c r="AF21753" s="12"/>
    </row>
    <row r="21754" spans="32:32" x14ac:dyDescent="0.2">
      <c r="AF21754" s="12"/>
    </row>
    <row r="21755" spans="32:32" x14ac:dyDescent="0.2">
      <c r="AF21755" s="12"/>
    </row>
    <row r="21756" spans="32:32" x14ac:dyDescent="0.2">
      <c r="AF21756" s="12"/>
    </row>
    <row r="21757" spans="32:32" x14ac:dyDescent="0.2">
      <c r="AF21757" s="12"/>
    </row>
    <row r="21758" spans="32:32" x14ac:dyDescent="0.2">
      <c r="AF21758" s="12"/>
    </row>
    <row r="21759" spans="32:32" x14ac:dyDescent="0.2">
      <c r="AF21759" s="12"/>
    </row>
    <row r="21760" spans="32:32" x14ac:dyDescent="0.2">
      <c r="AF21760" s="12"/>
    </row>
    <row r="21761" spans="32:32" x14ac:dyDescent="0.2">
      <c r="AF21761" s="12"/>
    </row>
    <row r="21762" spans="32:32" x14ac:dyDescent="0.2">
      <c r="AF21762" s="12"/>
    </row>
    <row r="21763" spans="32:32" x14ac:dyDescent="0.2">
      <c r="AF21763" s="12"/>
    </row>
    <row r="21764" spans="32:32" x14ac:dyDescent="0.2">
      <c r="AF21764" s="12"/>
    </row>
    <row r="21765" spans="32:32" x14ac:dyDescent="0.2">
      <c r="AF21765" s="12"/>
    </row>
    <row r="21766" spans="32:32" x14ac:dyDescent="0.2">
      <c r="AF21766" s="12"/>
    </row>
    <row r="21767" spans="32:32" x14ac:dyDescent="0.2">
      <c r="AF21767" s="12"/>
    </row>
    <row r="21768" spans="32:32" x14ac:dyDescent="0.2">
      <c r="AF21768" s="12"/>
    </row>
    <row r="21769" spans="32:32" x14ac:dyDescent="0.2">
      <c r="AF21769" s="12"/>
    </row>
    <row r="21770" spans="32:32" x14ac:dyDescent="0.2">
      <c r="AF21770" s="12"/>
    </row>
    <row r="21771" spans="32:32" x14ac:dyDescent="0.2">
      <c r="AF21771" s="12"/>
    </row>
    <row r="21772" spans="32:32" x14ac:dyDescent="0.2">
      <c r="AF21772" s="12"/>
    </row>
    <row r="21773" spans="32:32" x14ac:dyDescent="0.2">
      <c r="AF21773" s="12"/>
    </row>
    <row r="21774" spans="32:32" x14ac:dyDescent="0.2">
      <c r="AF21774" s="12"/>
    </row>
    <row r="21775" spans="32:32" x14ac:dyDescent="0.2">
      <c r="AF21775" s="12"/>
    </row>
    <row r="21776" spans="32:32" x14ac:dyDescent="0.2">
      <c r="AF21776" s="12"/>
    </row>
    <row r="21777" spans="32:32" x14ac:dyDescent="0.2">
      <c r="AF21777" s="12"/>
    </row>
    <row r="21778" spans="32:32" x14ac:dyDescent="0.2">
      <c r="AF21778" s="12"/>
    </row>
    <row r="21779" spans="32:32" x14ac:dyDescent="0.2">
      <c r="AF21779" s="12"/>
    </row>
    <row r="21780" spans="32:32" x14ac:dyDescent="0.2">
      <c r="AF21780" s="12"/>
    </row>
    <row r="21781" spans="32:32" x14ac:dyDescent="0.2">
      <c r="AF21781" s="12"/>
    </row>
    <row r="21782" spans="32:32" x14ac:dyDescent="0.2">
      <c r="AF21782" s="12"/>
    </row>
    <row r="21783" spans="32:32" x14ac:dyDescent="0.2">
      <c r="AF21783" s="12"/>
    </row>
    <row r="21784" spans="32:32" x14ac:dyDescent="0.2">
      <c r="AF21784" s="12"/>
    </row>
    <row r="21785" spans="32:32" x14ac:dyDescent="0.2">
      <c r="AF21785" s="12"/>
    </row>
    <row r="21786" spans="32:32" x14ac:dyDescent="0.2">
      <c r="AF21786" s="12"/>
    </row>
    <row r="21787" spans="32:32" x14ac:dyDescent="0.2">
      <c r="AF21787" s="12"/>
    </row>
    <row r="21788" spans="32:32" x14ac:dyDescent="0.2">
      <c r="AF21788" s="12"/>
    </row>
    <row r="21789" spans="32:32" x14ac:dyDescent="0.2">
      <c r="AF21789" s="12"/>
    </row>
    <row r="21790" spans="32:32" x14ac:dyDescent="0.2">
      <c r="AF21790" s="12"/>
    </row>
    <row r="21791" spans="32:32" x14ac:dyDescent="0.2">
      <c r="AF21791" s="12"/>
    </row>
    <row r="21792" spans="32:32" x14ac:dyDescent="0.2">
      <c r="AF21792" s="12"/>
    </row>
    <row r="21793" spans="32:32" x14ac:dyDescent="0.2">
      <c r="AF21793" s="12"/>
    </row>
    <row r="21794" spans="32:32" x14ac:dyDescent="0.2">
      <c r="AF21794" s="12"/>
    </row>
    <row r="21795" spans="32:32" x14ac:dyDescent="0.2">
      <c r="AF21795" s="12"/>
    </row>
    <row r="21796" spans="32:32" x14ac:dyDescent="0.2">
      <c r="AF21796" s="12"/>
    </row>
    <row r="21797" spans="32:32" x14ac:dyDescent="0.2">
      <c r="AF21797" s="12"/>
    </row>
    <row r="21798" spans="32:32" x14ac:dyDescent="0.2">
      <c r="AF21798" s="12"/>
    </row>
    <row r="21799" spans="32:32" x14ac:dyDescent="0.2">
      <c r="AF21799" s="12"/>
    </row>
    <row r="21800" spans="32:32" x14ac:dyDescent="0.2">
      <c r="AF21800" s="12"/>
    </row>
    <row r="21801" spans="32:32" x14ac:dyDescent="0.2">
      <c r="AF21801" s="12"/>
    </row>
    <row r="21802" spans="32:32" x14ac:dyDescent="0.2">
      <c r="AF21802" s="12"/>
    </row>
    <row r="21803" spans="32:32" x14ac:dyDescent="0.2">
      <c r="AF21803" s="12"/>
    </row>
    <row r="21804" spans="32:32" x14ac:dyDescent="0.2">
      <c r="AF21804" s="12"/>
    </row>
    <row r="21805" spans="32:32" x14ac:dyDescent="0.2">
      <c r="AF21805" s="12"/>
    </row>
    <row r="21806" spans="32:32" x14ac:dyDescent="0.2">
      <c r="AF21806" s="12"/>
    </row>
    <row r="21807" spans="32:32" x14ac:dyDescent="0.2">
      <c r="AF21807" s="12"/>
    </row>
    <row r="21808" spans="32:32" x14ac:dyDescent="0.2">
      <c r="AF21808" s="12"/>
    </row>
    <row r="21809" spans="32:32" x14ac:dyDescent="0.2">
      <c r="AF21809" s="12"/>
    </row>
    <row r="21810" spans="32:32" x14ac:dyDescent="0.2">
      <c r="AF21810" s="12"/>
    </row>
    <row r="21811" spans="32:32" x14ac:dyDescent="0.2">
      <c r="AF21811" s="12"/>
    </row>
    <row r="21812" spans="32:32" x14ac:dyDescent="0.2">
      <c r="AF21812" s="12"/>
    </row>
    <row r="21813" spans="32:32" x14ac:dyDescent="0.2">
      <c r="AF21813" s="12"/>
    </row>
    <row r="21814" spans="32:32" x14ac:dyDescent="0.2">
      <c r="AF21814" s="12"/>
    </row>
    <row r="21815" spans="32:32" x14ac:dyDescent="0.2">
      <c r="AF21815" s="12"/>
    </row>
    <row r="21816" spans="32:32" x14ac:dyDescent="0.2">
      <c r="AF21816" s="12"/>
    </row>
    <row r="21817" spans="32:32" x14ac:dyDescent="0.2">
      <c r="AF21817" s="12"/>
    </row>
    <row r="21818" spans="32:32" x14ac:dyDescent="0.2">
      <c r="AF21818" s="12"/>
    </row>
    <row r="21819" spans="32:32" x14ac:dyDescent="0.2">
      <c r="AF21819" s="12"/>
    </row>
    <row r="21820" spans="32:32" x14ac:dyDescent="0.2">
      <c r="AF21820" s="12"/>
    </row>
    <row r="21821" spans="32:32" x14ac:dyDescent="0.2">
      <c r="AF21821" s="12"/>
    </row>
    <row r="21822" spans="32:32" x14ac:dyDescent="0.2">
      <c r="AF21822" s="12"/>
    </row>
    <row r="21823" spans="32:32" x14ac:dyDescent="0.2">
      <c r="AF21823" s="12"/>
    </row>
    <row r="21824" spans="32:32" x14ac:dyDescent="0.2">
      <c r="AF21824" s="12"/>
    </row>
    <row r="21825" spans="32:32" x14ac:dyDescent="0.2">
      <c r="AF21825" s="12"/>
    </row>
    <row r="21826" spans="32:32" x14ac:dyDescent="0.2">
      <c r="AF21826" s="12"/>
    </row>
    <row r="21827" spans="32:32" x14ac:dyDescent="0.2">
      <c r="AF21827" s="12"/>
    </row>
    <row r="21828" spans="32:32" x14ac:dyDescent="0.2">
      <c r="AF21828" s="12"/>
    </row>
    <row r="21829" spans="32:32" x14ac:dyDescent="0.2">
      <c r="AF21829" s="12"/>
    </row>
    <row r="21830" spans="32:32" x14ac:dyDescent="0.2">
      <c r="AF21830" s="12"/>
    </row>
    <row r="21831" spans="32:32" x14ac:dyDescent="0.2">
      <c r="AF21831" s="12"/>
    </row>
    <row r="21832" spans="32:32" x14ac:dyDescent="0.2">
      <c r="AF21832" s="12"/>
    </row>
    <row r="21833" spans="32:32" x14ac:dyDescent="0.2">
      <c r="AF21833" s="12"/>
    </row>
    <row r="21834" spans="32:32" x14ac:dyDescent="0.2">
      <c r="AF21834" s="12"/>
    </row>
    <row r="21835" spans="32:32" x14ac:dyDescent="0.2">
      <c r="AF21835" s="12"/>
    </row>
    <row r="21836" spans="32:32" x14ac:dyDescent="0.2">
      <c r="AF21836" s="12"/>
    </row>
    <row r="21837" spans="32:32" x14ac:dyDescent="0.2">
      <c r="AF21837" s="12"/>
    </row>
    <row r="21838" spans="32:32" x14ac:dyDescent="0.2">
      <c r="AF21838" s="12"/>
    </row>
    <row r="21839" spans="32:32" x14ac:dyDescent="0.2">
      <c r="AF21839" s="12"/>
    </row>
    <row r="21840" spans="32:32" x14ac:dyDescent="0.2">
      <c r="AF21840" s="12"/>
    </row>
    <row r="21841" spans="32:32" x14ac:dyDescent="0.2">
      <c r="AF21841" s="12"/>
    </row>
    <row r="21842" spans="32:32" x14ac:dyDescent="0.2">
      <c r="AF21842" s="12"/>
    </row>
    <row r="21843" spans="32:32" x14ac:dyDescent="0.2">
      <c r="AF21843" s="12"/>
    </row>
    <row r="21844" spans="32:32" x14ac:dyDescent="0.2">
      <c r="AF21844" s="12"/>
    </row>
    <row r="21845" spans="32:32" x14ac:dyDescent="0.2">
      <c r="AF21845" s="12"/>
    </row>
    <row r="21846" spans="32:32" x14ac:dyDescent="0.2">
      <c r="AF21846" s="12"/>
    </row>
    <row r="21847" spans="32:32" x14ac:dyDescent="0.2">
      <c r="AF21847" s="12"/>
    </row>
    <row r="21848" spans="32:32" x14ac:dyDescent="0.2">
      <c r="AF21848" s="12"/>
    </row>
    <row r="21849" spans="32:32" x14ac:dyDescent="0.2">
      <c r="AF21849" s="12"/>
    </row>
    <row r="21850" spans="32:32" x14ac:dyDescent="0.2">
      <c r="AF21850" s="12"/>
    </row>
    <row r="21851" spans="32:32" x14ac:dyDescent="0.2">
      <c r="AF21851" s="12"/>
    </row>
    <row r="21852" spans="32:32" x14ac:dyDescent="0.2">
      <c r="AF21852" s="12"/>
    </row>
    <row r="21853" spans="32:32" x14ac:dyDescent="0.2">
      <c r="AF21853" s="12"/>
    </row>
    <row r="21854" spans="32:32" x14ac:dyDescent="0.2">
      <c r="AF21854" s="12"/>
    </row>
    <row r="21855" spans="32:32" x14ac:dyDescent="0.2">
      <c r="AF21855" s="12"/>
    </row>
    <row r="21856" spans="32:32" x14ac:dyDescent="0.2">
      <c r="AF21856" s="12"/>
    </row>
    <row r="21857" spans="32:32" x14ac:dyDescent="0.2">
      <c r="AF21857" s="12"/>
    </row>
    <row r="21858" spans="32:32" x14ac:dyDescent="0.2">
      <c r="AF21858" s="12"/>
    </row>
    <row r="21859" spans="32:32" x14ac:dyDescent="0.2">
      <c r="AF21859" s="12"/>
    </row>
    <row r="21860" spans="32:32" x14ac:dyDescent="0.2">
      <c r="AF21860" s="12"/>
    </row>
    <row r="21861" spans="32:32" x14ac:dyDescent="0.2">
      <c r="AF21861" s="12"/>
    </row>
    <row r="21862" spans="32:32" x14ac:dyDescent="0.2">
      <c r="AF21862" s="12"/>
    </row>
    <row r="21863" spans="32:32" x14ac:dyDescent="0.2">
      <c r="AF21863" s="12"/>
    </row>
    <row r="21864" spans="32:32" x14ac:dyDescent="0.2">
      <c r="AF21864" s="12"/>
    </row>
    <row r="21865" spans="32:32" x14ac:dyDescent="0.2">
      <c r="AF21865" s="12"/>
    </row>
    <row r="21866" spans="32:32" x14ac:dyDescent="0.2">
      <c r="AF21866" s="12"/>
    </row>
    <row r="21867" spans="32:32" x14ac:dyDescent="0.2">
      <c r="AF21867" s="12"/>
    </row>
    <row r="21868" spans="32:32" x14ac:dyDescent="0.2">
      <c r="AF21868" s="12"/>
    </row>
    <row r="21869" spans="32:32" x14ac:dyDescent="0.2">
      <c r="AF21869" s="12"/>
    </row>
    <row r="21870" spans="32:32" x14ac:dyDescent="0.2">
      <c r="AF21870" s="12"/>
    </row>
    <row r="21871" spans="32:32" x14ac:dyDescent="0.2">
      <c r="AF21871" s="12"/>
    </row>
    <row r="21872" spans="32:32" x14ac:dyDescent="0.2">
      <c r="AF21872" s="12"/>
    </row>
    <row r="21873" spans="32:32" x14ac:dyDescent="0.2">
      <c r="AF21873" s="12"/>
    </row>
    <row r="21874" spans="32:32" x14ac:dyDescent="0.2">
      <c r="AF21874" s="12"/>
    </row>
    <row r="21875" spans="32:32" x14ac:dyDescent="0.2">
      <c r="AF21875" s="12"/>
    </row>
    <row r="21876" spans="32:32" x14ac:dyDescent="0.2">
      <c r="AF21876" s="12"/>
    </row>
    <row r="21877" spans="32:32" x14ac:dyDescent="0.2">
      <c r="AF21877" s="12"/>
    </row>
    <row r="21878" spans="32:32" x14ac:dyDescent="0.2">
      <c r="AF21878" s="12"/>
    </row>
    <row r="21879" spans="32:32" x14ac:dyDescent="0.2">
      <c r="AF21879" s="12"/>
    </row>
    <row r="21880" spans="32:32" x14ac:dyDescent="0.2">
      <c r="AF21880" s="12"/>
    </row>
    <row r="21881" spans="32:32" x14ac:dyDescent="0.2">
      <c r="AF21881" s="12"/>
    </row>
    <row r="21882" spans="32:32" x14ac:dyDescent="0.2">
      <c r="AF21882" s="12"/>
    </row>
    <row r="21883" spans="32:32" x14ac:dyDescent="0.2">
      <c r="AF21883" s="12"/>
    </row>
    <row r="21884" spans="32:32" x14ac:dyDescent="0.2">
      <c r="AF21884" s="12"/>
    </row>
    <row r="21885" spans="32:32" x14ac:dyDescent="0.2">
      <c r="AF21885" s="12"/>
    </row>
    <row r="21886" spans="32:32" x14ac:dyDescent="0.2">
      <c r="AF21886" s="12"/>
    </row>
    <row r="21887" spans="32:32" x14ac:dyDescent="0.2">
      <c r="AF21887" s="12"/>
    </row>
    <row r="21888" spans="32:32" x14ac:dyDescent="0.2">
      <c r="AF21888" s="12"/>
    </row>
    <row r="21889" spans="32:32" x14ac:dyDescent="0.2">
      <c r="AF21889" s="12"/>
    </row>
    <row r="21890" spans="32:32" x14ac:dyDescent="0.2">
      <c r="AF21890" s="12"/>
    </row>
    <row r="21891" spans="32:32" x14ac:dyDescent="0.2">
      <c r="AF21891" s="12"/>
    </row>
    <row r="21892" spans="32:32" x14ac:dyDescent="0.2">
      <c r="AF21892" s="12"/>
    </row>
    <row r="21893" spans="32:32" x14ac:dyDescent="0.2">
      <c r="AF21893" s="12"/>
    </row>
    <row r="21894" spans="32:32" x14ac:dyDescent="0.2">
      <c r="AF21894" s="12"/>
    </row>
    <row r="21895" spans="32:32" x14ac:dyDescent="0.2">
      <c r="AF21895" s="12"/>
    </row>
    <row r="21896" spans="32:32" x14ac:dyDescent="0.2">
      <c r="AF21896" s="12"/>
    </row>
    <row r="21897" spans="32:32" x14ac:dyDescent="0.2">
      <c r="AF21897" s="12"/>
    </row>
    <row r="21898" spans="32:32" x14ac:dyDescent="0.2">
      <c r="AF21898" s="12"/>
    </row>
    <row r="21899" spans="32:32" x14ac:dyDescent="0.2">
      <c r="AF21899" s="12"/>
    </row>
    <row r="21900" spans="32:32" x14ac:dyDescent="0.2">
      <c r="AF21900" s="12"/>
    </row>
    <row r="21901" spans="32:32" x14ac:dyDescent="0.2">
      <c r="AF21901" s="12"/>
    </row>
    <row r="21902" spans="32:32" x14ac:dyDescent="0.2">
      <c r="AF21902" s="12"/>
    </row>
    <row r="21903" spans="32:32" x14ac:dyDescent="0.2">
      <c r="AF21903" s="12"/>
    </row>
    <row r="21904" spans="32:32" x14ac:dyDescent="0.2">
      <c r="AF21904" s="12"/>
    </row>
    <row r="21905" spans="32:32" x14ac:dyDescent="0.2">
      <c r="AF21905" s="12"/>
    </row>
    <row r="21906" spans="32:32" x14ac:dyDescent="0.2">
      <c r="AF21906" s="12"/>
    </row>
    <row r="21907" spans="32:32" x14ac:dyDescent="0.2">
      <c r="AF21907" s="12"/>
    </row>
    <row r="21908" spans="32:32" x14ac:dyDescent="0.2">
      <c r="AF21908" s="12"/>
    </row>
    <row r="21909" spans="32:32" x14ac:dyDescent="0.2">
      <c r="AF21909" s="12"/>
    </row>
    <row r="21910" spans="32:32" x14ac:dyDescent="0.2">
      <c r="AF21910" s="12"/>
    </row>
    <row r="21911" spans="32:32" x14ac:dyDescent="0.2">
      <c r="AF21911" s="12"/>
    </row>
    <row r="21912" spans="32:32" x14ac:dyDescent="0.2">
      <c r="AF21912" s="12"/>
    </row>
    <row r="21913" spans="32:32" x14ac:dyDescent="0.2">
      <c r="AF21913" s="12"/>
    </row>
    <row r="21914" spans="32:32" x14ac:dyDescent="0.2">
      <c r="AF21914" s="12"/>
    </row>
    <row r="21915" spans="32:32" x14ac:dyDescent="0.2">
      <c r="AF21915" s="12"/>
    </row>
    <row r="21916" spans="32:32" x14ac:dyDescent="0.2">
      <c r="AF21916" s="12"/>
    </row>
    <row r="21917" spans="32:32" x14ac:dyDescent="0.2">
      <c r="AF21917" s="12"/>
    </row>
    <row r="21918" spans="32:32" x14ac:dyDescent="0.2">
      <c r="AF21918" s="12"/>
    </row>
    <row r="21919" spans="32:32" x14ac:dyDescent="0.2">
      <c r="AF21919" s="12"/>
    </row>
    <row r="21920" spans="32:32" x14ac:dyDescent="0.2">
      <c r="AF21920" s="12"/>
    </row>
    <row r="21921" spans="32:32" x14ac:dyDescent="0.2">
      <c r="AF21921" s="12"/>
    </row>
    <row r="21922" spans="32:32" x14ac:dyDescent="0.2">
      <c r="AF21922" s="12"/>
    </row>
    <row r="21923" spans="32:32" x14ac:dyDescent="0.2">
      <c r="AF21923" s="12"/>
    </row>
    <row r="21924" spans="32:32" x14ac:dyDescent="0.2">
      <c r="AF21924" s="12"/>
    </row>
    <row r="21925" spans="32:32" x14ac:dyDescent="0.2">
      <c r="AF21925" s="12"/>
    </row>
    <row r="21926" spans="32:32" x14ac:dyDescent="0.2">
      <c r="AF21926" s="12"/>
    </row>
    <row r="21927" spans="32:32" x14ac:dyDescent="0.2">
      <c r="AF21927" s="12"/>
    </row>
    <row r="21928" spans="32:32" x14ac:dyDescent="0.2">
      <c r="AF21928" s="12"/>
    </row>
    <row r="21929" spans="32:32" x14ac:dyDescent="0.2">
      <c r="AF21929" s="12"/>
    </row>
    <row r="21930" spans="32:32" x14ac:dyDescent="0.2">
      <c r="AF21930" s="12"/>
    </row>
    <row r="21931" spans="32:32" x14ac:dyDescent="0.2">
      <c r="AF21931" s="12"/>
    </row>
    <row r="21932" spans="32:32" x14ac:dyDescent="0.2">
      <c r="AF21932" s="12"/>
    </row>
    <row r="21933" spans="32:32" x14ac:dyDescent="0.2">
      <c r="AF21933" s="12"/>
    </row>
    <row r="21934" spans="32:32" x14ac:dyDescent="0.2">
      <c r="AF21934" s="12"/>
    </row>
    <row r="21935" spans="32:32" x14ac:dyDescent="0.2">
      <c r="AF21935" s="12"/>
    </row>
    <row r="21936" spans="32:32" x14ac:dyDescent="0.2">
      <c r="AF21936" s="12"/>
    </row>
    <row r="21937" spans="32:32" x14ac:dyDescent="0.2">
      <c r="AF21937" s="12"/>
    </row>
    <row r="21938" spans="32:32" x14ac:dyDescent="0.2">
      <c r="AF21938" s="12"/>
    </row>
    <row r="21939" spans="32:32" x14ac:dyDescent="0.2">
      <c r="AF21939" s="12"/>
    </row>
    <row r="21940" spans="32:32" x14ac:dyDescent="0.2">
      <c r="AF21940" s="12"/>
    </row>
    <row r="21941" spans="32:32" x14ac:dyDescent="0.2">
      <c r="AF21941" s="12"/>
    </row>
    <row r="21942" spans="32:32" x14ac:dyDescent="0.2">
      <c r="AF21942" s="12"/>
    </row>
    <row r="21943" spans="32:32" x14ac:dyDescent="0.2">
      <c r="AF21943" s="12"/>
    </row>
    <row r="21944" spans="32:32" x14ac:dyDescent="0.2">
      <c r="AF21944" s="12"/>
    </row>
    <row r="21945" spans="32:32" x14ac:dyDescent="0.2">
      <c r="AF21945" s="12"/>
    </row>
    <row r="21946" spans="32:32" x14ac:dyDescent="0.2">
      <c r="AF21946" s="12"/>
    </row>
    <row r="21947" spans="32:32" x14ac:dyDescent="0.2">
      <c r="AF21947" s="12"/>
    </row>
    <row r="21948" spans="32:32" x14ac:dyDescent="0.2">
      <c r="AF21948" s="12"/>
    </row>
    <row r="21949" spans="32:32" x14ac:dyDescent="0.2">
      <c r="AF21949" s="12"/>
    </row>
    <row r="21950" spans="32:32" x14ac:dyDescent="0.2">
      <c r="AF21950" s="12"/>
    </row>
    <row r="21951" spans="32:32" x14ac:dyDescent="0.2">
      <c r="AF21951" s="12"/>
    </row>
    <row r="21952" spans="32:32" x14ac:dyDescent="0.2">
      <c r="AF21952" s="12"/>
    </row>
    <row r="21953" spans="32:32" x14ac:dyDescent="0.2">
      <c r="AF21953" s="12"/>
    </row>
    <row r="21954" spans="32:32" x14ac:dyDescent="0.2">
      <c r="AF21954" s="12"/>
    </row>
    <row r="21955" spans="32:32" x14ac:dyDescent="0.2">
      <c r="AF21955" s="12"/>
    </row>
    <row r="21956" spans="32:32" x14ac:dyDescent="0.2">
      <c r="AF21956" s="12"/>
    </row>
    <row r="21957" spans="32:32" x14ac:dyDescent="0.2">
      <c r="AF21957" s="12"/>
    </row>
    <row r="21958" spans="32:32" x14ac:dyDescent="0.2">
      <c r="AF21958" s="12"/>
    </row>
    <row r="21959" spans="32:32" x14ac:dyDescent="0.2">
      <c r="AF21959" s="12"/>
    </row>
    <row r="21960" spans="32:32" x14ac:dyDescent="0.2">
      <c r="AF21960" s="12"/>
    </row>
    <row r="21961" spans="32:32" x14ac:dyDescent="0.2">
      <c r="AF21961" s="12"/>
    </row>
    <row r="21962" spans="32:32" x14ac:dyDescent="0.2">
      <c r="AF21962" s="12"/>
    </row>
    <row r="21963" spans="32:32" x14ac:dyDescent="0.2">
      <c r="AF21963" s="12"/>
    </row>
    <row r="21964" spans="32:32" x14ac:dyDescent="0.2">
      <c r="AF21964" s="12"/>
    </row>
    <row r="21965" spans="32:32" x14ac:dyDescent="0.2">
      <c r="AF21965" s="12"/>
    </row>
    <row r="21966" spans="32:32" x14ac:dyDescent="0.2">
      <c r="AF21966" s="12"/>
    </row>
    <row r="21967" spans="32:32" x14ac:dyDescent="0.2">
      <c r="AF21967" s="12"/>
    </row>
    <row r="21968" spans="32:32" x14ac:dyDescent="0.2">
      <c r="AF21968" s="12"/>
    </row>
    <row r="21969" spans="32:32" x14ac:dyDescent="0.2">
      <c r="AF21969" s="12"/>
    </row>
    <row r="21970" spans="32:32" x14ac:dyDescent="0.2">
      <c r="AF21970" s="12"/>
    </row>
    <row r="21971" spans="32:32" x14ac:dyDescent="0.2">
      <c r="AF21971" s="12"/>
    </row>
    <row r="21972" spans="32:32" x14ac:dyDescent="0.2">
      <c r="AF21972" s="12"/>
    </row>
    <row r="21973" spans="32:32" x14ac:dyDescent="0.2">
      <c r="AF21973" s="12"/>
    </row>
    <row r="21974" spans="32:32" x14ac:dyDescent="0.2">
      <c r="AF21974" s="12"/>
    </row>
    <row r="21975" spans="32:32" x14ac:dyDescent="0.2">
      <c r="AF21975" s="12"/>
    </row>
    <row r="21976" spans="32:32" x14ac:dyDescent="0.2">
      <c r="AF21976" s="12"/>
    </row>
    <row r="21977" spans="32:32" x14ac:dyDescent="0.2">
      <c r="AF21977" s="12"/>
    </row>
    <row r="21978" spans="32:32" x14ac:dyDescent="0.2">
      <c r="AF21978" s="12"/>
    </row>
    <row r="21979" spans="32:32" x14ac:dyDescent="0.2">
      <c r="AF21979" s="12"/>
    </row>
    <row r="21980" spans="32:32" x14ac:dyDescent="0.2">
      <c r="AF21980" s="12"/>
    </row>
    <row r="21981" spans="32:32" x14ac:dyDescent="0.2">
      <c r="AF21981" s="12"/>
    </row>
    <row r="21982" spans="32:32" x14ac:dyDescent="0.2">
      <c r="AF21982" s="12"/>
    </row>
    <row r="21983" spans="32:32" x14ac:dyDescent="0.2">
      <c r="AF21983" s="12"/>
    </row>
    <row r="21984" spans="32:32" x14ac:dyDescent="0.2">
      <c r="AF21984" s="12"/>
    </row>
    <row r="21985" spans="32:32" x14ac:dyDescent="0.2">
      <c r="AF21985" s="12"/>
    </row>
    <row r="21986" spans="32:32" x14ac:dyDescent="0.2">
      <c r="AF21986" s="12"/>
    </row>
    <row r="21987" spans="32:32" x14ac:dyDescent="0.2">
      <c r="AF21987" s="12"/>
    </row>
    <row r="21988" spans="32:32" x14ac:dyDescent="0.2">
      <c r="AF21988" s="12"/>
    </row>
    <row r="21989" spans="32:32" x14ac:dyDescent="0.2">
      <c r="AF21989" s="12"/>
    </row>
    <row r="21990" spans="32:32" x14ac:dyDescent="0.2">
      <c r="AF21990" s="12"/>
    </row>
    <row r="21991" spans="32:32" x14ac:dyDescent="0.2">
      <c r="AF21991" s="12"/>
    </row>
    <row r="21992" spans="32:32" x14ac:dyDescent="0.2">
      <c r="AF21992" s="12"/>
    </row>
    <row r="21993" spans="32:32" x14ac:dyDescent="0.2">
      <c r="AF21993" s="12"/>
    </row>
    <row r="21994" spans="32:32" x14ac:dyDescent="0.2">
      <c r="AF21994" s="12"/>
    </row>
    <row r="21995" spans="32:32" x14ac:dyDescent="0.2">
      <c r="AF21995" s="12"/>
    </row>
    <row r="21996" spans="32:32" x14ac:dyDescent="0.2">
      <c r="AF21996" s="12"/>
    </row>
    <row r="21997" spans="32:32" x14ac:dyDescent="0.2">
      <c r="AF21997" s="12"/>
    </row>
    <row r="21998" spans="32:32" x14ac:dyDescent="0.2">
      <c r="AF21998" s="12"/>
    </row>
    <row r="21999" spans="32:32" x14ac:dyDescent="0.2">
      <c r="AF21999" s="12"/>
    </row>
    <row r="22000" spans="32:32" x14ac:dyDescent="0.2">
      <c r="AF22000" s="12"/>
    </row>
    <row r="22001" spans="32:32" x14ac:dyDescent="0.2">
      <c r="AF22001" s="12"/>
    </row>
    <row r="22002" spans="32:32" x14ac:dyDescent="0.2">
      <c r="AF22002" s="12"/>
    </row>
    <row r="22003" spans="32:32" x14ac:dyDescent="0.2">
      <c r="AF22003" s="12"/>
    </row>
    <row r="22004" spans="32:32" x14ac:dyDescent="0.2">
      <c r="AF22004" s="12"/>
    </row>
    <row r="22005" spans="32:32" x14ac:dyDescent="0.2">
      <c r="AF22005" s="12"/>
    </row>
    <row r="22006" spans="32:32" x14ac:dyDescent="0.2">
      <c r="AF22006" s="12"/>
    </row>
    <row r="22007" spans="32:32" x14ac:dyDescent="0.2">
      <c r="AF22007" s="12"/>
    </row>
    <row r="22008" spans="32:32" x14ac:dyDescent="0.2">
      <c r="AF22008" s="12"/>
    </row>
    <row r="22009" spans="32:32" x14ac:dyDescent="0.2">
      <c r="AF22009" s="12"/>
    </row>
    <row r="22010" spans="32:32" x14ac:dyDescent="0.2">
      <c r="AF22010" s="12"/>
    </row>
    <row r="22011" spans="32:32" x14ac:dyDescent="0.2">
      <c r="AF22011" s="12"/>
    </row>
    <row r="22012" spans="32:32" x14ac:dyDescent="0.2">
      <c r="AF22012" s="12"/>
    </row>
    <row r="22013" spans="32:32" x14ac:dyDescent="0.2">
      <c r="AF22013" s="12"/>
    </row>
    <row r="22014" spans="32:32" x14ac:dyDescent="0.2">
      <c r="AF22014" s="12"/>
    </row>
    <row r="22015" spans="32:32" x14ac:dyDescent="0.2">
      <c r="AF22015" s="12"/>
    </row>
    <row r="22016" spans="32:32" x14ac:dyDescent="0.2">
      <c r="AF22016" s="12"/>
    </row>
    <row r="22017" spans="32:32" x14ac:dyDescent="0.2">
      <c r="AF22017" s="12"/>
    </row>
    <row r="22018" spans="32:32" x14ac:dyDescent="0.2">
      <c r="AF22018" s="12"/>
    </row>
    <row r="22019" spans="32:32" x14ac:dyDescent="0.2">
      <c r="AF22019" s="12"/>
    </row>
    <row r="22020" spans="32:32" x14ac:dyDescent="0.2">
      <c r="AF22020" s="12"/>
    </row>
    <row r="22021" spans="32:32" x14ac:dyDescent="0.2">
      <c r="AF22021" s="12"/>
    </row>
    <row r="22022" spans="32:32" x14ac:dyDescent="0.2">
      <c r="AF22022" s="12"/>
    </row>
    <row r="22023" spans="32:32" x14ac:dyDescent="0.2">
      <c r="AF22023" s="12"/>
    </row>
    <row r="22024" spans="32:32" x14ac:dyDescent="0.2">
      <c r="AF22024" s="12"/>
    </row>
    <row r="22025" spans="32:32" x14ac:dyDescent="0.2">
      <c r="AF22025" s="12"/>
    </row>
    <row r="22026" spans="32:32" x14ac:dyDescent="0.2">
      <c r="AF22026" s="12"/>
    </row>
    <row r="22027" spans="32:32" x14ac:dyDescent="0.2">
      <c r="AF22027" s="12"/>
    </row>
    <row r="22028" spans="32:32" x14ac:dyDescent="0.2">
      <c r="AF22028" s="12"/>
    </row>
    <row r="22029" spans="32:32" x14ac:dyDescent="0.2">
      <c r="AF22029" s="12"/>
    </row>
    <row r="22030" spans="32:32" x14ac:dyDescent="0.2">
      <c r="AF22030" s="12"/>
    </row>
    <row r="22031" spans="32:32" x14ac:dyDescent="0.2">
      <c r="AF22031" s="12"/>
    </row>
    <row r="22032" spans="32:32" x14ac:dyDescent="0.2">
      <c r="AF22032" s="12"/>
    </row>
    <row r="22033" spans="32:32" x14ac:dyDescent="0.2">
      <c r="AF22033" s="12"/>
    </row>
    <row r="22034" spans="32:32" x14ac:dyDescent="0.2">
      <c r="AF22034" s="12"/>
    </row>
    <row r="22035" spans="32:32" x14ac:dyDescent="0.2">
      <c r="AF22035" s="12"/>
    </row>
    <row r="22036" spans="32:32" x14ac:dyDescent="0.2">
      <c r="AF22036" s="12"/>
    </row>
    <row r="22037" spans="32:32" x14ac:dyDescent="0.2">
      <c r="AF22037" s="12"/>
    </row>
    <row r="22038" spans="32:32" x14ac:dyDescent="0.2">
      <c r="AF22038" s="12"/>
    </row>
    <row r="22039" spans="32:32" x14ac:dyDescent="0.2">
      <c r="AF22039" s="12"/>
    </row>
    <row r="22040" spans="32:32" x14ac:dyDescent="0.2">
      <c r="AF22040" s="12"/>
    </row>
    <row r="22041" spans="32:32" x14ac:dyDescent="0.2">
      <c r="AF22041" s="12"/>
    </row>
    <row r="22042" spans="32:32" x14ac:dyDescent="0.2">
      <c r="AF22042" s="12"/>
    </row>
    <row r="22043" spans="32:32" x14ac:dyDescent="0.2">
      <c r="AF22043" s="12"/>
    </row>
    <row r="22044" spans="32:32" x14ac:dyDescent="0.2">
      <c r="AF22044" s="12"/>
    </row>
    <row r="22045" spans="32:32" x14ac:dyDescent="0.2">
      <c r="AF22045" s="12"/>
    </row>
    <row r="22046" spans="32:32" x14ac:dyDescent="0.2">
      <c r="AF22046" s="12"/>
    </row>
    <row r="22047" spans="32:32" x14ac:dyDescent="0.2">
      <c r="AF22047" s="12"/>
    </row>
    <row r="22048" spans="32:32" x14ac:dyDescent="0.2">
      <c r="AF22048" s="12"/>
    </row>
    <row r="22049" spans="32:32" x14ac:dyDescent="0.2">
      <c r="AF22049" s="12"/>
    </row>
    <row r="22050" spans="32:32" x14ac:dyDescent="0.2">
      <c r="AF22050" s="12"/>
    </row>
    <row r="22051" spans="32:32" x14ac:dyDescent="0.2">
      <c r="AF22051" s="12"/>
    </row>
    <row r="22052" spans="32:32" x14ac:dyDescent="0.2">
      <c r="AF22052" s="12"/>
    </row>
    <row r="22053" spans="32:32" x14ac:dyDescent="0.2">
      <c r="AF22053" s="12"/>
    </row>
    <row r="22054" spans="32:32" x14ac:dyDescent="0.2">
      <c r="AF22054" s="12"/>
    </row>
    <row r="22055" spans="32:32" x14ac:dyDescent="0.2">
      <c r="AF22055" s="12"/>
    </row>
    <row r="22056" spans="32:32" x14ac:dyDescent="0.2">
      <c r="AF22056" s="12"/>
    </row>
    <row r="22057" spans="32:32" x14ac:dyDescent="0.2">
      <c r="AF22057" s="12"/>
    </row>
    <row r="22058" spans="32:32" x14ac:dyDescent="0.2">
      <c r="AF22058" s="12"/>
    </row>
    <row r="22059" spans="32:32" x14ac:dyDescent="0.2">
      <c r="AF22059" s="12"/>
    </row>
    <row r="22060" spans="32:32" x14ac:dyDescent="0.2">
      <c r="AF22060" s="12"/>
    </row>
    <row r="22061" spans="32:32" x14ac:dyDescent="0.2">
      <c r="AF22061" s="12"/>
    </row>
    <row r="22062" spans="32:32" x14ac:dyDescent="0.2">
      <c r="AF22062" s="12"/>
    </row>
    <row r="22063" spans="32:32" x14ac:dyDescent="0.2">
      <c r="AF22063" s="12"/>
    </row>
    <row r="22064" spans="32:32" x14ac:dyDescent="0.2">
      <c r="AF22064" s="12"/>
    </row>
    <row r="22065" spans="32:32" x14ac:dyDescent="0.2">
      <c r="AF22065" s="12"/>
    </row>
    <row r="22066" spans="32:32" x14ac:dyDescent="0.2">
      <c r="AF22066" s="12"/>
    </row>
    <row r="22067" spans="32:32" x14ac:dyDescent="0.2">
      <c r="AF22067" s="12"/>
    </row>
    <row r="22068" spans="32:32" x14ac:dyDescent="0.2">
      <c r="AF22068" s="12"/>
    </row>
    <row r="22069" spans="32:32" x14ac:dyDescent="0.2">
      <c r="AF22069" s="12"/>
    </row>
    <row r="22070" spans="32:32" x14ac:dyDescent="0.2">
      <c r="AF22070" s="12"/>
    </row>
    <row r="22071" spans="32:32" x14ac:dyDescent="0.2">
      <c r="AF22071" s="12"/>
    </row>
    <row r="22072" spans="32:32" x14ac:dyDescent="0.2">
      <c r="AF22072" s="12"/>
    </row>
    <row r="22073" spans="32:32" x14ac:dyDescent="0.2">
      <c r="AF22073" s="12"/>
    </row>
    <row r="22074" spans="32:32" x14ac:dyDescent="0.2">
      <c r="AF22074" s="12"/>
    </row>
    <row r="22075" spans="32:32" x14ac:dyDescent="0.2">
      <c r="AF22075" s="12"/>
    </row>
    <row r="22076" spans="32:32" x14ac:dyDescent="0.2">
      <c r="AF22076" s="12"/>
    </row>
    <row r="22077" spans="32:32" x14ac:dyDescent="0.2">
      <c r="AF22077" s="12"/>
    </row>
    <row r="22078" spans="32:32" x14ac:dyDescent="0.2">
      <c r="AF22078" s="12"/>
    </row>
    <row r="22079" spans="32:32" x14ac:dyDescent="0.2">
      <c r="AF22079" s="12"/>
    </row>
    <row r="22080" spans="32:32" x14ac:dyDescent="0.2">
      <c r="AF22080" s="12"/>
    </row>
    <row r="22081" spans="32:32" x14ac:dyDescent="0.2">
      <c r="AF22081" s="12"/>
    </row>
    <row r="22082" spans="32:32" x14ac:dyDescent="0.2">
      <c r="AF22082" s="12"/>
    </row>
    <row r="22083" spans="32:32" x14ac:dyDescent="0.2">
      <c r="AF22083" s="12"/>
    </row>
    <row r="22084" spans="32:32" x14ac:dyDescent="0.2">
      <c r="AF22084" s="12"/>
    </row>
    <row r="22085" spans="32:32" x14ac:dyDescent="0.2">
      <c r="AF22085" s="12"/>
    </row>
    <row r="22086" spans="32:32" x14ac:dyDescent="0.2">
      <c r="AF22086" s="12"/>
    </row>
    <row r="22087" spans="32:32" x14ac:dyDescent="0.2">
      <c r="AF22087" s="12"/>
    </row>
    <row r="22088" spans="32:32" x14ac:dyDescent="0.2">
      <c r="AF22088" s="12"/>
    </row>
    <row r="22089" spans="32:32" x14ac:dyDescent="0.2">
      <c r="AF22089" s="12"/>
    </row>
    <row r="22090" spans="32:32" x14ac:dyDescent="0.2">
      <c r="AF22090" s="12"/>
    </row>
    <row r="22091" spans="32:32" x14ac:dyDescent="0.2">
      <c r="AF22091" s="12"/>
    </row>
    <row r="22092" spans="32:32" x14ac:dyDescent="0.2">
      <c r="AF22092" s="12"/>
    </row>
    <row r="22093" spans="32:32" x14ac:dyDescent="0.2">
      <c r="AF22093" s="12"/>
    </row>
    <row r="22094" spans="32:32" x14ac:dyDescent="0.2">
      <c r="AF22094" s="12"/>
    </row>
    <row r="22095" spans="32:32" x14ac:dyDescent="0.2">
      <c r="AF22095" s="12"/>
    </row>
    <row r="22096" spans="32:32" x14ac:dyDescent="0.2">
      <c r="AF22096" s="12"/>
    </row>
    <row r="22097" spans="32:32" x14ac:dyDescent="0.2">
      <c r="AF22097" s="12"/>
    </row>
    <row r="22098" spans="32:32" x14ac:dyDescent="0.2">
      <c r="AF22098" s="12"/>
    </row>
    <row r="22099" spans="32:32" x14ac:dyDescent="0.2">
      <c r="AF22099" s="12"/>
    </row>
    <row r="22100" spans="32:32" x14ac:dyDescent="0.2">
      <c r="AF22100" s="12"/>
    </row>
    <row r="22101" spans="32:32" x14ac:dyDescent="0.2">
      <c r="AF22101" s="12"/>
    </row>
    <row r="22102" spans="32:32" x14ac:dyDescent="0.2">
      <c r="AF22102" s="12"/>
    </row>
    <row r="22103" spans="32:32" x14ac:dyDescent="0.2">
      <c r="AF22103" s="12"/>
    </row>
    <row r="22104" spans="32:32" x14ac:dyDescent="0.2">
      <c r="AF22104" s="12"/>
    </row>
    <row r="22105" spans="32:32" x14ac:dyDescent="0.2">
      <c r="AF22105" s="12"/>
    </row>
    <row r="22106" spans="32:32" x14ac:dyDescent="0.2">
      <c r="AF22106" s="12"/>
    </row>
    <row r="22107" spans="32:32" x14ac:dyDescent="0.2">
      <c r="AF22107" s="12"/>
    </row>
    <row r="22108" spans="32:32" x14ac:dyDescent="0.2">
      <c r="AF22108" s="12"/>
    </row>
    <row r="22109" spans="32:32" x14ac:dyDescent="0.2">
      <c r="AF22109" s="12"/>
    </row>
    <row r="22110" spans="32:32" x14ac:dyDescent="0.2">
      <c r="AF22110" s="12"/>
    </row>
    <row r="22111" spans="32:32" x14ac:dyDescent="0.2">
      <c r="AF22111" s="12"/>
    </row>
    <row r="22112" spans="32:32" x14ac:dyDescent="0.2">
      <c r="AF22112" s="12"/>
    </row>
    <row r="22113" spans="32:32" x14ac:dyDescent="0.2">
      <c r="AF22113" s="12"/>
    </row>
    <row r="22114" spans="32:32" x14ac:dyDescent="0.2">
      <c r="AF22114" s="12"/>
    </row>
    <row r="22115" spans="32:32" x14ac:dyDescent="0.2">
      <c r="AF22115" s="12"/>
    </row>
    <row r="22116" spans="32:32" x14ac:dyDescent="0.2">
      <c r="AF22116" s="12"/>
    </row>
    <row r="22117" spans="32:32" x14ac:dyDescent="0.2">
      <c r="AF22117" s="12"/>
    </row>
    <row r="22118" spans="32:32" x14ac:dyDescent="0.2">
      <c r="AF22118" s="12"/>
    </row>
    <row r="22119" spans="32:32" x14ac:dyDescent="0.2">
      <c r="AF22119" s="12"/>
    </row>
    <row r="22120" spans="32:32" x14ac:dyDescent="0.2">
      <c r="AF22120" s="12"/>
    </row>
    <row r="22121" spans="32:32" x14ac:dyDescent="0.2">
      <c r="AF22121" s="12"/>
    </row>
    <row r="22122" spans="32:32" x14ac:dyDescent="0.2">
      <c r="AF22122" s="12"/>
    </row>
    <row r="22123" spans="32:32" x14ac:dyDescent="0.2">
      <c r="AF22123" s="12"/>
    </row>
    <row r="22124" spans="32:32" x14ac:dyDescent="0.2">
      <c r="AF22124" s="12"/>
    </row>
    <row r="22125" spans="32:32" x14ac:dyDescent="0.2">
      <c r="AF22125" s="12"/>
    </row>
    <row r="22126" spans="32:32" x14ac:dyDescent="0.2">
      <c r="AF22126" s="12"/>
    </row>
    <row r="22127" spans="32:32" x14ac:dyDescent="0.2">
      <c r="AF22127" s="12"/>
    </row>
    <row r="22128" spans="32:32" x14ac:dyDescent="0.2">
      <c r="AF22128" s="12"/>
    </row>
    <row r="22129" spans="32:32" x14ac:dyDescent="0.2">
      <c r="AF22129" s="12"/>
    </row>
    <row r="22130" spans="32:32" x14ac:dyDescent="0.2">
      <c r="AF22130" s="12"/>
    </row>
    <row r="22131" spans="32:32" x14ac:dyDescent="0.2">
      <c r="AF22131" s="12"/>
    </row>
    <row r="22132" spans="32:32" x14ac:dyDescent="0.2">
      <c r="AF22132" s="12"/>
    </row>
    <row r="22133" spans="32:32" x14ac:dyDescent="0.2">
      <c r="AF22133" s="12"/>
    </row>
    <row r="22134" spans="32:32" x14ac:dyDescent="0.2">
      <c r="AF22134" s="12"/>
    </row>
    <row r="22135" spans="32:32" x14ac:dyDescent="0.2">
      <c r="AF22135" s="12"/>
    </row>
    <row r="22136" spans="32:32" x14ac:dyDescent="0.2">
      <c r="AF22136" s="12"/>
    </row>
    <row r="22137" spans="32:32" x14ac:dyDescent="0.2">
      <c r="AF22137" s="12"/>
    </row>
    <row r="22138" spans="32:32" x14ac:dyDescent="0.2">
      <c r="AF22138" s="12"/>
    </row>
    <row r="22139" spans="32:32" x14ac:dyDescent="0.2">
      <c r="AF22139" s="12"/>
    </row>
    <row r="22140" spans="32:32" x14ac:dyDescent="0.2">
      <c r="AF22140" s="12"/>
    </row>
    <row r="22141" spans="32:32" x14ac:dyDescent="0.2">
      <c r="AF22141" s="12"/>
    </row>
    <row r="22142" spans="32:32" x14ac:dyDescent="0.2">
      <c r="AF22142" s="12"/>
    </row>
    <row r="22143" spans="32:32" x14ac:dyDescent="0.2">
      <c r="AF22143" s="12"/>
    </row>
    <row r="22144" spans="32:32" x14ac:dyDescent="0.2">
      <c r="AF22144" s="12"/>
    </row>
    <row r="22145" spans="32:32" x14ac:dyDescent="0.2">
      <c r="AF22145" s="12"/>
    </row>
    <row r="22146" spans="32:32" x14ac:dyDescent="0.2">
      <c r="AF22146" s="12"/>
    </row>
    <row r="22147" spans="32:32" x14ac:dyDescent="0.2">
      <c r="AF22147" s="12"/>
    </row>
    <row r="22148" spans="32:32" x14ac:dyDescent="0.2">
      <c r="AF22148" s="12"/>
    </row>
    <row r="22149" spans="32:32" x14ac:dyDescent="0.2">
      <c r="AF22149" s="12"/>
    </row>
    <row r="22150" spans="32:32" x14ac:dyDescent="0.2">
      <c r="AF22150" s="12"/>
    </row>
    <row r="22151" spans="32:32" x14ac:dyDescent="0.2">
      <c r="AF22151" s="12"/>
    </row>
    <row r="22152" spans="32:32" x14ac:dyDescent="0.2">
      <c r="AF22152" s="12"/>
    </row>
    <row r="22153" spans="32:32" x14ac:dyDescent="0.2">
      <c r="AF22153" s="12"/>
    </row>
    <row r="22154" spans="32:32" x14ac:dyDescent="0.2">
      <c r="AF22154" s="12"/>
    </row>
    <row r="22155" spans="32:32" x14ac:dyDescent="0.2">
      <c r="AF22155" s="12"/>
    </row>
    <row r="22156" spans="32:32" x14ac:dyDescent="0.2">
      <c r="AF22156" s="12"/>
    </row>
    <row r="22157" spans="32:32" x14ac:dyDescent="0.2">
      <c r="AF22157" s="12"/>
    </row>
    <row r="22158" spans="32:32" x14ac:dyDescent="0.2">
      <c r="AF22158" s="12"/>
    </row>
    <row r="22159" spans="32:32" x14ac:dyDescent="0.2">
      <c r="AF22159" s="12"/>
    </row>
    <row r="22160" spans="32:32" x14ac:dyDescent="0.2">
      <c r="AF22160" s="12"/>
    </row>
    <row r="22161" spans="32:32" x14ac:dyDescent="0.2">
      <c r="AF22161" s="12"/>
    </row>
    <row r="22162" spans="32:32" x14ac:dyDescent="0.2">
      <c r="AF22162" s="12"/>
    </row>
    <row r="22163" spans="32:32" x14ac:dyDescent="0.2">
      <c r="AF22163" s="12"/>
    </row>
    <row r="22164" spans="32:32" x14ac:dyDescent="0.2">
      <c r="AF22164" s="12"/>
    </row>
    <row r="22165" spans="32:32" x14ac:dyDescent="0.2">
      <c r="AF22165" s="12"/>
    </row>
    <row r="22166" spans="32:32" x14ac:dyDescent="0.2">
      <c r="AF22166" s="12"/>
    </row>
    <row r="22167" spans="32:32" x14ac:dyDescent="0.2">
      <c r="AF22167" s="12"/>
    </row>
    <row r="22168" spans="32:32" x14ac:dyDescent="0.2">
      <c r="AF22168" s="12"/>
    </row>
    <row r="22169" spans="32:32" x14ac:dyDescent="0.2">
      <c r="AF22169" s="12"/>
    </row>
    <row r="22170" spans="32:32" x14ac:dyDescent="0.2">
      <c r="AF22170" s="12"/>
    </row>
    <row r="22171" spans="32:32" x14ac:dyDescent="0.2">
      <c r="AF22171" s="12"/>
    </row>
    <row r="22172" spans="32:32" x14ac:dyDescent="0.2">
      <c r="AF22172" s="12"/>
    </row>
    <row r="22173" spans="32:32" x14ac:dyDescent="0.2">
      <c r="AF22173" s="12"/>
    </row>
    <row r="22174" spans="32:32" x14ac:dyDescent="0.2">
      <c r="AF22174" s="12"/>
    </row>
    <row r="22175" spans="32:32" x14ac:dyDescent="0.2">
      <c r="AF22175" s="12"/>
    </row>
    <row r="22176" spans="32:32" x14ac:dyDescent="0.2">
      <c r="AF22176" s="12"/>
    </row>
    <row r="22177" spans="32:32" x14ac:dyDescent="0.2">
      <c r="AF22177" s="12"/>
    </row>
    <row r="22178" spans="32:32" x14ac:dyDescent="0.2">
      <c r="AF22178" s="12"/>
    </row>
    <row r="22179" spans="32:32" x14ac:dyDescent="0.2">
      <c r="AF22179" s="12"/>
    </row>
    <row r="22180" spans="32:32" x14ac:dyDescent="0.2">
      <c r="AF22180" s="12"/>
    </row>
    <row r="22181" spans="32:32" x14ac:dyDescent="0.2">
      <c r="AF22181" s="12"/>
    </row>
    <row r="22182" spans="32:32" x14ac:dyDescent="0.2">
      <c r="AF22182" s="12"/>
    </row>
    <row r="22183" spans="32:32" x14ac:dyDescent="0.2">
      <c r="AF22183" s="12"/>
    </row>
    <row r="22184" spans="32:32" x14ac:dyDescent="0.2">
      <c r="AF22184" s="12"/>
    </row>
    <row r="22185" spans="32:32" x14ac:dyDescent="0.2">
      <c r="AF22185" s="12"/>
    </row>
    <row r="22186" spans="32:32" x14ac:dyDescent="0.2">
      <c r="AF22186" s="12"/>
    </row>
    <row r="22187" spans="32:32" x14ac:dyDescent="0.2">
      <c r="AF22187" s="12"/>
    </row>
    <row r="22188" spans="32:32" x14ac:dyDescent="0.2">
      <c r="AF22188" s="12"/>
    </row>
    <row r="22189" spans="32:32" x14ac:dyDescent="0.2">
      <c r="AF22189" s="12"/>
    </row>
    <row r="22190" spans="32:32" x14ac:dyDescent="0.2">
      <c r="AF22190" s="12"/>
    </row>
    <row r="22191" spans="32:32" x14ac:dyDescent="0.2">
      <c r="AF22191" s="12"/>
    </row>
    <row r="22192" spans="32:32" x14ac:dyDescent="0.2">
      <c r="AF22192" s="12"/>
    </row>
    <row r="22193" spans="32:32" x14ac:dyDescent="0.2">
      <c r="AF22193" s="12"/>
    </row>
    <row r="22194" spans="32:32" x14ac:dyDescent="0.2">
      <c r="AF22194" s="12"/>
    </row>
    <row r="22195" spans="32:32" x14ac:dyDescent="0.2">
      <c r="AF22195" s="12"/>
    </row>
    <row r="22196" spans="32:32" x14ac:dyDescent="0.2">
      <c r="AF22196" s="12"/>
    </row>
    <row r="22197" spans="32:32" x14ac:dyDescent="0.2">
      <c r="AF22197" s="12"/>
    </row>
    <row r="22198" spans="32:32" x14ac:dyDescent="0.2">
      <c r="AF22198" s="12"/>
    </row>
    <row r="22199" spans="32:32" x14ac:dyDescent="0.2">
      <c r="AF22199" s="12"/>
    </row>
    <row r="22200" spans="32:32" x14ac:dyDescent="0.2">
      <c r="AF22200" s="12"/>
    </row>
    <row r="22201" spans="32:32" x14ac:dyDescent="0.2">
      <c r="AF22201" s="12"/>
    </row>
    <row r="22202" spans="32:32" x14ac:dyDescent="0.2">
      <c r="AF22202" s="12"/>
    </row>
    <row r="22203" spans="32:32" x14ac:dyDescent="0.2">
      <c r="AF22203" s="12"/>
    </row>
    <row r="22204" spans="32:32" x14ac:dyDescent="0.2">
      <c r="AF22204" s="12"/>
    </row>
    <row r="22205" spans="32:32" x14ac:dyDescent="0.2">
      <c r="AF22205" s="12"/>
    </row>
    <row r="22206" spans="32:32" x14ac:dyDescent="0.2">
      <c r="AF22206" s="12"/>
    </row>
    <row r="22207" spans="32:32" x14ac:dyDescent="0.2">
      <c r="AF22207" s="12"/>
    </row>
    <row r="22208" spans="32:32" x14ac:dyDescent="0.2">
      <c r="AF22208" s="12"/>
    </row>
    <row r="22209" spans="32:32" x14ac:dyDescent="0.2">
      <c r="AF22209" s="12"/>
    </row>
    <row r="22210" spans="32:32" x14ac:dyDescent="0.2">
      <c r="AF22210" s="12"/>
    </row>
    <row r="22211" spans="32:32" x14ac:dyDescent="0.2">
      <c r="AF22211" s="12"/>
    </row>
    <row r="22212" spans="32:32" x14ac:dyDescent="0.2">
      <c r="AF22212" s="12"/>
    </row>
    <row r="22213" spans="32:32" x14ac:dyDescent="0.2">
      <c r="AF22213" s="12"/>
    </row>
    <row r="22214" spans="32:32" x14ac:dyDescent="0.2">
      <c r="AF22214" s="12"/>
    </row>
    <row r="22215" spans="32:32" x14ac:dyDescent="0.2">
      <c r="AF22215" s="12"/>
    </row>
    <row r="22216" spans="32:32" x14ac:dyDescent="0.2">
      <c r="AF22216" s="12"/>
    </row>
    <row r="22217" spans="32:32" x14ac:dyDescent="0.2">
      <c r="AF22217" s="12"/>
    </row>
    <row r="22218" spans="32:32" x14ac:dyDescent="0.2">
      <c r="AF22218" s="12"/>
    </row>
    <row r="22219" spans="32:32" x14ac:dyDescent="0.2">
      <c r="AF22219" s="12"/>
    </row>
    <row r="22220" spans="32:32" x14ac:dyDescent="0.2">
      <c r="AF22220" s="12"/>
    </row>
    <row r="22221" spans="32:32" x14ac:dyDescent="0.2">
      <c r="AF22221" s="12"/>
    </row>
    <row r="22222" spans="32:32" x14ac:dyDescent="0.2">
      <c r="AF22222" s="12"/>
    </row>
    <row r="22223" spans="32:32" x14ac:dyDescent="0.2">
      <c r="AF22223" s="12"/>
    </row>
    <row r="22224" spans="32:32" x14ac:dyDescent="0.2">
      <c r="AF22224" s="12"/>
    </row>
    <row r="22225" spans="32:32" x14ac:dyDescent="0.2">
      <c r="AF22225" s="12"/>
    </row>
    <row r="22226" spans="32:32" x14ac:dyDescent="0.2">
      <c r="AF22226" s="12"/>
    </row>
    <row r="22227" spans="32:32" x14ac:dyDescent="0.2">
      <c r="AF22227" s="12"/>
    </row>
    <row r="22228" spans="32:32" x14ac:dyDescent="0.2">
      <c r="AF22228" s="12"/>
    </row>
    <row r="22229" spans="32:32" x14ac:dyDescent="0.2">
      <c r="AF22229" s="12"/>
    </row>
    <row r="22230" spans="32:32" x14ac:dyDescent="0.2">
      <c r="AF22230" s="12"/>
    </row>
    <row r="22231" spans="32:32" x14ac:dyDescent="0.2">
      <c r="AF22231" s="12"/>
    </row>
    <row r="22232" spans="32:32" x14ac:dyDescent="0.2">
      <c r="AF22232" s="12"/>
    </row>
    <row r="22233" spans="32:32" x14ac:dyDescent="0.2">
      <c r="AF22233" s="12"/>
    </row>
    <row r="22234" spans="32:32" x14ac:dyDescent="0.2">
      <c r="AF22234" s="12"/>
    </row>
    <row r="22235" spans="32:32" x14ac:dyDescent="0.2">
      <c r="AF22235" s="12"/>
    </row>
    <row r="22236" spans="32:32" x14ac:dyDescent="0.2">
      <c r="AF22236" s="12"/>
    </row>
    <row r="22237" spans="32:32" x14ac:dyDescent="0.2">
      <c r="AF22237" s="12"/>
    </row>
    <row r="22238" spans="32:32" x14ac:dyDescent="0.2">
      <c r="AF22238" s="12"/>
    </row>
    <row r="22239" spans="32:32" x14ac:dyDescent="0.2">
      <c r="AF22239" s="12"/>
    </row>
    <row r="22240" spans="32:32" x14ac:dyDescent="0.2">
      <c r="AF22240" s="12"/>
    </row>
    <row r="22241" spans="32:32" x14ac:dyDescent="0.2">
      <c r="AF22241" s="12"/>
    </row>
    <row r="22242" spans="32:32" x14ac:dyDescent="0.2">
      <c r="AF22242" s="12"/>
    </row>
    <row r="22243" spans="32:32" x14ac:dyDescent="0.2">
      <c r="AF22243" s="12"/>
    </row>
    <row r="22244" spans="32:32" x14ac:dyDescent="0.2">
      <c r="AF22244" s="12"/>
    </row>
    <row r="22245" spans="32:32" x14ac:dyDescent="0.2">
      <c r="AF22245" s="12"/>
    </row>
    <row r="22246" spans="32:32" x14ac:dyDescent="0.2">
      <c r="AF22246" s="12"/>
    </row>
    <row r="22247" spans="32:32" x14ac:dyDescent="0.2">
      <c r="AF22247" s="12"/>
    </row>
    <row r="22248" spans="32:32" x14ac:dyDescent="0.2">
      <c r="AF22248" s="12"/>
    </row>
    <row r="22249" spans="32:32" x14ac:dyDescent="0.2">
      <c r="AF22249" s="12"/>
    </row>
    <row r="22250" spans="32:32" x14ac:dyDescent="0.2">
      <c r="AF22250" s="12"/>
    </row>
    <row r="22251" spans="32:32" x14ac:dyDescent="0.2">
      <c r="AF22251" s="12"/>
    </row>
    <row r="22252" spans="32:32" x14ac:dyDescent="0.2">
      <c r="AF22252" s="12"/>
    </row>
    <row r="22253" spans="32:32" x14ac:dyDescent="0.2">
      <c r="AF22253" s="12"/>
    </row>
    <row r="22254" spans="32:32" x14ac:dyDescent="0.2">
      <c r="AF22254" s="12"/>
    </row>
    <row r="22255" spans="32:32" x14ac:dyDescent="0.2">
      <c r="AF22255" s="12"/>
    </row>
    <row r="22256" spans="32:32" x14ac:dyDescent="0.2">
      <c r="AF22256" s="12"/>
    </row>
    <row r="22257" spans="32:32" x14ac:dyDescent="0.2">
      <c r="AF22257" s="12"/>
    </row>
    <row r="22258" spans="32:32" x14ac:dyDescent="0.2">
      <c r="AF22258" s="12"/>
    </row>
    <row r="22259" spans="32:32" x14ac:dyDescent="0.2">
      <c r="AF22259" s="12"/>
    </row>
    <row r="22260" spans="32:32" x14ac:dyDescent="0.2">
      <c r="AF22260" s="12"/>
    </row>
    <row r="22261" spans="32:32" x14ac:dyDescent="0.2">
      <c r="AF22261" s="12"/>
    </row>
    <row r="22262" spans="32:32" x14ac:dyDescent="0.2">
      <c r="AF22262" s="12"/>
    </row>
    <row r="22263" spans="32:32" x14ac:dyDescent="0.2">
      <c r="AF22263" s="12"/>
    </row>
    <row r="22264" spans="32:32" x14ac:dyDescent="0.2">
      <c r="AF22264" s="12"/>
    </row>
    <row r="22265" spans="32:32" x14ac:dyDescent="0.2">
      <c r="AF22265" s="12"/>
    </row>
    <row r="22266" spans="32:32" x14ac:dyDescent="0.2">
      <c r="AF22266" s="12"/>
    </row>
    <row r="22267" spans="32:32" x14ac:dyDescent="0.2">
      <c r="AF22267" s="12"/>
    </row>
    <row r="22268" spans="32:32" x14ac:dyDescent="0.2">
      <c r="AF22268" s="12"/>
    </row>
    <row r="22269" spans="32:32" x14ac:dyDescent="0.2">
      <c r="AF22269" s="12"/>
    </row>
    <row r="22270" spans="32:32" x14ac:dyDescent="0.2">
      <c r="AF22270" s="12"/>
    </row>
    <row r="22271" spans="32:32" x14ac:dyDescent="0.2">
      <c r="AF22271" s="12"/>
    </row>
    <row r="22272" spans="32:32" x14ac:dyDescent="0.2">
      <c r="AF22272" s="12"/>
    </row>
    <row r="22273" spans="32:32" x14ac:dyDescent="0.2">
      <c r="AF22273" s="12"/>
    </row>
    <row r="22274" spans="32:32" x14ac:dyDescent="0.2">
      <c r="AF22274" s="12"/>
    </row>
    <row r="22275" spans="32:32" x14ac:dyDescent="0.2">
      <c r="AF22275" s="12"/>
    </row>
    <row r="22276" spans="32:32" x14ac:dyDescent="0.2">
      <c r="AF22276" s="12"/>
    </row>
    <row r="22277" spans="32:32" x14ac:dyDescent="0.2">
      <c r="AF22277" s="12"/>
    </row>
    <row r="22278" spans="32:32" x14ac:dyDescent="0.2">
      <c r="AF22278" s="12"/>
    </row>
    <row r="22279" spans="32:32" x14ac:dyDescent="0.2">
      <c r="AF22279" s="12"/>
    </row>
    <row r="22280" spans="32:32" x14ac:dyDescent="0.2">
      <c r="AF22280" s="12"/>
    </row>
    <row r="22281" spans="32:32" x14ac:dyDescent="0.2">
      <c r="AF22281" s="12"/>
    </row>
    <row r="22282" spans="32:32" x14ac:dyDescent="0.2">
      <c r="AF22282" s="12"/>
    </row>
    <row r="22283" spans="32:32" x14ac:dyDescent="0.2">
      <c r="AF22283" s="12"/>
    </row>
    <row r="22284" spans="32:32" x14ac:dyDescent="0.2">
      <c r="AF22284" s="12"/>
    </row>
    <row r="22285" spans="32:32" x14ac:dyDescent="0.2">
      <c r="AF22285" s="12"/>
    </row>
    <row r="22286" spans="32:32" x14ac:dyDescent="0.2">
      <c r="AF22286" s="12"/>
    </row>
    <row r="22287" spans="32:32" x14ac:dyDescent="0.2">
      <c r="AF22287" s="12"/>
    </row>
    <row r="22288" spans="32:32" x14ac:dyDescent="0.2">
      <c r="AF22288" s="12"/>
    </row>
    <row r="22289" spans="32:32" x14ac:dyDescent="0.2">
      <c r="AF22289" s="12"/>
    </row>
    <row r="22290" spans="32:32" x14ac:dyDescent="0.2">
      <c r="AF22290" s="12"/>
    </row>
    <row r="22291" spans="32:32" x14ac:dyDescent="0.2">
      <c r="AF22291" s="12"/>
    </row>
    <row r="22292" spans="32:32" x14ac:dyDescent="0.2">
      <c r="AF22292" s="12"/>
    </row>
    <row r="22293" spans="32:32" x14ac:dyDescent="0.2">
      <c r="AF22293" s="12"/>
    </row>
    <row r="22294" spans="32:32" x14ac:dyDescent="0.2">
      <c r="AF22294" s="12"/>
    </row>
    <row r="22295" spans="32:32" x14ac:dyDescent="0.2">
      <c r="AF22295" s="12"/>
    </row>
    <row r="22296" spans="32:32" x14ac:dyDescent="0.2">
      <c r="AF22296" s="12"/>
    </row>
    <row r="22297" spans="32:32" x14ac:dyDescent="0.2">
      <c r="AF22297" s="12"/>
    </row>
    <row r="22298" spans="32:32" x14ac:dyDescent="0.2">
      <c r="AF22298" s="12"/>
    </row>
    <row r="22299" spans="32:32" x14ac:dyDescent="0.2">
      <c r="AF22299" s="12"/>
    </row>
    <row r="22300" spans="32:32" x14ac:dyDescent="0.2">
      <c r="AF22300" s="12"/>
    </row>
    <row r="22301" spans="32:32" x14ac:dyDescent="0.2">
      <c r="AF22301" s="12"/>
    </row>
    <row r="22302" spans="32:32" x14ac:dyDescent="0.2">
      <c r="AF22302" s="12"/>
    </row>
    <row r="22303" spans="32:32" x14ac:dyDescent="0.2">
      <c r="AF22303" s="12"/>
    </row>
    <row r="22304" spans="32:32" x14ac:dyDescent="0.2">
      <c r="AF22304" s="12"/>
    </row>
    <row r="22305" spans="32:32" x14ac:dyDescent="0.2">
      <c r="AF22305" s="12"/>
    </row>
    <row r="22306" spans="32:32" x14ac:dyDescent="0.2">
      <c r="AF22306" s="12"/>
    </row>
    <row r="22307" spans="32:32" x14ac:dyDescent="0.2">
      <c r="AF22307" s="12"/>
    </row>
    <row r="22308" spans="32:32" x14ac:dyDescent="0.2">
      <c r="AF22308" s="12"/>
    </row>
    <row r="22309" spans="32:32" x14ac:dyDescent="0.2">
      <c r="AF22309" s="12"/>
    </row>
    <row r="22310" spans="32:32" x14ac:dyDescent="0.2">
      <c r="AF22310" s="12"/>
    </row>
    <row r="22311" spans="32:32" x14ac:dyDescent="0.2">
      <c r="AF22311" s="12"/>
    </row>
    <row r="22312" spans="32:32" x14ac:dyDescent="0.2">
      <c r="AF22312" s="12"/>
    </row>
    <row r="22313" spans="32:32" x14ac:dyDescent="0.2">
      <c r="AF22313" s="12"/>
    </row>
    <row r="22314" spans="32:32" x14ac:dyDescent="0.2">
      <c r="AF22314" s="12"/>
    </row>
    <row r="22315" spans="32:32" x14ac:dyDescent="0.2">
      <c r="AF22315" s="12"/>
    </row>
    <row r="22316" spans="32:32" x14ac:dyDescent="0.2">
      <c r="AF22316" s="12"/>
    </row>
    <row r="22317" spans="32:32" x14ac:dyDescent="0.2">
      <c r="AF22317" s="12"/>
    </row>
    <row r="22318" spans="32:32" x14ac:dyDescent="0.2">
      <c r="AF22318" s="12"/>
    </row>
    <row r="22319" spans="32:32" x14ac:dyDescent="0.2">
      <c r="AF22319" s="12"/>
    </row>
    <row r="22320" spans="32:32" x14ac:dyDescent="0.2">
      <c r="AF22320" s="12"/>
    </row>
    <row r="22321" spans="32:32" x14ac:dyDescent="0.2">
      <c r="AF22321" s="12"/>
    </row>
    <row r="22322" spans="32:32" x14ac:dyDescent="0.2">
      <c r="AF22322" s="12"/>
    </row>
    <row r="22323" spans="32:32" x14ac:dyDescent="0.2">
      <c r="AF22323" s="12"/>
    </row>
    <row r="22324" spans="32:32" x14ac:dyDescent="0.2">
      <c r="AF22324" s="12"/>
    </row>
    <row r="22325" spans="32:32" x14ac:dyDescent="0.2">
      <c r="AF22325" s="12"/>
    </row>
    <row r="22326" spans="32:32" x14ac:dyDescent="0.2">
      <c r="AF22326" s="12"/>
    </row>
    <row r="22327" spans="32:32" x14ac:dyDescent="0.2">
      <c r="AF22327" s="12"/>
    </row>
    <row r="22328" spans="32:32" x14ac:dyDescent="0.2">
      <c r="AF22328" s="12"/>
    </row>
    <row r="22329" spans="32:32" x14ac:dyDescent="0.2">
      <c r="AF22329" s="12"/>
    </row>
    <row r="22330" spans="32:32" x14ac:dyDescent="0.2">
      <c r="AF22330" s="12"/>
    </row>
    <row r="22331" spans="32:32" x14ac:dyDescent="0.2">
      <c r="AF22331" s="12"/>
    </row>
    <row r="22332" spans="32:32" x14ac:dyDescent="0.2">
      <c r="AF22332" s="12"/>
    </row>
    <row r="22333" spans="32:32" x14ac:dyDescent="0.2">
      <c r="AF22333" s="12"/>
    </row>
    <row r="22334" spans="32:32" x14ac:dyDescent="0.2">
      <c r="AF22334" s="12"/>
    </row>
    <row r="22335" spans="32:32" x14ac:dyDescent="0.2">
      <c r="AF22335" s="12"/>
    </row>
    <row r="22336" spans="32:32" x14ac:dyDescent="0.2">
      <c r="AF22336" s="12"/>
    </row>
    <row r="22337" spans="32:32" x14ac:dyDescent="0.2">
      <c r="AF22337" s="12"/>
    </row>
    <row r="22338" spans="32:32" x14ac:dyDescent="0.2">
      <c r="AF22338" s="12"/>
    </row>
    <row r="22339" spans="32:32" x14ac:dyDescent="0.2">
      <c r="AF22339" s="12"/>
    </row>
    <row r="22340" spans="32:32" x14ac:dyDescent="0.2">
      <c r="AF22340" s="12"/>
    </row>
    <row r="22341" spans="32:32" x14ac:dyDescent="0.2">
      <c r="AF22341" s="12"/>
    </row>
    <row r="22342" spans="32:32" x14ac:dyDescent="0.2">
      <c r="AF22342" s="12"/>
    </row>
    <row r="22343" spans="32:32" x14ac:dyDescent="0.2">
      <c r="AF22343" s="12"/>
    </row>
    <row r="22344" spans="32:32" x14ac:dyDescent="0.2">
      <c r="AF22344" s="12"/>
    </row>
    <row r="22345" spans="32:32" x14ac:dyDescent="0.2">
      <c r="AF22345" s="12"/>
    </row>
    <row r="22346" spans="32:32" x14ac:dyDescent="0.2">
      <c r="AF22346" s="12"/>
    </row>
    <row r="22347" spans="32:32" x14ac:dyDescent="0.2">
      <c r="AF22347" s="12"/>
    </row>
    <row r="22348" spans="32:32" x14ac:dyDescent="0.2">
      <c r="AF22348" s="12"/>
    </row>
    <row r="22349" spans="32:32" x14ac:dyDescent="0.2">
      <c r="AF22349" s="12"/>
    </row>
    <row r="22350" spans="32:32" x14ac:dyDescent="0.2">
      <c r="AF22350" s="12"/>
    </row>
    <row r="22351" spans="32:32" x14ac:dyDescent="0.2">
      <c r="AF22351" s="12"/>
    </row>
    <row r="22352" spans="32:32" x14ac:dyDescent="0.2">
      <c r="AF22352" s="12"/>
    </row>
    <row r="22353" spans="32:32" x14ac:dyDescent="0.2">
      <c r="AF22353" s="12"/>
    </row>
    <row r="22354" spans="32:32" x14ac:dyDescent="0.2">
      <c r="AF22354" s="12"/>
    </row>
    <row r="22355" spans="32:32" x14ac:dyDescent="0.2">
      <c r="AF22355" s="12"/>
    </row>
    <row r="22356" spans="32:32" x14ac:dyDescent="0.2">
      <c r="AF22356" s="12"/>
    </row>
    <row r="22357" spans="32:32" x14ac:dyDescent="0.2">
      <c r="AF22357" s="12"/>
    </row>
    <row r="22358" spans="32:32" x14ac:dyDescent="0.2">
      <c r="AF22358" s="12"/>
    </row>
    <row r="22359" spans="32:32" x14ac:dyDescent="0.2">
      <c r="AF22359" s="12"/>
    </row>
    <row r="22360" spans="32:32" x14ac:dyDescent="0.2">
      <c r="AF22360" s="12"/>
    </row>
    <row r="22361" spans="32:32" x14ac:dyDescent="0.2">
      <c r="AF22361" s="12"/>
    </row>
    <row r="22362" spans="32:32" x14ac:dyDescent="0.2">
      <c r="AF22362" s="12"/>
    </row>
    <row r="22363" spans="32:32" x14ac:dyDescent="0.2">
      <c r="AF22363" s="12"/>
    </row>
    <row r="22364" spans="32:32" x14ac:dyDescent="0.2">
      <c r="AF22364" s="12"/>
    </row>
    <row r="22365" spans="32:32" x14ac:dyDescent="0.2">
      <c r="AF22365" s="12"/>
    </row>
    <row r="22366" spans="32:32" x14ac:dyDescent="0.2">
      <c r="AF22366" s="12"/>
    </row>
    <row r="22367" spans="32:32" x14ac:dyDescent="0.2">
      <c r="AF22367" s="12"/>
    </row>
    <row r="22368" spans="32:32" x14ac:dyDescent="0.2">
      <c r="AF22368" s="12"/>
    </row>
    <row r="22369" spans="32:32" x14ac:dyDescent="0.2">
      <c r="AF22369" s="12"/>
    </row>
    <row r="22370" spans="32:32" x14ac:dyDescent="0.2">
      <c r="AF22370" s="12"/>
    </row>
    <row r="22371" spans="32:32" x14ac:dyDescent="0.2">
      <c r="AF22371" s="12"/>
    </row>
    <row r="22372" spans="32:32" x14ac:dyDescent="0.2">
      <c r="AF22372" s="12"/>
    </row>
    <row r="22373" spans="32:32" x14ac:dyDescent="0.2">
      <c r="AF22373" s="12"/>
    </row>
    <row r="22374" spans="32:32" x14ac:dyDescent="0.2">
      <c r="AF22374" s="12"/>
    </row>
    <row r="22375" spans="32:32" x14ac:dyDescent="0.2">
      <c r="AF22375" s="12"/>
    </row>
    <row r="22376" spans="32:32" x14ac:dyDescent="0.2">
      <c r="AF22376" s="12"/>
    </row>
    <row r="22377" spans="32:32" x14ac:dyDescent="0.2">
      <c r="AF22377" s="12"/>
    </row>
    <row r="22378" spans="32:32" x14ac:dyDescent="0.2">
      <c r="AF22378" s="12"/>
    </row>
    <row r="22379" spans="32:32" x14ac:dyDescent="0.2">
      <c r="AF22379" s="12"/>
    </row>
    <row r="22380" spans="32:32" x14ac:dyDescent="0.2">
      <c r="AF22380" s="12"/>
    </row>
    <row r="22381" spans="32:32" x14ac:dyDescent="0.2">
      <c r="AF22381" s="12"/>
    </row>
    <row r="22382" spans="32:32" x14ac:dyDescent="0.2">
      <c r="AF22382" s="12"/>
    </row>
    <row r="22383" spans="32:32" x14ac:dyDescent="0.2">
      <c r="AF22383" s="12"/>
    </row>
    <row r="22384" spans="32:32" x14ac:dyDescent="0.2">
      <c r="AF22384" s="12"/>
    </row>
    <row r="22385" spans="32:32" x14ac:dyDescent="0.2">
      <c r="AF22385" s="12"/>
    </row>
    <row r="22386" spans="32:32" x14ac:dyDescent="0.2">
      <c r="AF22386" s="12"/>
    </row>
    <row r="22387" spans="32:32" x14ac:dyDescent="0.2">
      <c r="AF22387" s="12"/>
    </row>
    <row r="22388" spans="32:32" x14ac:dyDescent="0.2">
      <c r="AF22388" s="12"/>
    </row>
    <row r="22389" spans="32:32" x14ac:dyDescent="0.2">
      <c r="AF22389" s="12"/>
    </row>
    <row r="22390" spans="32:32" x14ac:dyDescent="0.2">
      <c r="AF22390" s="12"/>
    </row>
    <row r="22391" spans="32:32" x14ac:dyDescent="0.2">
      <c r="AF22391" s="12"/>
    </row>
    <row r="22392" spans="32:32" x14ac:dyDescent="0.2">
      <c r="AF22392" s="12"/>
    </row>
    <row r="22393" spans="32:32" x14ac:dyDescent="0.2">
      <c r="AF22393" s="12"/>
    </row>
    <row r="22394" spans="32:32" x14ac:dyDescent="0.2">
      <c r="AF22394" s="12"/>
    </row>
    <row r="22395" spans="32:32" x14ac:dyDescent="0.2">
      <c r="AF22395" s="12"/>
    </row>
    <row r="22396" spans="32:32" x14ac:dyDescent="0.2">
      <c r="AF22396" s="12"/>
    </row>
    <row r="22397" spans="32:32" x14ac:dyDescent="0.2">
      <c r="AF22397" s="12"/>
    </row>
    <row r="22398" spans="32:32" x14ac:dyDescent="0.2">
      <c r="AF22398" s="12"/>
    </row>
    <row r="22399" spans="32:32" x14ac:dyDescent="0.2">
      <c r="AF22399" s="12"/>
    </row>
    <row r="22400" spans="32:32" x14ac:dyDescent="0.2">
      <c r="AF22400" s="12"/>
    </row>
    <row r="22401" spans="32:32" x14ac:dyDescent="0.2">
      <c r="AF22401" s="12"/>
    </row>
    <row r="22402" spans="32:32" x14ac:dyDescent="0.2">
      <c r="AF22402" s="12"/>
    </row>
    <row r="22403" spans="32:32" x14ac:dyDescent="0.2">
      <c r="AF22403" s="12"/>
    </row>
    <row r="22404" spans="32:32" x14ac:dyDescent="0.2">
      <c r="AF22404" s="12"/>
    </row>
    <row r="22405" spans="32:32" x14ac:dyDescent="0.2">
      <c r="AF22405" s="12"/>
    </row>
    <row r="22406" spans="32:32" x14ac:dyDescent="0.2">
      <c r="AF22406" s="12"/>
    </row>
    <row r="22407" spans="32:32" x14ac:dyDescent="0.2">
      <c r="AF22407" s="12"/>
    </row>
    <row r="22408" spans="32:32" x14ac:dyDescent="0.2">
      <c r="AF22408" s="12"/>
    </row>
    <row r="22409" spans="32:32" x14ac:dyDescent="0.2">
      <c r="AF22409" s="12"/>
    </row>
    <row r="22410" spans="32:32" x14ac:dyDescent="0.2">
      <c r="AF22410" s="12"/>
    </row>
    <row r="22411" spans="32:32" x14ac:dyDescent="0.2">
      <c r="AF22411" s="12"/>
    </row>
    <row r="22412" spans="32:32" x14ac:dyDescent="0.2">
      <c r="AF22412" s="12"/>
    </row>
    <row r="22413" spans="32:32" x14ac:dyDescent="0.2">
      <c r="AF22413" s="12"/>
    </row>
    <row r="22414" spans="32:32" x14ac:dyDescent="0.2">
      <c r="AF22414" s="12"/>
    </row>
    <row r="22415" spans="32:32" x14ac:dyDescent="0.2">
      <c r="AF22415" s="12"/>
    </row>
    <row r="22416" spans="32:32" x14ac:dyDescent="0.2">
      <c r="AF22416" s="12"/>
    </row>
    <row r="22417" spans="32:32" x14ac:dyDescent="0.2">
      <c r="AF22417" s="12"/>
    </row>
    <row r="22418" spans="32:32" x14ac:dyDescent="0.2">
      <c r="AF22418" s="12"/>
    </row>
    <row r="22419" spans="32:32" x14ac:dyDescent="0.2">
      <c r="AF22419" s="12"/>
    </row>
    <row r="22420" spans="32:32" x14ac:dyDescent="0.2">
      <c r="AF22420" s="12"/>
    </row>
    <row r="22421" spans="32:32" x14ac:dyDescent="0.2">
      <c r="AF22421" s="12"/>
    </row>
    <row r="22422" spans="32:32" x14ac:dyDescent="0.2">
      <c r="AF22422" s="12"/>
    </row>
    <row r="22423" spans="32:32" x14ac:dyDescent="0.2">
      <c r="AF22423" s="12"/>
    </row>
    <row r="22424" spans="32:32" x14ac:dyDescent="0.2">
      <c r="AF22424" s="12"/>
    </row>
    <row r="22425" spans="32:32" x14ac:dyDescent="0.2">
      <c r="AF22425" s="12"/>
    </row>
    <row r="22426" spans="32:32" x14ac:dyDescent="0.2">
      <c r="AF22426" s="12"/>
    </row>
    <row r="22427" spans="32:32" x14ac:dyDescent="0.2">
      <c r="AF22427" s="12"/>
    </row>
    <row r="22428" spans="32:32" x14ac:dyDescent="0.2">
      <c r="AF22428" s="12"/>
    </row>
    <row r="22429" spans="32:32" x14ac:dyDescent="0.2">
      <c r="AF22429" s="12"/>
    </row>
    <row r="22430" spans="32:32" x14ac:dyDescent="0.2">
      <c r="AF22430" s="12"/>
    </row>
    <row r="22431" spans="32:32" x14ac:dyDescent="0.2">
      <c r="AF22431" s="12"/>
    </row>
    <row r="22432" spans="32:32" x14ac:dyDescent="0.2">
      <c r="AF22432" s="12"/>
    </row>
    <row r="22433" spans="32:32" x14ac:dyDescent="0.2">
      <c r="AF22433" s="12"/>
    </row>
    <row r="22434" spans="32:32" x14ac:dyDescent="0.2">
      <c r="AF22434" s="12"/>
    </row>
    <row r="22435" spans="32:32" x14ac:dyDescent="0.2">
      <c r="AF22435" s="12"/>
    </row>
    <row r="22436" spans="32:32" x14ac:dyDescent="0.2">
      <c r="AF22436" s="12"/>
    </row>
    <row r="22437" spans="32:32" x14ac:dyDescent="0.2">
      <c r="AF22437" s="12"/>
    </row>
    <row r="22438" spans="32:32" x14ac:dyDescent="0.2">
      <c r="AF22438" s="12"/>
    </row>
    <row r="22439" spans="32:32" x14ac:dyDescent="0.2">
      <c r="AF22439" s="12"/>
    </row>
    <row r="22440" spans="32:32" x14ac:dyDescent="0.2">
      <c r="AF22440" s="12"/>
    </row>
    <row r="22441" spans="32:32" x14ac:dyDescent="0.2">
      <c r="AF22441" s="12"/>
    </row>
    <row r="22442" spans="32:32" x14ac:dyDescent="0.2">
      <c r="AF22442" s="12"/>
    </row>
    <row r="22443" spans="32:32" x14ac:dyDescent="0.2">
      <c r="AF22443" s="12"/>
    </row>
    <row r="22444" spans="32:32" x14ac:dyDescent="0.2">
      <c r="AF22444" s="12"/>
    </row>
    <row r="22445" spans="32:32" x14ac:dyDescent="0.2">
      <c r="AF22445" s="12"/>
    </row>
    <row r="22446" spans="32:32" x14ac:dyDescent="0.2">
      <c r="AF22446" s="12"/>
    </row>
    <row r="22447" spans="32:32" x14ac:dyDescent="0.2">
      <c r="AF22447" s="12"/>
    </row>
    <row r="22448" spans="32:32" x14ac:dyDescent="0.2">
      <c r="AF22448" s="12"/>
    </row>
    <row r="22449" spans="32:32" x14ac:dyDescent="0.2">
      <c r="AF22449" s="12"/>
    </row>
    <row r="22450" spans="32:32" x14ac:dyDescent="0.2">
      <c r="AF22450" s="12"/>
    </row>
    <row r="22451" spans="32:32" x14ac:dyDescent="0.2">
      <c r="AF22451" s="12"/>
    </row>
    <row r="22452" spans="32:32" x14ac:dyDescent="0.2">
      <c r="AF22452" s="12"/>
    </row>
    <row r="22453" spans="32:32" x14ac:dyDescent="0.2">
      <c r="AF22453" s="12"/>
    </row>
    <row r="22454" spans="32:32" x14ac:dyDescent="0.2">
      <c r="AF22454" s="12"/>
    </row>
    <row r="22455" spans="32:32" x14ac:dyDescent="0.2">
      <c r="AF22455" s="12"/>
    </row>
    <row r="22456" spans="32:32" x14ac:dyDescent="0.2">
      <c r="AF22456" s="12"/>
    </row>
    <row r="22457" spans="32:32" x14ac:dyDescent="0.2">
      <c r="AF22457" s="12"/>
    </row>
    <row r="22458" spans="32:32" x14ac:dyDescent="0.2">
      <c r="AF22458" s="12"/>
    </row>
    <row r="22459" spans="32:32" x14ac:dyDescent="0.2">
      <c r="AF22459" s="12"/>
    </row>
    <row r="22460" spans="32:32" x14ac:dyDescent="0.2">
      <c r="AF22460" s="12"/>
    </row>
    <row r="22461" spans="32:32" x14ac:dyDescent="0.2">
      <c r="AF22461" s="12"/>
    </row>
    <row r="22462" spans="32:32" x14ac:dyDescent="0.2">
      <c r="AF22462" s="12"/>
    </row>
    <row r="22463" spans="32:32" x14ac:dyDescent="0.2">
      <c r="AF22463" s="12"/>
    </row>
    <row r="22464" spans="32:32" x14ac:dyDescent="0.2">
      <c r="AF22464" s="12"/>
    </row>
    <row r="22465" spans="32:32" x14ac:dyDescent="0.2">
      <c r="AF22465" s="12"/>
    </row>
    <row r="22466" spans="32:32" x14ac:dyDescent="0.2">
      <c r="AF22466" s="12"/>
    </row>
    <row r="22467" spans="32:32" x14ac:dyDescent="0.2">
      <c r="AF22467" s="12"/>
    </row>
    <row r="22468" spans="32:32" x14ac:dyDescent="0.2">
      <c r="AF22468" s="12"/>
    </row>
    <row r="22469" spans="32:32" x14ac:dyDescent="0.2">
      <c r="AF22469" s="12"/>
    </row>
    <row r="22470" spans="32:32" x14ac:dyDescent="0.2">
      <c r="AF22470" s="12"/>
    </row>
    <row r="22471" spans="32:32" x14ac:dyDescent="0.2">
      <c r="AF22471" s="12"/>
    </row>
    <row r="22472" spans="32:32" x14ac:dyDescent="0.2">
      <c r="AF22472" s="12"/>
    </row>
    <row r="22473" spans="32:32" x14ac:dyDescent="0.2">
      <c r="AF22473" s="12"/>
    </row>
    <row r="22474" spans="32:32" x14ac:dyDescent="0.2">
      <c r="AF22474" s="12"/>
    </row>
    <row r="22475" spans="32:32" x14ac:dyDescent="0.2">
      <c r="AF22475" s="12"/>
    </row>
    <row r="22476" spans="32:32" x14ac:dyDescent="0.2">
      <c r="AF22476" s="12"/>
    </row>
    <row r="22477" spans="32:32" x14ac:dyDescent="0.2">
      <c r="AF22477" s="12"/>
    </row>
    <row r="22478" spans="32:32" x14ac:dyDescent="0.2">
      <c r="AF22478" s="12"/>
    </row>
    <row r="22479" spans="32:32" x14ac:dyDescent="0.2">
      <c r="AF22479" s="12"/>
    </row>
    <row r="22480" spans="32:32" x14ac:dyDescent="0.2">
      <c r="AF22480" s="12"/>
    </row>
    <row r="22481" spans="32:32" x14ac:dyDescent="0.2">
      <c r="AF22481" s="12"/>
    </row>
    <row r="22482" spans="32:32" x14ac:dyDescent="0.2">
      <c r="AF22482" s="12"/>
    </row>
    <row r="22483" spans="32:32" x14ac:dyDescent="0.2">
      <c r="AF22483" s="12"/>
    </row>
    <row r="22484" spans="32:32" x14ac:dyDescent="0.2">
      <c r="AF22484" s="12"/>
    </row>
    <row r="22485" spans="32:32" x14ac:dyDescent="0.2">
      <c r="AF22485" s="12"/>
    </row>
    <row r="22486" spans="32:32" x14ac:dyDescent="0.2">
      <c r="AF22486" s="12"/>
    </row>
    <row r="22487" spans="32:32" x14ac:dyDescent="0.2">
      <c r="AF22487" s="12"/>
    </row>
    <row r="22488" spans="32:32" x14ac:dyDescent="0.2">
      <c r="AF22488" s="12"/>
    </row>
    <row r="22489" spans="32:32" x14ac:dyDescent="0.2">
      <c r="AF22489" s="12"/>
    </row>
    <row r="22490" spans="32:32" x14ac:dyDescent="0.2">
      <c r="AF22490" s="12"/>
    </row>
    <row r="22491" spans="32:32" x14ac:dyDescent="0.2">
      <c r="AF22491" s="12"/>
    </row>
    <row r="22492" spans="32:32" x14ac:dyDescent="0.2">
      <c r="AF22492" s="12"/>
    </row>
    <row r="22493" spans="32:32" x14ac:dyDescent="0.2">
      <c r="AF22493" s="12"/>
    </row>
    <row r="22494" spans="32:32" x14ac:dyDescent="0.2">
      <c r="AF22494" s="12"/>
    </row>
    <row r="22495" spans="32:32" x14ac:dyDescent="0.2">
      <c r="AF22495" s="12"/>
    </row>
    <row r="22496" spans="32:32" x14ac:dyDescent="0.2">
      <c r="AF22496" s="12"/>
    </row>
    <row r="22497" spans="32:32" x14ac:dyDescent="0.2">
      <c r="AF22497" s="12"/>
    </row>
    <row r="22498" spans="32:32" x14ac:dyDescent="0.2">
      <c r="AF22498" s="12"/>
    </row>
    <row r="22499" spans="32:32" x14ac:dyDescent="0.2">
      <c r="AF22499" s="12"/>
    </row>
    <row r="22500" spans="32:32" x14ac:dyDescent="0.2">
      <c r="AF22500" s="12"/>
    </row>
    <row r="22501" spans="32:32" x14ac:dyDescent="0.2">
      <c r="AF22501" s="12"/>
    </row>
    <row r="22502" spans="32:32" x14ac:dyDescent="0.2">
      <c r="AF22502" s="12"/>
    </row>
    <row r="22503" spans="32:32" x14ac:dyDescent="0.2">
      <c r="AF22503" s="12"/>
    </row>
    <row r="22504" spans="32:32" x14ac:dyDescent="0.2">
      <c r="AF22504" s="12"/>
    </row>
    <row r="22505" spans="32:32" x14ac:dyDescent="0.2">
      <c r="AF22505" s="12"/>
    </row>
    <row r="22506" spans="32:32" x14ac:dyDescent="0.2">
      <c r="AF22506" s="12"/>
    </row>
    <row r="22507" spans="32:32" x14ac:dyDescent="0.2">
      <c r="AF22507" s="12"/>
    </row>
    <row r="22508" spans="32:32" x14ac:dyDescent="0.2">
      <c r="AF22508" s="12"/>
    </row>
    <row r="22509" spans="32:32" x14ac:dyDescent="0.2">
      <c r="AF22509" s="12"/>
    </row>
    <row r="22510" spans="32:32" x14ac:dyDescent="0.2">
      <c r="AF22510" s="12"/>
    </row>
    <row r="22511" spans="32:32" x14ac:dyDescent="0.2">
      <c r="AF22511" s="12"/>
    </row>
    <row r="22512" spans="32:32" x14ac:dyDescent="0.2">
      <c r="AF22512" s="12"/>
    </row>
    <row r="22513" spans="32:32" x14ac:dyDescent="0.2">
      <c r="AF22513" s="12"/>
    </row>
    <row r="22514" spans="32:32" x14ac:dyDescent="0.2">
      <c r="AF22514" s="12"/>
    </row>
    <row r="22515" spans="32:32" x14ac:dyDescent="0.2">
      <c r="AF22515" s="12"/>
    </row>
    <row r="22516" spans="32:32" x14ac:dyDescent="0.2">
      <c r="AF22516" s="12"/>
    </row>
    <row r="22517" spans="32:32" x14ac:dyDescent="0.2">
      <c r="AF22517" s="12"/>
    </row>
    <row r="22518" spans="32:32" x14ac:dyDescent="0.2">
      <c r="AF22518" s="12"/>
    </row>
    <row r="22519" spans="32:32" x14ac:dyDescent="0.2">
      <c r="AF22519" s="12"/>
    </row>
    <row r="22520" spans="32:32" x14ac:dyDescent="0.2">
      <c r="AF22520" s="12"/>
    </row>
    <row r="22521" spans="32:32" x14ac:dyDescent="0.2">
      <c r="AF22521" s="12"/>
    </row>
    <row r="22522" spans="32:32" x14ac:dyDescent="0.2">
      <c r="AF22522" s="12"/>
    </row>
    <row r="22523" spans="32:32" x14ac:dyDescent="0.2">
      <c r="AF22523" s="12"/>
    </row>
    <row r="22524" spans="32:32" x14ac:dyDescent="0.2">
      <c r="AF22524" s="12"/>
    </row>
    <row r="22525" spans="32:32" x14ac:dyDescent="0.2">
      <c r="AF22525" s="12"/>
    </row>
    <row r="22526" spans="32:32" x14ac:dyDescent="0.2">
      <c r="AF22526" s="12"/>
    </row>
    <row r="22527" spans="32:32" x14ac:dyDescent="0.2">
      <c r="AF22527" s="12"/>
    </row>
    <row r="22528" spans="32:32" x14ac:dyDescent="0.2">
      <c r="AF22528" s="12"/>
    </row>
    <row r="22529" spans="32:32" x14ac:dyDescent="0.2">
      <c r="AF22529" s="12"/>
    </row>
    <row r="22530" spans="32:32" x14ac:dyDescent="0.2">
      <c r="AF22530" s="12"/>
    </row>
    <row r="22531" spans="32:32" x14ac:dyDescent="0.2">
      <c r="AF22531" s="12"/>
    </row>
    <row r="22532" spans="32:32" x14ac:dyDescent="0.2">
      <c r="AF22532" s="12"/>
    </row>
    <row r="22533" spans="32:32" x14ac:dyDescent="0.2">
      <c r="AF22533" s="12"/>
    </row>
    <row r="22534" spans="32:32" x14ac:dyDescent="0.2">
      <c r="AF22534" s="12"/>
    </row>
    <row r="22535" spans="32:32" x14ac:dyDescent="0.2">
      <c r="AF22535" s="12"/>
    </row>
    <row r="22536" spans="32:32" x14ac:dyDescent="0.2">
      <c r="AF22536" s="12"/>
    </row>
    <row r="22537" spans="32:32" x14ac:dyDescent="0.2">
      <c r="AF22537" s="12"/>
    </row>
    <row r="22538" spans="32:32" x14ac:dyDescent="0.2">
      <c r="AF22538" s="12"/>
    </row>
    <row r="22539" spans="32:32" x14ac:dyDescent="0.2">
      <c r="AF22539" s="12"/>
    </row>
    <row r="22540" spans="32:32" x14ac:dyDescent="0.2">
      <c r="AF22540" s="12"/>
    </row>
    <row r="22541" spans="32:32" x14ac:dyDescent="0.2">
      <c r="AF22541" s="12"/>
    </row>
    <row r="22542" spans="32:32" x14ac:dyDescent="0.2">
      <c r="AF22542" s="12"/>
    </row>
    <row r="22543" spans="32:32" x14ac:dyDescent="0.2">
      <c r="AF22543" s="12"/>
    </row>
    <row r="22544" spans="32:32" x14ac:dyDescent="0.2">
      <c r="AF22544" s="12"/>
    </row>
    <row r="22545" spans="32:32" x14ac:dyDescent="0.2">
      <c r="AF22545" s="12"/>
    </row>
    <row r="22546" spans="32:32" x14ac:dyDescent="0.2">
      <c r="AF22546" s="12"/>
    </row>
    <row r="22547" spans="32:32" x14ac:dyDescent="0.2">
      <c r="AF22547" s="12"/>
    </row>
    <row r="22548" spans="32:32" x14ac:dyDescent="0.2">
      <c r="AF22548" s="12"/>
    </row>
    <row r="22549" spans="32:32" x14ac:dyDescent="0.2">
      <c r="AF22549" s="12"/>
    </row>
    <row r="22550" spans="32:32" x14ac:dyDescent="0.2">
      <c r="AF22550" s="12"/>
    </row>
    <row r="22551" spans="32:32" x14ac:dyDescent="0.2">
      <c r="AF22551" s="12"/>
    </row>
    <row r="22552" spans="32:32" x14ac:dyDescent="0.2">
      <c r="AF22552" s="12"/>
    </row>
    <row r="22553" spans="32:32" x14ac:dyDescent="0.2">
      <c r="AF22553" s="12"/>
    </row>
    <row r="22554" spans="32:32" x14ac:dyDescent="0.2">
      <c r="AF22554" s="12"/>
    </row>
    <row r="22555" spans="32:32" x14ac:dyDescent="0.2">
      <c r="AF22555" s="12"/>
    </row>
    <row r="22556" spans="32:32" x14ac:dyDescent="0.2">
      <c r="AF22556" s="12"/>
    </row>
    <row r="22557" spans="32:32" x14ac:dyDescent="0.2">
      <c r="AF22557" s="12"/>
    </row>
    <row r="22558" spans="32:32" x14ac:dyDescent="0.2">
      <c r="AF22558" s="12"/>
    </row>
    <row r="22559" spans="32:32" x14ac:dyDescent="0.2">
      <c r="AF22559" s="12"/>
    </row>
    <row r="22560" spans="32:32" x14ac:dyDescent="0.2">
      <c r="AF22560" s="12"/>
    </row>
    <row r="22561" spans="32:32" x14ac:dyDescent="0.2">
      <c r="AF22561" s="12"/>
    </row>
    <row r="22562" spans="32:32" x14ac:dyDescent="0.2">
      <c r="AF22562" s="12"/>
    </row>
    <row r="22563" spans="32:32" x14ac:dyDescent="0.2">
      <c r="AF22563" s="12"/>
    </row>
    <row r="22564" spans="32:32" x14ac:dyDescent="0.2">
      <c r="AF22564" s="12"/>
    </row>
    <row r="22565" spans="32:32" x14ac:dyDescent="0.2">
      <c r="AF22565" s="12"/>
    </row>
    <row r="22566" spans="32:32" x14ac:dyDescent="0.2">
      <c r="AF22566" s="12"/>
    </row>
    <row r="22567" spans="32:32" x14ac:dyDescent="0.2">
      <c r="AF22567" s="12"/>
    </row>
    <row r="22568" spans="32:32" x14ac:dyDescent="0.2">
      <c r="AF22568" s="12"/>
    </row>
    <row r="22569" spans="32:32" x14ac:dyDescent="0.2">
      <c r="AF22569" s="12"/>
    </row>
    <row r="22570" spans="32:32" x14ac:dyDescent="0.2">
      <c r="AF22570" s="12"/>
    </row>
    <row r="22571" spans="32:32" x14ac:dyDescent="0.2">
      <c r="AF22571" s="12"/>
    </row>
    <row r="22572" spans="32:32" x14ac:dyDescent="0.2">
      <c r="AF22572" s="12"/>
    </row>
    <row r="22573" spans="32:32" x14ac:dyDescent="0.2">
      <c r="AF22573" s="12"/>
    </row>
    <row r="22574" spans="32:32" x14ac:dyDescent="0.2">
      <c r="AF22574" s="12"/>
    </row>
    <row r="22575" spans="32:32" x14ac:dyDescent="0.2">
      <c r="AF22575" s="12"/>
    </row>
    <row r="22576" spans="32:32" x14ac:dyDescent="0.2">
      <c r="AF22576" s="12"/>
    </row>
    <row r="22577" spans="32:32" x14ac:dyDescent="0.2">
      <c r="AF22577" s="12"/>
    </row>
    <row r="22578" spans="32:32" x14ac:dyDescent="0.2">
      <c r="AF22578" s="12"/>
    </row>
    <row r="22579" spans="32:32" x14ac:dyDescent="0.2">
      <c r="AF22579" s="12"/>
    </row>
    <row r="22580" spans="32:32" x14ac:dyDescent="0.2">
      <c r="AF22580" s="12"/>
    </row>
    <row r="22581" spans="32:32" x14ac:dyDescent="0.2">
      <c r="AF22581" s="12"/>
    </row>
    <row r="22582" spans="32:32" x14ac:dyDescent="0.2">
      <c r="AF22582" s="12"/>
    </row>
    <row r="22583" spans="32:32" x14ac:dyDescent="0.2">
      <c r="AF22583" s="12"/>
    </row>
    <row r="22584" spans="32:32" x14ac:dyDescent="0.2">
      <c r="AF22584" s="12"/>
    </row>
    <row r="22585" spans="32:32" x14ac:dyDescent="0.2">
      <c r="AF22585" s="12"/>
    </row>
    <row r="22586" spans="32:32" x14ac:dyDescent="0.2">
      <c r="AF22586" s="12"/>
    </row>
    <row r="22587" spans="32:32" x14ac:dyDescent="0.2">
      <c r="AF22587" s="12"/>
    </row>
    <row r="22588" spans="32:32" x14ac:dyDescent="0.2">
      <c r="AF22588" s="12"/>
    </row>
    <row r="22589" spans="32:32" x14ac:dyDescent="0.2">
      <c r="AF22589" s="12"/>
    </row>
    <row r="22590" spans="32:32" x14ac:dyDescent="0.2">
      <c r="AF22590" s="12"/>
    </row>
    <row r="22591" spans="32:32" x14ac:dyDescent="0.2">
      <c r="AF22591" s="12"/>
    </row>
    <row r="22592" spans="32:32" x14ac:dyDescent="0.2">
      <c r="AF22592" s="12"/>
    </row>
    <row r="22593" spans="32:32" x14ac:dyDescent="0.2">
      <c r="AF22593" s="12"/>
    </row>
    <row r="22594" spans="32:32" x14ac:dyDescent="0.2">
      <c r="AF22594" s="12"/>
    </row>
    <row r="22595" spans="32:32" x14ac:dyDescent="0.2">
      <c r="AF22595" s="12"/>
    </row>
    <row r="22596" spans="32:32" x14ac:dyDescent="0.2">
      <c r="AF22596" s="12"/>
    </row>
    <row r="22597" spans="32:32" x14ac:dyDescent="0.2">
      <c r="AF22597" s="12"/>
    </row>
    <row r="22598" spans="32:32" x14ac:dyDescent="0.2">
      <c r="AF22598" s="12"/>
    </row>
    <row r="22599" spans="32:32" x14ac:dyDescent="0.2">
      <c r="AF22599" s="12"/>
    </row>
    <row r="22600" spans="32:32" x14ac:dyDescent="0.2">
      <c r="AF22600" s="12"/>
    </row>
    <row r="22601" spans="32:32" x14ac:dyDescent="0.2">
      <c r="AF22601" s="12"/>
    </row>
    <row r="22602" spans="32:32" x14ac:dyDescent="0.2">
      <c r="AF22602" s="12"/>
    </row>
    <row r="22603" spans="32:32" x14ac:dyDescent="0.2">
      <c r="AF22603" s="12"/>
    </row>
    <row r="22604" spans="32:32" x14ac:dyDescent="0.2">
      <c r="AF22604" s="12"/>
    </row>
    <row r="22605" spans="32:32" x14ac:dyDescent="0.2">
      <c r="AF22605" s="12"/>
    </row>
    <row r="22606" spans="32:32" x14ac:dyDescent="0.2">
      <c r="AF22606" s="12"/>
    </row>
    <row r="22607" spans="32:32" x14ac:dyDescent="0.2">
      <c r="AF22607" s="12"/>
    </row>
    <row r="22608" spans="32:32" x14ac:dyDescent="0.2">
      <c r="AF22608" s="12"/>
    </row>
    <row r="22609" spans="32:32" x14ac:dyDescent="0.2">
      <c r="AF22609" s="12"/>
    </row>
    <row r="22610" spans="32:32" x14ac:dyDescent="0.2">
      <c r="AF22610" s="12"/>
    </row>
    <row r="22611" spans="32:32" x14ac:dyDescent="0.2">
      <c r="AF22611" s="12"/>
    </row>
    <row r="22612" spans="32:32" x14ac:dyDescent="0.2">
      <c r="AF22612" s="12"/>
    </row>
    <row r="22613" spans="32:32" x14ac:dyDescent="0.2">
      <c r="AF22613" s="12"/>
    </row>
    <row r="22614" spans="32:32" x14ac:dyDescent="0.2">
      <c r="AF22614" s="12"/>
    </row>
    <row r="22615" spans="32:32" x14ac:dyDescent="0.2">
      <c r="AF22615" s="12"/>
    </row>
    <row r="22616" spans="32:32" x14ac:dyDescent="0.2">
      <c r="AF22616" s="12"/>
    </row>
    <row r="22617" spans="32:32" x14ac:dyDescent="0.2">
      <c r="AF22617" s="12"/>
    </row>
    <row r="22618" spans="32:32" x14ac:dyDescent="0.2">
      <c r="AF22618" s="12"/>
    </row>
    <row r="22619" spans="32:32" x14ac:dyDescent="0.2">
      <c r="AF22619" s="12"/>
    </row>
    <row r="22620" spans="32:32" x14ac:dyDescent="0.2">
      <c r="AF22620" s="12"/>
    </row>
    <row r="22621" spans="32:32" x14ac:dyDescent="0.2">
      <c r="AF22621" s="12"/>
    </row>
    <row r="22622" spans="32:32" x14ac:dyDescent="0.2">
      <c r="AF22622" s="12"/>
    </row>
    <row r="22623" spans="32:32" x14ac:dyDescent="0.2">
      <c r="AF22623" s="12"/>
    </row>
    <row r="22624" spans="32:32" x14ac:dyDescent="0.2">
      <c r="AF22624" s="12"/>
    </row>
    <row r="22625" spans="32:32" x14ac:dyDescent="0.2">
      <c r="AF22625" s="12"/>
    </row>
    <row r="22626" spans="32:32" x14ac:dyDescent="0.2">
      <c r="AF22626" s="12"/>
    </row>
    <row r="22627" spans="32:32" x14ac:dyDescent="0.2">
      <c r="AF22627" s="12"/>
    </row>
    <row r="22628" spans="32:32" x14ac:dyDescent="0.2">
      <c r="AF22628" s="12"/>
    </row>
    <row r="22629" spans="32:32" x14ac:dyDescent="0.2">
      <c r="AF22629" s="12"/>
    </row>
    <row r="22630" spans="32:32" x14ac:dyDescent="0.2">
      <c r="AF22630" s="12"/>
    </row>
    <row r="22631" spans="32:32" x14ac:dyDescent="0.2">
      <c r="AF22631" s="12"/>
    </row>
    <row r="22632" spans="32:32" x14ac:dyDescent="0.2">
      <c r="AF22632" s="12"/>
    </row>
    <row r="22633" spans="32:32" x14ac:dyDescent="0.2">
      <c r="AF22633" s="12"/>
    </row>
    <row r="22634" spans="32:32" x14ac:dyDescent="0.2">
      <c r="AF22634" s="12"/>
    </row>
    <row r="22635" spans="32:32" x14ac:dyDescent="0.2">
      <c r="AF22635" s="12"/>
    </row>
    <row r="22636" spans="32:32" x14ac:dyDescent="0.2">
      <c r="AF22636" s="12"/>
    </row>
    <row r="22637" spans="32:32" x14ac:dyDescent="0.2">
      <c r="AF22637" s="12"/>
    </row>
    <row r="22638" spans="32:32" x14ac:dyDescent="0.2">
      <c r="AF22638" s="12"/>
    </row>
    <row r="22639" spans="32:32" x14ac:dyDescent="0.2">
      <c r="AF22639" s="12"/>
    </row>
    <row r="22640" spans="32:32" x14ac:dyDescent="0.2">
      <c r="AF22640" s="12"/>
    </row>
    <row r="22641" spans="32:32" x14ac:dyDescent="0.2">
      <c r="AF22641" s="12"/>
    </row>
    <row r="22642" spans="32:32" x14ac:dyDescent="0.2">
      <c r="AF22642" s="12"/>
    </row>
    <row r="22643" spans="32:32" x14ac:dyDescent="0.2">
      <c r="AF22643" s="12"/>
    </row>
    <row r="22644" spans="32:32" x14ac:dyDescent="0.2">
      <c r="AF22644" s="12"/>
    </row>
    <row r="22645" spans="32:32" x14ac:dyDescent="0.2">
      <c r="AF22645" s="12"/>
    </row>
    <row r="22646" spans="32:32" x14ac:dyDescent="0.2">
      <c r="AF22646" s="12"/>
    </row>
    <row r="22647" spans="32:32" x14ac:dyDescent="0.2">
      <c r="AF22647" s="12"/>
    </row>
    <row r="22648" spans="32:32" x14ac:dyDescent="0.2">
      <c r="AF22648" s="12"/>
    </row>
    <row r="22649" spans="32:32" x14ac:dyDescent="0.2">
      <c r="AF22649" s="12"/>
    </row>
    <row r="22650" spans="32:32" x14ac:dyDescent="0.2">
      <c r="AF22650" s="12"/>
    </row>
    <row r="22651" spans="32:32" x14ac:dyDescent="0.2">
      <c r="AF22651" s="12"/>
    </row>
    <row r="22652" spans="32:32" x14ac:dyDescent="0.2">
      <c r="AF22652" s="12"/>
    </row>
    <row r="22653" spans="32:32" x14ac:dyDescent="0.2">
      <c r="AF22653" s="12"/>
    </row>
    <row r="22654" spans="32:32" x14ac:dyDescent="0.2">
      <c r="AF22654" s="12"/>
    </row>
    <row r="22655" spans="32:32" x14ac:dyDescent="0.2">
      <c r="AF22655" s="12"/>
    </row>
    <row r="22656" spans="32:32" x14ac:dyDescent="0.2">
      <c r="AF22656" s="12"/>
    </row>
    <row r="22657" spans="32:32" x14ac:dyDescent="0.2">
      <c r="AF22657" s="12"/>
    </row>
    <row r="22658" spans="32:32" x14ac:dyDescent="0.2">
      <c r="AF22658" s="12"/>
    </row>
    <row r="22659" spans="32:32" x14ac:dyDescent="0.2">
      <c r="AF22659" s="12"/>
    </row>
    <row r="22660" spans="32:32" x14ac:dyDescent="0.2">
      <c r="AF22660" s="12"/>
    </row>
    <row r="22661" spans="32:32" x14ac:dyDescent="0.2">
      <c r="AF22661" s="12"/>
    </row>
    <row r="22662" spans="32:32" x14ac:dyDescent="0.2">
      <c r="AF22662" s="12"/>
    </row>
    <row r="22663" spans="32:32" x14ac:dyDescent="0.2">
      <c r="AF22663" s="12"/>
    </row>
    <row r="22664" spans="32:32" x14ac:dyDescent="0.2">
      <c r="AF22664" s="12"/>
    </row>
    <row r="22665" spans="32:32" x14ac:dyDescent="0.2">
      <c r="AF22665" s="12"/>
    </row>
    <row r="22666" spans="32:32" x14ac:dyDescent="0.2">
      <c r="AF22666" s="12"/>
    </row>
    <row r="22667" spans="32:32" x14ac:dyDescent="0.2">
      <c r="AF22667" s="12"/>
    </row>
    <row r="22668" spans="32:32" x14ac:dyDescent="0.2">
      <c r="AF22668" s="12"/>
    </row>
    <row r="22669" spans="32:32" x14ac:dyDescent="0.2">
      <c r="AF22669" s="12"/>
    </row>
    <row r="22670" spans="32:32" x14ac:dyDescent="0.2">
      <c r="AF22670" s="12"/>
    </row>
    <row r="22671" spans="32:32" x14ac:dyDescent="0.2">
      <c r="AF22671" s="12"/>
    </row>
    <row r="22672" spans="32:32" x14ac:dyDescent="0.2">
      <c r="AF22672" s="12"/>
    </row>
    <row r="22673" spans="32:32" x14ac:dyDescent="0.2">
      <c r="AF22673" s="12"/>
    </row>
    <row r="22674" spans="32:32" x14ac:dyDescent="0.2">
      <c r="AF22674" s="12"/>
    </row>
    <row r="22675" spans="32:32" x14ac:dyDescent="0.2">
      <c r="AF22675" s="12"/>
    </row>
    <row r="22676" spans="32:32" x14ac:dyDescent="0.2">
      <c r="AF22676" s="12"/>
    </row>
    <row r="22677" spans="32:32" x14ac:dyDescent="0.2">
      <c r="AF22677" s="12"/>
    </row>
    <row r="22678" spans="32:32" x14ac:dyDescent="0.2">
      <c r="AF22678" s="12"/>
    </row>
    <row r="22679" spans="32:32" x14ac:dyDescent="0.2">
      <c r="AF22679" s="12"/>
    </row>
    <row r="22680" spans="32:32" x14ac:dyDescent="0.2">
      <c r="AF22680" s="12"/>
    </row>
    <row r="22681" spans="32:32" x14ac:dyDescent="0.2">
      <c r="AF22681" s="12"/>
    </row>
    <row r="22682" spans="32:32" x14ac:dyDescent="0.2">
      <c r="AF22682" s="12"/>
    </row>
    <row r="22683" spans="32:32" x14ac:dyDescent="0.2">
      <c r="AF22683" s="12"/>
    </row>
    <row r="22684" spans="32:32" x14ac:dyDescent="0.2">
      <c r="AF22684" s="12"/>
    </row>
    <row r="22685" spans="32:32" x14ac:dyDescent="0.2">
      <c r="AF22685" s="12"/>
    </row>
    <row r="22686" spans="32:32" x14ac:dyDescent="0.2">
      <c r="AF22686" s="12"/>
    </row>
    <row r="22687" spans="32:32" x14ac:dyDescent="0.2">
      <c r="AF22687" s="12"/>
    </row>
    <row r="22688" spans="32:32" x14ac:dyDescent="0.2">
      <c r="AF22688" s="12"/>
    </row>
    <row r="22689" spans="32:32" x14ac:dyDescent="0.2">
      <c r="AF22689" s="12"/>
    </row>
    <row r="22690" spans="32:32" x14ac:dyDescent="0.2">
      <c r="AF22690" s="12"/>
    </row>
    <row r="22691" spans="32:32" x14ac:dyDescent="0.2">
      <c r="AF22691" s="12"/>
    </row>
    <row r="22692" spans="32:32" x14ac:dyDescent="0.2">
      <c r="AF22692" s="12"/>
    </row>
    <row r="22693" spans="32:32" x14ac:dyDescent="0.2">
      <c r="AF22693" s="12"/>
    </row>
    <row r="22694" spans="32:32" x14ac:dyDescent="0.2">
      <c r="AF22694" s="12"/>
    </row>
    <row r="22695" spans="32:32" x14ac:dyDescent="0.2">
      <c r="AF22695" s="12"/>
    </row>
    <row r="22696" spans="32:32" x14ac:dyDescent="0.2">
      <c r="AF22696" s="12"/>
    </row>
    <row r="22697" spans="32:32" x14ac:dyDescent="0.2">
      <c r="AF22697" s="12"/>
    </row>
    <row r="22698" spans="32:32" x14ac:dyDescent="0.2">
      <c r="AF22698" s="12"/>
    </row>
    <row r="22699" spans="32:32" x14ac:dyDescent="0.2">
      <c r="AF22699" s="12"/>
    </row>
    <row r="22700" spans="32:32" x14ac:dyDescent="0.2">
      <c r="AF22700" s="12"/>
    </row>
    <row r="22701" spans="32:32" x14ac:dyDescent="0.2">
      <c r="AF22701" s="12"/>
    </row>
    <row r="22702" spans="32:32" x14ac:dyDescent="0.2">
      <c r="AF22702" s="12"/>
    </row>
    <row r="22703" spans="32:32" x14ac:dyDescent="0.2">
      <c r="AF22703" s="12"/>
    </row>
    <row r="22704" spans="32:32" x14ac:dyDescent="0.2">
      <c r="AF22704" s="12"/>
    </row>
    <row r="22705" spans="32:32" x14ac:dyDescent="0.2">
      <c r="AF22705" s="12"/>
    </row>
    <row r="22706" spans="32:32" x14ac:dyDescent="0.2">
      <c r="AF22706" s="12"/>
    </row>
    <row r="22707" spans="32:32" x14ac:dyDescent="0.2">
      <c r="AF22707" s="12"/>
    </row>
    <row r="22708" spans="32:32" x14ac:dyDescent="0.2">
      <c r="AF22708" s="12"/>
    </row>
    <row r="22709" spans="32:32" x14ac:dyDescent="0.2">
      <c r="AF22709" s="12"/>
    </row>
    <row r="22710" spans="32:32" x14ac:dyDescent="0.2">
      <c r="AF22710" s="12"/>
    </row>
    <row r="22711" spans="32:32" x14ac:dyDescent="0.2">
      <c r="AF22711" s="12"/>
    </row>
    <row r="22712" spans="32:32" x14ac:dyDescent="0.2">
      <c r="AF22712" s="12"/>
    </row>
    <row r="22713" spans="32:32" x14ac:dyDescent="0.2">
      <c r="AF22713" s="12"/>
    </row>
    <row r="22714" spans="32:32" x14ac:dyDescent="0.2">
      <c r="AF22714" s="12"/>
    </row>
    <row r="22715" spans="32:32" x14ac:dyDescent="0.2">
      <c r="AF22715" s="12"/>
    </row>
    <row r="22716" spans="32:32" x14ac:dyDescent="0.2">
      <c r="AF22716" s="12"/>
    </row>
    <row r="22717" spans="32:32" x14ac:dyDescent="0.2">
      <c r="AF22717" s="12"/>
    </row>
    <row r="22718" spans="32:32" x14ac:dyDescent="0.2">
      <c r="AF22718" s="12"/>
    </row>
    <row r="22719" spans="32:32" x14ac:dyDescent="0.2">
      <c r="AF22719" s="12"/>
    </row>
    <row r="22720" spans="32:32" x14ac:dyDescent="0.2">
      <c r="AF22720" s="12"/>
    </row>
    <row r="22721" spans="32:32" x14ac:dyDescent="0.2">
      <c r="AF22721" s="12"/>
    </row>
    <row r="22722" spans="32:32" x14ac:dyDescent="0.2">
      <c r="AF22722" s="12"/>
    </row>
    <row r="22723" spans="32:32" x14ac:dyDescent="0.2">
      <c r="AF22723" s="12"/>
    </row>
    <row r="22724" spans="32:32" x14ac:dyDescent="0.2">
      <c r="AF22724" s="12"/>
    </row>
    <row r="22725" spans="32:32" x14ac:dyDescent="0.2">
      <c r="AF22725" s="12"/>
    </row>
    <row r="22726" spans="32:32" x14ac:dyDescent="0.2">
      <c r="AF22726" s="12"/>
    </row>
    <row r="22727" spans="32:32" x14ac:dyDescent="0.2">
      <c r="AF22727" s="12"/>
    </row>
    <row r="22728" spans="32:32" x14ac:dyDescent="0.2">
      <c r="AF22728" s="12"/>
    </row>
    <row r="22729" spans="32:32" x14ac:dyDescent="0.2">
      <c r="AF22729" s="12"/>
    </row>
    <row r="22730" spans="32:32" x14ac:dyDescent="0.2">
      <c r="AF22730" s="12"/>
    </row>
    <row r="22731" spans="32:32" x14ac:dyDescent="0.2">
      <c r="AF22731" s="12"/>
    </row>
    <row r="22732" spans="32:32" x14ac:dyDescent="0.2">
      <c r="AF22732" s="12"/>
    </row>
    <row r="22733" spans="32:32" x14ac:dyDescent="0.2">
      <c r="AF22733" s="12"/>
    </row>
    <row r="22734" spans="32:32" x14ac:dyDescent="0.2">
      <c r="AF22734" s="12"/>
    </row>
    <row r="22735" spans="32:32" x14ac:dyDescent="0.2">
      <c r="AF22735" s="12"/>
    </row>
    <row r="22736" spans="32:32" x14ac:dyDescent="0.2">
      <c r="AF22736" s="12"/>
    </row>
    <row r="22737" spans="32:32" x14ac:dyDescent="0.2">
      <c r="AF22737" s="12"/>
    </row>
    <row r="22738" spans="32:32" x14ac:dyDescent="0.2">
      <c r="AF22738" s="12"/>
    </row>
    <row r="22739" spans="32:32" x14ac:dyDescent="0.2">
      <c r="AF22739" s="12"/>
    </row>
    <row r="22740" spans="32:32" x14ac:dyDescent="0.2">
      <c r="AF22740" s="12"/>
    </row>
    <row r="22741" spans="32:32" x14ac:dyDescent="0.2">
      <c r="AF22741" s="12"/>
    </row>
    <row r="22742" spans="32:32" x14ac:dyDescent="0.2">
      <c r="AF22742" s="12"/>
    </row>
    <row r="22743" spans="32:32" x14ac:dyDescent="0.2">
      <c r="AF22743" s="12"/>
    </row>
    <row r="22744" spans="32:32" x14ac:dyDescent="0.2">
      <c r="AF22744" s="12"/>
    </row>
    <row r="22745" spans="32:32" x14ac:dyDescent="0.2">
      <c r="AF22745" s="12"/>
    </row>
    <row r="22746" spans="32:32" x14ac:dyDescent="0.2">
      <c r="AF22746" s="12"/>
    </row>
    <row r="22747" spans="32:32" x14ac:dyDescent="0.2">
      <c r="AF22747" s="12"/>
    </row>
    <row r="22748" spans="32:32" x14ac:dyDescent="0.2">
      <c r="AF22748" s="12"/>
    </row>
    <row r="22749" spans="32:32" x14ac:dyDescent="0.2">
      <c r="AF22749" s="12"/>
    </row>
    <row r="22750" spans="32:32" x14ac:dyDescent="0.2">
      <c r="AF22750" s="12"/>
    </row>
    <row r="22751" spans="32:32" x14ac:dyDescent="0.2">
      <c r="AF22751" s="12"/>
    </row>
    <row r="22752" spans="32:32" x14ac:dyDescent="0.2">
      <c r="AF22752" s="12"/>
    </row>
    <row r="22753" spans="32:32" x14ac:dyDescent="0.2">
      <c r="AF22753" s="12"/>
    </row>
    <row r="22754" spans="32:32" x14ac:dyDescent="0.2">
      <c r="AF22754" s="12"/>
    </row>
    <row r="22755" spans="32:32" x14ac:dyDescent="0.2">
      <c r="AF22755" s="12"/>
    </row>
    <row r="22756" spans="32:32" x14ac:dyDescent="0.2">
      <c r="AF22756" s="12"/>
    </row>
    <row r="22757" spans="32:32" x14ac:dyDescent="0.2">
      <c r="AF22757" s="12"/>
    </row>
    <row r="22758" spans="32:32" x14ac:dyDescent="0.2">
      <c r="AF22758" s="12"/>
    </row>
    <row r="22759" spans="32:32" x14ac:dyDescent="0.2">
      <c r="AF22759" s="12"/>
    </row>
    <row r="22760" spans="32:32" x14ac:dyDescent="0.2">
      <c r="AF22760" s="12"/>
    </row>
    <row r="22761" spans="32:32" x14ac:dyDescent="0.2">
      <c r="AF22761" s="12"/>
    </row>
    <row r="22762" spans="32:32" x14ac:dyDescent="0.2">
      <c r="AF22762" s="12"/>
    </row>
    <row r="22763" spans="32:32" x14ac:dyDescent="0.2">
      <c r="AF22763" s="12"/>
    </row>
    <row r="22764" spans="32:32" x14ac:dyDescent="0.2">
      <c r="AF22764" s="12"/>
    </row>
    <row r="22765" spans="32:32" x14ac:dyDescent="0.2">
      <c r="AF22765" s="12"/>
    </row>
    <row r="22766" spans="32:32" x14ac:dyDescent="0.2">
      <c r="AF22766" s="12"/>
    </row>
    <row r="22767" spans="32:32" x14ac:dyDescent="0.2">
      <c r="AF22767" s="12"/>
    </row>
    <row r="22768" spans="32:32" x14ac:dyDescent="0.2">
      <c r="AF22768" s="12"/>
    </row>
    <row r="22769" spans="32:32" x14ac:dyDescent="0.2">
      <c r="AF22769" s="12"/>
    </row>
    <row r="22770" spans="32:32" x14ac:dyDescent="0.2">
      <c r="AF22770" s="12"/>
    </row>
    <row r="22771" spans="32:32" x14ac:dyDescent="0.2">
      <c r="AF22771" s="12"/>
    </row>
    <row r="22772" spans="32:32" x14ac:dyDescent="0.2">
      <c r="AF22772" s="12"/>
    </row>
    <row r="22773" spans="32:32" x14ac:dyDescent="0.2">
      <c r="AF22773" s="12"/>
    </row>
    <row r="22774" spans="32:32" x14ac:dyDescent="0.2">
      <c r="AF22774" s="12"/>
    </row>
    <row r="22775" spans="32:32" x14ac:dyDescent="0.2">
      <c r="AF22775" s="12"/>
    </row>
    <row r="22776" spans="32:32" x14ac:dyDescent="0.2">
      <c r="AF22776" s="12"/>
    </row>
    <row r="22777" spans="32:32" x14ac:dyDescent="0.2">
      <c r="AF22777" s="12"/>
    </row>
    <row r="22778" spans="32:32" x14ac:dyDescent="0.2">
      <c r="AF22778" s="12"/>
    </row>
    <row r="22779" spans="32:32" x14ac:dyDescent="0.2">
      <c r="AF22779" s="12"/>
    </row>
    <row r="22780" spans="32:32" x14ac:dyDescent="0.2">
      <c r="AF22780" s="12"/>
    </row>
    <row r="22781" spans="32:32" x14ac:dyDescent="0.2">
      <c r="AF22781" s="12"/>
    </row>
    <row r="22782" spans="32:32" x14ac:dyDescent="0.2">
      <c r="AF22782" s="12"/>
    </row>
    <row r="22783" spans="32:32" x14ac:dyDescent="0.2">
      <c r="AF22783" s="12"/>
    </row>
    <row r="22784" spans="32:32" x14ac:dyDescent="0.2">
      <c r="AF22784" s="12"/>
    </row>
    <row r="22785" spans="32:32" x14ac:dyDescent="0.2">
      <c r="AF22785" s="12"/>
    </row>
    <row r="22786" spans="32:32" x14ac:dyDescent="0.2">
      <c r="AF22786" s="12"/>
    </row>
    <row r="22787" spans="32:32" x14ac:dyDescent="0.2">
      <c r="AF22787" s="12"/>
    </row>
    <row r="22788" spans="32:32" x14ac:dyDescent="0.2">
      <c r="AF22788" s="12"/>
    </row>
    <row r="22789" spans="32:32" x14ac:dyDescent="0.2">
      <c r="AF22789" s="12"/>
    </row>
    <row r="22790" spans="32:32" x14ac:dyDescent="0.2">
      <c r="AF22790" s="12"/>
    </row>
    <row r="22791" spans="32:32" x14ac:dyDescent="0.2">
      <c r="AF22791" s="12"/>
    </row>
    <row r="22792" spans="32:32" x14ac:dyDescent="0.2">
      <c r="AF22792" s="12"/>
    </row>
    <row r="22793" spans="32:32" x14ac:dyDescent="0.2">
      <c r="AF22793" s="12"/>
    </row>
    <row r="22794" spans="32:32" x14ac:dyDescent="0.2">
      <c r="AF22794" s="12"/>
    </row>
    <row r="22795" spans="32:32" x14ac:dyDescent="0.2">
      <c r="AF22795" s="12"/>
    </row>
    <row r="22796" spans="32:32" x14ac:dyDescent="0.2">
      <c r="AF22796" s="12"/>
    </row>
    <row r="22797" spans="32:32" x14ac:dyDescent="0.2">
      <c r="AF22797" s="12"/>
    </row>
    <row r="22798" spans="32:32" x14ac:dyDescent="0.2">
      <c r="AF22798" s="12"/>
    </row>
    <row r="22799" spans="32:32" x14ac:dyDescent="0.2">
      <c r="AF22799" s="12"/>
    </row>
    <row r="22800" spans="32:32" x14ac:dyDescent="0.2">
      <c r="AF22800" s="12"/>
    </row>
    <row r="22801" spans="32:32" x14ac:dyDescent="0.2">
      <c r="AF22801" s="12"/>
    </row>
    <row r="22802" spans="32:32" x14ac:dyDescent="0.2">
      <c r="AF22802" s="12"/>
    </row>
    <row r="22803" spans="32:32" x14ac:dyDescent="0.2">
      <c r="AF22803" s="12"/>
    </row>
    <row r="22804" spans="32:32" x14ac:dyDescent="0.2">
      <c r="AF22804" s="12"/>
    </row>
    <row r="22805" spans="32:32" x14ac:dyDescent="0.2">
      <c r="AF22805" s="12"/>
    </row>
    <row r="22806" spans="32:32" x14ac:dyDescent="0.2">
      <c r="AF22806" s="12"/>
    </row>
    <row r="22807" spans="32:32" x14ac:dyDescent="0.2">
      <c r="AF22807" s="12"/>
    </row>
    <row r="22808" spans="32:32" x14ac:dyDescent="0.2">
      <c r="AF22808" s="12"/>
    </row>
    <row r="22809" spans="32:32" x14ac:dyDescent="0.2">
      <c r="AF22809" s="12"/>
    </row>
    <row r="22810" spans="32:32" x14ac:dyDescent="0.2">
      <c r="AF22810" s="12"/>
    </row>
    <row r="22811" spans="32:32" x14ac:dyDescent="0.2">
      <c r="AF22811" s="12"/>
    </row>
    <row r="22812" spans="32:32" x14ac:dyDescent="0.2">
      <c r="AF22812" s="12"/>
    </row>
    <row r="22813" spans="32:32" x14ac:dyDescent="0.2">
      <c r="AF22813" s="12"/>
    </row>
    <row r="22814" spans="32:32" x14ac:dyDescent="0.2">
      <c r="AF22814" s="12"/>
    </row>
    <row r="22815" spans="32:32" x14ac:dyDescent="0.2">
      <c r="AF22815" s="12"/>
    </row>
    <row r="22816" spans="32:32" x14ac:dyDescent="0.2">
      <c r="AF22816" s="12"/>
    </row>
    <row r="22817" spans="32:32" x14ac:dyDescent="0.2">
      <c r="AF22817" s="12"/>
    </row>
    <row r="22818" spans="32:32" x14ac:dyDescent="0.2">
      <c r="AF22818" s="12"/>
    </row>
    <row r="22819" spans="32:32" x14ac:dyDescent="0.2">
      <c r="AF22819" s="12"/>
    </row>
    <row r="22820" spans="32:32" x14ac:dyDescent="0.2">
      <c r="AF22820" s="12"/>
    </row>
    <row r="22821" spans="32:32" x14ac:dyDescent="0.2">
      <c r="AF22821" s="12"/>
    </row>
    <row r="22822" spans="32:32" x14ac:dyDescent="0.2">
      <c r="AF22822" s="12"/>
    </row>
    <row r="22823" spans="32:32" x14ac:dyDescent="0.2">
      <c r="AF22823" s="12"/>
    </row>
    <row r="22824" spans="32:32" x14ac:dyDescent="0.2">
      <c r="AF22824" s="12"/>
    </row>
    <row r="22825" spans="32:32" x14ac:dyDescent="0.2">
      <c r="AF22825" s="12"/>
    </row>
    <row r="22826" spans="32:32" x14ac:dyDescent="0.2">
      <c r="AF22826" s="12"/>
    </row>
    <row r="22827" spans="32:32" x14ac:dyDescent="0.2">
      <c r="AF22827" s="12"/>
    </row>
    <row r="22828" spans="32:32" x14ac:dyDescent="0.2">
      <c r="AF22828" s="12"/>
    </row>
    <row r="22829" spans="32:32" x14ac:dyDescent="0.2">
      <c r="AF22829" s="12"/>
    </row>
    <row r="22830" spans="32:32" x14ac:dyDescent="0.2">
      <c r="AF22830" s="12"/>
    </row>
    <row r="22831" spans="32:32" x14ac:dyDescent="0.2">
      <c r="AF22831" s="12"/>
    </row>
    <row r="22832" spans="32:32" x14ac:dyDescent="0.2">
      <c r="AF22832" s="12"/>
    </row>
    <row r="22833" spans="32:32" x14ac:dyDescent="0.2">
      <c r="AF22833" s="12"/>
    </row>
    <row r="22834" spans="32:32" x14ac:dyDescent="0.2">
      <c r="AF22834" s="12"/>
    </row>
    <row r="22835" spans="32:32" x14ac:dyDescent="0.2">
      <c r="AF22835" s="12"/>
    </row>
    <row r="22836" spans="32:32" x14ac:dyDescent="0.2">
      <c r="AF22836" s="12"/>
    </row>
    <row r="22837" spans="32:32" x14ac:dyDescent="0.2">
      <c r="AF22837" s="12"/>
    </row>
    <row r="22838" spans="32:32" x14ac:dyDescent="0.2">
      <c r="AF22838" s="12"/>
    </row>
    <row r="22839" spans="32:32" x14ac:dyDescent="0.2">
      <c r="AF22839" s="12"/>
    </row>
    <row r="22840" spans="32:32" x14ac:dyDescent="0.2">
      <c r="AF22840" s="12"/>
    </row>
    <row r="22841" spans="32:32" x14ac:dyDescent="0.2">
      <c r="AF22841" s="12"/>
    </row>
    <row r="22842" spans="32:32" x14ac:dyDescent="0.2">
      <c r="AF22842" s="12"/>
    </row>
    <row r="22843" spans="32:32" x14ac:dyDescent="0.2">
      <c r="AF22843" s="12"/>
    </row>
    <row r="22844" spans="32:32" x14ac:dyDescent="0.2">
      <c r="AF22844" s="12"/>
    </row>
    <row r="22845" spans="32:32" x14ac:dyDescent="0.2">
      <c r="AF22845" s="12"/>
    </row>
    <row r="22846" spans="32:32" x14ac:dyDescent="0.2">
      <c r="AF22846" s="12"/>
    </row>
    <row r="22847" spans="32:32" x14ac:dyDescent="0.2">
      <c r="AF22847" s="12"/>
    </row>
    <row r="22848" spans="32:32" x14ac:dyDescent="0.2">
      <c r="AF22848" s="12"/>
    </row>
    <row r="22849" spans="32:32" x14ac:dyDescent="0.2">
      <c r="AF22849" s="12"/>
    </row>
    <row r="22850" spans="32:32" x14ac:dyDescent="0.2">
      <c r="AF22850" s="12"/>
    </row>
    <row r="22851" spans="32:32" x14ac:dyDescent="0.2">
      <c r="AF22851" s="12"/>
    </row>
    <row r="22852" spans="32:32" x14ac:dyDescent="0.2">
      <c r="AF22852" s="12"/>
    </row>
    <row r="22853" spans="32:32" x14ac:dyDescent="0.2">
      <c r="AF22853" s="12"/>
    </row>
    <row r="22854" spans="32:32" x14ac:dyDescent="0.2">
      <c r="AF22854" s="12"/>
    </row>
    <row r="22855" spans="32:32" x14ac:dyDescent="0.2">
      <c r="AF22855" s="12"/>
    </row>
    <row r="22856" spans="32:32" x14ac:dyDescent="0.2">
      <c r="AF22856" s="12"/>
    </row>
    <row r="22857" spans="32:32" x14ac:dyDescent="0.2">
      <c r="AF22857" s="12"/>
    </row>
    <row r="22858" spans="32:32" x14ac:dyDescent="0.2">
      <c r="AF22858" s="12"/>
    </row>
    <row r="22859" spans="32:32" x14ac:dyDescent="0.2">
      <c r="AF22859" s="12"/>
    </row>
    <row r="22860" spans="32:32" x14ac:dyDescent="0.2">
      <c r="AF22860" s="12"/>
    </row>
    <row r="22861" spans="32:32" x14ac:dyDescent="0.2">
      <c r="AF22861" s="12"/>
    </row>
    <row r="22862" spans="32:32" x14ac:dyDescent="0.2">
      <c r="AF22862" s="12"/>
    </row>
    <row r="22863" spans="32:32" x14ac:dyDescent="0.2">
      <c r="AF22863" s="12"/>
    </row>
    <row r="22864" spans="32:32" x14ac:dyDescent="0.2">
      <c r="AF22864" s="12"/>
    </row>
    <row r="22865" spans="32:32" x14ac:dyDescent="0.2">
      <c r="AF22865" s="12"/>
    </row>
    <row r="22866" spans="32:32" x14ac:dyDescent="0.2">
      <c r="AF22866" s="12"/>
    </row>
    <row r="22867" spans="32:32" x14ac:dyDescent="0.2">
      <c r="AF22867" s="12"/>
    </row>
    <row r="22868" spans="32:32" x14ac:dyDescent="0.2">
      <c r="AF22868" s="12"/>
    </row>
    <row r="22869" spans="32:32" x14ac:dyDescent="0.2">
      <c r="AF22869" s="12"/>
    </row>
    <row r="22870" spans="32:32" x14ac:dyDescent="0.2">
      <c r="AF22870" s="12"/>
    </row>
    <row r="22871" spans="32:32" x14ac:dyDescent="0.2">
      <c r="AF22871" s="12"/>
    </row>
    <row r="22872" spans="32:32" x14ac:dyDescent="0.2">
      <c r="AF22872" s="12"/>
    </row>
    <row r="22873" spans="32:32" x14ac:dyDescent="0.2">
      <c r="AF22873" s="12"/>
    </row>
    <row r="22874" spans="32:32" x14ac:dyDescent="0.2">
      <c r="AF22874" s="12"/>
    </row>
    <row r="22875" spans="32:32" x14ac:dyDescent="0.2">
      <c r="AF22875" s="12"/>
    </row>
    <row r="22876" spans="32:32" x14ac:dyDescent="0.2">
      <c r="AF22876" s="12"/>
    </row>
    <row r="22877" spans="32:32" x14ac:dyDescent="0.2">
      <c r="AF22877" s="12"/>
    </row>
    <row r="22878" spans="32:32" x14ac:dyDescent="0.2">
      <c r="AF22878" s="12"/>
    </row>
    <row r="22879" spans="32:32" x14ac:dyDescent="0.2">
      <c r="AF22879" s="12"/>
    </row>
    <row r="22880" spans="32:32" x14ac:dyDescent="0.2">
      <c r="AF22880" s="12"/>
    </row>
    <row r="22881" spans="32:32" x14ac:dyDescent="0.2">
      <c r="AF22881" s="12"/>
    </row>
    <row r="22882" spans="32:32" x14ac:dyDescent="0.2">
      <c r="AF22882" s="12"/>
    </row>
    <row r="22883" spans="32:32" x14ac:dyDescent="0.2">
      <c r="AF22883" s="12"/>
    </row>
    <row r="22884" spans="32:32" x14ac:dyDescent="0.2">
      <c r="AF22884" s="12"/>
    </row>
    <row r="22885" spans="32:32" x14ac:dyDescent="0.2">
      <c r="AF22885" s="12"/>
    </row>
    <row r="22886" spans="32:32" x14ac:dyDescent="0.2">
      <c r="AF22886" s="12"/>
    </row>
    <row r="22887" spans="32:32" x14ac:dyDescent="0.2">
      <c r="AF22887" s="12"/>
    </row>
    <row r="22888" spans="32:32" x14ac:dyDescent="0.2">
      <c r="AF22888" s="12"/>
    </row>
    <row r="22889" spans="32:32" x14ac:dyDescent="0.2">
      <c r="AF22889" s="12"/>
    </row>
    <row r="22890" spans="32:32" x14ac:dyDescent="0.2">
      <c r="AF22890" s="12"/>
    </row>
    <row r="22891" spans="32:32" x14ac:dyDescent="0.2">
      <c r="AF22891" s="12"/>
    </row>
    <row r="22892" spans="32:32" x14ac:dyDescent="0.2">
      <c r="AF22892" s="12"/>
    </row>
    <row r="22893" spans="32:32" x14ac:dyDescent="0.2">
      <c r="AF22893" s="12"/>
    </row>
    <row r="22894" spans="32:32" x14ac:dyDescent="0.2">
      <c r="AF22894" s="12"/>
    </row>
    <row r="22895" spans="32:32" x14ac:dyDescent="0.2">
      <c r="AF22895" s="12"/>
    </row>
    <row r="22896" spans="32:32" x14ac:dyDescent="0.2">
      <c r="AF22896" s="12"/>
    </row>
    <row r="22897" spans="32:32" x14ac:dyDescent="0.2">
      <c r="AF22897" s="12"/>
    </row>
    <row r="22898" spans="32:32" x14ac:dyDescent="0.2">
      <c r="AF22898" s="12"/>
    </row>
    <row r="22899" spans="32:32" x14ac:dyDescent="0.2">
      <c r="AF22899" s="12"/>
    </row>
    <row r="22900" spans="32:32" x14ac:dyDescent="0.2">
      <c r="AF22900" s="12"/>
    </row>
    <row r="22901" spans="32:32" x14ac:dyDescent="0.2">
      <c r="AF22901" s="12"/>
    </row>
    <row r="22902" spans="32:32" x14ac:dyDescent="0.2">
      <c r="AF22902" s="12"/>
    </row>
    <row r="22903" spans="32:32" x14ac:dyDescent="0.2">
      <c r="AF22903" s="12"/>
    </row>
    <row r="22904" spans="32:32" x14ac:dyDescent="0.2">
      <c r="AF22904" s="12"/>
    </row>
    <row r="22905" spans="32:32" x14ac:dyDescent="0.2">
      <c r="AF22905" s="12"/>
    </row>
    <row r="22906" spans="32:32" x14ac:dyDescent="0.2">
      <c r="AF22906" s="12"/>
    </row>
    <row r="22907" spans="32:32" x14ac:dyDescent="0.2">
      <c r="AF22907" s="12"/>
    </row>
    <row r="22908" spans="32:32" x14ac:dyDescent="0.2">
      <c r="AF22908" s="12"/>
    </row>
    <row r="22909" spans="32:32" x14ac:dyDescent="0.2">
      <c r="AF22909" s="12"/>
    </row>
    <row r="22910" spans="32:32" x14ac:dyDescent="0.2">
      <c r="AF22910" s="12"/>
    </row>
    <row r="22911" spans="32:32" x14ac:dyDescent="0.2">
      <c r="AF22911" s="12"/>
    </row>
    <row r="22912" spans="32:32" x14ac:dyDescent="0.2">
      <c r="AF22912" s="12"/>
    </row>
    <row r="22913" spans="32:32" x14ac:dyDescent="0.2">
      <c r="AF22913" s="12"/>
    </row>
    <row r="22914" spans="32:32" x14ac:dyDescent="0.2">
      <c r="AF22914" s="12"/>
    </row>
    <row r="22915" spans="32:32" x14ac:dyDescent="0.2">
      <c r="AF22915" s="12"/>
    </row>
    <row r="22916" spans="32:32" x14ac:dyDescent="0.2">
      <c r="AF22916" s="12"/>
    </row>
    <row r="22917" spans="32:32" x14ac:dyDescent="0.2">
      <c r="AF22917" s="12"/>
    </row>
    <row r="22918" spans="32:32" x14ac:dyDescent="0.2">
      <c r="AF22918" s="12"/>
    </row>
    <row r="22919" spans="32:32" x14ac:dyDescent="0.2">
      <c r="AF22919" s="12"/>
    </row>
    <row r="22920" spans="32:32" x14ac:dyDescent="0.2">
      <c r="AF22920" s="12"/>
    </row>
    <row r="22921" spans="32:32" x14ac:dyDescent="0.2">
      <c r="AF22921" s="12"/>
    </row>
    <row r="22922" spans="32:32" x14ac:dyDescent="0.2">
      <c r="AF22922" s="12"/>
    </row>
    <row r="22923" spans="32:32" x14ac:dyDescent="0.2">
      <c r="AF22923" s="12"/>
    </row>
    <row r="22924" spans="32:32" x14ac:dyDescent="0.2">
      <c r="AF22924" s="12"/>
    </row>
    <row r="22925" spans="32:32" x14ac:dyDescent="0.2">
      <c r="AF22925" s="12"/>
    </row>
    <row r="22926" spans="32:32" x14ac:dyDescent="0.2">
      <c r="AF22926" s="12"/>
    </row>
    <row r="22927" spans="32:32" x14ac:dyDescent="0.2">
      <c r="AF22927" s="12"/>
    </row>
    <row r="22928" spans="32:32" x14ac:dyDescent="0.2">
      <c r="AF22928" s="12"/>
    </row>
    <row r="22929" spans="32:32" x14ac:dyDescent="0.2">
      <c r="AF22929" s="12"/>
    </row>
    <row r="22930" spans="32:32" x14ac:dyDescent="0.2">
      <c r="AF22930" s="12"/>
    </row>
    <row r="22931" spans="32:32" x14ac:dyDescent="0.2">
      <c r="AF22931" s="12"/>
    </row>
    <row r="22932" spans="32:32" x14ac:dyDescent="0.2">
      <c r="AF22932" s="12"/>
    </row>
    <row r="22933" spans="32:32" x14ac:dyDescent="0.2">
      <c r="AF22933" s="12"/>
    </row>
    <row r="22934" spans="32:32" x14ac:dyDescent="0.2">
      <c r="AF22934" s="12"/>
    </row>
    <row r="22935" spans="32:32" x14ac:dyDescent="0.2">
      <c r="AF22935" s="12"/>
    </row>
    <row r="22936" spans="32:32" x14ac:dyDescent="0.2">
      <c r="AF22936" s="12"/>
    </row>
    <row r="22937" spans="32:32" x14ac:dyDescent="0.2">
      <c r="AF22937" s="12"/>
    </row>
    <row r="22938" spans="32:32" x14ac:dyDescent="0.2">
      <c r="AF22938" s="12"/>
    </row>
    <row r="22939" spans="32:32" x14ac:dyDescent="0.2">
      <c r="AF22939" s="12"/>
    </row>
    <row r="22940" spans="32:32" x14ac:dyDescent="0.2">
      <c r="AF22940" s="12"/>
    </row>
    <row r="22941" spans="32:32" x14ac:dyDescent="0.2">
      <c r="AF22941" s="12"/>
    </row>
    <row r="22942" spans="32:32" x14ac:dyDescent="0.2">
      <c r="AF22942" s="12"/>
    </row>
    <row r="22943" spans="32:32" x14ac:dyDescent="0.2">
      <c r="AF22943" s="12"/>
    </row>
    <row r="22944" spans="32:32" x14ac:dyDescent="0.2">
      <c r="AF22944" s="12"/>
    </row>
    <row r="22945" spans="32:32" x14ac:dyDescent="0.2">
      <c r="AF22945" s="12"/>
    </row>
    <row r="22946" spans="32:32" x14ac:dyDescent="0.2">
      <c r="AF22946" s="12"/>
    </row>
    <row r="22947" spans="32:32" x14ac:dyDescent="0.2">
      <c r="AF22947" s="12"/>
    </row>
    <row r="22948" spans="32:32" x14ac:dyDescent="0.2">
      <c r="AF22948" s="12"/>
    </row>
    <row r="22949" spans="32:32" x14ac:dyDescent="0.2">
      <c r="AF22949" s="12"/>
    </row>
    <row r="22950" spans="32:32" x14ac:dyDescent="0.2">
      <c r="AF22950" s="12"/>
    </row>
    <row r="22951" spans="32:32" x14ac:dyDescent="0.2">
      <c r="AF22951" s="12"/>
    </row>
    <row r="22952" spans="32:32" x14ac:dyDescent="0.2">
      <c r="AF22952" s="12"/>
    </row>
    <row r="22953" spans="32:32" x14ac:dyDescent="0.2">
      <c r="AF22953" s="12"/>
    </row>
    <row r="22954" spans="32:32" x14ac:dyDescent="0.2">
      <c r="AF22954" s="12"/>
    </row>
    <row r="22955" spans="32:32" x14ac:dyDescent="0.2">
      <c r="AF22955" s="12"/>
    </row>
    <row r="22956" spans="32:32" x14ac:dyDescent="0.2">
      <c r="AF22956" s="12"/>
    </row>
    <row r="22957" spans="32:32" x14ac:dyDescent="0.2">
      <c r="AF22957" s="12"/>
    </row>
    <row r="22958" spans="32:32" x14ac:dyDescent="0.2">
      <c r="AF22958" s="12"/>
    </row>
    <row r="22959" spans="32:32" x14ac:dyDescent="0.2">
      <c r="AF22959" s="12"/>
    </row>
    <row r="22960" spans="32:32" x14ac:dyDescent="0.2">
      <c r="AF22960" s="12"/>
    </row>
    <row r="22961" spans="32:32" x14ac:dyDescent="0.2">
      <c r="AF22961" s="12"/>
    </row>
    <row r="22962" spans="32:32" x14ac:dyDescent="0.2">
      <c r="AF22962" s="12"/>
    </row>
    <row r="22963" spans="32:32" x14ac:dyDescent="0.2">
      <c r="AF22963" s="12"/>
    </row>
    <row r="22964" spans="32:32" x14ac:dyDescent="0.2">
      <c r="AF22964" s="12"/>
    </row>
    <row r="22965" spans="32:32" x14ac:dyDescent="0.2">
      <c r="AF22965" s="12"/>
    </row>
    <row r="22966" spans="32:32" x14ac:dyDescent="0.2">
      <c r="AF22966" s="12"/>
    </row>
    <row r="22967" spans="32:32" x14ac:dyDescent="0.2">
      <c r="AF22967" s="12"/>
    </row>
    <row r="22968" spans="32:32" x14ac:dyDescent="0.2">
      <c r="AF22968" s="12"/>
    </row>
    <row r="22969" spans="32:32" x14ac:dyDescent="0.2">
      <c r="AF22969" s="12"/>
    </row>
    <row r="22970" spans="32:32" x14ac:dyDescent="0.2">
      <c r="AF22970" s="12"/>
    </row>
    <row r="22971" spans="32:32" x14ac:dyDescent="0.2">
      <c r="AF22971" s="12"/>
    </row>
    <row r="22972" spans="32:32" x14ac:dyDescent="0.2">
      <c r="AF22972" s="12"/>
    </row>
    <row r="22973" spans="32:32" x14ac:dyDescent="0.2">
      <c r="AF22973" s="12"/>
    </row>
    <row r="22974" spans="32:32" x14ac:dyDescent="0.2">
      <c r="AF22974" s="12"/>
    </row>
    <row r="22975" spans="32:32" x14ac:dyDescent="0.2">
      <c r="AF22975" s="12"/>
    </row>
    <row r="22976" spans="32:32" x14ac:dyDescent="0.2">
      <c r="AF22976" s="12"/>
    </row>
    <row r="22977" spans="32:32" x14ac:dyDescent="0.2">
      <c r="AF22977" s="12"/>
    </row>
    <row r="22978" spans="32:32" x14ac:dyDescent="0.2">
      <c r="AF22978" s="12"/>
    </row>
    <row r="22979" spans="32:32" x14ac:dyDescent="0.2">
      <c r="AF22979" s="12"/>
    </row>
    <row r="22980" spans="32:32" x14ac:dyDescent="0.2">
      <c r="AF22980" s="12"/>
    </row>
    <row r="22981" spans="32:32" x14ac:dyDescent="0.2">
      <c r="AF22981" s="12"/>
    </row>
    <row r="22982" spans="32:32" x14ac:dyDescent="0.2">
      <c r="AF22982" s="12"/>
    </row>
    <row r="22983" spans="32:32" x14ac:dyDescent="0.2">
      <c r="AF22983" s="12"/>
    </row>
    <row r="22984" spans="32:32" x14ac:dyDescent="0.2">
      <c r="AF22984" s="12"/>
    </row>
    <row r="22985" spans="32:32" x14ac:dyDescent="0.2">
      <c r="AF22985" s="12"/>
    </row>
    <row r="22986" spans="32:32" x14ac:dyDescent="0.2">
      <c r="AF22986" s="12"/>
    </row>
    <row r="22987" spans="32:32" x14ac:dyDescent="0.2">
      <c r="AF22987" s="12"/>
    </row>
    <row r="22988" spans="32:32" x14ac:dyDescent="0.2">
      <c r="AF22988" s="12"/>
    </row>
    <row r="22989" spans="32:32" x14ac:dyDescent="0.2">
      <c r="AF22989" s="12"/>
    </row>
    <row r="22990" spans="32:32" x14ac:dyDescent="0.2">
      <c r="AF22990" s="12"/>
    </row>
    <row r="22991" spans="32:32" x14ac:dyDescent="0.2">
      <c r="AF22991" s="12"/>
    </row>
    <row r="22992" spans="32:32" x14ac:dyDescent="0.2">
      <c r="AF22992" s="12"/>
    </row>
    <row r="22993" spans="32:32" x14ac:dyDescent="0.2">
      <c r="AF22993" s="12"/>
    </row>
    <row r="22994" spans="32:32" x14ac:dyDescent="0.2">
      <c r="AF22994" s="12"/>
    </row>
    <row r="22995" spans="32:32" x14ac:dyDescent="0.2">
      <c r="AF22995" s="12"/>
    </row>
    <row r="22996" spans="32:32" x14ac:dyDescent="0.2">
      <c r="AF22996" s="12"/>
    </row>
    <row r="22997" spans="32:32" x14ac:dyDescent="0.2">
      <c r="AF22997" s="12"/>
    </row>
    <row r="22998" spans="32:32" x14ac:dyDescent="0.2">
      <c r="AF22998" s="12"/>
    </row>
    <row r="22999" spans="32:32" x14ac:dyDescent="0.2">
      <c r="AF22999" s="12"/>
    </row>
    <row r="23000" spans="32:32" x14ac:dyDescent="0.2">
      <c r="AF23000" s="12"/>
    </row>
    <row r="23001" spans="32:32" x14ac:dyDescent="0.2">
      <c r="AF23001" s="12"/>
    </row>
    <row r="23002" spans="32:32" x14ac:dyDescent="0.2">
      <c r="AF23002" s="12"/>
    </row>
    <row r="23003" spans="32:32" x14ac:dyDescent="0.2">
      <c r="AF23003" s="12"/>
    </row>
    <row r="23004" spans="32:32" x14ac:dyDescent="0.2">
      <c r="AF23004" s="12"/>
    </row>
    <row r="23005" spans="32:32" x14ac:dyDescent="0.2">
      <c r="AF23005" s="12"/>
    </row>
    <row r="23006" spans="32:32" x14ac:dyDescent="0.2">
      <c r="AF23006" s="12"/>
    </row>
    <row r="23007" spans="32:32" x14ac:dyDescent="0.2">
      <c r="AF23007" s="12"/>
    </row>
    <row r="23008" spans="32:32" x14ac:dyDescent="0.2">
      <c r="AF23008" s="12"/>
    </row>
    <row r="23009" spans="32:32" x14ac:dyDescent="0.2">
      <c r="AF23009" s="12"/>
    </row>
    <row r="23010" spans="32:32" x14ac:dyDescent="0.2">
      <c r="AF23010" s="12"/>
    </row>
    <row r="23011" spans="32:32" x14ac:dyDescent="0.2">
      <c r="AF23011" s="12"/>
    </row>
    <row r="23012" spans="32:32" x14ac:dyDescent="0.2">
      <c r="AF23012" s="12"/>
    </row>
    <row r="23013" spans="32:32" x14ac:dyDescent="0.2">
      <c r="AF23013" s="12"/>
    </row>
    <row r="23014" spans="32:32" x14ac:dyDescent="0.2">
      <c r="AF23014" s="12"/>
    </row>
    <row r="23015" spans="32:32" x14ac:dyDescent="0.2">
      <c r="AF23015" s="12"/>
    </row>
    <row r="23016" spans="32:32" x14ac:dyDescent="0.2">
      <c r="AF23016" s="12"/>
    </row>
    <row r="23017" spans="32:32" x14ac:dyDescent="0.2">
      <c r="AF23017" s="12"/>
    </row>
    <row r="23018" spans="32:32" x14ac:dyDescent="0.2">
      <c r="AF23018" s="12"/>
    </row>
    <row r="23019" spans="32:32" x14ac:dyDescent="0.2">
      <c r="AF23019" s="12"/>
    </row>
    <row r="23020" spans="32:32" x14ac:dyDescent="0.2">
      <c r="AF23020" s="12"/>
    </row>
    <row r="23021" spans="32:32" x14ac:dyDescent="0.2">
      <c r="AF23021" s="12"/>
    </row>
    <row r="23022" spans="32:32" x14ac:dyDescent="0.2">
      <c r="AF23022" s="12"/>
    </row>
    <row r="23023" spans="32:32" x14ac:dyDescent="0.2">
      <c r="AF23023" s="12"/>
    </row>
    <row r="23024" spans="32:32" x14ac:dyDescent="0.2">
      <c r="AF23024" s="12"/>
    </row>
    <row r="23025" spans="32:32" x14ac:dyDescent="0.2">
      <c r="AF23025" s="12"/>
    </row>
    <row r="23026" spans="32:32" x14ac:dyDescent="0.2">
      <c r="AF23026" s="12"/>
    </row>
    <row r="23027" spans="32:32" x14ac:dyDescent="0.2">
      <c r="AF23027" s="12"/>
    </row>
    <row r="23028" spans="32:32" x14ac:dyDescent="0.2">
      <c r="AF23028" s="12"/>
    </row>
    <row r="23029" spans="32:32" x14ac:dyDescent="0.2">
      <c r="AF23029" s="12"/>
    </row>
    <row r="23030" spans="32:32" x14ac:dyDescent="0.2">
      <c r="AF23030" s="12"/>
    </row>
    <row r="23031" spans="32:32" x14ac:dyDescent="0.2">
      <c r="AF23031" s="12"/>
    </row>
    <row r="23032" spans="32:32" x14ac:dyDescent="0.2">
      <c r="AF23032" s="12"/>
    </row>
    <row r="23033" spans="32:32" x14ac:dyDescent="0.2">
      <c r="AF23033" s="12"/>
    </row>
    <row r="23034" spans="32:32" x14ac:dyDescent="0.2">
      <c r="AF23034" s="12"/>
    </row>
    <row r="23035" spans="32:32" x14ac:dyDescent="0.2">
      <c r="AF23035" s="12"/>
    </row>
    <row r="23036" spans="32:32" x14ac:dyDescent="0.2">
      <c r="AF23036" s="12"/>
    </row>
    <row r="23037" spans="32:32" x14ac:dyDescent="0.2">
      <c r="AF23037" s="12"/>
    </row>
    <row r="23038" spans="32:32" x14ac:dyDescent="0.2">
      <c r="AF23038" s="12"/>
    </row>
    <row r="23039" spans="32:32" x14ac:dyDescent="0.2">
      <c r="AF23039" s="12"/>
    </row>
    <row r="23040" spans="32:32" x14ac:dyDescent="0.2">
      <c r="AF23040" s="12"/>
    </row>
    <row r="23041" spans="32:32" x14ac:dyDescent="0.2">
      <c r="AF23041" s="12"/>
    </row>
    <row r="23042" spans="32:32" x14ac:dyDescent="0.2">
      <c r="AF23042" s="12"/>
    </row>
    <row r="23043" spans="32:32" x14ac:dyDescent="0.2">
      <c r="AF23043" s="12"/>
    </row>
    <row r="23044" spans="32:32" x14ac:dyDescent="0.2">
      <c r="AF23044" s="12"/>
    </row>
    <row r="23045" spans="32:32" x14ac:dyDescent="0.2">
      <c r="AF23045" s="12"/>
    </row>
    <row r="23046" spans="32:32" x14ac:dyDescent="0.2">
      <c r="AF23046" s="12"/>
    </row>
    <row r="23047" spans="32:32" x14ac:dyDescent="0.2">
      <c r="AF23047" s="12"/>
    </row>
    <row r="23048" spans="32:32" x14ac:dyDescent="0.2">
      <c r="AF23048" s="12"/>
    </row>
    <row r="23049" spans="32:32" x14ac:dyDescent="0.2">
      <c r="AF23049" s="12"/>
    </row>
    <row r="23050" spans="32:32" x14ac:dyDescent="0.2">
      <c r="AF23050" s="12"/>
    </row>
    <row r="23051" spans="32:32" x14ac:dyDescent="0.2">
      <c r="AF23051" s="12"/>
    </row>
    <row r="23052" spans="32:32" x14ac:dyDescent="0.2">
      <c r="AF23052" s="12"/>
    </row>
    <row r="23053" spans="32:32" x14ac:dyDescent="0.2">
      <c r="AF23053" s="12"/>
    </row>
    <row r="23054" spans="32:32" x14ac:dyDescent="0.2">
      <c r="AF23054" s="12"/>
    </row>
    <row r="23055" spans="32:32" x14ac:dyDescent="0.2">
      <c r="AF23055" s="12"/>
    </row>
    <row r="23056" spans="32:32" x14ac:dyDescent="0.2">
      <c r="AF23056" s="12"/>
    </row>
    <row r="23057" spans="32:32" x14ac:dyDescent="0.2">
      <c r="AF23057" s="12"/>
    </row>
    <row r="23058" spans="32:32" x14ac:dyDescent="0.2">
      <c r="AF23058" s="12"/>
    </row>
    <row r="23059" spans="32:32" x14ac:dyDescent="0.2">
      <c r="AF23059" s="12"/>
    </row>
    <row r="23060" spans="32:32" x14ac:dyDescent="0.2">
      <c r="AF23060" s="12"/>
    </row>
    <row r="23061" spans="32:32" x14ac:dyDescent="0.2">
      <c r="AF23061" s="12"/>
    </row>
    <row r="23062" spans="32:32" x14ac:dyDescent="0.2">
      <c r="AF23062" s="12"/>
    </row>
    <row r="23063" spans="32:32" x14ac:dyDescent="0.2">
      <c r="AF23063" s="12"/>
    </row>
    <row r="23064" spans="32:32" x14ac:dyDescent="0.2">
      <c r="AF23064" s="12"/>
    </row>
    <row r="23065" spans="32:32" x14ac:dyDescent="0.2">
      <c r="AF23065" s="12"/>
    </row>
    <row r="23066" spans="32:32" x14ac:dyDescent="0.2">
      <c r="AF23066" s="12"/>
    </row>
    <row r="23067" spans="32:32" x14ac:dyDescent="0.2">
      <c r="AF23067" s="12"/>
    </row>
    <row r="23068" spans="32:32" x14ac:dyDescent="0.2">
      <c r="AF23068" s="12"/>
    </row>
    <row r="23069" spans="32:32" x14ac:dyDescent="0.2">
      <c r="AF23069" s="12"/>
    </row>
    <row r="23070" spans="32:32" x14ac:dyDescent="0.2">
      <c r="AF23070" s="12"/>
    </row>
    <row r="23071" spans="32:32" x14ac:dyDescent="0.2">
      <c r="AF23071" s="12"/>
    </row>
    <row r="23072" spans="32:32" x14ac:dyDescent="0.2">
      <c r="AF23072" s="12"/>
    </row>
    <row r="23073" spans="32:32" x14ac:dyDescent="0.2">
      <c r="AF23073" s="12"/>
    </row>
    <row r="23074" spans="32:32" x14ac:dyDescent="0.2">
      <c r="AF23074" s="12"/>
    </row>
    <row r="23075" spans="32:32" x14ac:dyDescent="0.2">
      <c r="AF23075" s="12"/>
    </row>
    <row r="23076" spans="32:32" x14ac:dyDescent="0.2">
      <c r="AF23076" s="12"/>
    </row>
    <row r="23077" spans="32:32" x14ac:dyDescent="0.2">
      <c r="AF23077" s="12"/>
    </row>
    <row r="23078" spans="32:32" x14ac:dyDescent="0.2">
      <c r="AF23078" s="12"/>
    </row>
    <row r="23079" spans="32:32" x14ac:dyDescent="0.2">
      <c r="AF23079" s="12"/>
    </row>
    <row r="23080" spans="32:32" x14ac:dyDescent="0.2">
      <c r="AF23080" s="12"/>
    </row>
    <row r="23081" spans="32:32" x14ac:dyDescent="0.2">
      <c r="AF23081" s="12"/>
    </row>
    <row r="23082" spans="32:32" x14ac:dyDescent="0.2">
      <c r="AF23082" s="12"/>
    </row>
    <row r="23083" spans="32:32" x14ac:dyDescent="0.2">
      <c r="AF23083" s="12"/>
    </row>
    <row r="23084" spans="32:32" x14ac:dyDescent="0.2">
      <c r="AF23084" s="12"/>
    </row>
    <row r="23085" spans="32:32" x14ac:dyDescent="0.2">
      <c r="AF23085" s="12"/>
    </row>
    <row r="23086" spans="32:32" x14ac:dyDescent="0.2">
      <c r="AF23086" s="12"/>
    </row>
    <row r="23087" spans="32:32" x14ac:dyDescent="0.2">
      <c r="AF23087" s="12"/>
    </row>
    <row r="23088" spans="32:32" x14ac:dyDescent="0.2">
      <c r="AF23088" s="12"/>
    </row>
    <row r="23089" spans="32:32" x14ac:dyDescent="0.2">
      <c r="AF23089" s="12"/>
    </row>
    <row r="23090" spans="32:32" x14ac:dyDescent="0.2">
      <c r="AF23090" s="12"/>
    </row>
    <row r="23091" spans="32:32" x14ac:dyDescent="0.2">
      <c r="AF23091" s="12"/>
    </row>
    <row r="23092" spans="32:32" x14ac:dyDescent="0.2">
      <c r="AF23092" s="12"/>
    </row>
    <row r="23093" spans="32:32" x14ac:dyDescent="0.2">
      <c r="AF23093" s="12"/>
    </row>
    <row r="23094" spans="32:32" x14ac:dyDescent="0.2">
      <c r="AF23094" s="12"/>
    </row>
    <row r="23095" spans="32:32" x14ac:dyDescent="0.2">
      <c r="AF23095" s="12"/>
    </row>
    <row r="23096" spans="32:32" x14ac:dyDescent="0.2">
      <c r="AF23096" s="12"/>
    </row>
    <row r="23097" spans="32:32" x14ac:dyDescent="0.2">
      <c r="AF23097" s="12"/>
    </row>
    <row r="23098" spans="32:32" x14ac:dyDescent="0.2">
      <c r="AF23098" s="12"/>
    </row>
    <row r="23099" spans="32:32" x14ac:dyDescent="0.2">
      <c r="AF23099" s="12"/>
    </row>
    <row r="23100" spans="32:32" x14ac:dyDescent="0.2">
      <c r="AF23100" s="12"/>
    </row>
    <row r="23101" spans="32:32" x14ac:dyDescent="0.2">
      <c r="AF23101" s="12"/>
    </row>
    <row r="23102" spans="32:32" x14ac:dyDescent="0.2">
      <c r="AF23102" s="12"/>
    </row>
    <row r="23103" spans="32:32" x14ac:dyDescent="0.2">
      <c r="AF23103" s="12"/>
    </row>
    <row r="23104" spans="32:32" x14ac:dyDescent="0.2">
      <c r="AF23104" s="12"/>
    </row>
    <row r="23105" spans="32:32" x14ac:dyDescent="0.2">
      <c r="AF23105" s="12"/>
    </row>
    <row r="23106" spans="32:32" x14ac:dyDescent="0.2">
      <c r="AF23106" s="12"/>
    </row>
    <row r="23107" spans="32:32" x14ac:dyDescent="0.2">
      <c r="AF23107" s="12"/>
    </row>
    <row r="23108" spans="32:32" x14ac:dyDescent="0.2">
      <c r="AF23108" s="12"/>
    </row>
    <row r="23109" spans="32:32" x14ac:dyDescent="0.2">
      <c r="AF23109" s="12"/>
    </row>
    <row r="23110" spans="32:32" x14ac:dyDescent="0.2">
      <c r="AF23110" s="12"/>
    </row>
    <row r="23111" spans="32:32" x14ac:dyDescent="0.2">
      <c r="AF23111" s="12"/>
    </row>
    <row r="23112" spans="32:32" x14ac:dyDescent="0.2">
      <c r="AF23112" s="12"/>
    </row>
    <row r="23113" spans="32:32" x14ac:dyDescent="0.2">
      <c r="AF23113" s="12"/>
    </row>
    <row r="23114" spans="32:32" x14ac:dyDescent="0.2">
      <c r="AF23114" s="12"/>
    </row>
    <row r="23115" spans="32:32" x14ac:dyDescent="0.2">
      <c r="AF23115" s="12"/>
    </row>
    <row r="23116" spans="32:32" x14ac:dyDescent="0.2">
      <c r="AF23116" s="12"/>
    </row>
    <row r="23117" spans="32:32" x14ac:dyDescent="0.2">
      <c r="AF23117" s="12"/>
    </row>
    <row r="23118" spans="32:32" x14ac:dyDescent="0.2">
      <c r="AF23118" s="12"/>
    </row>
    <row r="23119" spans="32:32" x14ac:dyDescent="0.2">
      <c r="AF23119" s="12"/>
    </row>
    <row r="23120" spans="32:32" x14ac:dyDescent="0.2">
      <c r="AF23120" s="12"/>
    </row>
    <row r="23121" spans="32:32" x14ac:dyDescent="0.2">
      <c r="AF23121" s="12"/>
    </row>
    <row r="23122" spans="32:32" x14ac:dyDescent="0.2">
      <c r="AF23122" s="12"/>
    </row>
    <row r="23123" spans="32:32" x14ac:dyDescent="0.2">
      <c r="AF23123" s="12"/>
    </row>
    <row r="23124" spans="32:32" x14ac:dyDescent="0.2">
      <c r="AF23124" s="12"/>
    </row>
    <row r="23125" spans="32:32" x14ac:dyDescent="0.2">
      <c r="AF23125" s="12"/>
    </row>
    <row r="23126" spans="32:32" x14ac:dyDescent="0.2">
      <c r="AF23126" s="12"/>
    </row>
    <row r="23127" spans="32:32" x14ac:dyDescent="0.2">
      <c r="AF23127" s="12"/>
    </row>
    <row r="23128" spans="32:32" x14ac:dyDescent="0.2">
      <c r="AF23128" s="12"/>
    </row>
    <row r="23129" spans="32:32" x14ac:dyDescent="0.2">
      <c r="AF23129" s="12"/>
    </row>
    <row r="23130" spans="32:32" x14ac:dyDescent="0.2">
      <c r="AF23130" s="12"/>
    </row>
    <row r="23131" spans="32:32" x14ac:dyDescent="0.2">
      <c r="AF23131" s="12"/>
    </row>
    <row r="23132" spans="32:32" x14ac:dyDescent="0.2">
      <c r="AF23132" s="12"/>
    </row>
    <row r="23133" spans="32:32" x14ac:dyDescent="0.2">
      <c r="AF23133" s="12"/>
    </row>
    <row r="23134" spans="32:32" x14ac:dyDescent="0.2">
      <c r="AF23134" s="12"/>
    </row>
    <row r="23135" spans="32:32" x14ac:dyDescent="0.2">
      <c r="AF23135" s="12"/>
    </row>
    <row r="23136" spans="32:32" x14ac:dyDescent="0.2">
      <c r="AF23136" s="12"/>
    </row>
    <row r="23137" spans="32:32" x14ac:dyDescent="0.2">
      <c r="AF23137" s="12"/>
    </row>
    <row r="23138" spans="32:32" x14ac:dyDescent="0.2">
      <c r="AF23138" s="12"/>
    </row>
    <row r="23139" spans="32:32" x14ac:dyDescent="0.2">
      <c r="AF23139" s="12"/>
    </row>
    <row r="23140" spans="32:32" x14ac:dyDescent="0.2">
      <c r="AF23140" s="12"/>
    </row>
    <row r="23141" spans="32:32" x14ac:dyDescent="0.2">
      <c r="AF23141" s="12"/>
    </row>
    <row r="23142" spans="32:32" x14ac:dyDescent="0.2">
      <c r="AF23142" s="12"/>
    </row>
    <row r="23143" spans="32:32" x14ac:dyDescent="0.2">
      <c r="AF23143" s="12"/>
    </row>
    <row r="23144" spans="32:32" x14ac:dyDescent="0.2">
      <c r="AF23144" s="12"/>
    </row>
    <row r="23145" spans="32:32" x14ac:dyDescent="0.2">
      <c r="AF23145" s="12"/>
    </row>
    <row r="23146" spans="32:32" x14ac:dyDescent="0.2">
      <c r="AF23146" s="12"/>
    </row>
    <row r="23147" spans="32:32" x14ac:dyDescent="0.2">
      <c r="AF23147" s="12"/>
    </row>
    <row r="23148" spans="32:32" x14ac:dyDescent="0.2">
      <c r="AF23148" s="12"/>
    </row>
    <row r="23149" spans="32:32" x14ac:dyDescent="0.2">
      <c r="AF23149" s="12"/>
    </row>
    <row r="23150" spans="32:32" x14ac:dyDescent="0.2">
      <c r="AF23150" s="12"/>
    </row>
    <row r="23151" spans="32:32" x14ac:dyDescent="0.2">
      <c r="AF23151" s="12"/>
    </row>
    <row r="23152" spans="32:32" x14ac:dyDescent="0.2">
      <c r="AF23152" s="12"/>
    </row>
    <row r="23153" spans="32:32" x14ac:dyDescent="0.2">
      <c r="AF23153" s="12"/>
    </row>
    <row r="23154" spans="32:32" x14ac:dyDescent="0.2">
      <c r="AF23154" s="12"/>
    </row>
    <row r="23155" spans="32:32" x14ac:dyDescent="0.2">
      <c r="AF23155" s="12"/>
    </row>
    <row r="23156" spans="32:32" x14ac:dyDescent="0.2">
      <c r="AF23156" s="12"/>
    </row>
    <row r="23157" spans="32:32" x14ac:dyDescent="0.2">
      <c r="AF23157" s="12"/>
    </row>
    <row r="23158" spans="32:32" x14ac:dyDescent="0.2">
      <c r="AF23158" s="12"/>
    </row>
    <row r="23159" spans="32:32" x14ac:dyDescent="0.2">
      <c r="AF23159" s="12"/>
    </row>
    <row r="23160" spans="32:32" x14ac:dyDescent="0.2">
      <c r="AF23160" s="12"/>
    </row>
    <row r="23161" spans="32:32" x14ac:dyDescent="0.2">
      <c r="AF23161" s="12"/>
    </row>
    <row r="23162" spans="32:32" x14ac:dyDescent="0.2">
      <c r="AF23162" s="12"/>
    </row>
    <row r="23163" spans="32:32" x14ac:dyDescent="0.2">
      <c r="AF23163" s="12"/>
    </row>
    <row r="23164" spans="32:32" x14ac:dyDescent="0.2">
      <c r="AF23164" s="12"/>
    </row>
    <row r="23165" spans="32:32" x14ac:dyDescent="0.2">
      <c r="AF23165" s="12"/>
    </row>
    <row r="23166" spans="32:32" x14ac:dyDescent="0.2">
      <c r="AF23166" s="12"/>
    </row>
    <row r="23167" spans="32:32" x14ac:dyDescent="0.2">
      <c r="AF23167" s="12"/>
    </row>
    <row r="23168" spans="32:32" x14ac:dyDescent="0.2">
      <c r="AF23168" s="12"/>
    </row>
    <row r="23169" spans="32:32" x14ac:dyDescent="0.2">
      <c r="AF23169" s="12"/>
    </row>
    <row r="23170" spans="32:32" x14ac:dyDescent="0.2">
      <c r="AF23170" s="12"/>
    </row>
    <row r="23171" spans="32:32" x14ac:dyDescent="0.2">
      <c r="AF23171" s="12"/>
    </row>
    <row r="23172" spans="32:32" x14ac:dyDescent="0.2">
      <c r="AF23172" s="12"/>
    </row>
    <row r="23173" spans="32:32" x14ac:dyDescent="0.2">
      <c r="AF23173" s="12"/>
    </row>
    <row r="23174" spans="32:32" x14ac:dyDescent="0.2">
      <c r="AF23174" s="12"/>
    </row>
    <row r="23175" spans="32:32" x14ac:dyDescent="0.2">
      <c r="AF23175" s="12"/>
    </row>
    <row r="23176" spans="32:32" x14ac:dyDescent="0.2">
      <c r="AF23176" s="12"/>
    </row>
    <row r="23177" spans="32:32" x14ac:dyDescent="0.2">
      <c r="AF23177" s="12"/>
    </row>
    <row r="23178" spans="32:32" x14ac:dyDescent="0.2">
      <c r="AF23178" s="12"/>
    </row>
    <row r="23179" spans="32:32" x14ac:dyDescent="0.2">
      <c r="AF23179" s="12"/>
    </row>
    <row r="23180" spans="32:32" x14ac:dyDescent="0.2">
      <c r="AF23180" s="12"/>
    </row>
    <row r="23181" spans="32:32" x14ac:dyDescent="0.2">
      <c r="AF23181" s="12"/>
    </row>
    <row r="23182" spans="32:32" x14ac:dyDescent="0.2">
      <c r="AF23182" s="12"/>
    </row>
    <row r="23183" spans="32:32" x14ac:dyDescent="0.2">
      <c r="AF23183" s="12"/>
    </row>
    <row r="23184" spans="32:32" x14ac:dyDescent="0.2">
      <c r="AF23184" s="12"/>
    </row>
    <row r="23185" spans="32:32" x14ac:dyDescent="0.2">
      <c r="AF23185" s="12"/>
    </row>
    <row r="23186" spans="32:32" x14ac:dyDescent="0.2">
      <c r="AF23186" s="12"/>
    </row>
    <row r="23187" spans="32:32" x14ac:dyDescent="0.2">
      <c r="AF23187" s="12"/>
    </row>
    <row r="23188" spans="32:32" x14ac:dyDescent="0.2">
      <c r="AF23188" s="12"/>
    </row>
    <row r="23189" spans="32:32" x14ac:dyDescent="0.2">
      <c r="AF23189" s="12"/>
    </row>
    <row r="23190" spans="32:32" x14ac:dyDescent="0.2">
      <c r="AF23190" s="12"/>
    </row>
    <row r="23191" spans="32:32" x14ac:dyDescent="0.2">
      <c r="AF23191" s="12"/>
    </row>
    <row r="23192" spans="32:32" x14ac:dyDescent="0.2">
      <c r="AF23192" s="12"/>
    </row>
    <row r="23193" spans="32:32" x14ac:dyDescent="0.2">
      <c r="AF23193" s="12"/>
    </row>
    <row r="23194" spans="32:32" x14ac:dyDescent="0.2">
      <c r="AF23194" s="12"/>
    </row>
    <row r="23195" spans="32:32" x14ac:dyDescent="0.2">
      <c r="AF23195" s="12"/>
    </row>
    <row r="23196" spans="32:32" x14ac:dyDescent="0.2">
      <c r="AF23196" s="12"/>
    </row>
    <row r="23197" spans="32:32" x14ac:dyDescent="0.2">
      <c r="AF23197" s="12"/>
    </row>
    <row r="23198" spans="32:32" x14ac:dyDescent="0.2">
      <c r="AF23198" s="12"/>
    </row>
    <row r="23199" spans="32:32" x14ac:dyDescent="0.2">
      <c r="AF23199" s="12"/>
    </row>
    <row r="23200" spans="32:32" x14ac:dyDescent="0.2">
      <c r="AF23200" s="12"/>
    </row>
    <row r="23201" spans="32:32" x14ac:dyDescent="0.2">
      <c r="AF23201" s="12"/>
    </row>
    <row r="23202" spans="32:32" x14ac:dyDescent="0.2">
      <c r="AF23202" s="12"/>
    </row>
    <row r="23203" spans="32:32" x14ac:dyDescent="0.2">
      <c r="AF23203" s="12"/>
    </row>
    <row r="23204" spans="32:32" x14ac:dyDescent="0.2">
      <c r="AF23204" s="12"/>
    </row>
    <row r="23205" spans="32:32" x14ac:dyDescent="0.2">
      <c r="AF23205" s="12"/>
    </row>
    <row r="23206" spans="32:32" x14ac:dyDescent="0.2">
      <c r="AF23206" s="12"/>
    </row>
    <row r="23207" spans="32:32" x14ac:dyDescent="0.2">
      <c r="AF23207" s="12"/>
    </row>
    <row r="23208" spans="32:32" x14ac:dyDescent="0.2">
      <c r="AF23208" s="12"/>
    </row>
    <row r="23209" spans="32:32" x14ac:dyDescent="0.2">
      <c r="AF23209" s="12"/>
    </row>
    <row r="23210" spans="32:32" x14ac:dyDescent="0.2">
      <c r="AF23210" s="12"/>
    </row>
    <row r="23211" spans="32:32" x14ac:dyDescent="0.2">
      <c r="AF23211" s="12"/>
    </row>
    <row r="23212" spans="32:32" x14ac:dyDescent="0.2">
      <c r="AF23212" s="12"/>
    </row>
    <row r="23213" spans="32:32" x14ac:dyDescent="0.2">
      <c r="AF23213" s="12"/>
    </row>
    <row r="23214" spans="32:32" x14ac:dyDescent="0.2">
      <c r="AF23214" s="12"/>
    </row>
    <row r="23215" spans="32:32" x14ac:dyDescent="0.2">
      <c r="AF23215" s="12"/>
    </row>
    <row r="23216" spans="32:32" x14ac:dyDescent="0.2">
      <c r="AF23216" s="12"/>
    </row>
    <row r="23217" spans="32:32" x14ac:dyDescent="0.2">
      <c r="AF23217" s="12"/>
    </row>
    <row r="23218" spans="32:32" x14ac:dyDescent="0.2">
      <c r="AF23218" s="12"/>
    </row>
    <row r="23219" spans="32:32" x14ac:dyDescent="0.2">
      <c r="AF23219" s="12"/>
    </row>
    <row r="23220" spans="32:32" x14ac:dyDescent="0.2">
      <c r="AF23220" s="12"/>
    </row>
    <row r="23221" spans="32:32" x14ac:dyDescent="0.2">
      <c r="AF23221" s="12"/>
    </row>
    <row r="23222" spans="32:32" x14ac:dyDescent="0.2">
      <c r="AF23222" s="12"/>
    </row>
    <row r="23223" spans="32:32" x14ac:dyDescent="0.2">
      <c r="AF23223" s="12"/>
    </row>
    <row r="23224" spans="32:32" x14ac:dyDescent="0.2">
      <c r="AF23224" s="12"/>
    </row>
    <row r="23225" spans="32:32" x14ac:dyDescent="0.2">
      <c r="AF23225" s="12"/>
    </row>
    <row r="23226" spans="32:32" x14ac:dyDescent="0.2">
      <c r="AF23226" s="12"/>
    </row>
    <row r="23227" spans="32:32" x14ac:dyDescent="0.2">
      <c r="AF23227" s="12"/>
    </row>
    <row r="23228" spans="32:32" x14ac:dyDescent="0.2">
      <c r="AF23228" s="12"/>
    </row>
    <row r="23229" spans="32:32" x14ac:dyDescent="0.2">
      <c r="AF23229" s="12"/>
    </row>
    <row r="23230" spans="32:32" x14ac:dyDescent="0.2">
      <c r="AF23230" s="12"/>
    </row>
    <row r="23231" spans="32:32" x14ac:dyDescent="0.2">
      <c r="AF23231" s="12"/>
    </row>
    <row r="23232" spans="32:32" x14ac:dyDescent="0.2">
      <c r="AF23232" s="12"/>
    </row>
    <row r="23233" spans="32:32" x14ac:dyDescent="0.2">
      <c r="AF23233" s="12"/>
    </row>
    <row r="23234" spans="32:32" x14ac:dyDescent="0.2">
      <c r="AF23234" s="12"/>
    </row>
    <row r="23235" spans="32:32" x14ac:dyDescent="0.2">
      <c r="AF23235" s="12"/>
    </row>
    <row r="23236" spans="32:32" x14ac:dyDescent="0.2">
      <c r="AF23236" s="12"/>
    </row>
    <row r="23237" spans="32:32" x14ac:dyDescent="0.2">
      <c r="AF23237" s="12"/>
    </row>
    <row r="23238" spans="32:32" x14ac:dyDescent="0.2">
      <c r="AF23238" s="12"/>
    </row>
    <row r="23239" spans="32:32" x14ac:dyDescent="0.2">
      <c r="AF23239" s="12"/>
    </row>
    <row r="23240" spans="32:32" x14ac:dyDescent="0.2">
      <c r="AF23240" s="12"/>
    </row>
    <row r="23241" spans="32:32" x14ac:dyDescent="0.2">
      <c r="AF23241" s="12"/>
    </row>
    <row r="23242" spans="32:32" x14ac:dyDescent="0.2">
      <c r="AF23242" s="12"/>
    </row>
    <row r="23243" spans="32:32" x14ac:dyDescent="0.2">
      <c r="AF23243" s="12"/>
    </row>
    <row r="23244" spans="32:32" x14ac:dyDescent="0.2">
      <c r="AF23244" s="12"/>
    </row>
    <row r="23245" spans="32:32" x14ac:dyDescent="0.2">
      <c r="AF23245" s="12"/>
    </row>
    <row r="23246" spans="32:32" x14ac:dyDescent="0.2">
      <c r="AF23246" s="12"/>
    </row>
    <row r="23247" spans="32:32" x14ac:dyDescent="0.2">
      <c r="AF23247" s="12"/>
    </row>
    <row r="23248" spans="32:32" x14ac:dyDescent="0.2">
      <c r="AF23248" s="12"/>
    </row>
    <row r="23249" spans="32:32" x14ac:dyDescent="0.2">
      <c r="AF23249" s="12"/>
    </row>
    <row r="23250" spans="32:32" x14ac:dyDescent="0.2">
      <c r="AF23250" s="12"/>
    </row>
    <row r="23251" spans="32:32" x14ac:dyDescent="0.2">
      <c r="AF23251" s="12"/>
    </row>
    <row r="23252" spans="32:32" x14ac:dyDescent="0.2">
      <c r="AF23252" s="12"/>
    </row>
    <row r="23253" spans="32:32" x14ac:dyDescent="0.2">
      <c r="AF23253" s="12"/>
    </row>
    <row r="23254" spans="32:32" x14ac:dyDescent="0.2">
      <c r="AF23254" s="12"/>
    </row>
    <row r="23255" spans="32:32" x14ac:dyDescent="0.2">
      <c r="AF23255" s="12"/>
    </row>
    <row r="23256" spans="32:32" x14ac:dyDescent="0.2">
      <c r="AF23256" s="12"/>
    </row>
    <row r="23257" spans="32:32" x14ac:dyDescent="0.2">
      <c r="AF23257" s="12"/>
    </row>
    <row r="23258" spans="32:32" x14ac:dyDescent="0.2">
      <c r="AF23258" s="12"/>
    </row>
    <row r="23259" spans="32:32" x14ac:dyDescent="0.2">
      <c r="AF23259" s="12"/>
    </row>
    <row r="23260" spans="32:32" x14ac:dyDescent="0.2">
      <c r="AF23260" s="12"/>
    </row>
    <row r="23261" spans="32:32" x14ac:dyDescent="0.2">
      <c r="AF23261" s="12"/>
    </row>
    <row r="23262" spans="32:32" x14ac:dyDescent="0.2">
      <c r="AF23262" s="12"/>
    </row>
    <row r="23263" spans="32:32" x14ac:dyDescent="0.2">
      <c r="AF23263" s="12"/>
    </row>
    <row r="23264" spans="32:32" x14ac:dyDescent="0.2">
      <c r="AF23264" s="12"/>
    </row>
    <row r="23265" spans="32:32" x14ac:dyDescent="0.2">
      <c r="AF23265" s="12"/>
    </row>
    <row r="23266" spans="32:32" x14ac:dyDescent="0.2">
      <c r="AF23266" s="12"/>
    </row>
    <row r="23267" spans="32:32" x14ac:dyDescent="0.2">
      <c r="AF23267" s="12"/>
    </row>
    <row r="23268" spans="32:32" x14ac:dyDescent="0.2">
      <c r="AF23268" s="12"/>
    </row>
    <row r="23269" spans="32:32" x14ac:dyDescent="0.2">
      <c r="AF23269" s="12"/>
    </row>
    <row r="23270" spans="32:32" x14ac:dyDescent="0.2">
      <c r="AF23270" s="12"/>
    </row>
    <row r="23271" spans="32:32" x14ac:dyDescent="0.2">
      <c r="AF23271" s="12"/>
    </row>
    <row r="23272" spans="32:32" x14ac:dyDescent="0.2">
      <c r="AF23272" s="12"/>
    </row>
    <row r="23273" spans="32:32" x14ac:dyDescent="0.2">
      <c r="AF23273" s="12"/>
    </row>
    <row r="23274" spans="32:32" x14ac:dyDescent="0.2">
      <c r="AF23274" s="12"/>
    </row>
    <row r="23275" spans="32:32" x14ac:dyDescent="0.2">
      <c r="AF23275" s="12"/>
    </row>
    <row r="23276" spans="32:32" x14ac:dyDescent="0.2">
      <c r="AF23276" s="12"/>
    </row>
    <row r="23277" spans="32:32" x14ac:dyDescent="0.2">
      <c r="AF23277" s="12"/>
    </row>
    <row r="23278" spans="32:32" x14ac:dyDescent="0.2">
      <c r="AF23278" s="12"/>
    </row>
    <row r="23279" spans="32:32" x14ac:dyDescent="0.2">
      <c r="AF23279" s="12"/>
    </row>
    <row r="23280" spans="32:32" x14ac:dyDescent="0.2">
      <c r="AF23280" s="12"/>
    </row>
    <row r="23281" spans="32:32" x14ac:dyDescent="0.2">
      <c r="AF23281" s="12"/>
    </row>
    <row r="23282" spans="32:32" x14ac:dyDescent="0.2">
      <c r="AF23282" s="12"/>
    </row>
    <row r="23283" spans="32:32" x14ac:dyDescent="0.2">
      <c r="AF23283" s="12"/>
    </row>
    <row r="23284" spans="32:32" x14ac:dyDescent="0.2">
      <c r="AF23284" s="12"/>
    </row>
    <row r="23285" spans="32:32" x14ac:dyDescent="0.2">
      <c r="AF23285" s="12"/>
    </row>
    <row r="23286" spans="32:32" x14ac:dyDescent="0.2">
      <c r="AF23286" s="12"/>
    </row>
    <row r="23287" spans="32:32" x14ac:dyDescent="0.2">
      <c r="AF23287" s="12"/>
    </row>
    <row r="23288" spans="32:32" x14ac:dyDescent="0.2">
      <c r="AF23288" s="12"/>
    </row>
    <row r="23289" spans="32:32" x14ac:dyDescent="0.2">
      <c r="AF23289" s="12"/>
    </row>
    <row r="23290" spans="32:32" x14ac:dyDescent="0.2">
      <c r="AF23290" s="12"/>
    </row>
    <row r="23291" spans="32:32" x14ac:dyDescent="0.2">
      <c r="AF23291" s="12"/>
    </row>
    <row r="23292" spans="32:32" x14ac:dyDescent="0.2">
      <c r="AF23292" s="12"/>
    </row>
    <row r="23293" spans="32:32" x14ac:dyDescent="0.2">
      <c r="AF23293" s="12"/>
    </row>
    <row r="23294" spans="32:32" x14ac:dyDescent="0.2">
      <c r="AF23294" s="12"/>
    </row>
    <row r="23295" spans="32:32" x14ac:dyDescent="0.2">
      <c r="AF23295" s="12"/>
    </row>
    <row r="23296" spans="32:32" x14ac:dyDescent="0.2">
      <c r="AF23296" s="12"/>
    </row>
    <row r="23297" spans="32:32" x14ac:dyDescent="0.2">
      <c r="AF23297" s="12"/>
    </row>
    <row r="23298" spans="32:32" x14ac:dyDescent="0.2">
      <c r="AF23298" s="12"/>
    </row>
    <row r="23299" spans="32:32" x14ac:dyDescent="0.2">
      <c r="AF23299" s="12"/>
    </row>
    <row r="23300" spans="32:32" x14ac:dyDescent="0.2">
      <c r="AF23300" s="12"/>
    </row>
    <row r="23301" spans="32:32" x14ac:dyDescent="0.2">
      <c r="AF23301" s="12"/>
    </row>
    <row r="23302" spans="32:32" x14ac:dyDescent="0.2">
      <c r="AF23302" s="12"/>
    </row>
    <row r="23303" spans="32:32" x14ac:dyDescent="0.2">
      <c r="AF23303" s="12"/>
    </row>
    <row r="23304" spans="32:32" x14ac:dyDescent="0.2">
      <c r="AF23304" s="12"/>
    </row>
    <row r="23305" spans="32:32" x14ac:dyDescent="0.2">
      <c r="AF23305" s="12"/>
    </row>
    <row r="23306" spans="32:32" x14ac:dyDescent="0.2">
      <c r="AF23306" s="12"/>
    </row>
    <row r="23307" spans="32:32" x14ac:dyDescent="0.2">
      <c r="AF23307" s="12"/>
    </row>
    <row r="23308" spans="32:32" x14ac:dyDescent="0.2">
      <c r="AF23308" s="12"/>
    </row>
    <row r="23309" spans="32:32" x14ac:dyDescent="0.2">
      <c r="AF23309" s="12"/>
    </row>
    <row r="23310" spans="32:32" x14ac:dyDescent="0.2">
      <c r="AF23310" s="12"/>
    </row>
    <row r="23311" spans="32:32" x14ac:dyDescent="0.2">
      <c r="AF23311" s="12"/>
    </row>
    <row r="23312" spans="32:32" x14ac:dyDescent="0.2">
      <c r="AF23312" s="12"/>
    </row>
    <row r="23313" spans="32:32" x14ac:dyDescent="0.2">
      <c r="AF23313" s="12"/>
    </row>
    <row r="23314" spans="32:32" x14ac:dyDescent="0.2">
      <c r="AF23314" s="12"/>
    </row>
    <row r="23315" spans="32:32" x14ac:dyDescent="0.2">
      <c r="AF23315" s="12"/>
    </row>
    <row r="23316" spans="32:32" x14ac:dyDescent="0.2">
      <c r="AF23316" s="12"/>
    </row>
    <row r="23317" spans="32:32" x14ac:dyDescent="0.2">
      <c r="AF23317" s="12"/>
    </row>
    <row r="23318" spans="32:32" x14ac:dyDescent="0.2">
      <c r="AF23318" s="12"/>
    </row>
    <row r="23319" spans="32:32" x14ac:dyDescent="0.2">
      <c r="AF23319" s="12"/>
    </row>
    <row r="23320" spans="32:32" x14ac:dyDescent="0.2">
      <c r="AF23320" s="12"/>
    </row>
    <row r="23321" spans="32:32" x14ac:dyDescent="0.2">
      <c r="AF23321" s="12"/>
    </row>
    <row r="23322" spans="32:32" x14ac:dyDescent="0.2">
      <c r="AF23322" s="12"/>
    </row>
    <row r="23323" spans="32:32" x14ac:dyDescent="0.2">
      <c r="AF23323" s="12"/>
    </row>
    <row r="23324" spans="32:32" x14ac:dyDescent="0.2">
      <c r="AF23324" s="12"/>
    </row>
    <row r="23325" spans="32:32" x14ac:dyDescent="0.2">
      <c r="AF23325" s="12"/>
    </row>
    <row r="23326" spans="32:32" x14ac:dyDescent="0.2">
      <c r="AF23326" s="12"/>
    </row>
    <row r="23327" spans="32:32" x14ac:dyDescent="0.2">
      <c r="AF23327" s="12"/>
    </row>
    <row r="23328" spans="32:32" x14ac:dyDescent="0.2">
      <c r="AF23328" s="12"/>
    </row>
    <row r="23329" spans="32:32" x14ac:dyDescent="0.2">
      <c r="AF23329" s="12"/>
    </row>
    <row r="23330" spans="32:32" x14ac:dyDescent="0.2">
      <c r="AF23330" s="12"/>
    </row>
    <row r="23331" spans="32:32" x14ac:dyDescent="0.2">
      <c r="AF23331" s="12"/>
    </row>
    <row r="23332" spans="32:32" x14ac:dyDescent="0.2">
      <c r="AF23332" s="12"/>
    </row>
    <row r="23333" spans="32:32" x14ac:dyDescent="0.2">
      <c r="AF23333" s="12"/>
    </row>
    <row r="23334" spans="32:32" x14ac:dyDescent="0.2">
      <c r="AF23334" s="12"/>
    </row>
    <row r="23335" spans="32:32" x14ac:dyDescent="0.2">
      <c r="AF23335" s="12"/>
    </row>
    <row r="23336" spans="32:32" x14ac:dyDescent="0.2">
      <c r="AF23336" s="12"/>
    </row>
    <row r="23337" spans="32:32" x14ac:dyDescent="0.2">
      <c r="AF23337" s="12"/>
    </row>
    <row r="23338" spans="32:32" x14ac:dyDescent="0.2">
      <c r="AF23338" s="12"/>
    </row>
    <row r="23339" spans="32:32" x14ac:dyDescent="0.2">
      <c r="AF23339" s="12"/>
    </row>
    <row r="23340" spans="32:32" x14ac:dyDescent="0.2">
      <c r="AF23340" s="12"/>
    </row>
    <row r="23341" spans="32:32" x14ac:dyDescent="0.2">
      <c r="AF23341" s="12"/>
    </row>
    <row r="23342" spans="32:32" x14ac:dyDescent="0.2">
      <c r="AF23342" s="12"/>
    </row>
    <row r="23343" spans="32:32" x14ac:dyDescent="0.2">
      <c r="AF23343" s="12"/>
    </row>
    <row r="23344" spans="32:32" x14ac:dyDescent="0.2">
      <c r="AF23344" s="12"/>
    </row>
    <row r="23345" spans="32:32" x14ac:dyDescent="0.2">
      <c r="AF23345" s="12"/>
    </row>
    <row r="23346" spans="32:32" x14ac:dyDescent="0.2">
      <c r="AF23346" s="12"/>
    </row>
    <row r="23347" spans="32:32" x14ac:dyDescent="0.2">
      <c r="AF23347" s="12"/>
    </row>
    <row r="23348" spans="32:32" x14ac:dyDescent="0.2">
      <c r="AF23348" s="12"/>
    </row>
    <row r="23349" spans="32:32" x14ac:dyDescent="0.2">
      <c r="AF23349" s="12"/>
    </row>
    <row r="23350" spans="32:32" x14ac:dyDescent="0.2">
      <c r="AF23350" s="12"/>
    </row>
    <row r="23351" spans="32:32" x14ac:dyDescent="0.2">
      <c r="AF23351" s="12"/>
    </row>
    <row r="23352" spans="32:32" x14ac:dyDescent="0.2">
      <c r="AF23352" s="12"/>
    </row>
    <row r="23353" spans="32:32" x14ac:dyDescent="0.2">
      <c r="AF23353" s="12"/>
    </row>
    <row r="23354" spans="32:32" x14ac:dyDescent="0.2">
      <c r="AF23354" s="12"/>
    </row>
    <row r="23355" spans="32:32" x14ac:dyDescent="0.2">
      <c r="AF23355" s="12"/>
    </row>
    <row r="23356" spans="32:32" x14ac:dyDescent="0.2">
      <c r="AF23356" s="12"/>
    </row>
    <row r="23357" spans="32:32" x14ac:dyDescent="0.2">
      <c r="AF23357" s="12"/>
    </row>
    <row r="23358" spans="32:32" x14ac:dyDescent="0.2">
      <c r="AF23358" s="12"/>
    </row>
    <row r="23359" spans="32:32" x14ac:dyDescent="0.2">
      <c r="AF23359" s="12"/>
    </row>
    <row r="23360" spans="32:32" x14ac:dyDescent="0.2">
      <c r="AF23360" s="12"/>
    </row>
    <row r="23361" spans="32:32" x14ac:dyDescent="0.2">
      <c r="AF23361" s="12"/>
    </row>
    <row r="23362" spans="32:32" x14ac:dyDescent="0.2">
      <c r="AF23362" s="12"/>
    </row>
    <row r="23363" spans="32:32" x14ac:dyDescent="0.2">
      <c r="AF23363" s="12"/>
    </row>
    <row r="23364" spans="32:32" x14ac:dyDescent="0.2">
      <c r="AF23364" s="12"/>
    </row>
    <row r="23365" spans="32:32" x14ac:dyDescent="0.2">
      <c r="AF23365" s="12"/>
    </row>
    <row r="23366" spans="32:32" x14ac:dyDescent="0.2">
      <c r="AF23366" s="12"/>
    </row>
    <row r="23367" spans="32:32" x14ac:dyDescent="0.2">
      <c r="AF23367" s="12"/>
    </row>
    <row r="23368" spans="32:32" x14ac:dyDescent="0.2">
      <c r="AF23368" s="12"/>
    </row>
    <row r="23369" spans="32:32" x14ac:dyDescent="0.2">
      <c r="AF23369" s="12"/>
    </row>
    <row r="23370" spans="32:32" x14ac:dyDescent="0.2">
      <c r="AF23370" s="12"/>
    </row>
    <row r="23371" spans="32:32" x14ac:dyDescent="0.2">
      <c r="AF23371" s="12"/>
    </row>
    <row r="23372" spans="32:32" x14ac:dyDescent="0.2">
      <c r="AF23372" s="12"/>
    </row>
    <row r="23373" spans="32:32" x14ac:dyDescent="0.2">
      <c r="AF23373" s="12"/>
    </row>
    <row r="23374" spans="32:32" x14ac:dyDescent="0.2">
      <c r="AF23374" s="12"/>
    </row>
    <row r="23375" spans="32:32" x14ac:dyDescent="0.2">
      <c r="AF23375" s="12"/>
    </row>
    <row r="23376" spans="32:32" x14ac:dyDescent="0.2">
      <c r="AF23376" s="12"/>
    </row>
    <row r="23377" spans="32:32" x14ac:dyDescent="0.2">
      <c r="AF23377" s="12"/>
    </row>
    <row r="23378" spans="32:32" x14ac:dyDescent="0.2">
      <c r="AF23378" s="12"/>
    </row>
    <row r="23379" spans="32:32" x14ac:dyDescent="0.2">
      <c r="AF23379" s="12"/>
    </row>
    <row r="23380" spans="32:32" x14ac:dyDescent="0.2">
      <c r="AF23380" s="12"/>
    </row>
    <row r="23381" spans="32:32" x14ac:dyDescent="0.2">
      <c r="AF23381" s="12"/>
    </row>
    <row r="23382" spans="32:32" x14ac:dyDescent="0.2">
      <c r="AF23382" s="12"/>
    </row>
    <row r="23383" spans="32:32" x14ac:dyDescent="0.2">
      <c r="AF23383" s="12"/>
    </row>
    <row r="23384" spans="32:32" x14ac:dyDescent="0.2">
      <c r="AF23384" s="12"/>
    </row>
    <row r="23385" spans="32:32" x14ac:dyDescent="0.2">
      <c r="AF23385" s="12"/>
    </row>
    <row r="23386" spans="32:32" x14ac:dyDescent="0.2">
      <c r="AF23386" s="12"/>
    </row>
    <row r="23387" spans="32:32" x14ac:dyDescent="0.2">
      <c r="AF23387" s="12"/>
    </row>
    <row r="23388" spans="32:32" x14ac:dyDescent="0.2">
      <c r="AF23388" s="12"/>
    </row>
    <row r="23389" spans="32:32" x14ac:dyDescent="0.2">
      <c r="AF23389" s="12"/>
    </row>
    <row r="23390" spans="32:32" x14ac:dyDescent="0.2">
      <c r="AF23390" s="12"/>
    </row>
    <row r="23391" spans="32:32" x14ac:dyDescent="0.2">
      <c r="AF23391" s="12"/>
    </row>
    <row r="23392" spans="32:32" x14ac:dyDescent="0.2">
      <c r="AF23392" s="12"/>
    </row>
    <row r="23393" spans="32:32" x14ac:dyDescent="0.2">
      <c r="AF23393" s="12"/>
    </row>
    <row r="23394" spans="32:32" x14ac:dyDescent="0.2">
      <c r="AF23394" s="12"/>
    </row>
    <row r="23395" spans="32:32" x14ac:dyDescent="0.2">
      <c r="AF23395" s="12"/>
    </row>
    <row r="23396" spans="32:32" x14ac:dyDescent="0.2">
      <c r="AF23396" s="12"/>
    </row>
    <row r="23397" spans="32:32" x14ac:dyDescent="0.2">
      <c r="AF23397" s="12"/>
    </row>
    <row r="23398" spans="32:32" x14ac:dyDescent="0.2">
      <c r="AF23398" s="12"/>
    </row>
    <row r="23399" spans="32:32" x14ac:dyDescent="0.2">
      <c r="AF23399" s="12"/>
    </row>
    <row r="23400" spans="32:32" x14ac:dyDescent="0.2">
      <c r="AF23400" s="12"/>
    </row>
    <row r="23401" spans="32:32" x14ac:dyDescent="0.2">
      <c r="AF23401" s="12"/>
    </row>
    <row r="23402" spans="32:32" x14ac:dyDescent="0.2">
      <c r="AF23402" s="12"/>
    </row>
    <row r="23403" spans="32:32" x14ac:dyDescent="0.2">
      <c r="AF23403" s="12"/>
    </row>
    <row r="23404" spans="32:32" x14ac:dyDescent="0.2">
      <c r="AF23404" s="12"/>
    </row>
    <row r="23405" spans="32:32" x14ac:dyDescent="0.2">
      <c r="AF23405" s="12"/>
    </row>
    <row r="23406" spans="32:32" x14ac:dyDescent="0.2">
      <c r="AF23406" s="12"/>
    </row>
    <row r="23407" spans="32:32" x14ac:dyDescent="0.2">
      <c r="AF23407" s="12"/>
    </row>
    <row r="23408" spans="32:32" x14ac:dyDescent="0.2">
      <c r="AF23408" s="12"/>
    </row>
    <row r="23409" spans="32:32" x14ac:dyDescent="0.2">
      <c r="AF23409" s="12"/>
    </row>
    <row r="23410" spans="32:32" x14ac:dyDescent="0.2">
      <c r="AF23410" s="12"/>
    </row>
    <row r="23411" spans="32:32" x14ac:dyDescent="0.2">
      <c r="AF23411" s="12"/>
    </row>
    <row r="23412" spans="32:32" x14ac:dyDescent="0.2">
      <c r="AF23412" s="12"/>
    </row>
    <row r="23413" spans="32:32" x14ac:dyDescent="0.2">
      <c r="AF23413" s="12"/>
    </row>
    <row r="23414" spans="32:32" x14ac:dyDescent="0.2">
      <c r="AF23414" s="12"/>
    </row>
    <row r="23415" spans="32:32" x14ac:dyDescent="0.2">
      <c r="AF23415" s="12"/>
    </row>
    <row r="23416" spans="32:32" x14ac:dyDescent="0.2">
      <c r="AF23416" s="12"/>
    </row>
    <row r="23417" spans="32:32" x14ac:dyDescent="0.2">
      <c r="AF23417" s="12"/>
    </row>
    <row r="23418" spans="32:32" x14ac:dyDescent="0.2">
      <c r="AF23418" s="12"/>
    </row>
    <row r="23419" spans="32:32" x14ac:dyDescent="0.2">
      <c r="AF23419" s="12"/>
    </row>
    <row r="23420" spans="32:32" x14ac:dyDescent="0.2">
      <c r="AF23420" s="12"/>
    </row>
    <row r="23421" spans="32:32" x14ac:dyDescent="0.2">
      <c r="AF23421" s="12"/>
    </row>
    <row r="23422" spans="32:32" x14ac:dyDescent="0.2">
      <c r="AF23422" s="12"/>
    </row>
    <row r="23423" spans="32:32" x14ac:dyDescent="0.2">
      <c r="AF23423" s="12"/>
    </row>
    <row r="23424" spans="32:32" x14ac:dyDescent="0.2">
      <c r="AF23424" s="12"/>
    </row>
    <row r="23425" spans="32:32" x14ac:dyDescent="0.2">
      <c r="AF23425" s="12"/>
    </row>
    <row r="23426" spans="32:32" x14ac:dyDescent="0.2">
      <c r="AF23426" s="12"/>
    </row>
    <row r="23427" spans="32:32" x14ac:dyDescent="0.2">
      <c r="AF23427" s="12"/>
    </row>
    <row r="23428" spans="32:32" x14ac:dyDescent="0.2">
      <c r="AF23428" s="12"/>
    </row>
    <row r="23429" spans="32:32" x14ac:dyDescent="0.2">
      <c r="AF23429" s="12"/>
    </row>
    <row r="23430" spans="32:32" x14ac:dyDescent="0.2">
      <c r="AF23430" s="12"/>
    </row>
    <row r="23431" spans="32:32" x14ac:dyDescent="0.2">
      <c r="AF23431" s="12"/>
    </row>
    <row r="23432" spans="32:32" x14ac:dyDescent="0.2">
      <c r="AF23432" s="12"/>
    </row>
    <row r="23433" spans="32:32" x14ac:dyDescent="0.2">
      <c r="AF23433" s="12"/>
    </row>
    <row r="23434" spans="32:32" x14ac:dyDescent="0.2">
      <c r="AF23434" s="12"/>
    </row>
    <row r="23435" spans="32:32" x14ac:dyDescent="0.2">
      <c r="AF23435" s="12"/>
    </row>
    <row r="23436" spans="32:32" x14ac:dyDescent="0.2">
      <c r="AF23436" s="12"/>
    </row>
    <row r="23437" spans="32:32" x14ac:dyDescent="0.2">
      <c r="AF23437" s="12"/>
    </row>
    <row r="23438" spans="32:32" x14ac:dyDescent="0.2">
      <c r="AF23438" s="12"/>
    </row>
    <row r="23439" spans="32:32" x14ac:dyDescent="0.2">
      <c r="AF23439" s="12"/>
    </row>
    <row r="23440" spans="32:32" x14ac:dyDescent="0.2">
      <c r="AF23440" s="12"/>
    </row>
    <row r="23441" spans="32:32" x14ac:dyDescent="0.2">
      <c r="AF23441" s="12"/>
    </row>
    <row r="23442" spans="32:32" x14ac:dyDescent="0.2">
      <c r="AF23442" s="12"/>
    </row>
    <row r="23443" spans="32:32" x14ac:dyDescent="0.2">
      <c r="AF23443" s="12"/>
    </row>
    <row r="23444" spans="32:32" x14ac:dyDescent="0.2">
      <c r="AF23444" s="12"/>
    </row>
    <row r="23445" spans="32:32" x14ac:dyDescent="0.2">
      <c r="AF23445" s="12"/>
    </row>
    <row r="23446" spans="32:32" x14ac:dyDescent="0.2">
      <c r="AF23446" s="12"/>
    </row>
    <row r="23447" spans="32:32" x14ac:dyDescent="0.2">
      <c r="AF23447" s="12"/>
    </row>
    <row r="23448" spans="32:32" x14ac:dyDescent="0.2">
      <c r="AF23448" s="12"/>
    </row>
    <row r="23449" spans="32:32" x14ac:dyDescent="0.2">
      <c r="AF23449" s="12"/>
    </row>
    <row r="23450" spans="32:32" x14ac:dyDescent="0.2">
      <c r="AF23450" s="12"/>
    </row>
    <row r="23451" spans="32:32" x14ac:dyDescent="0.2">
      <c r="AF23451" s="12"/>
    </row>
    <row r="23452" spans="32:32" x14ac:dyDescent="0.2">
      <c r="AF23452" s="12"/>
    </row>
    <row r="23453" spans="32:32" x14ac:dyDescent="0.2">
      <c r="AF23453" s="12"/>
    </row>
    <row r="23454" spans="32:32" x14ac:dyDescent="0.2">
      <c r="AF23454" s="12"/>
    </row>
    <row r="23455" spans="32:32" x14ac:dyDescent="0.2">
      <c r="AF23455" s="12"/>
    </row>
    <row r="23456" spans="32:32" x14ac:dyDescent="0.2">
      <c r="AF23456" s="12"/>
    </row>
    <row r="23457" spans="32:32" x14ac:dyDescent="0.2">
      <c r="AF23457" s="12"/>
    </row>
    <row r="23458" spans="32:32" x14ac:dyDescent="0.2">
      <c r="AF23458" s="12"/>
    </row>
    <row r="23459" spans="32:32" x14ac:dyDescent="0.2">
      <c r="AF23459" s="12"/>
    </row>
    <row r="23460" spans="32:32" x14ac:dyDescent="0.2">
      <c r="AF23460" s="12"/>
    </row>
    <row r="23461" spans="32:32" x14ac:dyDescent="0.2">
      <c r="AF23461" s="12"/>
    </row>
    <row r="23462" spans="32:32" x14ac:dyDescent="0.2">
      <c r="AF23462" s="12"/>
    </row>
    <row r="23463" spans="32:32" x14ac:dyDescent="0.2">
      <c r="AF23463" s="12"/>
    </row>
    <row r="23464" spans="32:32" x14ac:dyDescent="0.2">
      <c r="AF23464" s="12"/>
    </row>
    <row r="23465" spans="32:32" x14ac:dyDescent="0.2">
      <c r="AF23465" s="12"/>
    </row>
    <row r="23466" spans="32:32" x14ac:dyDescent="0.2">
      <c r="AF23466" s="12"/>
    </row>
    <row r="23467" spans="32:32" x14ac:dyDescent="0.2">
      <c r="AF23467" s="12"/>
    </row>
    <row r="23468" spans="32:32" x14ac:dyDescent="0.2">
      <c r="AF23468" s="12"/>
    </row>
    <row r="23469" spans="32:32" x14ac:dyDescent="0.2">
      <c r="AF23469" s="12"/>
    </row>
    <row r="23470" spans="32:32" x14ac:dyDescent="0.2">
      <c r="AF23470" s="12"/>
    </row>
    <row r="23471" spans="32:32" x14ac:dyDescent="0.2">
      <c r="AF23471" s="12"/>
    </row>
    <row r="23472" spans="32:32" x14ac:dyDescent="0.2">
      <c r="AF23472" s="12"/>
    </row>
    <row r="23473" spans="32:32" x14ac:dyDescent="0.2">
      <c r="AF23473" s="12"/>
    </row>
    <row r="23474" spans="32:32" x14ac:dyDescent="0.2">
      <c r="AF23474" s="12"/>
    </row>
    <row r="23475" spans="32:32" x14ac:dyDescent="0.2">
      <c r="AF23475" s="12"/>
    </row>
    <row r="23476" spans="32:32" x14ac:dyDescent="0.2">
      <c r="AF23476" s="12"/>
    </row>
    <row r="23477" spans="32:32" x14ac:dyDescent="0.2">
      <c r="AF23477" s="12"/>
    </row>
    <row r="23478" spans="32:32" x14ac:dyDescent="0.2">
      <c r="AF23478" s="12"/>
    </row>
    <row r="23479" spans="32:32" x14ac:dyDescent="0.2">
      <c r="AF23479" s="12"/>
    </row>
    <row r="23480" spans="32:32" x14ac:dyDescent="0.2">
      <c r="AF23480" s="12"/>
    </row>
    <row r="23481" spans="32:32" x14ac:dyDescent="0.2">
      <c r="AF23481" s="12"/>
    </row>
    <row r="23482" spans="32:32" x14ac:dyDescent="0.2">
      <c r="AF23482" s="12"/>
    </row>
    <row r="23483" spans="32:32" x14ac:dyDescent="0.2">
      <c r="AF23483" s="12"/>
    </row>
    <row r="23484" spans="32:32" x14ac:dyDescent="0.2">
      <c r="AF23484" s="12"/>
    </row>
    <row r="23485" spans="32:32" x14ac:dyDescent="0.2">
      <c r="AF23485" s="12"/>
    </row>
    <row r="23486" spans="32:32" x14ac:dyDescent="0.2">
      <c r="AF23486" s="12"/>
    </row>
    <row r="23487" spans="32:32" x14ac:dyDescent="0.2">
      <c r="AF23487" s="12"/>
    </row>
    <row r="23488" spans="32:32" x14ac:dyDescent="0.2">
      <c r="AF23488" s="12"/>
    </row>
    <row r="23489" spans="32:32" x14ac:dyDescent="0.2">
      <c r="AF23489" s="12"/>
    </row>
    <row r="23490" spans="32:32" x14ac:dyDescent="0.2">
      <c r="AF23490" s="12"/>
    </row>
    <row r="23491" spans="32:32" x14ac:dyDescent="0.2">
      <c r="AF23491" s="12"/>
    </row>
    <row r="23492" spans="32:32" x14ac:dyDescent="0.2">
      <c r="AF23492" s="12"/>
    </row>
    <row r="23493" spans="32:32" x14ac:dyDescent="0.2">
      <c r="AF23493" s="12"/>
    </row>
    <row r="23494" spans="32:32" x14ac:dyDescent="0.2">
      <c r="AF23494" s="12"/>
    </row>
    <row r="23495" spans="32:32" x14ac:dyDescent="0.2">
      <c r="AF23495" s="12"/>
    </row>
    <row r="23496" spans="32:32" x14ac:dyDescent="0.2">
      <c r="AF23496" s="12"/>
    </row>
    <row r="23497" spans="32:32" x14ac:dyDescent="0.2">
      <c r="AF23497" s="12"/>
    </row>
    <row r="23498" spans="32:32" x14ac:dyDescent="0.2">
      <c r="AF23498" s="12"/>
    </row>
    <row r="23499" spans="32:32" x14ac:dyDescent="0.2">
      <c r="AF23499" s="12"/>
    </row>
    <row r="23500" spans="32:32" x14ac:dyDescent="0.2">
      <c r="AF23500" s="12"/>
    </row>
    <row r="23501" spans="32:32" x14ac:dyDescent="0.2">
      <c r="AF23501" s="12"/>
    </row>
    <row r="23502" spans="32:32" x14ac:dyDescent="0.2">
      <c r="AF23502" s="12"/>
    </row>
    <row r="23503" spans="32:32" x14ac:dyDescent="0.2">
      <c r="AF23503" s="12"/>
    </row>
    <row r="23504" spans="32:32" x14ac:dyDescent="0.2">
      <c r="AF23504" s="12"/>
    </row>
    <row r="23505" spans="32:32" x14ac:dyDescent="0.2">
      <c r="AF23505" s="12"/>
    </row>
    <row r="23506" spans="32:32" x14ac:dyDescent="0.2">
      <c r="AF23506" s="12"/>
    </row>
    <row r="23507" spans="32:32" x14ac:dyDescent="0.2">
      <c r="AF23507" s="12"/>
    </row>
    <row r="23508" spans="32:32" x14ac:dyDescent="0.2">
      <c r="AF23508" s="12"/>
    </row>
    <row r="23509" spans="32:32" x14ac:dyDescent="0.2">
      <c r="AF23509" s="12"/>
    </row>
    <row r="23510" spans="32:32" x14ac:dyDescent="0.2">
      <c r="AF23510" s="12"/>
    </row>
    <row r="23511" spans="32:32" x14ac:dyDescent="0.2">
      <c r="AF23511" s="12"/>
    </row>
    <row r="23512" spans="32:32" x14ac:dyDescent="0.2">
      <c r="AF23512" s="12"/>
    </row>
    <row r="23513" spans="32:32" x14ac:dyDescent="0.2">
      <c r="AF23513" s="12"/>
    </row>
    <row r="23514" spans="32:32" x14ac:dyDescent="0.2">
      <c r="AF23514" s="12"/>
    </row>
    <row r="23515" spans="32:32" x14ac:dyDescent="0.2">
      <c r="AF23515" s="12"/>
    </row>
    <row r="23516" spans="32:32" x14ac:dyDescent="0.2">
      <c r="AF23516" s="12"/>
    </row>
    <row r="23517" spans="32:32" x14ac:dyDescent="0.2">
      <c r="AF23517" s="12"/>
    </row>
    <row r="23518" spans="32:32" x14ac:dyDescent="0.2">
      <c r="AF23518" s="12"/>
    </row>
    <row r="23519" spans="32:32" x14ac:dyDescent="0.2">
      <c r="AF23519" s="12"/>
    </row>
    <row r="23520" spans="32:32" x14ac:dyDescent="0.2">
      <c r="AF23520" s="12"/>
    </row>
    <row r="23521" spans="32:32" x14ac:dyDescent="0.2">
      <c r="AF23521" s="12"/>
    </row>
    <row r="23522" spans="32:32" x14ac:dyDescent="0.2">
      <c r="AF23522" s="12"/>
    </row>
    <row r="23523" spans="32:32" x14ac:dyDescent="0.2">
      <c r="AF23523" s="12"/>
    </row>
    <row r="23524" spans="32:32" x14ac:dyDescent="0.2">
      <c r="AF23524" s="12"/>
    </row>
    <row r="23525" spans="32:32" x14ac:dyDescent="0.2">
      <c r="AF23525" s="12"/>
    </row>
    <row r="23526" spans="32:32" x14ac:dyDescent="0.2">
      <c r="AF23526" s="12"/>
    </row>
    <row r="23527" spans="32:32" x14ac:dyDescent="0.2">
      <c r="AF23527" s="12"/>
    </row>
    <row r="23528" spans="32:32" x14ac:dyDescent="0.2">
      <c r="AF23528" s="12"/>
    </row>
    <row r="23529" spans="32:32" x14ac:dyDescent="0.2">
      <c r="AF23529" s="12"/>
    </row>
    <row r="23530" spans="32:32" x14ac:dyDescent="0.2">
      <c r="AF23530" s="12"/>
    </row>
    <row r="23531" spans="32:32" x14ac:dyDescent="0.2">
      <c r="AF23531" s="12"/>
    </row>
    <row r="23532" spans="32:32" x14ac:dyDescent="0.2">
      <c r="AF23532" s="12"/>
    </row>
    <row r="23533" spans="32:32" x14ac:dyDescent="0.2">
      <c r="AF23533" s="12"/>
    </row>
    <row r="23534" spans="32:32" x14ac:dyDescent="0.2">
      <c r="AF23534" s="12"/>
    </row>
    <row r="23535" spans="32:32" x14ac:dyDescent="0.2">
      <c r="AF23535" s="12"/>
    </row>
    <row r="23536" spans="32:32" x14ac:dyDescent="0.2">
      <c r="AF23536" s="12"/>
    </row>
    <row r="23537" spans="32:32" x14ac:dyDescent="0.2">
      <c r="AF23537" s="12"/>
    </row>
    <row r="23538" spans="32:32" x14ac:dyDescent="0.2">
      <c r="AF23538" s="12"/>
    </row>
    <row r="23539" spans="32:32" x14ac:dyDescent="0.2">
      <c r="AF23539" s="12"/>
    </row>
    <row r="23540" spans="32:32" x14ac:dyDescent="0.2">
      <c r="AF23540" s="12"/>
    </row>
    <row r="23541" spans="32:32" x14ac:dyDescent="0.2">
      <c r="AF23541" s="12"/>
    </row>
    <row r="23542" spans="32:32" x14ac:dyDescent="0.2">
      <c r="AF23542" s="12"/>
    </row>
    <row r="23543" spans="32:32" x14ac:dyDescent="0.2">
      <c r="AF23543" s="12"/>
    </row>
    <row r="23544" spans="32:32" x14ac:dyDescent="0.2">
      <c r="AF23544" s="12"/>
    </row>
    <row r="23545" spans="32:32" x14ac:dyDescent="0.2">
      <c r="AF23545" s="12"/>
    </row>
    <row r="23546" spans="32:32" x14ac:dyDescent="0.2">
      <c r="AF23546" s="12"/>
    </row>
    <row r="23547" spans="32:32" x14ac:dyDescent="0.2">
      <c r="AF23547" s="12"/>
    </row>
    <row r="23548" spans="32:32" x14ac:dyDescent="0.2">
      <c r="AF23548" s="12"/>
    </row>
    <row r="23549" spans="32:32" x14ac:dyDescent="0.2">
      <c r="AF23549" s="12"/>
    </row>
    <row r="23550" spans="32:32" x14ac:dyDescent="0.2">
      <c r="AF23550" s="12"/>
    </row>
    <row r="23551" spans="32:32" x14ac:dyDescent="0.2">
      <c r="AF23551" s="12"/>
    </row>
    <row r="23552" spans="32:32" x14ac:dyDescent="0.2">
      <c r="AF23552" s="12"/>
    </row>
    <row r="23553" spans="32:32" x14ac:dyDescent="0.2">
      <c r="AF23553" s="12"/>
    </row>
    <row r="23554" spans="32:32" x14ac:dyDescent="0.2">
      <c r="AF23554" s="12"/>
    </row>
    <row r="23555" spans="32:32" x14ac:dyDescent="0.2">
      <c r="AF23555" s="12"/>
    </row>
    <row r="23556" spans="32:32" x14ac:dyDescent="0.2">
      <c r="AF23556" s="12"/>
    </row>
    <row r="23557" spans="32:32" x14ac:dyDescent="0.2">
      <c r="AF23557" s="12"/>
    </row>
    <row r="23558" spans="32:32" x14ac:dyDescent="0.2">
      <c r="AF23558" s="12"/>
    </row>
    <row r="23559" spans="32:32" x14ac:dyDescent="0.2">
      <c r="AF23559" s="12"/>
    </row>
    <row r="23560" spans="32:32" x14ac:dyDescent="0.2">
      <c r="AF23560" s="12"/>
    </row>
    <row r="23561" spans="32:32" x14ac:dyDescent="0.2">
      <c r="AF23561" s="12"/>
    </row>
    <row r="23562" spans="32:32" x14ac:dyDescent="0.2">
      <c r="AF23562" s="12"/>
    </row>
    <row r="23563" spans="32:32" x14ac:dyDescent="0.2">
      <c r="AF23563" s="12"/>
    </row>
    <row r="23564" spans="32:32" x14ac:dyDescent="0.2">
      <c r="AF23564" s="12"/>
    </row>
    <row r="23565" spans="32:32" x14ac:dyDescent="0.2">
      <c r="AF23565" s="12"/>
    </row>
    <row r="23566" spans="32:32" x14ac:dyDescent="0.2">
      <c r="AF23566" s="12"/>
    </row>
    <row r="23567" spans="32:32" x14ac:dyDescent="0.2">
      <c r="AF23567" s="12"/>
    </row>
    <row r="23568" spans="32:32" x14ac:dyDescent="0.2">
      <c r="AF23568" s="12"/>
    </row>
    <row r="23569" spans="32:32" x14ac:dyDescent="0.2">
      <c r="AF23569" s="12"/>
    </row>
    <row r="23570" spans="32:32" x14ac:dyDescent="0.2">
      <c r="AF23570" s="12"/>
    </row>
    <row r="23571" spans="32:32" x14ac:dyDescent="0.2">
      <c r="AF23571" s="12"/>
    </row>
    <row r="23572" spans="32:32" x14ac:dyDescent="0.2">
      <c r="AF23572" s="12"/>
    </row>
    <row r="23573" spans="32:32" x14ac:dyDescent="0.2">
      <c r="AF23573" s="12"/>
    </row>
    <row r="23574" spans="32:32" x14ac:dyDescent="0.2">
      <c r="AF23574" s="12"/>
    </row>
    <row r="23575" spans="32:32" x14ac:dyDescent="0.2">
      <c r="AF23575" s="12"/>
    </row>
    <row r="23576" spans="32:32" x14ac:dyDescent="0.2">
      <c r="AF23576" s="12"/>
    </row>
    <row r="23577" spans="32:32" x14ac:dyDescent="0.2">
      <c r="AF23577" s="12"/>
    </row>
    <row r="23578" spans="32:32" x14ac:dyDescent="0.2">
      <c r="AF23578" s="12"/>
    </row>
    <row r="23579" spans="32:32" x14ac:dyDescent="0.2">
      <c r="AF23579" s="12"/>
    </row>
    <row r="23580" spans="32:32" x14ac:dyDescent="0.2">
      <c r="AF23580" s="12"/>
    </row>
    <row r="23581" spans="32:32" x14ac:dyDescent="0.2">
      <c r="AF23581" s="12"/>
    </row>
    <row r="23582" spans="32:32" x14ac:dyDescent="0.2">
      <c r="AF23582" s="12"/>
    </row>
    <row r="23583" spans="32:32" x14ac:dyDescent="0.2">
      <c r="AF23583" s="12"/>
    </row>
    <row r="23584" spans="32:32" x14ac:dyDescent="0.2">
      <c r="AF23584" s="12"/>
    </row>
    <row r="23585" spans="32:32" x14ac:dyDescent="0.2">
      <c r="AF23585" s="12"/>
    </row>
    <row r="23586" spans="32:32" x14ac:dyDescent="0.2">
      <c r="AF23586" s="12"/>
    </row>
    <row r="23587" spans="32:32" x14ac:dyDescent="0.2">
      <c r="AF23587" s="12"/>
    </row>
    <row r="23588" spans="32:32" x14ac:dyDescent="0.2">
      <c r="AF23588" s="12"/>
    </row>
    <row r="23589" spans="32:32" x14ac:dyDescent="0.2">
      <c r="AF23589" s="12"/>
    </row>
    <row r="23590" spans="32:32" x14ac:dyDescent="0.2">
      <c r="AF23590" s="12"/>
    </row>
    <row r="23591" spans="32:32" x14ac:dyDescent="0.2">
      <c r="AF23591" s="12"/>
    </row>
    <row r="23592" spans="32:32" x14ac:dyDescent="0.2">
      <c r="AF23592" s="12"/>
    </row>
    <row r="23593" spans="32:32" x14ac:dyDescent="0.2">
      <c r="AF23593" s="12"/>
    </row>
    <row r="23594" spans="32:32" x14ac:dyDescent="0.2">
      <c r="AF23594" s="12"/>
    </row>
    <row r="23595" spans="32:32" x14ac:dyDescent="0.2">
      <c r="AF23595" s="12"/>
    </row>
    <row r="23596" spans="32:32" x14ac:dyDescent="0.2">
      <c r="AF23596" s="12"/>
    </row>
    <row r="23597" spans="32:32" x14ac:dyDescent="0.2">
      <c r="AF23597" s="12"/>
    </row>
    <row r="23598" spans="32:32" x14ac:dyDescent="0.2">
      <c r="AF23598" s="12"/>
    </row>
    <row r="23599" spans="32:32" x14ac:dyDescent="0.2">
      <c r="AF23599" s="12"/>
    </row>
    <row r="23600" spans="32:32" x14ac:dyDescent="0.2">
      <c r="AF23600" s="12"/>
    </row>
    <row r="23601" spans="32:32" x14ac:dyDescent="0.2">
      <c r="AF23601" s="12"/>
    </row>
    <row r="23602" spans="32:32" x14ac:dyDescent="0.2">
      <c r="AF23602" s="12"/>
    </row>
    <row r="23603" spans="32:32" x14ac:dyDescent="0.2">
      <c r="AF23603" s="12"/>
    </row>
    <row r="23604" spans="32:32" x14ac:dyDescent="0.2">
      <c r="AF23604" s="12"/>
    </row>
    <row r="23605" spans="32:32" x14ac:dyDescent="0.2">
      <c r="AF23605" s="12"/>
    </row>
    <row r="23606" spans="32:32" x14ac:dyDescent="0.2">
      <c r="AF23606" s="12"/>
    </row>
    <row r="23607" spans="32:32" x14ac:dyDescent="0.2">
      <c r="AF23607" s="12"/>
    </row>
    <row r="23608" spans="32:32" x14ac:dyDescent="0.2">
      <c r="AF23608" s="12"/>
    </row>
    <row r="23609" spans="32:32" x14ac:dyDescent="0.2">
      <c r="AF23609" s="12"/>
    </row>
    <row r="23610" spans="32:32" x14ac:dyDescent="0.2">
      <c r="AF23610" s="12"/>
    </row>
    <row r="23611" spans="32:32" x14ac:dyDescent="0.2">
      <c r="AF23611" s="12"/>
    </row>
    <row r="23612" spans="32:32" x14ac:dyDescent="0.2">
      <c r="AF23612" s="12"/>
    </row>
    <row r="23613" spans="32:32" x14ac:dyDescent="0.2">
      <c r="AF23613" s="12"/>
    </row>
    <row r="23614" spans="32:32" x14ac:dyDescent="0.2">
      <c r="AF23614" s="12"/>
    </row>
    <row r="23615" spans="32:32" x14ac:dyDescent="0.2">
      <c r="AF23615" s="12"/>
    </row>
    <row r="23616" spans="32:32" x14ac:dyDescent="0.2">
      <c r="AF23616" s="12"/>
    </row>
    <row r="23617" spans="32:32" x14ac:dyDescent="0.2">
      <c r="AF23617" s="12"/>
    </row>
    <row r="23618" spans="32:32" x14ac:dyDescent="0.2">
      <c r="AF23618" s="12"/>
    </row>
    <row r="23619" spans="32:32" x14ac:dyDescent="0.2">
      <c r="AF23619" s="12"/>
    </row>
    <row r="23620" spans="32:32" x14ac:dyDescent="0.2">
      <c r="AF23620" s="12"/>
    </row>
    <row r="23621" spans="32:32" x14ac:dyDescent="0.2">
      <c r="AF23621" s="12"/>
    </row>
    <row r="23622" spans="32:32" x14ac:dyDescent="0.2">
      <c r="AF23622" s="12"/>
    </row>
    <row r="23623" spans="32:32" x14ac:dyDescent="0.2">
      <c r="AF23623" s="12"/>
    </row>
    <row r="23624" spans="32:32" x14ac:dyDescent="0.2">
      <c r="AF23624" s="12"/>
    </row>
    <row r="23625" spans="32:32" x14ac:dyDescent="0.2">
      <c r="AF23625" s="12"/>
    </row>
    <row r="23626" spans="32:32" x14ac:dyDescent="0.2">
      <c r="AF23626" s="12"/>
    </row>
    <row r="23627" spans="32:32" x14ac:dyDescent="0.2">
      <c r="AF23627" s="12"/>
    </row>
    <row r="23628" spans="32:32" x14ac:dyDescent="0.2">
      <c r="AF23628" s="12"/>
    </row>
    <row r="23629" spans="32:32" x14ac:dyDescent="0.2">
      <c r="AF23629" s="12"/>
    </row>
    <row r="23630" spans="32:32" x14ac:dyDescent="0.2">
      <c r="AF23630" s="12"/>
    </row>
    <row r="23631" spans="32:32" x14ac:dyDescent="0.2">
      <c r="AF23631" s="12"/>
    </row>
    <row r="23632" spans="32:32" x14ac:dyDescent="0.2">
      <c r="AF23632" s="12"/>
    </row>
    <row r="23633" spans="32:32" x14ac:dyDescent="0.2">
      <c r="AF23633" s="12"/>
    </row>
    <row r="23634" spans="32:32" x14ac:dyDescent="0.2">
      <c r="AF23634" s="12"/>
    </row>
    <row r="23635" spans="32:32" x14ac:dyDescent="0.2">
      <c r="AF23635" s="12"/>
    </row>
    <row r="23636" spans="32:32" x14ac:dyDescent="0.2">
      <c r="AF23636" s="12"/>
    </row>
    <row r="23637" spans="32:32" x14ac:dyDescent="0.2">
      <c r="AF23637" s="12"/>
    </row>
    <row r="23638" spans="32:32" x14ac:dyDescent="0.2">
      <c r="AF23638" s="12"/>
    </row>
    <row r="23639" spans="32:32" x14ac:dyDescent="0.2">
      <c r="AF23639" s="12"/>
    </row>
    <row r="23640" spans="32:32" x14ac:dyDescent="0.2">
      <c r="AF23640" s="12"/>
    </row>
    <row r="23641" spans="32:32" x14ac:dyDescent="0.2">
      <c r="AF23641" s="12"/>
    </row>
    <row r="23642" spans="32:32" x14ac:dyDescent="0.2">
      <c r="AF23642" s="12"/>
    </row>
    <row r="23643" spans="32:32" x14ac:dyDescent="0.2">
      <c r="AF23643" s="12"/>
    </row>
    <row r="23644" spans="32:32" x14ac:dyDescent="0.2">
      <c r="AF23644" s="12"/>
    </row>
    <row r="23645" spans="32:32" x14ac:dyDescent="0.2">
      <c r="AF23645" s="12"/>
    </row>
    <row r="23646" spans="32:32" x14ac:dyDescent="0.2">
      <c r="AF23646" s="12"/>
    </row>
    <row r="23647" spans="32:32" x14ac:dyDescent="0.2">
      <c r="AF23647" s="12"/>
    </row>
    <row r="23648" spans="32:32" x14ac:dyDescent="0.2">
      <c r="AF23648" s="12"/>
    </row>
    <row r="23649" spans="32:32" x14ac:dyDescent="0.2">
      <c r="AF23649" s="12"/>
    </row>
    <row r="23650" spans="32:32" x14ac:dyDescent="0.2">
      <c r="AF23650" s="12"/>
    </row>
    <row r="23651" spans="32:32" x14ac:dyDescent="0.2">
      <c r="AF23651" s="12"/>
    </row>
    <row r="23652" spans="32:32" x14ac:dyDescent="0.2">
      <c r="AF23652" s="12"/>
    </row>
    <row r="23653" spans="32:32" x14ac:dyDescent="0.2">
      <c r="AF23653" s="12"/>
    </row>
    <row r="23654" spans="32:32" x14ac:dyDescent="0.2">
      <c r="AF23654" s="12"/>
    </row>
    <row r="23655" spans="32:32" x14ac:dyDescent="0.2">
      <c r="AF23655" s="12"/>
    </row>
    <row r="23656" spans="32:32" x14ac:dyDescent="0.2">
      <c r="AF23656" s="12"/>
    </row>
    <row r="23657" spans="32:32" x14ac:dyDescent="0.2">
      <c r="AF23657" s="12"/>
    </row>
    <row r="23658" spans="32:32" x14ac:dyDescent="0.2">
      <c r="AF23658" s="12"/>
    </row>
    <row r="23659" spans="32:32" x14ac:dyDescent="0.2">
      <c r="AF23659" s="12"/>
    </row>
    <row r="23660" spans="32:32" x14ac:dyDescent="0.2">
      <c r="AF23660" s="12"/>
    </row>
    <row r="23661" spans="32:32" x14ac:dyDescent="0.2">
      <c r="AF23661" s="12"/>
    </row>
    <row r="23662" spans="32:32" x14ac:dyDescent="0.2">
      <c r="AF23662" s="12"/>
    </row>
    <row r="23663" spans="32:32" x14ac:dyDescent="0.2">
      <c r="AF23663" s="12"/>
    </row>
    <row r="23664" spans="32:32" x14ac:dyDescent="0.2">
      <c r="AF23664" s="12"/>
    </row>
    <row r="23665" spans="32:32" x14ac:dyDescent="0.2">
      <c r="AF23665" s="12"/>
    </row>
    <row r="23666" spans="32:32" x14ac:dyDescent="0.2">
      <c r="AF23666" s="12"/>
    </row>
    <row r="23667" spans="32:32" x14ac:dyDescent="0.2">
      <c r="AF23667" s="12"/>
    </row>
    <row r="23668" spans="32:32" x14ac:dyDescent="0.2">
      <c r="AF23668" s="12"/>
    </row>
    <row r="23669" spans="32:32" x14ac:dyDescent="0.2">
      <c r="AF23669" s="12"/>
    </row>
    <row r="23670" spans="32:32" x14ac:dyDescent="0.2">
      <c r="AF23670" s="12"/>
    </row>
    <row r="23671" spans="32:32" x14ac:dyDescent="0.2">
      <c r="AF23671" s="12"/>
    </row>
    <row r="23672" spans="32:32" x14ac:dyDescent="0.2">
      <c r="AF23672" s="12"/>
    </row>
    <row r="23673" spans="32:32" x14ac:dyDescent="0.2">
      <c r="AF23673" s="12"/>
    </row>
    <row r="23674" spans="32:32" x14ac:dyDescent="0.2">
      <c r="AF23674" s="12"/>
    </row>
    <row r="23675" spans="32:32" x14ac:dyDescent="0.2">
      <c r="AF23675" s="12"/>
    </row>
    <row r="23676" spans="32:32" x14ac:dyDescent="0.2">
      <c r="AF23676" s="12"/>
    </row>
    <row r="23677" spans="32:32" x14ac:dyDescent="0.2">
      <c r="AF23677" s="12"/>
    </row>
    <row r="23678" spans="32:32" x14ac:dyDescent="0.2">
      <c r="AF23678" s="12"/>
    </row>
    <row r="23679" spans="32:32" x14ac:dyDescent="0.2">
      <c r="AF23679" s="12"/>
    </row>
    <row r="23680" spans="32:32" x14ac:dyDescent="0.2">
      <c r="AF23680" s="12"/>
    </row>
    <row r="23681" spans="32:32" x14ac:dyDescent="0.2">
      <c r="AF23681" s="12"/>
    </row>
    <row r="23682" spans="32:32" x14ac:dyDescent="0.2">
      <c r="AF23682" s="12"/>
    </row>
    <row r="23683" spans="32:32" x14ac:dyDescent="0.2">
      <c r="AF23683" s="12"/>
    </row>
    <row r="23684" spans="32:32" x14ac:dyDescent="0.2">
      <c r="AF23684" s="12"/>
    </row>
    <row r="23685" spans="32:32" x14ac:dyDescent="0.2">
      <c r="AF23685" s="12"/>
    </row>
    <row r="23686" spans="32:32" x14ac:dyDescent="0.2">
      <c r="AF23686" s="12"/>
    </row>
    <row r="23687" spans="32:32" x14ac:dyDescent="0.2">
      <c r="AF23687" s="12"/>
    </row>
    <row r="23688" spans="32:32" x14ac:dyDescent="0.2">
      <c r="AF23688" s="12"/>
    </row>
    <row r="23689" spans="32:32" x14ac:dyDescent="0.2">
      <c r="AF23689" s="12"/>
    </row>
    <row r="23690" spans="32:32" x14ac:dyDescent="0.2">
      <c r="AF23690" s="12"/>
    </row>
    <row r="23691" spans="32:32" x14ac:dyDescent="0.2">
      <c r="AF23691" s="12"/>
    </row>
    <row r="23692" spans="32:32" x14ac:dyDescent="0.2">
      <c r="AF23692" s="12"/>
    </row>
    <row r="23693" spans="32:32" x14ac:dyDescent="0.2">
      <c r="AF23693" s="12"/>
    </row>
    <row r="23694" spans="32:32" x14ac:dyDescent="0.2">
      <c r="AF23694" s="12"/>
    </row>
    <row r="23695" spans="32:32" x14ac:dyDescent="0.2">
      <c r="AF23695" s="12"/>
    </row>
    <row r="23696" spans="32:32" x14ac:dyDescent="0.2">
      <c r="AF23696" s="12"/>
    </row>
    <row r="23697" spans="32:32" x14ac:dyDescent="0.2">
      <c r="AF23697" s="12"/>
    </row>
    <row r="23698" spans="32:32" x14ac:dyDescent="0.2">
      <c r="AF23698" s="12"/>
    </row>
    <row r="23699" spans="32:32" x14ac:dyDescent="0.2">
      <c r="AF23699" s="12"/>
    </row>
    <row r="23700" spans="32:32" x14ac:dyDescent="0.2">
      <c r="AF23700" s="12"/>
    </row>
    <row r="23701" spans="32:32" x14ac:dyDescent="0.2">
      <c r="AF23701" s="12"/>
    </row>
    <row r="23702" spans="32:32" x14ac:dyDescent="0.2">
      <c r="AF23702" s="12"/>
    </row>
    <row r="23703" spans="32:32" x14ac:dyDescent="0.2">
      <c r="AF23703" s="12"/>
    </row>
    <row r="23704" spans="32:32" x14ac:dyDescent="0.2">
      <c r="AF23704" s="12"/>
    </row>
    <row r="23705" spans="32:32" x14ac:dyDescent="0.2">
      <c r="AF23705" s="12"/>
    </row>
    <row r="23706" spans="32:32" x14ac:dyDescent="0.2">
      <c r="AF23706" s="12"/>
    </row>
    <row r="23707" spans="32:32" x14ac:dyDescent="0.2">
      <c r="AF23707" s="12"/>
    </row>
    <row r="23708" spans="32:32" x14ac:dyDescent="0.2">
      <c r="AF23708" s="12"/>
    </row>
    <row r="23709" spans="32:32" x14ac:dyDescent="0.2">
      <c r="AF23709" s="12"/>
    </row>
    <row r="23710" spans="32:32" x14ac:dyDescent="0.2">
      <c r="AF23710" s="12"/>
    </row>
    <row r="23711" spans="32:32" x14ac:dyDescent="0.2">
      <c r="AF23711" s="12"/>
    </row>
    <row r="23712" spans="32:32" x14ac:dyDescent="0.2">
      <c r="AF23712" s="12"/>
    </row>
    <row r="23713" spans="32:32" x14ac:dyDescent="0.2">
      <c r="AF23713" s="12"/>
    </row>
    <row r="23714" spans="32:32" x14ac:dyDescent="0.2">
      <c r="AF23714" s="12"/>
    </row>
    <row r="23715" spans="32:32" x14ac:dyDescent="0.2">
      <c r="AF23715" s="12"/>
    </row>
    <row r="23716" spans="32:32" x14ac:dyDescent="0.2">
      <c r="AF23716" s="12"/>
    </row>
    <row r="23717" spans="32:32" x14ac:dyDescent="0.2">
      <c r="AF23717" s="12"/>
    </row>
    <row r="23718" spans="32:32" x14ac:dyDescent="0.2">
      <c r="AF23718" s="12"/>
    </row>
    <row r="23719" spans="32:32" x14ac:dyDescent="0.2">
      <c r="AF23719" s="12"/>
    </row>
    <row r="23720" spans="32:32" x14ac:dyDescent="0.2">
      <c r="AF23720" s="12"/>
    </row>
    <row r="23721" spans="32:32" x14ac:dyDescent="0.2">
      <c r="AF23721" s="12"/>
    </row>
    <row r="23722" spans="32:32" x14ac:dyDescent="0.2">
      <c r="AF23722" s="12"/>
    </row>
    <row r="23723" spans="32:32" x14ac:dyDescent="0.2">
      <c r="AF23723" s="12"/>
    </row>
    <row r="23724" spans="32:32" x14ac:dyDescent="0.2">
      <c r="AF23724" s="12"/>
    </row>
    <row r="23725" spans="32:32" x14ac:dyDescent="0.2">
      <c r="AF23725" s="12"/>
    </row>
    <row r="23726" spans="32:32" x14ac:dyDescent="0.2">
      <c r="AF23726" s="12"/>
    </row>
    <row r="23727" spans="32:32" x14ac:dyDescent="0.2">
      <c r="AF23727" s="12"/>
    </row>
    <row r="23728" spans="32:32" x14ac:dyDescent="0.2">
      <c r="AF23728" s="12"/>
    </row>
    <row r="23729" spans="32:32" x14ac:dyDescent="0.2">
      <c r="AF23729" s="12"/>
    </row>
    <row r="23730" spans="32:32" x14ac:dyDescent="0.2">
      <c r="AF23730" s="12"/>
    </row>
    <row r="23731" spans="32:32" x14ac:dyDescent="0.2">
      <c r="AF23731" s="12"/>
    </row>
    <row r="23732" spans="32:32" x14ac:dyDescent="0.2">
      <c r="AF23732" s="12"/>
    </row>
    <row r="23733" spans="32:32" x14ac:dyDescent="0.2">
      <c r="AF23733" s="12"/>
    </row>
    <row r="23734" spans="32:32" x14ac:dyDescent="0.2">
      <c r="AF23734" s="12"/>
    </row>
    <row r="23735" spans="32:32" x14ac:dyDescent="0.2">
      <c r="AF23735" s="12"/>
    </row>
    <row r="23736" spans="32:32" x14ac:dyDescent="0.2">
      <c r="AF23736" s="12"/>
    </row>
    <row r="23737" spans="32:32" x14ac:dyDescent="0.2">
      <c r="AF23737" s="12"/>
    </row>
    <row r="23738" spans="32:32" x14ac:dyDescent="0.2">
      <c r="AF23738" s="12"/>
    </row>
    <row r="23739" spans="32:32" x14ac:dyDescent="0.2">
      <c r="AF23739" s="12"/>
    </row>
    <row r="23740" spans="32:32" x14ac:dyDescent="0.2">
      <c r="AF23740" s="12"/>
    </row>
    <row r="23741" spans="32:32" x14ac:dyDescent="0.2">
      <c r="AF23741" s="12"/>
    </row>
    <row r="23742" spans="32:32" x14ac:dyDescent="0.2">
      <c r="AF23742" s="12"/>
    </row>
    <row r="23743" spans="32:32" x14ac:dyDescent="0.2">
      <c r="AF23743" s="12"/>
    </row>
    <row r="23744" spans="32:32" x14ac:dyDescent="0.2">
      <c r="AF23744" s="12"/>
    </row>
    <row r="23745" spans="32:32" x14ac:dyDescent="0.2">
      <c r="AF23745" s="12"/>
    </row>
    <row r="23746" spans="32:32" x14ac:dyDescent="0.2">
      <c r="AF23746" s="12"/>
    </row>
    <row r="23747" spans="32:32" x14ac:dyDescent="0.2">
      <c r="AF23747" s="12"/>
    </row>
    <row r="23748" spans="32:32" x14ac:dyDescent="0.2">
      <c r="AF23748" s="12"/>
    </row>
    <row r="23749" spans="32:32" x14ac:dyDescent="0.2">
      <c r="AF23749" s="12"/>
    </row>
    <row r="23750" spans="32:32" x14ac:dyDescent="0.2">
      <c r="AF23750" s="12"/>
    </row>
    <row r="23751" spans="32:32" x14ac:dyDescent="0.2">
      <c r="AF23751" s="12"/>
    </row>
    <row r="23752" spans="32:32" x14ac:dyDescent="0.2">
      <c r="AF23752" s="12"/>
    </row>
    <row r="23753" spans="32:32" x14ac:dyDescent="0.2">
      <c r="AF23753" s="12"/>
    </row>
    <row r="23754" spans="32:32" x14ac:dyDescent="0.2">
      <c r="AF23754" s="12"/>
    </row>
    <row r="23755" spans="32:32" x14ac:dyDescent="0.2">
      <c r="AF23755" s="12"/>
    </row>
    <row r="23756" spans="32:32" x14ac:dyDescent="0.2">
      <c r="AF23756" s="12"/>
    </row>
    <row r="23757" spans="32:32" x14ac:dyDescent="0.2">
      <c r="AF23757" s="12"/>
    </row>
    <row r="23758" spans="32:32" x14ac:dyDescent="0.2">
      <c r="AF23758" s="12"/>
    </row>
    <row r="23759" spans="32:32" x14ac:dyDescent="0.2">
      <c r="AF23759" s="12"/>
    </row>
    <row r="23760" spans="32:32" x14ac:dyDescent="0.2">
      <c r="AF23760" s="12"/>
    </row>
    <row r="23761" spans="32:32" x14ac:dyDescent="0.2">
      <c r="AF23761" s="12"/>
    </row>
    <row r="23762" spans="32:32" x14ac:dyDescent="0.2">
      <c r="AF23762" s="12"/>
    </row>
    <row r="23763" spans="32:32" x14ac:dyDescent="0.2">
      <c r="AF23763" s="12"/>
    </row>
    <row r="23764" spans="32:32" x14ac:dyDescent="0.2">
      <c r="AF23764" s="12"/>
    </row>
    <row r="23765" spans="32:32" x14ac:dyDescent="0.2">
      <c r="AF23765" s="12"/>
    </row>
    <row r="23766" spans="32:32" x14ac:dyDescent="0.2">
      <c r="AF23766" s="12"/>
    </row>
    <row r="23767" spans="32:32" x14ac:dyDescent="0.2">
      <c r="AF23767" s="12"/>
    </row>
    <row r="23768" spans="32:32" x14ac:dyDescent="0.2">
      <c r="AF23768" s="12"/>
    </row>
    <row r="23769" spans="32:32" x14ac:dyDescent="0.2">
      <c r="AF23769" s="12"/>
    </row>
    <row r="23770" spans="32:32" x14ac:dyDescent="0.2">
      <c r="AF23770" s="12"/>
    </row>
    <row r="23771" spans="32:32" x14ac:dyDescent="0.2">
      <c r="AF23771" s="12"/>
    </row>
    <row r="23772" spans="32:32" x14ac:dyDescent="0.2">
      <c r="AF23772" s="12"/>
    </row>
    <row r="23773" spans="32:32" x14ac:dyDescent="0.2">
      <c r="AF23773" s="12"/>
    </row>
    <row r="23774" spans="32:32" x14ac:dyDescent="0.2">
      <c r="AF23774" s="12"/>
    </row>
    <row r="23775" spans="32:32" x14ac:dyDescent="0.2">
      <c r="AF23775" s="12"/>
    </row>
    <row r="23776" spans="32:32" x14ac:dyDescent="0.2">
      <c r="AF23776" s="12"/>
    </row>
    <row r="23777" spans="32:32" x14ac:dyDescent="0.2">
      <c r="AF23777" s="12"/>
    </row>
    <row r="23778" spans="32:32" x14ac:dyDescent="0.2">
      <c r="AF23778" s="12"/>
    </row>
    <row r="23779" spans="32:32" x14ac:dyDescent="0.2">
      <c r="AF23779" s="12"/>
    </row>
    <row r="23780" spans="32:32" x14ac:dyDescent="0.2">
      <c r="AF23780" s="12"/>
    </row>
    <row r="23781" spans="32:32" x14ac:dyDescent="0.2">
      <c r="AF23781" s="12"/>
    </row>
    <row r="23782" spans="32:32" x14ac:dyDescent="0.2">
      <c r="AF23782" s="12"/>
    </row>
    <row r="23783" spans="32:32" x14ac:dyDescent="0.2">
      <c r="AF23783" s="12"/>
    </row>
    <row r="23784" spans="32:32" x14ac:dyDescent="0.2">
      <c r="AF23784" s="12"/>
    </row>
    <row r="23785" spans="32:32" x14ac:dyDescent="0.2">
      <c r="AF23785" s="12"/>
    </row>
    <row r="23786" spans="32:32" x14ac:dyDescent="0.2">
      <c r="AF23786" s="12"/>
    </row>
    <row r="23787" spans="32:32" x14ac:dyDescent="0.2">
      <c r="AF23787" s="12"/>
    </row>
    <row r="23788" spans="32:32" x14ac:dyDescent="0.2">
      <c r="AF23788" s="12"/>
    </row>
    <row r="23789" spans="32:32" x14ac:dyDescent="0.2">
      <c r="AF23789" s="12"/>
    </row>
    <row r="23790" spans="32:32" x14ac:dyDescent="0.2">
      <c r="AF23790" s="12"/>
    </row>
    <row r="23791" spans="32:32" x14ac:dyDescent="0.2">
      <c r="AF23791" s="12"/>
    </row>
    <row r="23792" spans="32:32" x14ac:dyDescent="0.2">
      <c r="AF23792" s="12"/>
    </row>
    <row r="23793" spans="32:32" x14ac:dyDescent="0.2">
      <c r="AF23793" s="12"/>
    </row>
    <row r="23794" spans="32:32" x14ac:dyDescent="0.2">
      <c r="AF23794" s="12"/>
    </row>
    <row r="23795" spans="32:32" x14ac:dyDescent="0.2">
      <c r="AF23795" s="12"/>
    </row>
    <row r="23796" spans="32:32" x14ac:dyDescent="0.2">
      <c r="AF23796" s="12"/>
    </row>
    <row r="23797" spans="32:32" x14ac:dyDescent="0.2">
      <c r="AF23797" s="12"/>
    </row>
    <row r="23798" spans="32:32" x14ac:dyDescent="0.2">
      <c r="AF23798" s="12"/>
    </row>
    <row r="23799" spans="32:32" x14ac:dyDescent="0.2">
      <c r="AF23799" s="12"/>
    </row>
    <row r="23800" spans="32:32" x14ac:dyDescent="0.2">
      <c r="AF23800" s="12"/>
    </row>
    <row r="23801" spans="32:32" x14ac:dyDescent="0.2">
      <c r="AF23801" s="12"/>
    </row>
    <row r="23802" spans="32:32" x14ac:dyDescent="0.2">
      <c r="AF23802" s="12"/>
    </row>
    <row r="23803" spans="32:32" x14ac:dyDescent="0.2">
      <c r="AF23803" s="12"/>
    </row>
    <row r="23804" spans="32:32" x14ac:dyDescent="0.2">
      <c r="AF23804" s="12"/>
    </row>
    <row r="23805" spans="32:32" x14ac:dyDescent="0.2">
      <c r="AF23805" s="12"/>
    </row>
    <row r="23806" spans="32:32" x14ac:dyDescent="0.2">
      <c r="AF23806" s="12"/>
    </row>
    <row r="23807" spans="32:32" x14ac:dyDescent="0.2">
      <c r="AF23807" s="12"/>
    </row>
    <row r="23808" spans="32:32" x14ac:dyDescent="0.2">
      <c r="AF23808" s="12"/>
    </row>
    <row r="23809" spans="32:32" x14ac:dyDescent="0.2">
      <c r="AF23809" s="12"/>
    </row>
    <row r="23810" spans="32:32" x14ac:dyDescent="0.2">
      <c r="AF23810" s="12"/>
    </row>
    <row r="23811" spans="32:32" x14ac:dyDescent="0.2">
      <c r="AF23811" s="12"/>
    </row>
    <row r="23812" spans="32:32" x14ac:dyDescent="0.2">
      <c r="AF23812" s="12"/>
    </row>
    <row r="23813" spans="32:32" x14ac:dyDescent="0.2">
      <c r="AF23813" s="12"/>
    </row>
    <row r="23814" spans="32:32" x14ac:dyDescent="0.2">
      <c r="AF23814" s="12"/>
    </row>
    <row r="23815" spans="32:32" x14ac:dyDescent="0.2">
      <c r="AF23815" s="12"/>
    </row>
    <row r="23816" spans="32:32" x14ac:dyDescent="0.2">
      <c r="AF23816" s="12"/>
    </row>
    <row r="23817" spans="32:32" x14ac:dyDescent="0.2">
      <c r="AF23817" s="12"/>
    </row>
    <row r="23818" spans="32:32" x14ac:dyDescent="0.2">
      <c r="AF23818" s="12"/>
    </row>
    <row r="23819" spans="32:32" x14ac:dyDescent="0.2">
      <c r="AF23819" s="12"/>
    </row>
    <row r="23820" spans="32:32" x14ac:dyDescent="0.2">
      <c r="AF23820" s="12"/>
    </row>
    <row r="23821" spans="32:32" x14ac:dyDescent="0.2">
      <c r="AF23821" s="12"/>
    </row>
    <row r="23822" spans="32:32" x14ac:dyDescent="0.2">
      <c r="AF23822" s="12"/>
    </row>
    <row r="23823" spans="32:32" x14ac:dyDescent="0.2">
      <c r="AF23823" s="12"/>
    </row>
    <row r="23824" spans="32:32" x14ac:dyDescent="0.2">
      <c r="AF23824" s="12"/>
    </row>
    <row r="23825" spans="32:32" x14ac:dyDescent="0.2">
      <c r="AF23825" s="12"/>
    </row>
    <row r="23826" spans="32:32" x14ac:dyDescent="0.2">
      <c r="AF23826" s="12"/>
    </row>
    <row r="23827" spans="32:32" x14ac:dyDescent="0.2">
      <c r="AF23827" s="12"/>
    </row>
    <row r="23828" spans="32:32" x14ac:dyDescent="0.2">
      <c r="AF23828" s="12"/>
    </row>
    <row r="23829" spans="32:32" x14ac:dyDescent="0.2">
      <c r="AF23829" s="12"/>
    </row>
    <row r="23830" spans="32:32" x14ac:dyDescent="0.2">
      <c r="AF23830" s="12"/>
    </row>
    <row r="23831" spans="32:32" x14ac:dyDescent="0.2">
      <c r="AF23831" s="12"/>
    </row>
    <row r="23832" spans="32:32" x14ac:dyDescent="0.2">
      <c r="AF23832" s="12"/>
    </row>
    <row r="23833" spans="32:32" x14ac:dyDescent="0.2">
      <c r="AF23833" s="12"/>
    </row>
    <row r="23834" spans="32:32" x14ac:dyDescent="0.2">
      <c r="AF23834" s="12"/>
    </row>
    <row r="23835" spans="32:32" x14ac:dyDescent="0.2">
      <c r="AF23835" s="12"/>
    </row>
    <row r="23836" spans="32:32" x14ac:dyDescent="0.2">
      <c r="AF23836" s="12"/>
    </row>
    <row r="23837" spans="32:32" x14ac:dyDescent="0.2">
      <c r="AF23837" s="12"/>
    </row>
    <row r="23838" spans="32:32" x14ac:dyDescent="0.2">
      <c r="AF23838" s="12"/>
    </row>
    <row r="23839" spans="32:32" x14ac:dyDescent="0.2">
      <c r="AF23839" s="12"/>
    </row>
    <row r="23840" spans="32:32" x14ac:dyDescent="0.2">
      <c r="AF23840" s="12"/>
    </row>
    <row r="23841" spans="32:32" x14ac:dyDescent="0.2">
      <c r="AF23841" s="12"/>
    </row>
    <row r="23842" spans="32:32" x14ac:dyDescent="0.2">
      <c r="AF23842" s="12"/>
    </row>
    <row r="23843" spans="32:32" x14ac:dyDescent="0.2">
      <c r="AF23843" s="12"/>
    </row>
    <row r="23844" spans="32:32" x14ac:dyDescent="0.2">
      <c r="AF23844" s="12"/>
    </row>
    <row r="23845" spans="32:32" x14ac:dyDescent="0.2">
      <c r="AF23845" s="12"/>
    </row>
    <row r="23846" spans="32:32" x14ac:dyDescent="0.2">
      <c r="AF23846" s="12"/>
    </row>
    <row r="23847" spans="32:32" x14ac:dyDescent="0.2">
      <c r="AF23847" s="12"/>
    </row>
    <row r="23848" spans="32:32" x14ac:dyDescent="0.2">
      <c r="AF23848" s="12"/>
    </row>
    <row r="23849" spans="32:32" x14ac:dyDescent="0.2">
      <c r="AF23849" s="12"/>
    </row>
    <row r="23850" spans="32:32" x14ac:dyDescent="0.2">
      <c r="AF23850" s="12"/>
    </row>
    <row r="23851" spans="32:32" x14ac:dyDescent="0.2">
      <c r="AF23851" s="12"/>
    </row>
    <row r="23852" spans="32:32" x14ac:dyDescent="0.2">
      <c r="AF23852" s="12"/>
    </row>
    <row r="23853" spans="32:32" x14ac:dyDescent="0.2">
      <c r="AF23853" s="12"/>
    </row>
    <row r="23854" spans="32:32" x14ac:dyDescent="0.2">
      <c r="AF23854" s="12"/>
    </row>
    <row r="23855" spans="32:32" x14ac:dyDescent="0.2">
      <c r="AF23855" s="12"/>
    </row>
    <row r="23856" spans="32:32" x14ac:dyDescent="0.2">
      <c r="AF23856" s="12"/>
    </row>
    <row r="23857" spans="32:32" x14ac:dyDescent="0.2">
      <c r="AF23857" s="12"/>
    </row>
    <row r="23858" spans="32:32" x14ac:dyDescent="0.2">
      <c r="AF23858" s="12"/>
    </row>
    <row r="23859" spans="32:32" x14ac:dyDescent="0.2">
      <c r="AF23859" s="12"/>
    </row>
    <row r="23860" spans="32:32" x14ac:dyDescent="0.2">
      <c r="AF23860" s="12"/>
    </row>
    <row r="23861" spans="32:32" x14ac:dyDescent="0.2">
      <c r="AF23861" s="12"/>
    </row>
    <row r="23862" spans="32:32" x14ac:dyDescent="0.2">
      <c r="AF23862" s="12"/>
    </row>
    <row r="23863" spans="32:32" x14ac:dyDescent="0.2">
      <c r="AF23863" s="12"/>
    </row>
    <row r="23864" spans="32:32" x14ac:dyDescent="0.2">
      <c r="AF23864" s="12"/>
    </row>
    <row r="23865" spans="32:32" x14ac:dyDescent="0.2">
      <c r="AF23865" s="12"/>
    </row>
    <row r="23866" spans="32:32" x14ac:dyDescent="0.2">
      <c r="AF23866" s="12"/>
    </row>
    <row r="23867" spans="32:32" x14ac:dyDescent="0.2">
      <c r="AF23867" s="12"/>
    </row>
    <row r="23868" spans="32:32" x14ac:dyDescent="0.2">
      <c r="AF23868" s="12"/>
    </row>
    <row r="23869" spans="32:32" x14ac:dyDescent="0.2">
      <c r="AF23869" s="12"/>
    </row>
    <row r="23870" spans="32:32" x14ac:dyDescent="0.2">
      <c r="AF23870" s="12"/>
    </row>
    <row r="23871" spans="32:32" x14ac:dyDescent="0.2">
      <c r="AF23871" s="12"/>
    </row>
    <row r="23872" spans="32:32" x14ac:dyDescent="0.2">
      <c r="AF23872" s="12"/>
    </row>
    <row r="23873" spans="32:32" x14ac:dyDescent="0.2">
      <c r="AF23873" s="12"/>
    </row>
    <row r="23874" spans="32:32" x14ac:dyDescent="0.2">
      <c r="AF23874" s="12"/>
    </row>
    <row r="23875" spans="32:32" x14ac:dyDescent="0.2">
      <c r="AF23875" s="12"/>
    </row>
    <row r="23876" spans="32:32" x14ac:dyDescent="0.2">
      <c r="AF23876" s="12"/>
    </row>
    <row r="23877" spans="32:32" x14ac:dyDescent="0.2">
      <c r="AF23877" s="12"/>
    </row>
    <row r="23878" spans="32:32" x14ac:dyDescent="0.2">
      <c r="AF23878" s="12"/>
    </row>
    <row r="23879" spans="32:32" x14ac:dyDescent="0.2">
      <c r="AF23879" s="12"/>
    </row>
    <row r="23880" spans="32:32" x14ac:dyDescent="0.2">
      <c r="AF23880" s="12"/>
    </row>
    <row r="23881" spans="32:32" x14ac:dyDescent="0.2">
      <c r="AF23881" s="12"/>
    </row>
    <row r="23882" spans="32:32" x14ac:dyDescent="0.2">
      <c r="AF23882" s="12"/>
    </row>
    <row r="23883" spans="32:32" x14ac:dyDescent="0.2">
      <c r="AF23883" s="12"/>
    </row>
    <row r="23884" spans="32:32" x14ac:dyDescent="0.2">
      <c r="AF23884" s="12"/>
    </row>
    <row r="23885" spans="32:32" x14ac:dyDescent="0.2">
      <c r="AF23885" s="12"/>
    </row>
    <row r="23886" spans="32:32" x14ac:dyDescent="0.2">
      <c r="AF23886" s="12"/>
    </row>
    <row r="23887" spans="32:32" x14ac:dyDescent="0.2">
      <c r="AF23887" s="12"/>
    </row>
    <row r="23888" spans="32:32" x14ac:dyDescent="0.2">
      <c r="AF23888" s="12"/>
    </row>
    <row r="23889" spans="32:32" x14ac:dyDescent="0.2">
      <c r="AF23889" s="12"/>
    </row>
    <row r="23890" spans="32:32" x14ac:dyDescent="0.2">
      <c r="AF23890" s="12"/>
    </row>
    <row r="23891" spans="32:32" x14ac:dyDescent="0.2">
      <c r="AF23891" s="12"/>
    </row>
    <row r="23892" spans="32:32" x14ac:dyDescent="0.2">
      <c r="AF23892" s="12"/>
    </row>
    <row r="23893" spans="32:32" x14ac:dyDescent="0.2">
      <c r="AF23893" s="12"/>
    </row>
    <row r="23894" spans="32:32" x14ac:dyDescent="0.2">
      <c r="AF23894" s="12"/>
    </row>
    <row r="23895" spans="32:32" x14ac:dyDescent="0.2">
      <c r="AF23895" s="12"/>
    </row>
    <row r="23896" spans="32:32" x14ac:dyDescent="0.2">
      <c r="AF23896" s="12"/>
    </row>
    <row r="23897" spans="32:32" x14ac:dyDescent="0.2">
      <c r="AF23897" s="12"/>
    </row>
    <row r="23898" spans="32:32" x14ac:dyDescent="0.2">
      <c r="AF23898" s="12"/>
    </row>
    <row r="23899" spans="32:32" x14ac:dyDescent="0.2">
      <c r="AF23899" s="12"/>
    </row>
    <row r="23900" spans="32:32" x14ac:dyDescent="0.2">
      <c r="AF23900" s="12"/>
    </row>
    <row r="23901" spans="32:32" x14ac:dyDescent="0.2">
      <c r="AF23901" s="12"/>
    </row>
    <row r="23902" spans="32:32" x14ac:dyDescent="0.2">
      <c r="AF23902" s="12"/>
    </row>
    <row r="23903" spans="32:32" x14ac:dyDescent="0.2">
      <c r="AF23903" s="12"/>
    </row>
    <row r="23904" spans="32:32" x14ac:dyDescent="0.2">
      <c r="AF23904" s="12"/>
    </row>
    <row r="23905" spans="32:32" x14ac:dyDescent="0.2">
      <c r="AF23905" s="12"/>
    </row>
    <row r="23906" spans="32:32" x14ac:dyDescent="0.2">
      <c r="AF23906" s="12"/>
    </row>
    <row r="23907" spans="32:32" x14ac:dyDescent="0.2">
      <c r="AF23907" s="12"/>
    </row>
    <row r="23908" spans="32:32" x14ac:dyDescent="0.2">
      <c r="AF23908" s="12"/>
    </row>
    <row r="23909" spans="32:32" x14ac:dyDescent="0.2">
      <c r="AF23909" s="12"/>
    </row>
    <row r="23910" spans="32:32" x14ac:dyDescent="0.2">
      <c r="AF23910" s="12"/>
    </row>
    <row r="23911" spans="32:32" x14ac:dyDescent="0.2">
      <c r="AF23911" s="12"/>
    </row>
    <row r="23912" spans="32:32" x14ac:dyDescent="0.2">
      <c r="AF23912" s="12"/>
    </row>
    <row r="23913" spans="32:32" x14ac:dyDescent="0.2">
      <c r="AF23913" s="12"/>
    </row>
    <row r="23914" spans="32:32" x14ac:dyDescent="0.2">
      <c r="AF23914" s="12"/>
    </row>
    <row r="23915" spans="32:32" x14ac:dyDescent="0.2">
      <c r="AF23915" s="12"/>
    </row>
    <row r="23916" spans="32:32" x14ac:dyDescent="0.2">
      <c r="AF23916" s="12"/>
    </row>
    <row r="23917" spans="32:32" x14ac:dyDescent="0.2">
      <c r="AF23917" s="12"/>
    </row>
    <row r="23918" spans="32:32" x14ac:dyDescent="0.2">
      <c r="AF23918" s="12"/>
    </row>
    <row r="23919" spans="32:32" x14ac:dyDescent="0.2">
      <c r="AF23919" s="12"/>
    </row>
    <row r="23920" spans="32:32" x14ac:dyDescent="0.2">
      <c r="AF23920" s="12"/>
    </row>
    <row r="23921" spans="32:32" x14ac:dyDescent="0.2">
      <c r="AF23921" s="12"/>
    </row>
    <row r="23922" spans="32:32" x14ac:dyDescent="0.2">
      <c r="AF23922" s="12"/>
    </row>
    <row r="23923" spans="32:32" x14ac:dyDescent="0.2">
      <c r="AF23923" s="12"/>
    </row>
    <row r="23924" spans="32:32" x14ac:dyDescent="0.2">
      <c r="AF23924" s="12"/>
    </row>
    <row r="23925" spans="32:32" x14ac:dyDescent="0.2">
      <c r="AF23925" s="12"/>
    </row>
    <row r="23926" spans="32:32" x14ac:dyDescent="0.2">
      <c r="AF23926" s="12"/>
    </row>
    <row r="23927" spans="32:32" x14ac:dyDescent="0.2">
      <c r="AF23927" s="12"/>
    </row>
    <row r="23928" spans="32:32" x14ac:dyDescent="0.2">
      <c r="AF23928" s="12"/>
    </row>
    <row r="23929" spans="32:32" x14ac:dyDescent="0.2">
      <c r="AF23929" s="12"/>
    </row>
    <row r="23930" spans="32:32" x14ac:dyDescent="0.2">
      <c r="AF23930" s="12"/>
    </row>
    <row r="23931" spans="32:32" x14ac:dyDescent="0.2">
      <c r="AF23931" s="12"/>
    </row>
    <row r="23932" spans="32:32" x14ac:dyDescent="0.2">
      <c r="AF23932" s="12"/>
    </row>
    <row r="23933" spans="32:32" x14ac:dyDescent="0.2">
      <c r="AF23933" s="12"/>
    </row>
    <row r="23934" spans="32:32" x14ac:dyDescent="0.2">
      <c r="AF23934" s="12"/>
    </row>
    <row r="23935" spans="32:32" x14ac:dyDescent="0.2">
      <c r="AF23935" s="12"/>
    </row>
    <row r="23936" spans="32:32" x14ac:dyDescent="0.2">
      <c r="AF23936" s="12"/>
    </row>
    <row r="23937" spans="32:32" x14ac:dyDescent="0.2">
      <c r="AF23937" s="12"/>
    </row>
    <row r="23938" spans="32:32" x14ac:dyDescent="0.2">
      <c r="AF23938" s="12"/>
    </row>
    <row r="23939" spans="32:32" x14ac:dyDescent="0.2">
      <c r="AF23939" s="12"/>
    </row>
    <row r="23940" spans="32:32" x14ac:dyDescent="0.2">
      <c r="AF23940" s="12"/>
    </row>
    <row r="23941" spans="32:32" x14ac:dyDescent="0.2">
      <c r="AF23941" s="12"/>
    </row>
    <row r="23942" spans="32:32" x14ac:dyDescent="0.2">
      <c r="AF23942" s="12"/>
    </row>
    <row r="23943" spans="32:32" x14ac:dyDescent="0.2">
      <c r="AF23943" s="12"/>
    </row>
    <row r="23944" spans="32:32" x14ac:dyDescent="0.2">
      <c r="AF23944" s="12"/>
    </row>
    <row r="23945" spans="32:32" x14ac:dyDescent="0.2">
      <c r="AF23945" s="12"/>
    </row>
    <row r="23946" spans="32:32" x14ac:dyDescent="0.2">
      <c r="AF23946" s="12"/>
    </row>
    <row r="23947" spans="32:32" x14ac:dyDescent="0.2">
      <c r="AF23947" s="12"/>
    </row>
    <row r="23948" spans="32:32" x14ac:dyDescent="0.2">
      <c r="AF23948" s="12"/>
    </row>
    <row r="23949" spans="32:32" x14ac:dyDescent="0.2">
      <c r="AF23949" s="12"/>
    </row>
    <row r="23950" spans="32:32" x14ac:dyDescent="0.2">
      <c r="AF23950" s="12"/>
    </row>
    <row r="23951" spans="32:32" x14ac:dyDescent="0.2">
      <c r="AF23951" s="12"/>
    </row>
    <row r="23952" spans="32:32" x14ac:dyDescent="0.2">
      <c r="AF23952" s="12"/>
    </row>
    <row r="23953" spans="32:32" x14ac:dyDescent="0.2">
      <c r="AF23953" s="12"/>
    </row>
    <row r="23954" spans="32:32" x14ac:dyDescent="0.2">
      <c r="AF23954" s="12"/>
    </row>
    <row r="23955" spans="32:32" x14ac:dyDescent="0.2">
      <c r="AF23955" s="12"/>
    </row>
    <row r="23956" spans="32:32" x14ac:dyDescent="0.2">
      <c r="AF23956" s="12"/>
    </row>
    <row r="23957" spans="32:32" x14ac:dyDescent="0.2">
      <c r="AF23957" s="12"/>
    </row>
    <row r="23958" spans="32:32" x14ac:dyDescent="0.2">
      <c r="AF23958" s="12"/>
    </row>
    <row r="23959" spans="32:32" x14ac:dyDescent="0.2">
      <c r="AF23959" s="12"/>
    </row>
    <row r="23960" spans="32:32" x14ac:dyDescent="0.2">
      <c r="AF23960" s="12"/>
    </row>
    <row r="23961" spans="32:32" x14ac:dyDescent="0.2">
      <c r="AF23961" s="12"/>
    </row>
    <row r="23962" spans="32:32" x14ac:dyDescent="0.2">
      <c r="AF23962" s="12"/>
    </row>
    <row r="23963" spans="32:32" x14ac:dyDescent="0.2">
      <c r="AF23963" s="12"/>
    </row>
    <row r="23964" spans="32:32" x14ac:dyDescent="0.2">
      <c r="AF23964" s="12"/>
    </row>
    <row r="23965" spans="32:32" x14ac:dyDescent="0.2">
      <c r="AF23965" s="12"/>
    </row>
    <row r="23966" spans="32:32" x14ac:dyDescent="0.2">
      <c r="AF23966" s="12"/>
    </row>
    <row r="23967" spans="32:32" x14ac:dyDescent="0.2">
      <c r="AF23967" s="12"/>
    </row>
    <row r="23968" spans="32:32" x14ac:dyDescent="0.2">
      <c r="AF23968" s="12"/>
    </row>
    <row r="23969" spans="32:32" x14ac:dyDescent="0.2">
      <c r="AF23969" s="12"/>
    </row>
    <row r="23970" spans="32:32" x14ac:dyDescent="0.2">
      <c r="AF23970" s="12"/>
    </row>
    <row r="23971" spans="32:32" x14ac:dyDescent="0.2">
      <c r="AF23971" s="12"/>
    </row>
    <row r="23972" spans="32:32" x14ac:dyDescent="0.2">
      <c r="AF23972" s="12"/>
    </row>
    <row r="23973" spans="32:32" x14ac:dyDescent="0.2">
      <c r="AF23973" s="12"/>
    </row>
    <row r="23974" spans="32:32" x14ac:dyDescent="0.2">
      <c r="AF23974" s="12"/>
    </row>
    <row r="23975" spans="32:32" x14ac:dyDescent="0.2">
      <c r="AF23975" s="12"/>
    </row>
    <row r="23976" spans="32:32" x14ac:dyDescent="0.2">
      <c r="AF23976" s="12"/>
    </row>
    <row r="23977" spans="32:32" x14ac:dyDescent="0.2">
      <c r="AF23977" s="12"/>
    </row>
    <row r="23978" spans="32:32" x14ac:dyDescent="0.2">
      <c r="AF23978" s="12"/>
    </row>
    <row r="23979" spans="32:32" x14ac:dyDescent="0.2">
      <c r="AF23979" s="12"/>
    </row>
    <row r="23980" spans="32:32" x14ac:dyDescent="0.2">
      <c r="AF23980" s="12"/>
    </row>
    <row r="23981" spans="32:32" x14ac:dyDescent="0.2">
      <c r="AF23981" s="12"/>
    </row>
    <row r="23982" spans="32:32" x14ac:dyDescent="0.2">
      <c r="AF23982" s="12"/>
    </row>
    <row r="23983" spans="32:32" x14ac:dyDescent="0.2">
      <c r="AF23983" s="12"/>
    </row>
    <row r="23984" spans="32:32" x14ac:dyDescent="0.2">
      <c r="AF23984" s="12"/>
    </row>
    <row r="23985" spans="32:32" x14ac:dyDescent="0.2">
      <c r="AF23985" s="12"/>
    </row>
    <row r="23986" spans="32:32" x14ac:dyDescent="0.2">
      <c r="AF23986" s="12"/>
    </row>
    <row r="23987" spans="32:32" x14ac:dyDescent="0.2">
      <c r="AF23987" s="12"/>
    </row>
    <row r="23988" spans="32:32" x14ac:dyDescent="0.2">
      <c r="AF23988" s="12"/>
    </row>
    <row r="23989" spans="32:32" x14ac:dyDescent="0.2">
      <c r="AF23989" s="12"/>
    </row>
    <row r="23990" spans="32:32" x14ac:dyDescent="0.2">
      <c r="AF23990" s="12"/>
    </row>
    <row r="23991" spans="32:32" x14ac:dyDescent="0.2">
      <c r="AF23991" s="12"/>
    </row>
    <row r="23992" spans="32:32" x14ac:dyDescent="0.2">
      <c r="AF23992" s="12"/>
    </row>
    <row r="23993" spans="32:32" x14ac:dyDescent="0.2">
      <c r="AF23993" s="12"/>
    </row>
    <row r="23994" spans="32:32" x14ac:dyDescent="0.2">
      <c r="AF23994" s="12"/>
    </row>
    <row r="23995" spans="32:32" x14ac:dyDescent="0.2">
      <c r="AF23995" s="12"/>
    </row>
    <row r="23996" spans="32:32" x14ac:dyDescent="0.2">
      <c r="AF23996" s="12"/>
    </row>
    <row r="23997" spans="32:32" x14ac:dyDescent="0.2">
      <c r="AF23997" s="12"/>
    </row>
    <row r="23998" spans="32:32" x14ac:dyDescent="0.2">
      <c r="AF23998" s="12"/>
    </row>
    <row r="23999" spans="32:32" x14ac:dyDescent="0.2">
      <c r="AF23999" s="12"/>
    </row>
    <row r="24000" spans="32:32" x14ac:dyDescent="0.2">
      <c r="AF24000" s="12"/>
    </row>
    <row r="24001" spans="32:32" x14ac:dyDescent="0.2">
      <c r="AF24001" s="12"/>
    </row>
    <row r="24002" spans="32:32" x14ac:dyDescent="0.2">
      <c r="AF24002" s="12"/>
    </row>
    <row r="24003" spans="32:32" x14ac:dyDescent="0.2">
      <c r="AF24003" s="12"/>
    </row>
    <row r="24004" spans="32:32" x14ac:dyDescent="0.2">
      <c r="AF24004" s="12"/>
    </row>
    <row r="24005" spans="32:32" x14ac:dyDescent="0.2">
      <c r="AF24005" s="12"/>
    </row>
    <row r="24006" spans="32:32" x14ac:dyDescent="0.2">
      <c r="AF24006" s="12"/>
    </row>
    <row r="24007" spans="32:32" x14ac:dyDescent="0.2">
      <c r="AF24007" s="12"/>
    </row>
    <row r="24008" spans="32:32" x14ac:dyDescent="0.2">
      <c r="AF24008" s="12"/>
    </row>
    <row r="24009" spans="32:32" x14ac:dyDescent="0.2">
      <c r="AF24009" s="12"/>
    </row>
    <row r="24010" spans="32:32" x14ac:dyDescent="0.2">
      <c r="AF24010" s="12"/>
    </row>
    <row r="24011" spans="32:32" x14ac:dyDescent="0.2">
      <c r="AF24011" s="12"/>
    </row>
    <row r="24012" spans="32:32" x14ac:dyDescent="0.2">
      <c r="AF24012" s="12"/>
    </row>
    <row r="24013" spans="32:32" x14ac:dyDescent="0.2">
      <c r="AF24013" s="12"/>
    </row>
    <row r="24014" spans="32:32" x14ac:dyDescent="0.2">
      <c r="AF24014" s="12"/>
    </row>
    <row r="24015" spans="32:32" x14ac:dyDescent="0.2">
      <c r="AF24015" s="12"/>
    </row>
    <row r="24016" spans="32:32" x14ac:dyDescent="0.2">
      <c r="AF24016" s="12"/>
    </row>
    <row r="24017" spans="32:32" x14ac:dyDescent="0.2">
      <c r="AF24017" s="12"/>
    </row>
    <row r="24018" spans="32:32" x14ac:dyDescent="0.2">
      <c r="AF24018" s="12"/>
    </row>
    <row r="24019" spans="32:32" x14ac:dyDescent="0.2">
      <c r="AF24019" s="12"/>
    </row>
    <row r="24020" spans="32:32" x14ac:dyDescent="0.2">
      <c r="AF24020" s="12"/>
    </row>
    <row r="24021" spans="32:32" x14ac:dyDescent="0.2">
      <c r="AF24021" s="12"/>
    </row>
    <row r="24022" spans="32:32" x14ac:dyDescent="0.2">
      <c r="AF24022" s="12"/>
    </row>
    <row r="24023" spans="32:32" x14ac:dyDescent="0.2">
      <c r="AF24023" s="12"/>
    </row>
    <row r="24024" spans="32:32" x14ac:dyDescent="0.2">
      <c r="AF24024" s="12"/>
    </row>
    <row r="24025" spans="32:32" x14ac:dyDescent="0.2">
      <c r="AF24025" s="12"/>
    </row>
    <row r="24026" spans="32:32" x14ac:dyDescent="0.2">
      <c r="AF24026" s="12"/>
    </row>
    <row r="24027" spans="32:32" x14ac:dyDescent="0.2">
      <c r="AF24027" s="12"/>
    </row>
    <row r="24028" spans="32:32" x14ac:dyDescent="0.2">
      <c r="AF24028" s="12"/>
    </row>
    <row r="24029" spans="32:32" x14ac:dyDescent="0.2">
      <c r="AF24029" s="12"/>
    </row>
    <row r="24030" spans="32:32" x14ac:dyDescent="0.2">
      <c r="AF24030" s="12"/>
    </row>
    <row r="24031" spans="32:32" x14ac:dyDescent="0.2">
      <c r="AF24031" s="12"/>
    </row>
    <row r="24032" spans="32:32" x14ac:dyDescent="0.2">
      <c r="AF24032" s="12"/>
    </row>
    <row r="24033" spans="32:32" x14ac:dyDescent="0.2">
      <c r="AF24033" s="12"/>
    </row>
    <row r="24034" spans="32:32" x14ac:dyDescent="0.2">
      <c r="AF24034" s="12"/>
    </row>
    <row r="24035" spans="32:32" x14ac:dyDescent="0.2">
      <c r="AF24035" s="12"/>
    </row>
    <row r="24036" spans="32:32" x14ac:dyDescent="0.2">
      <c r="AF24036" s="12"/>
    </row>
    <row r="24037" spans="32:32" x14ac:dyDescent="0.2">
      <c r="AF24037" s="12"/>
    </row>
    <row r="24038" spans="32:32" x14ac:dyDescent="0.2">
      <c r="AF24038" s="12"/>
    </row>
    <row r="24039" spans="32:32" x14ac:dyDescent="0.2">
      <c r="AF24039" s="12"/>
    </row>
    <row r="24040" spans="32:32" x14ac:dyDescent="0.2">
      <c r="AF24040" s="12"/>
    </row>
    <row r="24041" spans="32:32" x14ac:dyDescent="0.2">
      <c r="AF24041" s="12"/>
    </row>
    <row r="24042" spans="32:32" x14ac:dyDescent="0.2">
      <c r="AF24042" s="12"/>
    </row>
    <row r="24043" spans="32:32" x14ac:dyDescent="0.2">
      <c r="AF24043" s="12"/>
    </row>
    <row r="24044" spans="32:32" x14ac:dyDescent="0.2">
      <c r="AF24044" s="12"/>
    </row>
    <row r="24045" spans="32:32" x14ac:dyDescent="0.2">
      <c r="AF24045" s="12"/>
    </row>
    <row r="24046" spans="32:32" x14ac:dyDescent="0.2">
      <c r="AF24046" s="12"/>
    </row>
    <row r="24047" spans="32:32" x14ac:dyDescent="0.2">
      <c r="AF24047" s="12"/>
    </row>
    <row r="24048" spans="32:32" x14ac:dyDescent="0.2">
      <c r="AF24048" s="12"/>
    </row>
    <row r="24049" spans="32:32" x14ac:dyDescent="0.2">
      <c r="AF24049" s="12"/>
    </row>
    <row r="24050" spans="32:32" x14ac:dyDescent="0.2">
      <c r="AF24050" s="12"/>
    </row>
    <row r="24051" spans="32:32" x14ac:dyDescent="0.2">
      <c r="AF24051" s="12"/>
    </row>
    <row r="24052" spans="32:32" x14ac:dyDescent="0.2">
      <c r="AF24052" s="12"/>
    </row>
    <row r="24053" spans="32:32" x14ac:dyDescent="0.2">
      <c r="AF24053" s="12"/>
    </row>
    <row r="24054" spans="32:32" x14ac:dyDescent="0.2">
      <c r="AF24054" s="12"/>
    </row>
    <row r="24055" spans="32:32" x14ac:dyDescent="0.2">
      <c r="AF24055" s="12"/>
    </row>
    <row r="24056" spans="32:32" x14ac:dyDescent="0.2">
      <c r="AF24056" s="12"/>
    </row>
    <row r="24057" spans="32:32" x14ac:dyDescent="0.2">
      <c r="AF24057" s="12"/>
    </row>
    <row r="24058" spans="32:32" x14ac:dyDescent="0.2">
      <c r="AF24058" s="12"/>
    </row>
    <row r="24059" spans="32:32" x14ac:dyDescent="0.2">
      <c r="AF24059" s="12"/>
    </row>
    <row r="24060" spans="32:32" x14ac:dyDescent="0.2">
      <c r="AF24060" s="12"/>
    </row>
    <row r="24061" spans="32:32" x14ac:dyDescent="0.2">
      <c r="AF24061" s="12"/>
    </row>
    <row r="24062" spans="32:32" x14ac:dyDescent="0.2">
      <c r="AF24062" s="12"/>
    </row>
    <row r="24063" spans="32:32" x14ac:dyDescent="0.2">
      <c r="AF24063" s="12"/>
    </row>
    <row r="24064" spans="32:32" x14ac:dyDescent="0.2">
      <c r="AF24064" s="12"/>
    </row>
    <row r="24065" spans="32:32" x14ac:dyDescent="0.2">
      <c r="AF24065" s="12"/>
    </row>
    <row r="24066" spans="32:32" x14ac:dyDescent="0.2">
      <c r="AF24066" s="12"/>
    </row>
    <row r="24067" spans="32:32" x14ac:dyDescent="0.2">
      <c r="AF24067" s="12"/>
    </row>
    <row r="24068" spans="32:32" x14ac:dyDescent="0.2">
      <c r="AF24068" s="12"/>
    </row>
    <row r="24069" spans="32:32" x14ac:dyDescent="0.2">
      <c r="AF24069" s="12"/>
    </row>
    <row r="24070" spans="32:32" x14ac:dyDescent="0.2">
      <c r="AF24070" s="12"/>
    </row>
    <row r="24071" spans="32:32" x14ac:dyDescent="0.2">
      <c r="AF24071" s="12"/>
    </row>
    <row r="24072" spans="32:32" x14ac:dyDescent="0.2">
      <c r="AF24072" s="12"/>
    </row>
    <row r="24073" spans="32:32" x14ac:dyDescent="0.2">
      <c r="AF24073" s="12"/>
    </row>
    <row r="24074" spans="32:32" x14ac:dyDescent="0.2">
      <c r="AF24074" s="12"/>
    </row>
    <row r="24075" spans="32:32" x14ac:dyDescent="0.2">
      <c r="AF24075" s="12"/>
    </row>
    <row r="24076" spans="32:32" x14ac:dyDescent="0.2">
      <c r="AF24076" s="12"/>
    </row>
    <row r="24077" spans="32:32" x14ac:dyDescent="0.2">
      <c r="AF24077" s="12"/>
    </row>
    <row r="24078" spans="32:32" x14ac:dyDescent="0.2">
      <c r="AF24078" s="12"/>
    </row>
    <row r="24079" spans="32:32" x14ac:dyDescent="0.2">
      <c r="AF24079" s="12"/>
    </row>
    <row r="24080" spans="32:32" x14ac:dyDescent="0.2">
      <c r="AF24080" s="12"/>
    </row>
    <row r="24081" spans="32:32" x14ac:dyDescent="0.2">
      <c r="AF24081" s="12"/>
    </row>
    <row r="24082" spans="32:32" x14ac:dyDescent="0.2">
      <c r="AF24082" s="12"/>
    </row>
    <row r="24083" spans="32:32" x14ac:dyDescent="0.2">
      <c r="AF24083" s="12"/>
    </row>
    <row r="24084" spans="32:32" x14ac:dyDescent="0.2">
      <c r="AF24084" s="12"/>
    </row>
    <row r="24085" spans="32:32" x14ac:dyDescent="0.2">
      <c r="AF24085" s="12"/>
    </row>
    <row r="24086" spans="32:32" x14ac:dyDescent="0.2">
      <c r="AF24086" s="12"/>
    </row>
    <row r="24087" spans="32:32" x14ac:dyDescent="0.2">
      <c r="AF24087" s="12"/>
    </row>
    <row r="24088" spans="32:32" x14ac:dyDescent="0.2">
      <c r="AF24088" s="12"/>
    </row>
    <row r="24089" spans="32:32" x14ac:dyDescent="0.2">
      <c r="AF24089" s="12"/>
    </row>
    <row r="24090" spans="32:32" x14ac:dyDescent="0.2">
      <c r="AF24090" s="12"/>
    </row>
    <row r="24091" spans="32:32" x14ac:dyDescent="0.2">
      <c r="AF24091" s="12"/>
    </row>
    <row r="24092" spans="32:32" x14ac:dyDescent="0.2">
      <c r="AF24092" s="12"/>
    </row>
    <row r="24093" spans="32:32" x14ac:dyDescent="0.2">
      <c r="AF24093" s="12"/>
    </row>
    <row r="24094" spans="32:32" x14ac:dyDescent="0.2">
      <c r="AF24094" s="12"/>
    </row>
    <row r="24095" spans="32:32" x14ac:dyDescent="0.2">
      <c r="AF24095" s="12"/>
    </row>
    <row r="24096" spans="32:32" x14ac:dyDescent="0.2">
      <c r="AF24096" s="12"/>
    </row>
    <row r="24097" spans="32:32" x14ac:dyDescent="0.2">
      <c r="AF24097" s="12"/>
    </row>
    <row r="24098" spans="32:32" x14ac:dyDescent="0.2">
      <c r="AF24098" s="12"/>
    </row>
    <row r="24099" spans="32:32" x14ac:dyDescent="0.2">
      <c r="AF24099" s="12"/>
    </row>
    <row r="24100" spans="32:32" x14ac:dyDescent="0.2">
      <c r="AF24100" s="12"/>
    </row>
    <row r="24101" spans="32:32" x14ac:dyDescent="0.2">
      <c r="AF24101" s="12"/>
    </row>
    <row r="24102" spans="32:32" x14ac:dyDescent="0.2">
      <c r="AF24102" s="12"/>
    </row>
    <row r="24103" spans="32:32" x14ac:dyDescent="0.2">
      <c r="AF24103" s="12"/>
    </row>
    <row r="24104" spans="32:32" x14ac:dyDescent="0.2">
      <c r="AF24104" s="12"/>
    </row>
    <row r="24105" spans="32:32" x14ac:dyDescent="0.2">
      <c r="AF24105" s="12"/>
    </row>
    <row r="24106" spans="32:32" x14ac:dyDescent="0.2">
      <c r="AF24106" s="12"/>
    </row>
    <row r="24107" spans="32:32" x14ac:dyDescent="0.2">
      <c r="AF24107" s="12"/>
    </row>
    <row r="24108" spans="32:32" x14ac:dyDescent="0.2">
      <c r="AF24108" s="12"/>
    </row>
    <row r="24109" spans="32:32" x14ac:dyDescent="0.2">
      <c r="AF24109" s="12"/>
    </row>
    <row r="24110" spans="32:32" x14ac:dyDescent="0.2">
      <c r="AF24110" s="12"/>
    </row>
    <row r="24111" spans="32:32" x14ac:dyDescent="0.2">
      <c r="AF24111" s="12"/>
    </row>
    <row r="24112" spans="32:32" x14ac:dyDescent="0.2">
      <c r="AF24112" s="12"/>
    </row>
    <row r="24113" spans="32:32" x14ac:dyDescent="0.2">
      <c r="AF24113" s="12"/>
    </row>
    <row r="24114" spans="32:32" x14ac:dyDescent="0.2">
      <c r="AF24114" s="12"/>
    </row>
    <row r="24115" spans="32:32" x14ac:dyDescent="0.2">
      <c r="AF24115" s="12"/>
    </row>
    <row r="24116" spans="32:32" x14ac:dyDescent="0.2">
      <c r="AF24116" s="12"/>
    </row>
    <row r="24117" spans="32:32" x14ac:dyDescent="0.2">
      <c r="AF24117" s="12"/>
    </row>
    <row r="24118" spans="32:32" x14ac:dyDescent="0.2">
      <c r="AF24118" s="12"/>
    </row>
    <row r="24119" spans="32:32" x14ac:dyDescent="0.2">
      <c r="AF24119" s="12"/>
    </row>
    <row r="24120" spans="32:32" x14ac:dyDescent="0.2">
      <c r="AF24120" s="12"/>
    </row>
    <row r="24121" spans="32:32" x14ac:dyDescent="0.2">
      <c r="AF24121" s="12"/>
    </row>
    <row r="24122" spans="32:32" x14ac:dyDescent="0.2">
      <c r="AF24122" s="12"/>
    </row>
    <row r="24123" spans="32:32" x14ac:dyDescent="0.2">
      <c r="AF24123" s="12"/>
    </row>
    <row r="24124" spans="32:32" x14ac:dyDescent="0.2">
      <c r="AF24124" s="12"/>
    </row>
    <row r="24125" spans="32:32" x14ac:dyDescent="0.2">
      <c r="AF24125" s="12"/>
    </row>
    <row r="24126" spans="32:32" x14ac:dyDescent="0.2">
      <c r="AF24126" s="12"/>
    </row>
    <row r="24127" spans="32:32" x14ac:dyDescent="0.2">
      <c r="AF24127" s="12"/>
    </row>
    <row r="24128" spans="32:32" x14ac:dyDescent="0.2">
      <c r="AF24128" s="12"/>
    </row>
    <row r="24129" spans="32:32" x14ac:dyDescent="0.2">
      <c r="AF24129" s="12"/>
    </row>
    <row r="24130" spans="32:32" x14ac:dyDescent="0.2">
      <c r="AF24130" s="12"/>
    </row>
    <row r="24131" spans="32:32" x14ac:dyDescent="0.2">
      <c r="AF24131" s="12"/>
    </row>
    <row r="24132" spans="32:32" x14ac:dyDescent="0.2">
      <c r="AF24132" s="12"/>
    </row>
    <row r="24133" spans="32:32" x14ac:dyDescent="0.2">
      <c r="AF24133" s="12"/>
    </row>
    <row r="24134" spans="32:32" x14ac:dyDescent="0.2">
      <c r="AF24134" s="12"/>
    </row>
    <row r="24135" spans="32:32" x14ac:dyDescent="0.2">
      <c r="AF24135" s="12"/>
    </row>
    <row r="24136" spans="32:32" x14ac:dyDescent="0.2">
      <c r="AF24136" s="12"/>
    </row>
    <row r="24137" spans="32:32" x14ac:dyDescent="0.2">
      <c r="AF24137" s="12"/>
    </row>
    <row r="24138" spans="32:32" x14ac:dyDescent="0.2">
      <c r="AF24138" s="12"/>
    </row>
    <row r="24139" spans="32:32" x14ac:dyDescent="0.2">
      <c r="AF24139" s="12"/>
    </row>
    <row r="24140" spans="32:32" x14ac:dyDescent="0.2">
      <c r="AF24140" s="12"/>
    </row>
    <row r="24141" spans="32:32" x14ac:dyDescent="0.2">
      <c r="AF24141" s="12"/>
    </row>
    <row r="24142" spans="32:32" x14ac:dyDescent="0.2">
      <c r="AF24142" s="12"/>
    </row>
    <row r="24143" spans="32:32" x14ac:dyDescent="0.2">
      <c r="AF24143" s="12"/>
    </row>
    <row r="24144" spans="32:32" x14ac:dyDescent="0.2">
      <c r="AF24144" s="12"/>
    </row>
    <row r="24145" spans="32:32" x14ac:dyDescent="0.2">
      <c r="AF24145" s="12"/>
    </row>
    <row r="24146" spans="32:32" x14ac:dyDescent="0.2">
      <c r="AF24146" s="12"/>
    </row>
    <row r="24147" spans="32:32" x14ac:dyDescent="0.2">
      <c r="AF24147" s="12"/>
    </row>
    <row r="24148" spans="32:32" x14ac:dyDescent="0.2">
      <c r="AF24148" s="12"/>
    </row>
    <row r="24149" spans="32:32" x14ac:dyDescent="0.2">
      <c r="AF24149" s="12"/>
    </row>
    <row r="24150" spans="32:32" x14ac:dyDescent="0.2">
      <c r="AF24150" s="12"/>
    </row>
    <row r="24151" spans="32:32" x14ac:dyDescent="0.2">
      <c r="AF24151" s="12"/>
    </row>
    <row r="24152" spans="32:32" x14ac:dyDescent="0.2">
      <c r="AF24152" s="12"/>
    </row>
    <row r="24153" spans="32:32" x14ac:dyDescent="0.2">
      <c r="AF24153" s="12"/>
    </row>
    <row r="24154" spans="32:32" x14ac:dyDescent="0.2">
      <c r="AF24154" s="12"/>
    </row>
    <row r="24155" spans="32:32" x14ac:dyDescent="0.2">
      <c r="AF24155" s="12"/>
    </row>
    <row r="24156" spans="32:32" x14ac:dyDescent="0.2">
      <c r="AF24156" s="12"/>
    </row>
    <row r="24157" spans="32:32" x14ac:dyDescent="0.2">
      <c r="AF24157" s="12"/>
    </row>
    <row r="24158" spans="32:32" x14ac:dyDescent="0.2">
      <c r="AF24158" s="12"/>
    </row>
    <row r="24159" spans="32:32" x14ac:dyDescent="0.2">
      <c r="AF24159" s="12"/>
    </row>
    <row r="24160" spans="32:32" x14ac:dyDescent="0.2">
      <c r="AF24160" s="12"/>
    </row>
    <row r="24161" spans="32:32" x14ac:dyDescent="0.2">
      <c r="AF24161" s="12"/>
    </row>
    <row r="24162" spans="32:32" x14ac:dyDescent="0.2">
      <c r="AF24162" s="12"/>
    </row>
    <row r="24163" spans="32:32" x14ac:dyDescent="0.2">
      <c r="AF24163" s="12"/>
    </row>
    <row r="24164" spans="32:32" x14ac:dyDescent="0.2">
      <c r="AF24164" s="12"/>
    </row>
    <row r="24165" spans="32:32" x14ac:dyDescent="0.2">
      <c r="AF24165" s="12"/>
    </row>
    <row r="24166" spans="32:32" x14ac:dyDescent="0.2">
      <c r="AF24166" s="12"/>
    </row>
    <row r="24167" spans="32:32" x14ac:dyDescent="0.2">
      <c r="AF24167" s="12"/>
    </row>
    <row r="24168" spans="32:32" x14ac:dyDescent="0.2">
      <c r="AF24168" s="12"/>
    </row>
    <row r="24169" spans="32:32" x14ac:dyDescent="0.2">
      <c r="AF24169" s="12"/>
    </row>
    <row r="24170" spans="32:32" x14ac:dyDescent="0.2">
      <c r="AF24170" s="12"/>
    </row>
    <row r="24171" spans="32:32" x14ac:dyDescent="0.2">
      <c r="AF24171" s="12"/>
    </row>
    <row r="24172" spans="32:32" x14ac:dyDescent="0.2">
      <c r="AF24172" s="12"/>
    </row>
    <row r="24173" spans="32:32" x14ac:dyDescent="0.2">
      <c r="AF24173" s="12"/>
    </row>
    <row r="24174" spans="32:32" x14ac:dyDescent="0.2">
      <c r="AF24174" s="12"/>
    </row>
    <row r="24175" spans="32:32" x14ac:dyDescent="0.2">
      <c r="AF24175" s="12"/>
    </row>
    <row r="24176" spans="32:32" x14ac:dyDescent="0.2">
      <c r="AF24176" s="12"/>
    </row>
    <row r="24177" spans="32:32" x14ac:dyDescent="0.2">
      <c r="AF24177" s="12"/>
    </row>
    <row r="24178" spans="32:32" x14ac:dyDescent="0.2">
      <c r="AF24178" s="12"/>
    </row>
    <row r="24179" spans="32:32" x14ac:dyDescent="0.2">
      <c r="AF24179" s="12"/>
    </row>
    <row r="24180" spans="32:32" x14ac:dyDescent="0.2">
      <c r="AF24180" s="12"/>
    </row>
    <row r="24181" spans="32:32" x14ac:dyDescent="0.2">
      <c r="AF24181" s="12"/>
    </row>
    <row r="24182" spans="32:32" x14ac:dyDescent="0.2">
      <c r="AF24182" s="12"/>
    </row>
    <row r="24183" spans="32:32" x14ac:dyDescent="0.2">
      <c r="AF24183" s="12"/>
    </row>
    <row r="24184" spans="32:32" x14ac:dyDescent="0.2">
      <c r="AF24184" s="12"/>
    </row>
    <row r="24185" spans="32:32" x14ac:dyDescent="0.2">
      <c r="AF24185" s="12"/>
    </row>
    <row r="24186" spans="32:32" x14ac:dyDescent="0.2">
      <c r="AF24186" s="12"/>
    </row>
    <row r="24187" spans="32:32" x14ac:dyDescent="0.2">
      <c r="AF24187" s="12"/>
    </row>
    <row r="24188" spans="32:32" x14ac:dyDescent="0.2">
      <c r="AF24188" s="12"/>
    </row>
    <row r="24189" spans="32:32" x14ac:dyDescent="0.2">
      <c r="AF24189" s="12"/>
    </row>
    <row r="24190" spans="32:32" x14ac:dyDescent="0.2">
      <c r="AF24190" s="12"/>
    </row>
    <row r="24191" spans="32:32" x14ac:dyDescent="0.2">
      <c r="AF24191" s="12"/>
    </row>
    <row r="24192" spans="32:32" x14ac:dyDescent="0.2">
      <c r="AF24192" s="12"/>
    </row>
    <row r="24193" spans="32:32" x14ac:dyDescent="0.2">
      <c r="AF24193" s="12"/>
    </row>
    <row r="24194" spans="32:32" x14ac:dyDescent="0.2">
      <c r="AF24194" s="12"/>
    </row>
    <row r="24195" spans="32:32" x14ac:dyDescent="0.2">
      <c r="AF24195" s="12"/>
    </row>
    <row r="24196" spans="32:32" x14ac:dyDescent="0.2">
      <c r="AF24196" s="12"/>
    </row>
    <row r="24197" spans="32:32" x14ac:dyDescent="0.2">
      <c r="AF24197" s="12"/>
    </row>
    <row r="24198" spans="32:32" x14ac:dyDescent="0.2">
      <c r="AF24198" s="12"/>
    </row>
    <row r="24199" spans="32:32" x14ac:dyDescent="0.2">
      <c r="AF24199" s="12"/>
    </row>
    <row r="24200" spans="32:32" x14ac:dyDescent="0.2">
      <c r="AF24200" s="12"/>
    </row>
    <row r="24201" spans="32:32" x14ac:dyDescent="0.2">
      <c r="AF24201" s="12"/>
    </row>
    <row r="24202" spans="32:32" x14ac:dyDescent="0.2">
      <c r="AF24202" s="12"/>
    </row>
    <row r="24203" spans="32:32" x14ac:dyDescent="0.2">
      <c r="AF24203" s="12"/>
    </row>
    <row r="24204" spans="32:32" x14ac:dyDescent="0.2">
      <c r="AF24204" s="12"/>
    </row>
    <row r="24205" spans="32:32" x14ac:dyDescent="0.2">
      <c r="AF24205" s="12"/>
    </row>
    <row r="24206" spans="32:32" x14ac:dyDescent="0.2">
      <c r="AF24206" s="12"/>
    </row>
    <row r="24207" spans="32:32" x14ac:dyDescent="0.2">
      <c r="AF24207" s="12"/>
    </row>
    <row r="24208" spans="32:32" x14ac:dyDescent="0.2">
      <c r="AF24208" s="12"/>
    </row>
    <row r="24209" spans="32:32" x14ac:dyDescent="0.2">
      <c r="AF24209" s="12"/>
    </row>
    <row r="24210" spans="32:32" x14ac:dyDescent="0.2">
      <c r="AF24210" s="12"/>
    </row>
    <row r="24211" spans="32:32" x14ac:dyDescent="0.2">
      <c r="AF24211" s="12"/>
    </row>
    <row r="24212" spans="32:32" x14ac:dyDescent="0.2">
      <c r="AF24212" s="12"/>
    </row>
    <row r="24213" spans="32:32" x14ac:dyDescent="0.2">
      <c r="AF24213" s="12"/>
    </row>
    <row r="24214" spans="32:32" x14ac:dyDescent="0.2">
      <c r="AF24214" s="12"/>
    </row>
    <row r="24215" spans="32:32" x14ac:dyDescent="0.2">
      <c r="AF24215" s="12"/>
    </row>
    <row r="24216" spans="32:32" x14ac:dyDescent="0.2">
      <c r="AF24216" s="12"/>
    </row>
    <row r="24217" spans="32:32" x14ac:dyDescent="0.2">
      <c r="AF24217" s="12"/>
    </row>
    <row r="24218" spans="32:32" x14ac:dyDescent="0.2">
      <c r="AF24218" s="12"/>
    </row>
    <row r="24219" spans="32:32" x14ac:dyDescent="0.2">
      <c r="AF24219" s="12"/>
    </row>
    <row r="24220" spans="32:32" x14ac:dyDescent="0.2">
      <c r="AF24220" s="12"/>
    </row>
    <row r="24221" spans="32:32" x14ac:dyDescent="0.2">
      <c r="AF24221" s="12"/>
    </row>
    <row r="24222" spans="32:32" x14ac:dyDescent="0.2">
      <c r="AF24222" s="12"/>
    </row>
    <row r="24223" spans="32:32" x14ac:dyDescent="0.2">
      <c r="AF24223" s="12"/>
    </row>
    <row r="24224" spans="32:32" x14ac:dyDescent="0.2">
      <c r="AF24224" s="12"/>
    </row>
    <row r="24225" spans="32:32" x14ac:dyDescent="0.2">
      <c r="AF24225" s="12"/>
    </row>
    <row r="24226" spans="32:32" x14ac:dyDescent="0.2">
      <c r="AF24226" s="12"/>
    </row>
    <row r="24227" spans="32:32" x14ac:dyDescent="0.2">
      <c r="AF24227" s="12"/>
    </row>
    <row r="24228" spans="32:32" x14ac:dyDescent="0.2">
      <c r="AF24228" s="12"/>
    </row>
    <row r="24229" spans="32:32" x14ac:dyDescent="0.2">
      <c r="AF24229" s="12"/>
    </row>
    <row r="24230" spans="32:32" x14ac:dyDescent="0.2">
      <c r="AF24230" s="12"/>
    </row>
    <row r="24231" spans="32:32" x14ac:dyDescent="0.2">
      <c r="AF24231" s="12"/>
    </row>
    <row r="24232" spans="32:32" x14ac:dyDescent="0.2">
      <c r="AF24232" s="12"/>
    </row>
    <row r="24233" spans="32:32" x14ac:dyDescent="0.2">
      <c r="AF24233" s="12"/>
    </row>
    <row r="24234" spans="32:32" x14ac:dyDescent="0.2">
      <c r="AF24234" s="12"/>
    </row>
    <row r="24235" spans="32:32" x14ac:dyDescent="0.2">
      <c r="AF24235" s="12"/>
    </row>
    <row r="24236" spans="32:32" x14ac:dyDescent="0.2">
      <c r="AF24236" s="12"/>
    </row>
    <row r="24237" spans="32:32" x14ac:dyDescent="0.2">
      <c r="AF24237" s="12"/>
    </row>
    <row r="24238" spans="32:32" x14ac:dyDescent="0.2">
      <c r="AF24238" s="12"/>
    </row>
    <row r="24239" spans="32:32" x14ac:dyDescent="0.2">
      <c r="AF24239" s="12"/>
    </row>
    <row r="24240" spans="32:32" x14ac:dyDescent="0.2">
      <c r="AF24240" s="12"/>
    </row>
    <row r="24241" spans="32:32" x14ac:dyDescent="0.2">
      <c r="AF24241" s="12"/>
    </row>
    <row r="24242" spans="32:32" x14ac:dyDescent="0.2">
      <c r="AF24242" s="12"/>
    </row>
    <row r="24243" spans="32:32" x14ac:dyDescent="0.2">
      <c r="AF24243" s="12"/>
    </row>
    <row r="24244" spans="32:32" x14ac:dyDescent="0.2">
      <c r="AF24244" s="12"/>
    </row>
    <row r="24245" spans="32:32" x14ac:dyDescent="0.2">
      <c r="AF24245" s="12"/>
    </row>
    <row r="24246" spans="32:32" x14ac:dyDescent="0.2">
      <c r="AF24246" s="12"/>
    </row>
    <row r="24247" spans="32:32" x14ac:dyDescent="0.2">
      <c r="AF24247" s="12"/>
    </row>
    <row r="24248" spans="32:32" x14ac:dyDescent="0.2">
      <c r="AF24248" s="12"/>
    </row>
    <row r="24249" spans="32:32" x14ac:dyDescent="0.2">
      <c r="AF24249" s="12"/>
    </row>
    <row r="24250" spans="32:32" x14ac:dyDescent="0.2">
      <c r="AF24250" s="12"/>
    </row>
    <row r="24251" spans="32:32" x14ac:dyDescent="0.2">
      <c r="AF24251" s="12"/>
    </row>
    <row r="24252" spans="32:32" x14ac:dyDescent="0.2">
      <c r="AF24252" s="12"/>
    </row>
    <row r="24253" spans="32:32" x14ac:dyDescent="0.2">
      <c r="AF24253" s="12"/>
    </row>
    <row r="24254" spans="32:32" x14ac:dyDescent="0.2">
      <c r="AF24254" s="12"/>
    </row>
    <row r="24255" spans="32:32" x14ac:dyDescent="0.2">
      <c r="AF24255" s="12"/>
    </row>
    <row r="24256" spans="32:32" x14ac:dyDescent="0.2">
      <c r="AF24256" s="12"/>
    </row>
    <row r="24257" spans="32:32" x14ac:dyDescent="0.2">
      <c r="AF24257" s="12"/>
    </row>
    <row r="24258" spans="32:32" x14ac:dyDescent="0.2">
      <c r="AF24258" s="12"/>
    </row>
    <row r="24259" spans="32:32" x14ac:dyDescent="0.2">
      <c r="AF24259" s="12"/>
    </row>
    <row r="24260" spans="32:32" x14ac:dyDescent="0.2">
      <c r="AF24260" s="12"/>
    </row>
    <row r="24261" spans="32:32" x14ac:dyDescent="0.2">
      <c r="AF24261" s="12"/>
    </row>
    <row r="24262" spans="32:32" x14ac:dyDescent="0.2">
      <c r="AF24262" s="12"/>
    </row>
    <row r="24263" spans="32:32" x14ac:dyDescent="0.2">
      <c r="AF24263" s="12"/>
    </row>
    <row r="24264" spans="32:32" x14ac:dyDescent="0.2">
      <c r="AF24264" s="12"/>
    </row>
    <row r="24265" spans="32:32" x14ac:dyDescent="0.2">
      <c r="AF24265" s="12"/>
    </row>
    <row r="24266" spans="32:32" x14ac:dyDescent="0.2">
      <c r="AF24266" s="12"/>
    </row>
    <row r="24267" spans="32:32" x14ac:dyDescent="0.2">
      <c r="AF24267" s="12"/>
    </row>
    <row r="24268" spans="32:32" x14ac:dyDescent="0.2">
      <c r="AF24268" s="12"/>
    </row>
    <row r="24269" spans="32:32" x14ac:dyDescent="0.2">
      <c r="AF24269" s="12"/>
    </row>
    <row r="24270" spans="32:32" x14ac:dyDescent="0.2">
      <c r="AF24270" s="12"/>
    </row>
    <row r="24271" spans="32:32" x14ac:dyDescent="0.2">
      <c r="AF24271" s="12"/>
    </row>
    <row r="24272" spans="32:32" x14ac:dyDescent="0.2">
      <c r="AF24272" s="12"/>
    </row>
    <row r="24273" spans="32:32" x14ac:dyDescent="0.2">
      <c r="AF24273" s="12"/>
    </row>
    <row r="24274" spans="32:32" x14ac:dyDescent="0.2">
      <c r="AF24274" s="12"/>
    </row>
    <row r="24275" spans="32:32" x14ac:dyDescent="0.2">
      <c r="AF24275" s="12"/>
    </row>
    <row r="24276" spans="32:32" x14ac:dyDescent="0.2">
      <c r="AF24276" s="12"/>
    </row>
    <row r="24277" spans="32:32" x14ac:dyDescent="0.2">
      <c r="AF24277" s="12"/>
    </row>
    <row r="24278" spans="32:32" x14ac:dyDescent="0.2">
      <c r="AF24278" s="12"/>
    </row>
    <row r="24279" spans="32:32" x14ac:dyDescent="0.2">
      <c r="AF24279" s="12"/>
    </row>
    <row r="24280" spans="32:32" x14ac:dyDescent="0.2">
      <c r="AF24280" s="12"/>
    </row>
    <row r="24281" spans="32:32" x14ac:dyDescent="0.2">
      <c r="AF24281" s="12"/>
    </row>
    <row r="24282" spans="32:32" x14ac:dyDescent="0.2">
      <c r="AF24282" s="12"/>
    </row>
    <row r="24283" spans="32:32" x14ac:dyDescent="0.2">
      <c r="AF24283" s="12"/>
    </row>
    <row r="24284" spans="32:32" x14ac:dyDescent="0.2">
      <c r="AF24284" s="12"/>
    </row>
    <row r="24285" spans="32:32" x14ac:dyDescent="0.2">
      <c r="AF24285" s="12"/>
    </row>
    <row r="24286" spans="32:32" x14ac:dyDescent="0.2">
      <c r="AF24286" s="12"/>
    </row>
    <row r="24287" spans="32:32" x14ac:dyDescent="0.2">
      <c r="AF24287" s="12"/>
    </row>
    <row r="24288" spans="32:32" x14ac:dyDescent="0.2">
      <c r="AF24288" s="12"/>
    </row>
    <row r="24289" spans="32:32" x14ac:dyDescent="0.2">
      <c r="AF24289" s="12"/>
    </row>
    <row r="24290" spans="32:32" x14ac:dyDescent="0.2">
      <c r="AF24290" s="12"/>
    </row>
    <row r="24291" spans="32:32" x14ac:dyDescent="0.2">
      <c r="AF24291" s="12"/>
    </row>
    <row r="24292" spans="32:32" x14ac:dyDescent="0.2">
      <c r="AF24292" s="12"/>
    </row>
    <row r="24293" spans="32:32" x14ac:dyDescent="0.2">
      <c r="AF24293" s="12"/>
    </row>
    <row r="24294" spans="32:32" x14ac:dyDescent="0.2">
      <c r="AF24294" s="12"/>
    </row>
    <row r="24295" spans="32:32" x14ac:dyDescent="0.2">
      <c r="AF24295" s="12"/>
    </row>
    <row r="24296" spans="32:32" x14ac:dyDescent="0.2">
      <c r="AF24296" s="12"/>
    </row>
    <row r="24297" spans="32:32" x14ac:dyDescent="0.2">
      <c r="AF24297" s="12"/>
    </row>
    <row r="24298" spans="32:32" x14ac:dyDescent="0.2">
      <c r="AF24298" s="12"/>
    </row>
    <row r="24299" spans="32:32" x14ac:dyDescent="0.2">
      <c r="AF24299" s="12"/>
    </row>
    <row r="24300" spans="32:32" x14ac:dyDescent="0.2">
      <c r="AF24300" s="12"/>
    </row>
    <row r="24301" spans="32:32" x14ac:dyDescent="0.2">
      <c r="AF24301" s="12"/>
    </row>
    <row r="24302" spans="32:32" x14ac:dyDescent="0.2">
      <c r="AF24302" s="12"/>
    </row>
    <row r="24303" spans="32:32" x14ac:dyDescent="0.2">
      <c r="AF24303" s="12"/>
    </row>
    <row r="24304" spans="32:32" x14ac:dyDescent="0.2">
      <c r="AF24304" s="12"/>
    </row>
    <row r="24305" spans="32:32" x14ac:dyDescent="0.2">
      <c r="AF24305" s="12"/>
    </row>
    <row r="24306" spans="32:32" x14ac:dyDescent="0.2">
      <c r="AF24306" s="12"/>
    </row>
    <row r="24307" spans="32:32" x14ac:dyDescent="0.2">
      <c r="AF24307" s="12"/>
    </row>
    <row r="24308" spans="32:32" x14ac:dyDescent="0.2">
      <c r="AF24308" s="12"/>
    </row>
    <row r="24309" spans="32:32" x14ac:dyDescent="0.2">
      <c r="AF24309" s="12"/>
    </row>
    <row r="24310" spans="32:32" x14ac:dyDescent="0.2">
      <c r="AF24310" s="12"/>
    </row>
    <row r="24311" spans="32:32" x14ac:dyDescent="0.2">
      <c r="AF24311" s="12"/>
    </row>
    <row r="24312" spans="32:32" x14ac:dyDescent="0.2">
      <c r="AF24312" s="12"/>
    </row>
    <row r="24313" spans="32:32" x14ac:dyDescent="0.2">
      <c r="AF24313" s="12"/>
    </row>
    <row r="24314" spans="32:32" x14ac:dyDescent="0.2">
      <c r="AF24314" s="12"/>
    </row>
    <row r="24315" spans="32:32" x14ac:dyDescent="0.2">
      <c r="AF24315" s="12"/>
    </row>
    <row r="24316" spans="32:32" x14ac:dyDescent="0.2">
      <c r="AF24316" s="12"/>
    </row>
    <row r="24317" spans="32:32" x14ac:dyDescent="0.2">
      <c r="AF24317" s="12"/>
    </row>
    <row r="24318" spans="32:32" x14ac:dyDescent="0.2">
      <c r="AF24318" s="12"/>
    </row>
    <row r="24319" spans="32:32" x14ac:dyDescent="0.2">
      <c r="AF24319" s="12"/>
    </row>
    <row r="24320" spans="32:32" x14ac:dyDescent="0.2">
      <c r="AF24320" s="12"/>
    </row>
    <row r="24321" spans="32:32" x14ac:dyDescent="0.2">
      <c r="AF24321" s="12"/>
    </row>
    <row r="24322" spans="32:32" x14ac:dyDescent="0.2">
      <c r="AF24322" s="12"/>
    </row>
    <row r="24323" spans="32:32" x14ac:dyDescent="0.2">
      <c r="AF24323" s="12"/>
    </row>
    <row r="24324" spans="32:32" x14ac:dyDescent="0.2">
      <c r="AF24324" s="12"/>
    </row>
    <row r="24325" spans="32:32" x14ac:dyDescent="0.2">
      <c r="AF24325" s="12"/>
    </row>
    <row r="24326" spans="32:32" x14ac:dyDescent="0.2">
      <c r="AF24326" s="12"/>
    </row>
    <row r="24327" spans="32:32" x14ac:dyDescent="0.2">
      <c r="AF24327" s="12"/>
    </row>
    <row r="24328" spans="32:32" x14ac:dyDescent="0.2">
      <c r="AF24328" s="12"/>
    </row>
    <row r="24329" spans="32:32" x14ac:dyDescent="0.2">
      <c r="AF24329" s="12"/>
    </row>
    <row r="24330" spans="32:32" x14ac:dyDescent="0.2">
      <c r="AF24330" s="12"/>
    </row>
    <row r="24331" spans="32:32" x14ac:dyDescent="0.2">
      <c r="AF24331" s="12"/>
    </row>
    <row r="24332" spans="32:32" x14ac:dyDescent="0.2">
      <c r="AF24332" s="12"/>
    </row>
    <row r="24333" spans="32:32" x14ac:dyDescent="0.2">
      <c r="AF24333" s="12"/>
    </row>
    <row r="24334" spans="32:32" x14ac:dyDescent="0.2">
      <c r="AF24334" s="12"/>
    </row>
    <row r="24335" spans="32:32" x14ac:dyDescent="0.2">
      <c r="AF24335" s="12"/>
    </row>
    <row r="24336" spans="32:32" x14ac:dyDescent="0.2">
      <c r="AF24336" s="12"/>
    </row>
    <row r="24337" spans="32:32" x14ac:dyDescent="0.2">
      <c r="AF24337" s="12"/>
    </row>
    <row r="24338" spans="32:32" x14ac:dyDescent="0.2">
      <c r="AF24338" s="12"/>
    </row>
    <row r="24339" spans="32:32" x14ac:dyDescent="0.2">
      <c r="AF24339" s="12"/>
    </row>
    <row r="24340" spans="32:32" x14ac:dyDescent="0.2">
      <c r="AF24340" s="12"/>
    </row>
    <row r="24341" spans="32:32" x14ac:dyDescent="0.2">
      <c r="AF24341" s="12"/>
    </row>
    <row r="24342" spans="32:32" x14ac:dyDescent="0.2">
      <c r="AF24342" s="12"/>
    </row>
    <row r="24343" spans="32:32" x14ac:dyDescent="0.2">
      <c r="AF24343" s="12"/>
    </row>
    <row r="24344" spans="32:32" x14ac:dyDescent="0.2">
      <c r="AF24344" s="12"/>
    </row>
    <row r="24345" spans="32:32" x14ac:dyDescent="0.2">
      <c r="AF24345" s="12"/>
    </row>
    <row r="24346" spans="32:32" x14ac:dyDescent="0.2">
      <c r="AF24346" s="12"/>
    </row>
    <row r="24347" spans="32:32" x14ac:dyDescent="0.2">
      <c r="AF24347" s="12"/>
    </row>
    <row r="24348" spans="32:32" x14ac:dyDescent="0.2">
      <c r="AF24348" s="12"/>
    </row>
    <row r="24349" spans="32:32" x14ac:dyDescent="0.2">
      <c r="AF24349" s="12"/>
    </row>
    <row r="24350" spans="32:32" x14ac:dyDescent="0.2">
      <c r="AF24350" s="12"/>
    </row>
    <row r="24351" spans="32:32" x14ac:dyDescent="0.2">
      <c r="AF24351" s="12"/>
    </row>
    <row r="24352" spans="32:32" x14ac:dyDescent="0.2">
      <c r="AF24352" s="12"/>
    </row>
    <row r="24353" spans="32:32" x14ac:dyDescent="0.2">
      <c r="AF24353" s="12"/>
    </row>
    <row r="24354" spans="32:32" x14ac:dyDescent="0.2">
      <c r="AF24354" s="12"/>
    </row>
    <row r="24355" spans="32:32" x14ac:dyDescent="0.2">
      <c r="AF24355" s="12"/>
    </row>
    <row r="24356" spans="32:32" x14ac:dyDescent="0.2">
      <c r="AF24356" s="12"/>
    </row>
    <row r="24357" spans="32:32" x14ac:dyDescent="0.2">
      <c r="AF24357" s="12"/>
    </row>
    <row r="24358" spans="32:32" x14ac:dyDescent="0.2">
      <c r="AF24358" s="12"/>
    </row>
    <row r="24359" spans="32:32" x14ac:dyDescent="0.2">
      <c r="AF24359" s="12"/>
    </row>
    <row r="24360" spans="32:32" x14ac:dyDescent="0.2">
      <c r="AF24360" s="12"/>
    </row>
    <row r="24361" spans="32:32" x14ac:dyDescent="0.2">
      <c r="AF24361" s="12"/>
    </row>
    <row r="24362" spans="32:32" x14ac:dyDescent="0.2">
      <c r="AF24362" s="12"/>
    </row>
    <row r="24363" spans="32:32" x14ac:dyDescent="0.2">
      <c r="AF24363" s="12"/>
    </row>
    <row r="24364" spans="32:32" x14ac:dyDescent="0.2">
      <c r="AF24364" s="12"/>
    </row>
    <row r="24365" spans="32:32" x14ac:dyDescent="0.2">
      <c r="AF24365" s="12"/>
    </row>
    <row r="24366" spans="32:32" x14ac:dyDescent="0.2">
      <c r="AF24366" s="12"/>
    </row>
    <row r="24367" spans="32:32" x14ac:dyDescent="0.2">
      <c r="AF24367" s="12"/>
    </row>
    <row r="24368" spans="32:32" x14ac:dyDescent="0.2">
      <c r="AF24368" s="12"/>
    </row>
    <row r="24369" spans="32:32" x14ac:dyDescent="0.2">
      <c r="AF24369" s="12"/>
    </row>
    <row r="24370" spans="32:32" x14ac:dyDescent="0.2">
      <c r="AF24370" s="12"/>
    </row>
    <row r="24371" spans="32:32" x14ac:dyDescent="0.2">
      <c r="AF24371" s="12"/>
    </row>
    <row r="24372" spans="32:32" x14ac:dyDescent="0.2">
      <c r="AF24372" s="12"/>
    </row>
    <row r="24373" spans="32:32" x14ac:dyDescent="0.2">
      <c r="AF24373" s="12"/>
    </row>
    <row r="24374" spans="32:32" x14ac:dyDescent="0.2">
      <c r="AF24374" s="12"/>
    </row>
    <row r="24375" spans="32:32" x14ac:dyDescent="0.2">
      <c r="AF24375" s="12"/>
    </row>
    <row r="24376" spans="32:32" x14ac:dyDescent="0.2">
      <c r="AF24376" s="12"/>
    </row>
    <row r="24377" spans="32:32" x14ac:dyDescent="0.2">
      <c r="AF24377" s="12"/>
    </row>
    <row r="24378" spans="32:32" x14ac:dyDescent="0.2">
      <c r="AF24378" s="12"/>
    </row>
    <row r="24379" spans="32:32" x14ac:dyDescent="0.2">
      <c r="AF24379" s="12"/>
    </row>
    <row r="24380" spans="32:32" x14ac:dyDescent="0.2">
      <c r="AF24380" s="12"/>
    </row>
    <row r="24381" spans="32:32" x14ac:dyDescent="0.2">
      <c r="AF24381" s="12"/>
    </row>
    <row r="24382" spans="32:32" x14ac:dyDescent="0.2">
      <c r="AF24382" s="12"/>
    </row>
    <row r="24383" spans="32:32" x14ac:dyDescent="0.2">
      <c r="AF24383" s="12"/>
    </row>
    <row r="24384" spans="32:32" x14ac:dyDescent="0.2">
      <c r="AF24384" s="12"/>
    </row>
    <row r="24385" spans="32:32" x14ac:dyDescent="0.2">
      <c r="AF24385" s="12"/>
    </row>
    <row r="24386" spans="32:32" x14ac:dyDescent="0.2">
      <c r="AF24386" s="12"/>
    </row>
    <row r="24387" spans="32:32" x14ac:dyDescent="0.2">
      <c r="AF24387" s="12"/>
    </row>
    <row r="24388" spans="32:32" x14ac:dyDescent="0.2">
      <c r="AF24388" s="12"/>
    </row>
    <row r="24389" spans="32:32" x14ac:dyDescent="0.2">
      <c r="AF24389" s="12"/>
    </row>
    <row r="24390" spans="32:32" x14ac:dyDescent="0.2">
      <c r="AF24390" s="12"/>
    </row>
    <row r="24391" spans="32:32" x14ac:dyDescent="0.2">
      <c r="AF24391" s="12"/>
    </row>
    <row r="24392" spans="32:32" x14ac:dyDescent="0.2">
      <c r="AF24392" s="12"/>
    </row>
    <row r="24393" spans="32:32" x14ac:dyDescent="0.2">
      <c r="AF24393" s="12"/>
    </row>
    <row r="24394" spans="32:32" x14ac:dyDescent="0.2">
      <c r="AF24394" s="12"/>
    </row>
    <row r="24395" spans="32:32" x14ac:dyDescent="0.2">
      <c r="AF24395" s="12"/>
    </row>
    <row r="24396" spans="32:32" x14ac:dyDescent="0.2">
      <c r="AF24396" s="12"/>
    </row>
    <row r="24397" spans="32:32" x14ac:dyDescent="0.2">
      <c r="AF24397" s="12"/>
    </row>
    <row r="24398" spans="32:32" x14ac:dyDescent="0.2">
      <c r="AF24398" s="12"/>
    </row>
    <row r="24399" spans="32:32" x14ac:dyDescent="0.2">
      <c r="AF24399" s="12"/>
    </row>
    <row r="24400" spans="32:32" x14ac:dyDescent="0.2">
      <c r="AF24400" s="12"/>
    </row>
    <row r="24401" spans="32:32" x14ac:dyDescent="0.2">
      <c r="AF24401" s="12"/>
    </row>
    <row r="24402" spans="32:32" x14ac:dyDescent="0.2">
      <c r="AF24402" s="12"/>
    </row>
    <row r="24403" spans="32:32" x14ac:dyDescent="0.2">
      <c r="AF24403" s="12"/>
    </row>
    <row r="24404" spans="32:32" x14ac:dyDescent="0.2">
      <c r="AF24404" s="12"/>
    </row>
    <row r="24405" spans="32:32" x14ac:dyDescent="0.2">
      <c r="AF24405" s="12"/>
    </row>
    <row r="24406" spans="32:32" x14ac:dyDescent="0.2">
      <c r="AF24406" s="12"/>
    </row>
    <row r="24407" spans="32:32" x14ac:dyDescent="0.2">
      <c r="AF24407" s="12"/>
    </row>
    <row r="24408" spans="32:32" x14ac:dyDescent="0.2">
      <c r="AF24408" s="12"/>
    </row>
    <row r="24409" spans="32:32" x14ac:dyDescent="0.2">
      <c r="AF24409" s="12"/>
    </row>
    <row r="24410" spans="32:32" x14ac:dyDescent="0.2">
      <c r="AF24410" s="12"/>
    </row>
    <row r="24411" spans="32:32" x14ac:dyDescent="0.2">
      <c r="AF24411" s="12"/>
    </row>
    <row r="24412" spans="32:32" x14ac:dyDescent="0.2">
      <c r="AF24412" s="12"/>
    </row>
    <row r="24413" spans="32:32" x14ac:dyDescent="0.2">
      <c r="AF24413" s="12"/>
    </row>
    <row r="24414" spans="32:32" x14ac:dyDescent="0.2">
      <c r="AF24414" s="12"/>
    </row>
    <row r="24415" spans="32:32" x14ac:dyDescent="0.2">
      <c r="AF24415" s="12"/>
    </row>
    <row r="24416" spans="32:32" x14ac:dyDescent="0.2">
      <c r="AF24416" s="12"/>
    </row>
    <row r="24417" spans="32:32" x14ac:dyDescent="0.2">
      <c r="AF24417" s="12"/>
    </row>
    <row r="24418" spans="32:32" x14ac:dyDescent="0.2">
      <c r="AF24418" s="12"/>
    </row>
    <row r="24419" spans="32:32" x14ac:dyDescent="0.2">
      <c r="AF24419" s="12"/>
    </row>
    <row r="24420" spans="32:32" x14ac:dyDescent="0.2">
      <c r="AF24420" s="12"/>
    </row>
    <row r="24421" spans="32:32" x14ac:dyDescent="0.2">
      <c r="AF24421" s="12"/>
    </row>
    <row r="24422" spans="32:32" x14ac:dyDescent="0.2">
      <c r="AF24422" s="12"/>
    </row>
    <row r="24423" spans="32:32" x14ac:dyDescent="0.2">
      <c r="AF24423" s="12"/>
    </row>
    <row r="24424" spans="32:32" x14ac:dyDescent="0.2">
      <c r="AF24424" s="12"/>
    </row>
    <row r="24425" spans="32:32" x14ac:dyDescent="0.2">
      <c r="AF24425" s="12"/>
    </row>
    <row r="24426" spans="32:32" x14ac:dyDescent="0.2">
      <c r="AF24426" s="12"/>
    </row>
    <row r="24427" spans="32:32" x14ac:dyDescent="0.2">
      <c r="AF24427" s="12"/>
    </row>
    <row r="24428" spans="32:32" x14ac:dyDescent="0.2">
      <c r="AF24428" s="12"/>
    </row>
    <row r="24429" spans="32:32" x14ac:dyDescent="0.2">
      <c r="AF24429" s="12"/>
    </row>
    <row r="24430" spans="32:32" x14ac:dyDescent="0.2">
      <c r="AF24430" s="12"/>
    </row>
    <row r="24431" spans="32:32" x14ac:dyDescent="0.2">
      <c r="AF24431" s="12"/>
    </row>
    <row r="24432" spans="32:32" x14ac:dyDescent="0.2">
      <c r="AF24432" s="12"/>
    </row>
    <row r="24433" spans="32:32" x14ac:dyDescent="0.2">
      <c r="AF24433" s="12"/>
    </row>
    <row r="24434" spans="32:32" x14ac:dyDescent="0.2">
      <c r="AF24434" s="12"/>
    </row>
    <row r="24435" spans="32:32" x14ac:dyDescent="0.2">
      <c r="AF24435" s="12"/>
    </row>
    <row r="24436" spans="32:32" x14ac:dyDescent="0.2">
      <c r="AF24436" s="12"/>
    </row>
    <row r="24437" spans="32:32" x14ac:dyDescent="0.2">
      <c r="AF24437" s="12"/>
    </row>
    <row r="24438" spans="32:32" x14ac:dyDescent="0.2">
      <c r="AF24438" s="12"/>
    </row>
    <row r="24439" spans="32:32" x14ac:dyDescent="0.2">
      <c r="AF24439" s="12"/>
    </row>
    <row r="24440" spans="32:32" x14ac:dyDescent="0.2">
      <c r="AF24440" s="12"/>
    </row>
    <row r="24441" spans="32:32" x14ac:dyDescent="0.2">
      <c r="AF24441" s="12"/>
    </row>
    <row r="24442" spans="32:32" x14ac:dyDescent="0.2">
      <c r="AF24442" s="12"/>
    </row>
    <row r="24443" spans="32:32" x14ac:dyDescent="0.2">
      <c r="AF24443" s="12"/>
    </row>
    <row r="24444" spans="32:32" x14ac:dyDescent="0.2">
      <c r="AF24444" s="12"/>
    </row>
    <row r="24445" spans="32:32" x14ac:dyDescent="0.2">
      <c r="AF24445" s="12"/>
    </row>
    <row r="24446" spans="32:32" x14ac:dyDescent="0.2">
      <c r="AF24446" s="12"/>
    </row>
    <row r="24447" spans="32:32" x14ac:dyDescent="0.2">
      <c r="AF24447" s="12"/>
    </row>
    <row r="24448" spans="32:32" x14ac:dyDescent="0.2">
      <c r="AF24448" s="12"/>
    </row>
    <row r="24449" spans="32:32" x14ac:dyDescent="0.2">
      <c r="AF24449" s="12"/>
    </row>
    <row r="24450" spans="32:32" x14ac:dyDescent="0.2">
      <c r="AF24450" s="12"/>
    </row>
    <row r="24451" spans="32:32" x14ac:dyDescent="0.2">
      <c r="AF24451" s="12"/>
    </row>
    <row r="24452" spans="32:32" x14ac:dyDescent="0.2">
      <c r="AF24452" s="12"/>
    </row>
    <row r="24453" spans="32:32" x14ac:dyDescent="0.2">
      <c r="AF24453" s="12"/>
    </row>
    <row r="24454" spans="32:32" x14ac:dyDescent="0.2">
      <c r="AF24454" s="12"/>
    </row>
    <row r="24455" spans="32:32" x14ac:dyDescent="0.2">
      <c r="AF24455" s="12"/>
    </row>
    <row r="24456" spans="32:32" x14ac:dyDescent="0.2">
      <c r="AF24456" s="12"/>
    </row>
    <row r="24457" spans="32:32" x14ac:dyDescent="0.2">
      <c r="AF24457" s="12"/>
    </row>
    <row r="24458" spans="32:32" x14ac:dyDescent="0.2">
      <c r="AF24458" s="12"/>
    </row>
    <row r="24459" spans="32:32" x14ac:dyDescent="0.2">
      <c r="AF24459" s="12"/>
    </row>
    <row r="24460" spans="32:32" x14ac:dyDescent="0.2">
      <c r="AF24460" s="12"/>
    </row>
    <row r="24461" spans="32:32" x14ac:dyDescent="0.2">
      <c r="AF24461" s="12"/>
    </row>
    <row r="24462" spans="32:32" x14ac:dyDescent="0.2">
      <c r="AF24462" s="12"/>
    </row>
    <row r="24463" spans="32:32" x14ac:dyDescent="0.2">
      <c r="AF24463" s="12"/>
    </row>
    <row r="24464" spans="32:32" x14ac:dyDescent="0.2">
      <c r="AF24464" s="12"/>
    </row>
    <row r="24465" spans="32:32" x14ac:dyDescent="0.2">
      <c r="AF24465" s="12"/>
    </row>
    <row r="24466" spans="32:32" x14ac:dyDescent="0.2">
      <c r="AF24466" s="12"/>
    </row>
    <row r="24467" spans="32:32" x14ac:dyDescent="0.2">
      <c r="AF24467" s="12"/>
    </row>
    <row r="24468" spans="32:32" x14ac:dyDescent="0.2">
      <c r="AF24468" s="12"/>
    </row>
    <row r="24469" spans="32:32" x14ac:dyDescent="0.2">
      <c r="AF24469" s="12"/>
    </row>
    <row r="24470" spans="32:32" x14ac:dyDescent="0.2">
      <c r="AF24470" s="12"/>
    </row>
    <row r="24471" spans="32:32" x14ac:dyDescent="0.2">
      <c r="AF24471" s="12"/>
    </row>
    <row r="24472" spans="32:32" x14ac:dyDescent="0.2">
      <c r="AF24472" s="12"/>
    </row>
    <row r="24473" spans="32:32" x14ac:dyDescent="0.2">
      <c r="AF24473" s="12"/>
    </row>
    <row r="24474" spans="32:32" x14ac:dyDescent="0.2">
      <c r="AF24474" s="12"/>
    </row>
    <row r="24475" spans="32:32" x14ac:dyDescent="0.2">
      <c r="AF24475" s="12"/>
    </row>
    <row r="24476" spans="32:32" x14ac:dyDescent="0.2">
      <c r="AF24476" s="12"/>
    </row>
    <row r="24477" spans="32:32" x14ac:dyDescent="0.2">
      <c r="AF24477" s="12"/>
    </row>
    <row r="24478" spans="32:32" x14ac:dyDescent="0.2">
      <c r="AF24478" s="12"/>
    </row>
    <row r="24479" spans="32:32" x14ac:dyDescent="0.2">
      <c r="AF24479" s="12"/>
    </row>
    <row r="24480" spans="32:32" x14ac:dyDescent="0.2">
      <c r="AF24480" s="12"/>
    </row>
    <row r="24481" spans="32:32" x14ac:dyDescent="0.2">
      <c r="AF24481" s="12"/>
    </row>
    <row r="24482" spans="32:32" x14ac:dyDescent="0.2">
      <c r="AF24482" s="12"/>
    </row>
    <row r="24483" spans="32:32" x14ac:dyDescent="0.2">
      <c r="AF24483" s="12"/>
    </row>
    <row r="24484" spans="32:32" x14ac:dyDescent="0.2">
      <c r="AF24484" s="12"/>
    </row>
    <row r="24485" spans="32:32" x14ac:dyDescent="0.2">
      <c r="AF24485" s="12"/>
    </row>
    <row r="24486" spans="32:32" x14ac:dyDescent="0.2">
      <c r="AF24486" s="12"/>
    </row>
    <row r="24487" spans="32:32" x14ac:dyDescent="0.2">
      <c r="AF24487" s="12"/>
    </row>
    <row r="24488" spans="32:32" x14ac:dyDescent="0.2">
      <c r="AF24488" s="12"/>
    </row>
    <row r="24489" spans="32:32" x14ac:dyDescent="0.2">
      <c r="AF24489" s="12"/>
    </row>
    <row r="24490" spans="32:32" x14ac:dyDescent="0.2">
      <c r="AF24490" s="12"/>
    </row>
    <row r="24491" spans="32:32" x14ac:dyDescent="0.2">
      <c r="AF24491" s="12"/>
    </row>
    <row r="24492" spans="32:32" x14ac:dyDescent="0.2">
      <c r="AF24492" s="12"/>
    </row>
    <row r="24493" spans="32:32" x14ac:dyDescent="0.2">
      <c r="AF24493" s="12"/>
    </row>
    <row r="24494" spans="32:32" x14ac:dyDescent="0.2">
      <c r="AF24494" s="12"/>
    </row>
    <row r="24495" spans="32:32" x14ac:dyDescent="0.2">
      <c r="AF24495" s="12"/>
    </row>
    <row r="24496" spans="32:32" x14ac:dyDescent="0.2">
      <c r="AF24496" s="12"/>
    </row>
    <row r="24497" spans="32:32" x14ac:dyDescent="0.2">
      <c r="AF24497" s="12"/>
    </row>
    <row r="24498" spans="32:32" x14ac:dyDescent="0.2">
      <c r="AF24498" s="12"/>
    </row>
    <row r="24499" spans="32:32" x14ac:dyDescent="0.2">
      <c r="AF24499" s="12"/>
    </row>
    <row r="24500" spans="32:32" x14ac:dyDescent="0.2">
      <c r="AF24500" s="12"/>
    </row>
    <row r="24501" spans="32:32" x14ac:dyDescent="0.2">
      <c r="AF24501" s="12"/>
    </row>
    <row r="24502" spans="32:32" x14ac:dyDescent="0.2">
      <c r="AF24502" s="12"/>
    </row>
    <row r="24503" spans="32:32" x14ac:dyDescent="0.2">
      <c r="AF24503" s="12"/>
    </row>
    <row r="24504" spans="32:32" x14ac:dyDescent="0.2">
      <c r="AF24504" s="12"/>
    </row>
    <row r="24505" spans="32:32" x14ac:dyDescent="0.2">
      <c r="AF24505" s="12"/>
    </row>
    <row r="24506" spans="32:32" x14ac:dyDescent="0.2">
      <c r="AF24506" s="12"/>
    </row>
    <row r="24507" spans="32:32" x14ac:dyDescent="0.2">
      <c r="AF24507" s="12"/>
    </row>
    <row r="24508" spans="32:32" x14ac:dyDescent="0.2">
      <c r="AF24508" s="12"/>
    </row>
    <row r="24509" spans="32:32" x14ac:dyDescent="0.2">
      <c r="AF24509" s="12"/>
    </row>
    <row r="24510" spans="32:32" x14ac:dyDescent="0.2">
      <c r="AF24510" s="12"/>
    </row>
    <row r="24511" spans="32:32" x14ac:dyDescent="0.2">
      <c r="AF24511" s="12"/>
    </row>
    <row r="24512" spans="32:32" x14ac:dyDescent="0.2">
      <c r="AF24512" s="12"/>
    </row>
    <row r="24513" spans="32:32" x14ac:dyDescent="0.2">
      <c r="AF24513" s="12"/>
    </row>
    <row r="24514" spans="32:32" x14ac:dyDescent="0.2">
      <c r="AF24514" s="12"/>
    </row>
    <row r="24515" spans="32:32" x14ac:dyDescent="0.2">
      <c r="AF24515" s="12"/>
    </row>
    <row r="24516" spans="32:32" x14ac:dyDescent="0.2">
      <c r="AF24516" s="12"/>
    </row>
    <row r="24517" spans="32:32" x14ac:dyDescent="0.2">
      <c r="AF24517" s="12"/>
    </row>
    <row r="24518" spans="32:32" x14ac:dyDescent="0.2">
      <c r="AF24518" s="12"/>
    </row>
    <row r="24519" spans="32:32" x14ac:dyDescent="0.2">
      <c r="AF24519" s="12"/>
    </row>
    <row r="24520" spans="32:32" x14ac:dyDescent="0.2">
      <c r="AF24520" s="12"/>
    </row>
    <row r="24521" spans="32:32" x14ac:dyDescent="0.2">
      <c r="AF24521" s="12"/>
    </row>
    <row r="24522" spans="32:32" x14ac:dyDescent="0.2">
      <c r="AF24522" s="12"/>
    </row>
    <row r="24523" spans="32:32" x14ac:dyDescent="0.2">
      <c r="AF24523" s="12"/>
    </row>
    <row r="24524" spans="32:32" x14ac:dyDescent="0.2">
      <c r="AF24524" s="12"/>
    </row>
    <row r="24525" spans="32:32" x14ac:dyDescent="0.2">
      <c r="AF24525" s="12"/>
    </row>
    <row r="24526" spans="32:32" x14ac:dyDescent="0.2">
      <c r="AF24526" s="12"/>
    </row>
    <row r="24527" spans="32:32" x14ac:dyDescent="0.2">
      <c r="AF24527" s="12"/>
    </row>
    <row r="24528" spans="32:32" x14ac:dyDescent="0.2">
      <c r="AF24528" s="12"/>
    </row>
    <row r="24529" spans="32:32" x14ac:dyDescent="0.2">
      <c r="AF24529" s="12"/>
    </row>
    <row r="24530" spans="32:32" x14ac:dyDescent="0.2">
      <c r="AF24530" s="12"/>
    </row>
    <row r="24531" spans="32:32" x14ac:dyDescent="0.2">
      <c r="AF24531" s="12"/>
    </row>
    <row r="24532" spans="32:32" x14ac:dyDescent="0.2">
      <c r="AF24532" s="12"/>
    </row>
    <row r="24533" spans="32:32" x14ac:dyDescent="0.2">
      <c r="AF24533" s="12"/>
    </row>
    <row r="24534" spans="32:32" x14ac:dyDescent="0.2">
      <c r="AF24534" s="12"/>
    </row>
    <row r="24535" spans="32:32" x14ac:dyDescent="0.2">
      <c r="AF24535" s="12"/>
    </row>
    <row r="24536" spans="32:32" x14ac:dyDescent="0.2">
      <c r="AF24536" s="12"/>
    </row>
    <row r="24537" spans="32:32" x14ac:dyDescent="0.2">
      <c r="AF24537" s="12"/>
    </row>
    <row r="24538" spans="32:32" x14ac:dyDescent="0.2">
      <c r="AF24538" s="12"/>
    </row>
    <row r="24539" spans="32:32" x14ac:dyDescent="0.2">
      <c r="AF24539" s="12"/>
    </row>
    <row r="24540" spans="32:32" x14ac:dyDescent="0.2">
      <c r="AF24540" s="12"/>
    </row>
    <row r="24541" spans="32:32" x14ac:dyDescent="0.2">
      <c r="AF24541" s="12"/>
    </row>
    <row r="24542" spans="32:32" x14ac:dyDescent="0.2">
      <c r="AF24542" s="12"/>
    </row>
    <row r="24543" spans="32:32" x14ac:dyDescent="0.2">
      <c r="AF24543" s="12"/>
    </row>
    <row r="24544" spans="32:32" x14ac:dyDescent="0.2">
      <c r="AF24544" s="12"/>
    </row>
    <row r="24545" spans="32:32" x14ac:dyDescent="0.2">
      <c r="AF24545" s="12"/>
    </row>
    <row r="24546" spans="32:32" x14ac:dyDescent="0.2">
      <c r="AF24546" s="12"/>
    </row>
    <row r="24547" spans="32:32" x14ac:dyDescent="0.2">
      <c r="AF24547" s="12"/>
    </row>
    <row r="24548" spans="32:32" x14ac:dyDescent="0.2">
      <c r="AF24548" s="12"/>
    </row>
    <row r="24549" spans="32:32" x14ac:dyDescent="0.2">
      <c r="AF24549" s="12"/>
    </row>
    <row r="24550" spans="32:32" x14ac:dyDescent="0.2">
      <c r="AF24550" s="12"/>
    </row>
    <row r="24551" spans="32:32" x14ac:dyDescent="0.2">
      <c r="AF24551" s="12"/>
    </row>
    <row r="24552" spans="32:32" x14ac:dyDescent="0.2">
      <c r="AF24552" s="12"/>
    </row>
    <row r="24553" spans="32:32" x14ac:dyDescent="0.2">
      <c r="AF24553" s="12"/>
    </row>
    <row r="24554" spans="32:32" x14ac:dyDescent="0.2">
      <c r="AF24554" s="12"/>
    </row>
    <row r="24555" spans="32:32" x14ac:dyDescent="0.2">
      <c r="AF24555" s="12"/>
    </row>
    <row r="24556" spans="32:32" x14ac:dyDescent="0.2">
      <c r="AF24556" s="12"/>
    </row>
    <row r="24557" spans="32:32" x14ac:dyDescent="0.2">
      <c r="AF24557" s="12"/>
    </row>
    <row r="24558" spans="32:32" x14ac:dyDescent="0.2">
      <c r="AF24558" s="12"/>
    </row>
    <row r="24559" spans="32:32" x14ac:dyDescent="0.2">
      <c r="AF24559" s="12"/>
    </row>
    <row r="24560" spans="32:32" x14ac:dyDescent="0.2">
      <c r="AF24560" s="12"/>
    </row>
    <row r="24561" spans="32:32" x14ac:dyDescent="0.2">
      <c r="AF24561" s="12"/>
    </row>
    <row r="24562" spans="32:32" x14ac:dyDescent="0.2">
      <c r="AF24562" s="12"/>
    </row>
    <row r="24563" spans="32:32" x14ac:dyDescent="0.2">
      <c r="AF24563" s="12"/>
    </row>
    <row r="24564" spans="32:32" x14ac:dyDescent="0.2">
      <c r="AF24564" s="12"/>
    </row>
    <row r="24565" spans="32:32" x14ac:dyDescent="0.2">
      <c r="AF24565" s="12"/>
    </row>
    <row r="24566" spans="32:32" x14ac:dyDescent="0.2">
      <c r="AF24566" s="12"/>
    </row>
    <row r="24567" spans="32:32" x14ac:dyDescent="0.2">
      <c r="AF24567" s="12"/>
    </row>
    <row r="24568" spans="32:32" x14ac:dyDescent="0.2">
      <c r="AF24568" s="12"/>
    </row>
    <row r="24569" spans="32:32" x14ac:dyDescent="0.2">
      <c r="AF24569" s="12"/>
    </row>
    <row r="24570" spans="32:32" x14ac:dyDescent="0.2">
      <c r="AF24570" s="12"/>
    </row>
    <row r="24571" spans="32:32" x14ac:dyDescent="0.2">
      <c r="AF24571" s="12"/>
    </row>
    <row r="24572" spans="32:32" x14ac:dyDescent="0.2">
      <c r="AF24572" s="12"/>
    </row>
    <row r="24573" spans="32:32" x14ac:dyDescent="0.2">
      <c r="AF24573" s="12"/>
    </row>
    <row r="24574" spans="32:32" x14ac:dyDescent="0.2">
      <c r="AF24574" s="12"/>
    </row>
    <row r="24575" spans="32:32" x14ac:dyDescent="0.2">
      <c r="AF24575" s="12"/>
    </row>
    <row r="24576" spans="32:32" x14ac:dyDescent="0.2">
      <c r="AF24576" s="12"/>
    </row>
    <row r="24577" spans="32:32" x14ac:dyDescent="0.2">
      <c r="AF24577" s="12"/>
    </row>
    <row r="24578" spans="32:32" x14ac:dyDescent="0.2">
      <c r="AF24578" s="12"/>
    </row>
    <row r="24579" spans="32:32" x14ac:dyDescent="0.2">
      <c r="AF24579" s="12"/>
    </row>
    <row r="24580" spans="32:32" x14ac:dyDescent="0.2">
      <c r="AF24580" s="12"/>
    </row>
    <row r="24581" spans="32:32" x14ac:dyDescent="0.2">
      <c r="AF24581" s="12"/>
    </row>
    <row r="24582" spans="32:32" x14ac:dyDescent="0.2">
      <c r="AF24582" s="12"/>
    </row>
    <row r="24583" spans="32:32" x14ac:dyDescent="0.2">
      <c r="AF24583" s="12"/>
    </row>
    <row r="24584" spans="32:32" x14ac:dyDescent="0.2">
      <c r="AF24584" s="12"/>
    </row>
    <row r="24585" spans="32:32" x14ac:dyDescent="0.2">
      <c r="AF24585" s="12"/>
    </row>
    <row r="24586" spans="32:32" x14ac:dyDescent="0.2">
      <c r="AF24586" s="12"/>
    </row>
    <row r="24587" spans="32:32" x14ac:dyDescent="0.2">
      <c r="AF24587" s="12"/>
    </row>
    <row r="24588" spans="32:32" x14ac:dyDescent="0.2">
      <c r="AF24588" s="12"/>
    </row>
    <row r="24589" spans="32:32" x14ac:dyDescent="0.2">
      <c r="AF24589" s="12"/>
    </row>
    <row r="24590" spans="32:32" x14ac:dyDescent="0.2">
      <c r="AF24590" s="12"/>
    </row>
    <row r="24591" spans="32:32" x14ac:dyDescent="0.2">
      <c r="AF24591" s="12"/>
    </row>
    <row r="24592" spans="32:32" x14ac:dyDescent="0.2">
      <c r="AF24592" s="12"/>
    </row>
    <row r="24593" spans="32:32" x14ac:dyDescent="0.2">
      <c r="AF24593" s="12"/>
    </row>
    <row r="24594" spans="32:32" x14ac:dyDescent="0.2">
      <c r="AF24594" s="12"/>
    </row>
    <row r="24595" spans="32:32" x14ac:dyDescent="0.2">
      <c r="AF24595" s="12"/>
    </row>
    <row r="24596" spans="32:32" x14ac:dyDescent="0.2">
      <c r="AF24596" s="12"/>
    </row>
    <row r="24597" spans="32:32" x14ac:dyDescent="0.2">
      <c r="AF24597" s="12"/>
    </row>
    <row r="24598" spans="32:32" x14ac:dyDescent="0.2">
      <c r="AF24598" s="12"/>
    </row>
    <row r="24599" spans="32:32" x14ac:dyDescent="0.2">
      <c r="AF24599" s="12"/>
    </row>
    <row r="24600" spans="32:32" x14ac:dyDescent="0.2">
      <c r="AF24600" s="12"/>
    </row>
    <row r="24601" spans="32:32" x14ac:dyDescent="0.2">
      <c r="AF24601" s="12"/>
    </row>
    <row r="24602" spans="32:32" x14ac:dyDescent="0.2">
      <c r="AF24602" s="12"/>
    </row>
    <row r="24603" spans="32:32" x14ac:dyDescent="0.2">
      <c r="AF24603" s="12"/>
    </row>
    <row r="24604" spans="32:32" x14ac:dyDescent="0.2">
      <c r="AF24604" s="12"/>
    </row>
    <row r="24605" spans="32:32" x14ac:dyDescent="0.2">
      <c r="AF24605" s="12"/>
    </row>
    <row r="24606" spans="32:32" x14ac:dyDescent="0.2">
      <c r="AF24606" s="12"/>
    </row>
    <row r="24607" spans="32:32" x14ac:dyDescent="0.2">
      <c r="AF24607" s="12"/>
    </row>
    <row r="24608" spans="32:32" x14ac:dyDescent="0.2">
      <c r="AF24608" s="12"/>
    </row>
    <row r="24609" spans="32:32" x14ac:dyDescent="0.2">
      <c r="AF24609" s="12"/>
    </row>
    <row r="24610" spans="32:32" x14ac:dyDescent="0.2">
      <c r="AF24610" s="12"/>
    </row>
    <row r="24611" spans="32:32" x14ac:dyDescent="0.2">
      <c r="AF24611" s="12"/>
    </row>
    <row r="24612" spans="32:32" x14ac:dyDescent="0.2">
      <c r="AF24612" s="12"/>
    </row>
    <row r="24613" spans="32:32" x14ac:dyDescent="0.2">
      <c r="AF24613" s="12"/>
    </row>
    <row r="24614" spans="32:32" x14ac:dyDescent="0.2">
      <c r="AF24614" s="12"/>
    </row>
    <row r="24615" spans="32:32" x14ac:dyDescent="0.2">
      <c r="AF24615" s="12"/>
    </row>
    <row r="24616" spans="32:32" x14ac:dyDescent="0.2">
      <c r="AF24616" s="12"/>
    </row>
    <row r="24617" spans="32:32" x14ac:dyDescent="0.2">
      <c r="AF24617" s="12"/>
    </row>
    <row r="24618" spans="32:32" x14ac:dyDescent="0.2">
      <c r="AF24618" s="12"/>
    </row>
    <row r="24619" spans="32:32" x14ac:dyDescent="0.2">
      <c r="AF24619" s="12"/>
    </row>
    <row r="24620" spans="32:32" x14ac:dyDescent="0.2">
      <c r="AF24620" s="12"/>
    </row>
    <row r="24621" spans="32:32" x14ac:dyDescent="0.2">
      <c r="AF24621" s="12"/>
    </row>
    <row r="24622" spans="32:32" x14ac:dyDescent="0.2">
      <c r="AF24622" s="12"/>
    </row>
    <row r="24623" spans="32:32" x14ac:dyDescent="0.2">
      <c r="AF24623" s="12"/>
    </row>
    <row r="24624" spans="32:32" x14ac:dyDescent="0.2">
      <c r="AF24624" s="12"/>
    </row>
    <row r="24625" spans="32:32" x14ac:dyDescent="0.2">
      <c r="AF24625" s="12"/>
    </row>
    <row r="24626" spans="32:32" x14ac:dyDescent="0.2">
      <c r="AF24626" s="12"/>
    </row>
    <row r="24627" spans="32:32" x14ac:dyDescent="0.2">
      <c r="AF24627" s="12"/>
    </row>
    <row r="24628" spans="32:32" x14ac:dyDescent="0.2">
      <c r="AF24628" s="12"/>
    </row>
    <row r="24629" spans="32:32" x14ac:dyDescent="0.2">
      <c r="AF24629" s="12"/>
    </row>
    <row r="24630" spans="32:32" x14ac:dyDescent="0.2">
      <c r="AF24630" s="12"/>
    </row>
    <row r="24631" spans="32:32" x14ac:dyDescent="0.2">
      <c r="AF24631" s="12"/>
    </row>
    <row r="24632" spans="32:32" x14ac:dyDescent="0.2">
      <c r="AF24632" s="12"/>
    </row>
    <row r="24633" spans="32:32" x14ac:dyDescent="0.2">
      <c r="AF24633" s="12"/>
    </row>
    <row r="24634" spans="32:32" x14ac:dyDescent="0.2">
      <c r="AF24634" s="12"/>
    </row>
    <row r="24635" spans="32:32" x14ac:dyDescent="0.2">
      <c r="AF24635" s="12"/>
    </row>
    <row r="24636" spans="32:32" x14ac:dyDescent="0.2">
      <c r="AF24636" s="12"/>
    </row>
    <row r="24637" spans="32:32" x14ac:dyDescent="0.2">
      <c r="AF24637" s="12"/>
    </row>
    <row r="24638" spans="32:32" x14ac:dyDescent="0.2">
      <c r="AF24638" s="12"/>
    </row>
    <row r="24639" spans="32:32" x14ac:dyDescent="0.2">
      <c r="AF24639" s="12"/>
    </row>
    <row r="24640" spans="32:32" x14ac:dyDescent="0.2">
      <c r="AF24640" s="12"/>
    </row>
    <row r="24641" spans="32:32" x14ac:dyDescent="0.2">
      <c r="AF24641" s="12"/>
    </row>
    <row r="24642" spans="32:32" x14ac:dyDescent="0.2">
      <c r="AF24642" s="12"/>
    </row>
    <row r="24643" spans="32:32" x14ac:dyDescent="0.2">
      <c r="AF24643" s="12"/>
    </row>
    <row r="24644" spans="32:32" x14ac:dyDescent="0.2">
      <c r="AF24644" s="12"/>
    </row>
    <row r="24645" spans="32:32" x14ac:dyDescent="0.2">
      <c r="AF24645" s="12"/>
    </row>
    <row r="24646" spans="32:32" x14ac:dyDescent="0.2">
      <c r="AF24646" s="12"/>
    </row>
    <row r="24647" spans="32:32" x14ac:dyDescent="0.2">
      <c r="AF24647" s="12"/>
    </row>
    <row r="24648" spans="32:32" x14ac:dyDescent="0.2">
      <c r="AF24648" s="12"/>
    </row>
    <row r="24649" spans="32:32" x14ac:dyDescent="0.2">
      <c r="AF24649" s="12"/>
    </row>
    <row r="24650" spans="32:32" x14ac:dyDescent="0.2">
      <c r="AF24650" s="12"/>
    </row>
    <row r="24651" spans="32:32" x14ac:dyDescent="0.2">
      <c r="AF24651" s="12"/>
    </row>
    <row r="24652" spans="32:32" x14ac:dyDescent="0.2">
      <c r="AF24652" s="12"/>
    </row>
    <row r="24653" spans="32:32" x14ac:dyDescent="0.2">
      <c r="AF24653" s="12"/>
    </row>
    <row r="24654" spans="32:32" x14ac:dyDescent="0.2">
      <c r="AF24654" s="12"/>
    </row>
    <row r="24655" spans="32:32" x14ac:dyDescent="0.2">
      <c r="AF24655" s="12"/>
    </row>
    <row r="24656" spans="32:32" x14ac:dyDescent="0.2">
      <c r="AF24656" s="12"/>
    </row>
    <row r="24657" spans="32:32" x14ac:dyDescent="0.2">
      <c r="AF24657" s="12"/>
    </row>
    <row r="24658" spans="32:32" x14ac:dyDescent="0.2">
      <c r="AF24658" s="12"/>
    </row>
    <row r="24659" spans="32:32" x14ac:dyDescent="0.2">
      <c r="AF24659" s="12"/>
    </row>
    <row r="24660" spans="32:32" x14ac:dyDescent="0.2">
      <c r="AF24660" s="12"/>
    </row>
    <row r="24661" spans="32:32" x14ac:dyDescent="0.2">
      <c r="AF24661" s="12"/>
    </row>
    <row r="24662" spans="32:32" x14ac:dyDescent="0.2">
      <c r="AF24662" s="12"/>
    </row>
    <row r="24663" spans="32:32" x14ac:dyDescent="0.2">
      <c r="AF24663" s="12"/>
    </row>
    <row r="24664" spans="32:32" x14ac:dyDescent="0.2">
      <c r="AF24664" s="12"/>
    </row>
    <row r="24665" spans="32:32" x14ac:dyDescent="0.2">
      <c r="AF24665" s="12"/>
    </row>
    <row r="24666" spans="32:32" x14ac:dyDescent="0.2">
      <c r="AF24666" s="12"/>
    </row>
    <row r="24667" spans="32:32" x14ac:dyDescent="0.2">
      <c r="AF24667" s="12"/>
    </row>
    <row r="24668" spans="32:32" x14ac:dyDescent="0.2">
      <c r="AF24668" s="12"/>
    </row>
    <row r="24669" spans="32:32" x14ac:dyDescent="0.2">
      <c r="AF24669" s="12"/>
    </row>
    <row r="24670" spans="32:32" x14ac:dyDescent="0.2">
      <c r="AF24670" s="12"/>
    </row>
    <row r="24671" spans="32:32" x14ac:dyDescent="0.2">
      <c r="AF24671" s="12"/>
    </row>
    <row r="24672" spans="32:32" x14ac:dyDescent="0.2">
      <c r="AF24672" s="12"/>
    </row>
    <row r="24673" spans="32:32" x14ac:dyDescent="0.2">
      <c r="AF24673" s="12"/>
    </row>
    <row r="24674" spans="32:32" x14ac:dyDescent="0.2">
      <c r="AF24674" s="12"/>
    </row>
    <row r="24675" spans="32:32" x14ac:dyDescent="0.2">
      <c r="AF24675" s="12"/>
    </row>
    <row r="24676" spans="32:32" x14ac:dyDescent="0.2">
      <c r="AF24676" s="12"/>
    </row>
    <row r="24677" spans="32:32" x14ac:dyDescent="0.2">
      <c r="AF24677" s="12"/>
    </row>
    <row r="24678" spans="32:32" x14ac:dyDescent="0.2">
      <c r="AF24678" s="12"/>
    </row>
    <row r="24679" spans="32:32" x14ac:dyDescent="0.2">
      <c r="AF24679" s="12"/>
    </row>
    <row r="24680" spans="32:32" x14ac:dyDescent="0.2">
      <c r="AF24680" s="12"/>
    </row>
    <row r="24681" spans="32:32" x14ac:dyDescent="0.2">
      <c r="AF24681" s="12"/>
    </row>
    <row r="24682" spans="32:32" x14ac:dyDescent="0.2">
      <c r="AF24682" s="12"/>
    </row>
    <row r="24683" spans="32:32" x14ac:dyDescent="0.2">
      <c r="AF24683" s="12"/>
    </row>
    <row r="24684" spans="32:32" x14ac:dyDescent="0.2">
      <c r="AF24684" s="12"/>
    </row>
    <row r="24685" spans="32:32" x14ac:dyDescent="0.2">
      <c r="AF24685" s="12"/>
    </row>
    <row r="24686" spans="32:32" x14ac:dyDescent="0.2">
      <c r="AF24686" s="12"/>
    </row>
    <row r="24687" spans="32:32" x14ac:dyDescent="0.2">
      <c r="AF24687" s="12"/>
    </row>
    <row r="24688" spans="32:32" x14ac:dyDescent="0.2">
      <c r="AF24688" s="12"/>
    </row>
    <row r="24689" spans="32:32" x14ac:dyDescent="0.2">
      <c r="AF24689" s="12"/>
    </row>
    <row r="24690" spans="32:32" x14ac:dyDescent="0.2">
      <c r="AF24690" s="12"/>
    </row>
    <row r="24691" spans="32:32" x14ac:dyDescent="0.2">
      <c r="AF24691" s="12"/>
    </row>
    <row r="24692" spans="32:32" x14ac:dyDescent="0.2">
      <c r="AF24692" s="12"/>
    </row>
    <row r="24693" spans="32:32" x14ac:dyDescent="0.2">
      <c r="AF24693" s="12"/>
    </row>
    <row r="24694" spans="32:32" x14ac:dyDescent="0.2">
      <c r="AF24694" s="12"/>
    </row>
    <row r="24695" spans="32:32" x14ac:dyDescent="0.2">
      <c r="AF24695" s="12"/>
    </row>
    <row r="24696" spans="32:32" x14ac:dyDescent="0.2">
      <c r="AF24696" s="12"/>
    </row>
    <row r="24697" spans="32:32" x14ac:dyDescent="0.2">
      <c r="AF24697" s="12"/>
    </row>
    <row r="24698" spans="32:32" x14ac:dyDescent="0.2">
      <c r="AF24698" s="12"/>
    </row>
    <row r="24699" spans="32:32" x14ac:dyDescent="0.2">
      <c r="AF24699" s="12"/>
    </row>
    <row r="24700" spans="32:32" x14ac:dyDescent="0.2">
      <c r="AF24700" s="12"/>
    </row>
    <row r="24701" spans="32:32" x14ac:dyDescent="0.2">
      <c r="AF24701" s="12"/>
    </row>
    <row r="24702" spans="32:32" x14ac:dyDescent="0.2">
      <c r="AF24702" s="12"/>
    </row>
    <row r="24703" spans="32:32" x14ac:dyDescent="0.2">
      <c r="AF24703" s="12"/>
    </row>
    <row r="24704" spans="32:32" x14ac:dyDescent="0.2">
      <c r="AF24704" s="12"/>
    </row>
    <row r="24705" spans="32:32" x14ac:dyDescent="0.2">
      <c r="AF24705" s="12"/>
    </row>
    <row r="24706" spans="32:32" x14ac:dyDescent="0.2">
      <c r="AF24706" s="12"/>
    </row>
    <row r="24707" spans="32:32" x14ac:dyDescent="0.2">
      <c r="AF24707" s="12"/>
    </row>
    <row r="24708" spans="32:32" x14ac:dyDescent="0.2">
      <c r="AF24708" s="12"/>
    </row>
    <row r="24709" spans="32:32" x14ac:dyDescent="0.2">
      <c r="AF24709" s="12"/>
    </row>
    <row r="24710" spans="32:32" x14ac:dyDescent="0.2">
      <c r="AF24710" s="12"/>
    </row>
    <row r="24711" spans="32:32" x14ac:dyDescent="0.2">
      <c r="AF24711" s="12"/>
    </row>
    <row r="24712" spans="32:32" x14ac:dyDescent="0.2">
      <c r="AF24712" s="12"/>
    </row>
    <row r="24713" spans="32:32" x14ac:dyDescent="0.2">
      <c r="AF24713" s="12"/>
    </row>
    <row r="24714" spans="32:32" x14ac:dyDescent="0.2">
      <c r="AF24714" s="12"/>
    </row>
    <row r="24715" spans="32:32" x14ac:dyDescent="0.2">
      <c r="AF24715" s="12"/>
    </row>
    <row r="24716" spans="32:32" x14ac:dyDescent="0.2">
      <c r="AF24716" s="12"/>
    </row>
    <row r="24717" spans="32:32" x14ac:dyDescent="0.2">
      <c r="AF24717" s="12"/>
    </row>
    <row r="24718" spans="32:32" x14ac:dyDescent="0.2">
      <c r="AF24718" s="12"/>
    </row>
    <row r="24719" spans="32:32" x14ac:dyDescent="0.2">
      <c r="AF24719" s="12"/>
    </row>
    <row r="24720" spans="32:32" x14ac:dyDescent="0.2">
      <c r="AF24720" s="12"/>
    </row>
    <row r="24721" spans="32:32" x14ac:dyDescent="0.2">
      <c r="AF24721" s="12"/>
    </row>
    <row r="24722" spans="32:32" x14ac:dyDescent="0.2">
      <c r="AF24722" s="12"/>
    </row>
    <row r="24723" spans="32:32" x14ac:dyDescent="0.2">
      <c r="AF24723" s="12"/>
    </row>
    <row r="24724" spans="32:32" x14ac:dyDescent="0.2">
      <c r="AF24724" s="12"/>
    </row>
    <row r="24725" spans="32:32" x14ac:dyDescent="0.2">
      <c r="AF24725" s="12"/>
    </row>
    <row r="24726" spans="32:32" x14ac:dyDescent="0.2">
      <c r="AF24726" s="12"/>
    </row>
    <row r="24727" spans="32:32" x14ac:dyDescent="0.2">
      <c r="AF24727" s="12"/>
    </row>
    <row r="24728" spans="32:32" x14ac:dyDescent="0.2">
      <c r="AF24728" s="12"/>
    </row>
    <row r="24729" spans="32:32" x14ac:dyDescent="0.2">
      <c r="AF24729" s="12"/>
    </row>
    <row r="24730" spans="32:32" x14ac:dyDescent="0.2">
      <c r="AF24730" s="12"/>
    </row>
    <row r="24731" spans="32:32" x14ac:dyDescent="0.2">
      <c r="AF24731" s="12"/>
    </row>
    <row r="24732" spans="32:32" x14ac:dyDescent="0.2">
      <c r="AF24732" s="12"/>
    </row>
    <row r="24733" spans="32:32" x14ac:dyDescent="0.2">
      <c r="AF24733" s="12"/>
    </row>
    <row r="24734" spans="32:32" x14ac:dyDescent="0.2">
      <c r="AF24734" s="12"/>
    </row>
    <row r="24735" spans="32:32" x14ac:dyDescent="0.2">
      <c r="AF24735" s="12"/>
    </row>
    <row r="24736" spans="32:32" x14ac:dyDescent="0.2">
      <c r="AF24736" s="12"/>
    </row>
    <row r="24737" spans="32:32" x14ac:dyDescent="0.2">
      <c r="AF24737" s="12"/>
    </row>
    <row r="24738" spans="32:32" x14ac:dyDescent="0.2">
      <c r="AF24738" s="12"/>
    </row>
    <row r="24739" spans="32:32" x14ac:dyDescent="0.2">
      <c r="AF24739" s="12"/>
    </row>
    <row r="24740" spans="32:32" x14ac:dyDescent="0.2">
      <c r="AF24740" s="12"/>
    </row>
    <row r="24741" spans="32:32" x14ac:dyDescent="0.2">
      <c r="AF24741" s="12"/>
    </row>
    <row r="24742" spans="32:32" x14ac:dyDescent="0.2">
      <c r="AF24742" s="12"/>
    </row>
    <row r="24743" spans="32:32" x14ac:dyDescent="0.2">
      <c r="AF24743" s="12"/>
    </row>
    <row r="24744" spans="32:32" x14ac:dyDescent="0.2">
      <c r="AF24744" s="12"/>
    </row>
    <row r="24745" spans="32:32" x14ac:dyDescent="0.2">
      <c r="AF24745" s="12"/>
    </row>
    <row r="24746" spans="32:32" x14ac:dyDescent="0.2">
      <c r="AF24746" s="12"/>
    </row>
    <row r="24747" spans="32:32" x14ac:dyDescent="0.2">
      <c r="AF24747" s="12"/>
    </row>
    <row r="24748" spans="32:32" x14ac:dyDescent="0.2">
      <c r="AF24748" s="12"/>
    </row>
    <row r="24749" spans="32:32" x14ac:dyDescent="0.2">
      <c r="AF24749" s="12"/>
    </row>
    <row r="24750" spans="32:32" x14ac:dyDescent="0.2">
      <c r="AF24750" s="12"/>
    </row>
    <row r="24751" spans="32:32" x14ac:dyDescent="0.2">
      <c r="AF24751" s="12"/>
    </row>
    <row r="24752" spans="32:32" x14ac:dyDescent="0.2">
      <c r="AF24752" s="12"/>
    </row>
    <row r="24753" spans="32:32" x14ac:dyDescent="0.2">
      <c r="AF24753" s="12"/>
    </row>
    <row r="24754" spans="32:32" x14ac:dyDescent="0.2">
      <c r="AF24754" s="12"/>
    </row>
    <row r="24755" spans="32:32" x14ac:dyDescent="0.2">
      <c r="AF24755" s="12"/>
    </row>
    <row r="24756" spans="32:32" x14ac:dyDescent="0.2">
      <c r="AF24756" s="12"/>
    </row>
    <row r="24757" spans="32:32" x14ac:dyDescent="0.2">
      <c r="AF24757" s="12"/>
    </row>
    <row r="24758" spans="32:32" x14ac:dyDescent="0.2">
      <c r="AF24758" s="12"/>
    </row>
    <row r="24759" spans="32:32" x14ac:dyDescent="0.2">
      <c r="AF24759" s="12"/>
    </row>
    <row r="24760" spans="32:32" x14ac:dyDescent="0.2">
      <c r="AF24760" s="12"/>
    </row>
    <row r="24761" spans="32:32" x14ac:dyDescent="0.2">
      <c r="AF24761" s="12"/>
    </row>
    <row r="24762" spans="32:32" x14ac:dyDescent="0.2">
      <c r="AF24762" s="12"/>
    </row>
    <row r="24763" spans="32:32" x14ac:dyDescent="0.2">
      <c r="AF24763" s="12"/>
    </row>
    <row r="24764" spans="32:32" x14ac:dyDescent="0.2">
      <c r="AF24764" s="12"/>
    </row>
    <row r="24765" spans="32:32" x14ac:dyDescent="0.2">
      <c r="AF24765" s="12"/>
    </row>
    <row r="24766" spans="32:32" x14ac:dyDescent="0.2">
      <c r="AF24766" s="12"/>
    </row>
    <row r="24767" spans="32:32" x14ac:dyDescent="0.2">
      <c r="AF24767" s="12"/>
    </row>
    <row r="24768" spans="32:32" x14ac:dyDescent="0.2">
      <c r="AF24768" s="12"/>
    </row>
    <row r="24769" spans="32:32" x14ac:dyDescent="0.2">
      <c r="AF24769" s="12"/>
    </row>
    <row r="24770" spans="32:32" x14ac:dyDescent="0.2">
      <c r="AF24770" s="12"/>
    </row>
    <row r="24771" spans="32:32" x14ac:dyDescent="0.2">
      <c r="AF24771" s="12"/>
    </row>
    <row r="24772" spans="32:32" x14ac:dyDescent="0.2">
      <c r="AF24772" s="12"/>
    </row>
    <row r="24773" spans="32:32" x14ac:dyDescent="0.2">
      <c r="AF24773" s="12"/>
    </row>
    <row r="24774" spans="32:32" x14ac:dyDescent="0.2">
      <c r="AF24774" s="12"/>
    </row>
    <row r="24775" spans="32:32" x14ac:dyDescent="0.2">
      <c r="AF24775" s="12"/>
    </row>
    <row r="24776" spans="32:32" x14ac:dyDescent="0.2">
      <c r="AF24776" s="12"/>
    </row>
    <row r="24777" spans="32:32" x14ac:dyDescent="0.2">
      <c r="AF24777" s="12"/>
    </row>
    <row r="24778" spans="32:32" x14ac:dyDescent="0.2">
      <c r="AF24778" s="12"/>
    </row>
    <row r="24779" spans="32:32" x14ac:dyDescent="0.2">
      <c r="AF24779" s="12"/>
    </row>
    <row r="24780" spans="32:32" x14ac:dyDescent="0.2">
      <c r="AF24780" s="12"/>
    </row>
    <row r="24781" spans="32:32" x14ac:dyDescent="0.2">
      <c r="AF24781" s="12"/>
    </row>
    <row r="24782" spans="32:32" x14ac:dyDescent="0.2">
      <c r="AF24782" s="12"/>
    </row>
    <row r="24783" spans="32:32" x14ac:dyDescent="0.2">
      <c r="AF24783" s="12"/>
    </row>
    <row r="24784" spans="32:32" x14ac:dyDescent="0.2">
      <c r="AF24784" s="12"/>
    </row>
    <row r="24785" spans="32:32" x14ac:dyDescent="0.2">
      <c r="AF24785" s="12"/>
    </row>
    <row r="24786" spans="32:32" x14ac:dyDescent="0.2">
      <c r="AF24786" s="12"/>
    </row>
    <row r="24787" spans="32:32" x14ac:dyDescent="0.2">
      <c r="AF24787" s="12"/>
    </row>
    <row r="24788" spans="32:32" x14ac:dyDescent="0.2">
      <c r="AF24788" s="12"/>
    </row>
    <row r="24789" spans="32:32" x14ac:dyDescent="0.2">
      <c r="AF24789" s="12"/>
    </row>
    <row r="24790" spans="32:32" x14ac:dyDescent="0.2">
      <c r="AF24790" s="12"/>
    </row>
    <row r="24791" spans="32:32" x14ac:dyDescent="0.2">
      <c r="AF24791" s="12"/>
    </row>
    <row r="24792" spans="32:32" x14ac:dyDescent="0.2">
      <c r="AF24792" s="12"/>
    </row>
    <row r="24793" spans="32:32" x14ac:dyDescent="0.2">
      <c r="AF24793" s="12"/>
    </row>
    <row r="24794" spans="32:32" x14ac:dyDescent="0.2">
      <c r="AF24794" s="12"/>
    </row>
    <row r="24795" spans="32:32" x14ac:dyDescent="0.2">
      <c r="AF24795" s="12"/>
    </row>
    <row r="24796" spans="32:32" x14ac:dyDescent="0.2">
      <c r="AF24796" s="12"/>
    </row>
    <row r="24797" spans="32:32" x14ac:dyDescent="0.2">
      <c r="AF24797" s="12"/>
    </row>
    <row r="24798" spans="32:32" x14ac:dyDescent="0.2">
      <c r="AF24798" s="12"/>
    </row>
    <row r="24799" spans="32:32" x14ac:dyDescent="0.2">
      <c r="AF24799" s="12"/>
    </row>
    <row r="24800" spans="32:32" x14ac:dyDescent="0.2">
      <c r="AF24800" s="12"/>
    </row>
    <row r="24801" spans="32:32" x14ac:dyDescent="0.2">
      <c r="AF24801" s="12"/>
    </row>
    <row r="24802" spans="32:32" x14ac:dyDescent="0.2">
      <c r="AF24802" s="12"/>
    </row>
    <row r="24803" spans="32:32" x14ac:dyDescent="0.2">
      <c r="AF24803" s="12"/>
    </row>
    <row r="24804" spans="32:32" x14ac:dyDescent="0.2">
      <c r="AF24804" s="12"/>
    </row>
    <row r="24805" spans="32:32" x14ac:dyDescent="0.2">
      <c r="AF24805" s="12"/>
    </row>
    <row r="24806" spans="32:32" x14ac:dyDescent="0.2">
      <c r="AF24806" s="12"/>
    </row>
    <row r="24807" spans="32:32" x14ac:dyDescent="0.2">
      <c r="AF24807" s="12"/>
    </row>
    <row r="24808" spans="32:32" x14ac:dyDescent="0.2">
      <c r="AF24808" s="12"/>
    </row>
    <row r="24809" spans="32:32" x14ac:dyDescent="0.2">
      <c r="AF24809" s="12"/>
    </row>
    <row r="24810" spans="32:32" x14ac:dyDescent="0.2">
      <c r="AF24810" s="12"/>
    </row>
    <row r="24811" spans="32:32" x14ac:dyDescent="0.2">
      <c r="AF24811" s="12"/>
    </row>
    <row r="24812" spans="32:32" x14ac:dyDescent="0.2">
      <c r="AF24812" s="12"/>
    </row>
    <row r="24813" spans="32:32" x14ac:dyDescent="0.2">
      <c r="AF24813" s="12"/>
    </row>
    <row r="24814" spans="32:32" x14ac:dyDescent="0.2">
      <c r="AF24814" s="12"/>
    </row>
    <row r="24815" spans="32:32" x14ac:dyDescent="0.2">
      <c r="AF24815" s="12"/>
    </row>
    <row r="24816" spans="32:32" x14ac:dyDescent="0.2">
      <c r="AF24816" s="12"/>
    </row>
    <row r="24817" spans="32:32" x14ac:dyDescent="0.2">
      <c r="AF24817" s="12"/>
    </row>
    <row r="24818" spans="32:32" x14ac:dyDescent="0.2">
      <c r="AF24818" s="12"/>
    </row>
    <row r="24819" spans="32:32" x14ac:dyDescent="0.2">
      <c r="AF24819" s="12"/>
    </row>
    <row r="24820" spans="32:32" x14ac:dyDescent="0.2">
      <c r="AF24820" s="12"/>
    </row>
    <row r="24821" spans="32:32" x14ac:dyDescent="0.2">
      <c r="AF24821" s="12"/>
    </row>
    <row r="24822" spans="32:32" x14ac:dyDescent="0.2">
      <c r="AF24822" s="12"/>
    </row>
    <row r="24823" spans="32:32" x14ac:dyDescent="0.2">
      <c r="AF24823" s="12"/>
    </row>
    <row r="24824" spans="32:32" x14ac:dyDescent="0.2">
      <c r="AF24824" s="12"/>
    </row>
    <row r="24825" spans="32:32" x14ac:dyDescent="0.2">
      <c r="AF24825" s="12"/>
    </row>
    <row r="24826" spans="32:32" x14ac:dyDescent="0.2">
      <c r="AF24826" s="12"/>
    </row>
    <row r="24827" spans="32:32" x14ac:dyDescent="0.2">
      <c r="AF24827" s="12"/>
    </row>
    <row r="24828" spans="32:32" x14ac:dyDescent="0.2">
      <c r="AF24828" s="12"/>
    </row>
    <row r="24829" spans="32:32" x14ac:dyDescent="0.2">
      <c r="AF24829" s="12"/>
    </row>
    <row r="24830" spans="32:32" x14ac:dyDescent="0.2">
      <c r="AF24830" s="12"/>
    </row>
    <row r="24831" spans="32:32" x14ac:dyDescent="0.2">
      <c r="AF24831" s="12"/>
    </row>
    <row r="24832" spans="32:32" x14ac:dyDescent="0.2">
      <c r="AF24832" s="12"/>
    </row>
    <row r="24833" spans="32:32" x14ac:dyDescent="0.2">
      <c r="AF24833" s="12"/>
    </row>
    <row r="24834" spans="32:32" x14ac:dyDescent="0.2">
      <c r="AF24834" s="12"/>
    </row>
    <row r="24835" spans="32:32" x14ac:dyDescent="0.2">
      <c r="AF24835" s="12"/>
    </row>
    <row r="24836" spans="32:32" x14ac:dyDescent="0.2">
      <c r="AF24836" s="12"/>
    </row>
    <row r="24837" spans="32:32" x14ac:dyDescent="0.2">
      <c r="AF24837" s="12"/>
    </row>
    <row r="24838" spans="32:32" x14ac:dyDescent="0.2">
      <c r="AF24838" s="12"/>
    </row>
    <row r="24839" spans="32:32" x14ac:dyDescent="0.2">
      <c r="AF24839" s="12"/>
    </row>
    <row r="24840" spans="32:32" x14ac:dyDescent="0.2">
      <c r="AF24840" s="12"/>
    </row>
    <row r="24841" spans="32:32" x14ac:dyDescent="0.2">
      <c r="AF24841" s="12"/>
    </row>
    <row r="24842" spans="32:32" x14ac:dyDescent="0.2">
      <c r="AF24842" s="12"/>
    </row>
    <row r="24843" spans="32:32" x14ac:dyDescent="0.2">
      <c r="AF24843" s="12"/>
    </row>
    <row r="24844" spans="32:32" x14ac:dyDescent="0.2">
      <c r="AF24844" s="12"/>
    </row>
    <row r="24845" spans="32:32" x14ac:dyDescent="0.2">
      <c r="AF24845" s="12"/>
    </row>
    <row r="24846" spans="32:32" x14ac:dyDescent="0.2">
      <c r="AF24846" s="12"/>
    </row>
    <row r="24847" spans="32:32" x14ac:dyDescent="0.2">
      <c r="AF24847" s="12"/>
    </row>
    <row r="24848" spans="32:32" x14ac:dyDescent="0.2">
      <c r="AF24848" s="12"/>
    </row>
    <row r="24849" spans="32:32" x14ac:dyDescent="0.2">
      <c r="AF24849" s="12"/>
    </row>
    <row r="24850" spans="32:32" x14ac:dyDescent="0.2">
      <c r="AF24850" s="12"/>
    </row>
    <row r="24851" spans="32:32" x14ac:dyDescent="0.2">
      <c r="AF24851" s="12"/>
    </row>
    <row r="24852" spans="32:32" x14ac:dyDescent="0.2">
      <c r="AF24852" s="12"/>
    </row>
    <row r="24853" spans="32:32" x14ac:dyDescent="0.2">
      <c r="AF24853" s="12"/>
    </row>
    <row r="24854" spans="32:32" x14ac:dyDescent="0.2">
      <c r="AF24854" s="12"/>
    </row>
    <row r="24855" spans="32:32" x14ac:dyDescent="0.2">
      <c r="AF24855" s="12"/>
    </row>
    <row r="24856" spans="32:32" x14ac:dyDescent="0.2">
      <c r="AF24856" s="12"/>
    </row>
    <row r="24857" spans="32:32" x14ac:dyDescent="0.2">
      <c r="AF24857" s="12"/>
    </row>
    <row r="24858" spans="32:32" x14ac:dyDescent="0.2">
      <c r="AF24858" s="12"/>
    </row>
    <row r="24859" spans="32:32" x14ac:dyDescent="0.2">
      <c r="AF24859" s="12"/>
    </row>
    <row r="24860" spans="32:32" x14ac:dyDescent="0.2">
      <c r="AF24860" s="12"/>
    </row>
    <row r="24861" spans="32:32" x14ac:dyDescent="0.2">
      <c r="AF24861" s="12"/>
    </row>
    <row r="24862" spans="32:32" x14ac:dyDescent="0.2">
      <c r="AF24862" s="12"/>
    </row>
    <row r="24863" spans="32:32" x14ac:dyDescent="0.2">
      <c r="AF24863" s="12"/>
    </row>
    <row r="24864" spans="32:32" x14ac:dyDescent="0.2">
      <c r="AF24864" s="12"/>
    </row>
    <row r="24865" spans="32:32" x14ac:dyDescent="0.2">
      <c r="AF24865" s="12"/>
    </row>
    <row r="24866" spans="32:32" x14ac:dyDescent="0.2">
      <c r="AF24866" s="12"/>
    </row>
    <row r="24867" spans="32:32" x14ac:dyDescent="0.2">
      <c r="AF24867" s="12"/>
    </row>
    <row r="24868" spans="32:32" x14ac:dyDescent="0.2">
      <c r="AF24868" s="12"/>
    </row>
    <row r="24869" spans="32:32" x14ac:dyDescent="0.2">
      <c r="AF24869" s="12"/>
    </row>
    <row r="24870" spans="32:32" x14ac:dyDescent="0.2">
      <c r="AF24870" s="12"/>
    </row>
    <row r="24871" spans="32:32" x14ac:dyDescent="0.2">
      <c r="AF24871" s="12"/>
    </row>
    <row r="24872" spans="32:32" x14ac:dyDescent="0.2">
      <c r="AF24872" s="12"/>
    </row>
    <row r="24873" spans="32:32" x14ac:dyDescent="0.2">
      <c r="AF24873" s="12"/>
    </row>
    <row r="24874" spans="32:32" x14ac:dyDescent="0.2">
      <c r="AF24874" s="12"/>
    </row>
    <row r="24875" spans="32:32" x14ac:dyDescent="0.2">
      <c r="AF24875" s="12"/>
    </row>
    <row r="24876" spans="32:32" x14ac:dyDescent="0.2">
      <c r="AF24876" s="12"/>
    </row>
    <row r="24877" spans="32:32" x14ac:dyDescent="0.2">
      <c r="AF24877" s="12"/>
    </row>
    <row r="24878" spans="32:32" x14ac:dyDescent="0.2">
      <c r="AF24878" s="12"/>
    </row>
    <row r="24879" spans="32:32" x14ac:dyDescent="0.2">
      <c r="AF24879" s="12"/>
    </row>
    <row r="24880" spans="32:32" x14ac:dyDescent="0.2">
      <c r="AF24880" s="12"/>
    </row>
    <row r="24881" spans="32:32" x14ac:dyDescent="0.2">
      <c r="AF24881" s="12"/>
    </row>
    <row r="24882" spans="32:32" x14ac:dyDescent="0.2">
      <c r="AF24882" s="12"/>
    </row>
    <row r="24883" spans="32:32" x14ac:dyDescent="0.2">
      <c r="AF24883" s="12"/>
    </row>
    <row r="24884" spans="32:32" x14ac:dyDescent="0.2">
      <c r="AF24884" s="12"/>
    </row>
    <row r="24885" spans="32:32" x14ac:dyDescent="0.2">
      <c r="AF24885" s="12"/>
    </row>
    <row r="24886" spans="32:32" x14ac:dyDescent="0.2">
      <c r="AF24886" s="12"/>
    </row>
    <row r="24887" spans="32:32" x14ac:dyDescent="0.2">
      <c r="AF24887" s="12"/>
    </row>
    <row r="24888" spans="32:32" x14ac:dyDescent="0.2">
      <c r="AF24888" s="12"/>
    </row>
    <row r="24889" spans="32:32" x14ac:dyDescent="0.2">
      <c r="AF24889" s="12"/>
    </row>
    <row r="24890" spans="32:32" x14ac:dyDescent="0.2">
      <c r="AF24890" s="12"/>
    </row>
    <row r="24891" spans="32:32" x14ac:dyDescent="0.2">
      <c r="AF24891" s="12"/>
    </row>
    <row r="24892" spans="32:32" x14ac:dyDescent="0.2">
      <c r="AF24892" s="12"/>
    </row>
    <row r="24893" spans="32:32" x14ac:dyDescent="0.2">
      <c r="AF24893" s="12"/>
    </row>
    <row r="24894" spans="32:32" x14ac:dyDescent="0.2">
      <c r="AF24894" s="12"/>
    </row>
    <row r="24895" spans="32:32" x14ac:dyDescent="0.2">
      <c r="AF24895" s="12"/>
    </row>
    <row r="24896" spans="32:32" x14ac:dyDescent="0.2">
      <c r="AF24896" s="12"/>
    </row>
    <row r="24897" spans="32:32" x14ac:dyDescent="0.2">
      <c r="AF24897" s="12"/>
    </row>
    <row r="24898" spans="32:32" x14ac:dyDescent="0.2">
      <c r="AF24898" s="12"/>
    </row>
    <row r="24899" spans="32:32" x14ac:dyDescent="0.2">
      <c r="AF24899" s="12"/>
    </row>
    <row r="24900" spans="32:32" x14ac:dyDescent="0.2">
      <c r="AF24900" s="12"/>
    </row>
    <row r="24901" spans="32:32" x14ac:dyDescent="0.2">
      <c r="AF24901" s="12"/>
    </row>
    <row r="24902" spans="32:32" x14ac:dyDescent="0.2">
      <c r="AF24902" s="12"/>
    </row>
    <row r="24903" spans="32:32" x14ac:dyDescent="0.2">
      <c r="AF24903" s="12"/>
    </row>
    <row r="24904" spans="32:32" x14ac:dyDescent="0.2">
      <c r="AF24904" s="12"/>
    </row>
    <row r="24905" spans="32:32" x14ac:dyDescent="0.2">
      <c r="AF24905" s="12"/>
    </row>
    <row r="24906" spans="32:32" x14ac:dyDescent="0.2">
      <c r="AF24906" s="12"/>
    </row>
    <row r="24907" spans="32:32" x14ac:dyDescent="0.2">
      <c r="AF24907" s="12"/>
    </row>
    <row r="24908" spans="32:32" x14ac:dyDescent="0.2">
      <c r="AF24908" s="12"/>
    </row>
    <row r="24909" spans="32:32" x14ac:dyDescent="0.2">
      <c r="AF24909" s="12"/>
    </row>
    <row r="24910" spans="32:32" x14ac:dyDescent="0.2">
      <c r="AF24910" s="12"/>
    </row>
    <row r="24911" spans="32:32" x14ac:dyDescent="0.2">
      <c r="AF24911" s="12"/>
    </row>
    <row r="24912" spans="32:32" x14ac:dyDescent="0.2">
      <c r="AF24912" s="12"/>
    </row>
    <row r="24913" spans="32:32" x14ac:dyDescent="0.2">
      <c r="AF24913" s="12"/>
    </row>
    <row r="24914" spans="32:32" x14ac:dyDescent="0.2">
      <c r="AF24914" s="12"/>
    </row>
    <row r="24915" spans="32:32" x14ac:dyDescent="0.2">
      <c r="AF24915" s="12"/>
    </row>
    <row r="24916" spans="32:32" x14ac:dyDescent="0.2">
      <c r="AF24916" s="12"/>
    </row>
    <row r="24917" spans="32:32" x14ac:dyDescent="0.2">
      <c r="AF24917" s="12"/>
    </row>
    <row r="24918" spans="32:32" x14ac:dyDescent="0.2">
      <c r="AF24918" s="12"/>
    </row>
    <row r="24919" spans="32:32" x14ac:dyDescent="0.2">
      <c r="AF24919" s="12"/>
    </row>
    <row r="24920" spans="32:32" x14ac:dyDescent="0.2">
      <c r="AF24920" s="12"/>
    </row>
    <row r="24921" spans="32:32" x14ac:dyDescent="0.2">
      <c r="AF24921" s="12"/>
    </row>
    <row r="24922" spans="32:32" x14ac:dyDescent="0.2">
      <c r="AF24922" s="12"/>
    </row>
    <row r="24923" spans="32:32" x14ac:dyDescent="0.2">
      <c r="AF24923" s="12"/>
    </row>
    <row r="24924" spans="32:32" x14ac:dyDescent="0.2">
      <c r="AF24924" s="12"/>
    </row>
    <row r="24925" spans="32:32" x14ac:dyDescent="0.2">
      <c r="AF24925" s="12"/>
    </row>
    <row r="24926" spans="32:32" x14ac:dyDescent="0.2">
      <c r="AF24926" s="12"/>
    </row>
    <row r="24927" spans="32:32" x14ac:dyDescent="0.2">
      <c r="AF24927" s="12"/>
    </row>
    <row r="24928" spans="32:32" x14ac:dyDescent="0.2">
      <c r="AF24928" s="12"/>
    </row>
    <row r="24929" spans="32:32" x14ac:dyDescent="0.2">
      <c r="AF24929" s="12"/>
    </row>
    <row r="24930" spans="32:32" x14ac:dyDescent="0.2">
      <c r="AF24930" s="12"/>
    </row>
    <row r="24931" spans="32:32" x14ac:dyDescent="0.2">
      <c r="AF24931" s="12"/>
    </row>
    <row r="24932" spans="32:32" x14ac:dyDescent="0.2">
      <c r="AF24932" s="12"/>
    </row>
    <row r="24933" spans="32:32" x14ac:dyDescent="0.2">
      <c r="AF24933" s="12"/>
    </row>
    <row r="24934" spans="32:32" x14ac:dyDescent="0.2">
      <c r="AF24934" s="12"/>
    </row>
    <row r="24935" spans="32:32" x14ac:dyDescent="0.2">
      <c r="AF24935" s="12"/>
    </row>
    <row r="24936" spans="32:32" x14ac:dyDescent="0.2">
      <c r="AF24936" s="12"/>
    </row>
    <row r="24937" spans="32:32" x14ac:dyDescent="0.2">
      <c r="AF24937" s="12"/>
    </row>
    <row r="24938" spans="32:32" x14ac:dyDescent="0.2">
      <c r="AF24938" s="12"/>
    </row>
    <row r="24939" spans="32:32" x14ac:dyDescent="0.2">
      <c r="AF24939" s="12"/>
    </row>
    <row r="24940" spans="32:32" x14ac:dyDescent="0.2">
      <c r="AF24940" s="12"/>
    </row>
    <row r="24941" spans="32:32" x14ac:dyDescent="0.2">
      <c r="AF24941" s="12"/>
    </row>
    <row r="24942" spans="32:32" x14ac:dyDescent="0.2">
      <c r="AF24942" s="12"/>
    </row>
    <row r="24943" spans="32:32" x14ac:dyDescent="0.2">
      <c r="AF24943" s="12"/>
    </row>
    <row r="24944" spans="32:32" x14ac:dyDescent="0.2">
      <c r="AF24944" s="12"/>
    </row>
    <row r="24945" spans="32:32" x14ac:dyDescent="0.2">
      <c r="AF24945" s="12"/>
    </row>
    <row r="24946" spans="32:32" x14ac:dyDescent="0.2">
      <c r="AF24946" s="12"/>
    </row>
    <row r="24947" spans="32:32" x14ac:dyDescent="0.2">
      <c r="AF24947" s="12"/>
    </row>
    <row r="24948" spans="32:32" x14ac:dyDescent="0.2">
      <c r="AF24948" s="12"/>
    </row>
    <row r="24949" spans="32:32" x14ac:dyDescent="0.2">
      <c r="AF24949" s="12"/>
    </row>
    <row r="24950" spans="32:32" x14ac:dyDescent="0.2">
      <c r="AF24950" s="12"/>
    </row>
    <row r="24951" spans="32:32" x14ac:dyDescent="0.2">
      <c r="AF24951" s="12"/>
    </row>
    <row r="24952" spans="32:32" x14ac:dyDescent="0.2">
      <c r="AF24952" s="12"/>
    </row>
    <row r="24953" spans="32:32" x14ac:dyDescent="0.2">
      <c r="AF24953" s="12"/>
    </row>
    <row r="24954" spans="32:32" x14ac:dyDescent="0.2">
      <c r="AF24954" s="12"/>
    </row>
    <row r="24955" spans="32:32" x14ac:dyDescent="0.2">
      <c r="AF24955" s="12"/>
    </row>
    <row r="24956" spans="32:32" x14ac:dyDescent="0.2">
      <c r="AF24956" s="12"/>
    </row>
    <row r="24957" spans="32:32" x14ac:dyDescent="0.2">
      <c r="AF24957" s="12"/>
    </row>
    <row r="24958" spans="32:32" x14ac:dyDescent="0.2">
      <c r="AF24958" s="12"/>
    </row>
    <row r="24959" spans="32:32" x14ac:dyDescent="0.2">
      <c r="AF24959" s="12"/>
    </row>
    <row r="24960" spans="32:32" x14ac:dyDescent="0.2">
      <c r="AF24960" s="12"/>
    </row>
    <row r="24961" spans="32:32" x14ac:dyDescent="0.2">
      <c r="AF24961" s="12"/>
    </row>
    <row r="24962" spans="32:32" x14ac:dyDescent="0.2">
      <c r="AF24962" s="12"/>
    </row>
    <row r="24963" spans="32:32" x14ac:dyDescent="0.2">
      <c r="AF24963" s="12"/>
    </row>
    <row r="24964" spans="32:32" x14ac:dyDescent="0.2">
      <c r="AF24964" s="12"/>
    </row>
    <row r="24965" spans="32:32" x14ac:dyDescent="0.2">
      <c r="AF24965" s="12"/>
    </row>
    <row r="24966" spans="32:32" x14ac:dyDescent="0.2">
      <c r="AF24966" s="12"/>
    </row>
    <row r="24967" spans="32:32" x14ac:dyDescent="0.2">
      <c r="AF24967" s="12"/>
    </row>
    <row r="24968" spans="32:32" x14ac:dyDescent="0.2">
      <c r="AF24968" s="12"/>
    </row>
    <row r="24969" spans="32:32" x14ac:dyDescent="0.2">
      <c r="AF24969" s="12"/>
    </row>
    <row r="24970" spans="32:32" x14ac:dyDescent="0.2">
      <c r="AF24970" s="12"/>
    </row>
    <row r="24971" spans="32:32" x14ac:dyDescent="0.2">
      <c r="AF24971" s="12"/>
    </row>
    <row r="24972" spans="32:32" x14ac:dyDescent="0.2">
      <c r="AF24972" s="12"/>
    </row>
    <row r="24973" spans="32:32" x14ac:dyDescent="0.2">
      <c r="AF24973" s="12"/>
    </row>
    <row r="24974" spans="32:32" x14ac:dyDescent="0.2">
      <c r="AF24974" s="12"/>
    </row>
    <row r="24975" spans="32:32" x14ac:dyDescent="0.2">
      <c r="AF24975" s="12"/>
    </row>
    <row r="24976" spans="32:32" x14ac:dyDescent="0.2">
      <c r="AF24976" s="12"/>
    </row>
    <row r="24977" spans="32:32" x14ac:dyDescent="0.2">
      <c r="AF24977" s="12"/>
    </row>
    <row r="24978" spans="32:32" x14ac:dyDescent="0.2">
      <c r="AF24978" s="12"/>
    </row>
    <row r="24979" spans="32:32" x14ac:dyDescent="0.2">
      <c r="AF24979" s="12"/>
    </row>
    <row r="24980" spans="32:32" x14ac:dyDescent="0.2">
      <c r="AF24980" s="12"/>
    </row>
    <row r="24981" spans="32:32" x14ac:dyDescent="0.2">
      <c r="AF24981" s="12"/>
    </row>
    <row r="24982" spans="32:32" x14ac:dyDescent="0.2">
      <c r="AF24982" s="12"/>
    </row>
    <row r="24983" spans="32:32" x14ac:dyDescent="0.2">
      <c r="AF24983" s="12"/>
    </row>
    <row r="24984" spans="32:32" x14ac:dyDescent="0.2">
      <c r="AF24984" s="12"/>
    </row>
    <row r="24985" spans="32:32" x14ac:dyDescent="0.2">
      <c r="AF24985" s="12"/>
    </row>
    <row r="24986" spans="32:32" x14ac:dyDescent="0.2">
      <c r="AF24986" s="12"/>
    </row>
    <row r="24987" spans="32:32" x14ac:dyDescent="0.2">
      <c r="AF24987" s="12"/>
    </row>
    <row r="24988" spans="32:32" x14ac:dyDescent="0.2">
      <c r="AF24988" s="12"/>
    </row>
    <row r="24989" spans="32:32" x14ac:dyDescent="0.2">
      <c r="AF24989" s="12"/>
    </row>
    <row r="24990" spans="32:32" x14ac:dyDescent="0.2">
      <c r="AF24990" s="12"/>
    </row>
    <row r="24991" spans="32:32" x14ac:dyDescent="0.2">
      <c r="AF24991" s="12"/>
    </row>
    <row r="24992" spans="32:32" x14ac:dyDescent="0.2">
      <c r="AF24992" s="12"/>
    </row>
    <row r="24993" spans="32:32" x14ac:dyDescent="0.2">
      <c r="AF24993" s="12"/>
    </row>
    <row r="24994" spans="32:32" x14ac:dyDescent="0.2">
      <c r="AF24994" s="12"/>
    </row>
    <row r="24995" spans="32:32" x14ac:dyDescent="0.2">
      <c r="AF24995" s="12"/>
    </row>
    <row r="24996" spans="32:32" x14ac:dyDescent="0.2">
      <c r="AF24996" s="12"/>
    </row>
    <row r="24997" spans="32:32" x14ac:dyDescent="0.2">
      <c r="AF24997" s="12"/>
    </row>
    <row r="24998" spans="32:32" x14ac:dyDescent="0.2">
      <c r="AF24998" s="12"/>
    </row>
    <row r="24999" spans="32:32" x14ac:dyDescent="0.2">
      <c r="AF24999" s="12"/>
    </row>
    <row r="25000" spans="32:32" x14ac:dyDescent="0.2">
      <c r="AF25000" s="12"/>
    </row>
    <row r="25001" spans="32:32" x14ac:dyDescent="0.2">
      <c r="AF25001" s="12"/>
    </row>
    <row r="25002" spans="32:32" x14ac:dyDescent="0.2">
      <c r="AF25002" s="12"/>
    </row>
    <row r="25003" spans="32:32" x14ac:dyDescent="0.2">
      <c r="AF25003" s="12"/>
    </row>
    <row r="25004" spans="32:32" x14ac:dyDescent="0.2">
      <c r="AF25004" s="12"/>
    </row>
    <row r="25005" spans="32:32" x14ac:dyDescent="0.2">
      <c r="AF25005" s="12"/>
    </row>
    <row r="25006" spans="32:32" x14ac:dyDescent="0.2">
      <c r="AF25006" s="12"/>
    </row>
    <row r="25007" spans="32:32" x14ac:dyDescent="0.2">
      <c r="AF25007" s="12"/>
    </row>
    <row r="25008" spans="32:32" x14ac:dyDescent="0.2">
      <c r="AF25008" s="12"/>
    </row>
    <row r="25009" spans="32:32" x14ac:dyDescent="0.2">
      <c r="AF25009" s="12"/>
    </row>
    <row r="25010" spans="32:32" x14ac:dyDescent="0.2">
      <c r="AF25010" s="12"/>
    </row>
    <row r="25011" spans="32:32" x14ac:dyDescent="0.2">
      <c r="AF25011" s="12"/>
    </row>
    <row r="25012" spans="32:32" x14ac:dyDescent="0.2">
      <c r="AF25012" s="12"/>
    </row>
    <row r="25013" spans="32:32" x14ac:dyDescent="0.2">
      <c r="AF25013" s="12"/>
    </row>
    <row r="25014" spans="32:32" x14ac:dyDescent="0.2">
      <c r="AF25014" s="12"/>
    </row>
    <row r="25015" spans="32:32" x14ac:dyDescent="0.2">
      <c r="AF25015" s="12"/>
    </row>
    <row r="25016" spans="32:32" x14ac:dyDescent="0.2">
      <c r="AF25016" s="12"/>
    </row>
    <row r="25017" spans="32:32" x14ac:dyDescent="0.2">
      <c r="AF25017" s="12"/>
    </row>
    <row r="25018" spans="32:32" x14ac:dyDescent="0.2">
      <c r="AF25018" s="12"/>
    </row>
    <row r="25019" spans="32:32" x14ac:dyDescent="0.2">
      <c r="AF25019" s="12"/>
    </row>
    <row r="25020" spans="32:32" x14ac:dyDescent="0.2">
      <c r="AF25020" s="12"/>
    </row>
    <row r="25021" spans="32:32" x14ac:dyDescent="0.2">
      <c r="AF25021" s="12"/>
    </row>
    <row r="25022" spans="32:32" x14ac:dyDescent="0.2">
      <c r="AF25022" s="12"/>
    </row>
    <row r="25023" spans="32:32" x14ac:dyDescent="0.2">
      <c r="AF25023" s="12"/>
    </row>
    <row r="25024" spans="32:32" x14ac:dyDescent="0.2">
      <c r="AF25024" s="12"/>
    </row>
    <row r="25025" spans="32:32" x14ac:dyDescent="0.2">
      <c r="AF25025" s="12"/>
    </row>
    <row r="25026" spans="32:32" x14ac:dyDescent="0.2">
      <c r="AF25026" s="12"/>
    </row>
    <row r="25027" spans="32:32" x14ac:dyDescent="0.2">
      <c r="AF25027" s="12"/>
    </row>
    <row r="25028" spans="32:32" x14ac:dyDescent="0.2">
      <c r="AF25028" s="12"/>
    </row>
    <row r="25029" spans="32:32" x14ac:dyDescent="0.2">
      <c r="AF25029" s="12"/>
    </row>
    <row r="25030" spans="32:32" x14ac:dyDescent="0.2">
      <c r="AF25030" s="12"/>
    </row>
    <row r="25031" spans="32:32" x14ac:dyDescent="0.2">
      <c r="AF25031" s="12"/>
    </row>
    <row r="25032" spans="32:32" x14ac:dyDescent="0.2">
      <c r="AF25032" s="12"/>
    </row>
    <row r="25033" spans="32:32" x14ac:dyDescent="0.2">
      <c r="AF25033" s="12"/>
    </row>
    <row r="25034" spans="32:32" x14ac:dyDescent="0.2">
      <c r="AF25034" s="12"/>
    </row>
    <row r="25035" spans="32:32" x14ac:dyDescent="0.2">
      <c r="AF25035" s="12"/>
    </row>
    <row r="25036" spans="32:32" x14ac:dyDescent="0.2">
      <c r="AF25036" s="12"/>
    </row>
    <row r="25037" spans="32:32" x14ac:dyDescent="0.2">
      <c r="AF25037" s="12"/>
    </row>
    <row r="25038" spans="32:32" x14ac:dyDescent="0.2">
      <c r="AF25038" s="12"/>
    </row>
    <row r="25039" spans="32:32" x14ac:dyDescent="0.2">
      <c r="AF25039" s="12"/>
    </row>
    <row r="25040" spans="32:32" x14ac:dyDescent="0.2">
      <c r="AF25040" s="12"/>
    </row>
    <row r="25041" spans="32:32" x14ac:dyDescent="0.2">
      <c r="AF25041" s="12"/>
    </row>
    <row r="25042" spans="32:32" x14ac:dyDescent="0.2">
      <c r="AF25042" s="12"/>
    </row>
    <row r="25043" spans="32:32" x14ac:dyDescent="0.2">
      <c r="AF25043" s="12"/>
    </row>
    <row r="25044" spans="32:32" x14ac:dyDescent="0.2">
      <c r="AF25044" s="12"/>
    </row>
    <row r="25045" spans="32:32" x14ac:dyDescent="0.2">
      <c r="AF25045" s="12"/>
    </row>
    <row r="25046" spans="32:32" x14ac:dyDescent="0.2">
      <c r="AF25046" s="12"/>
    </row>
    <row r="25047" spans="32:32" x14ac:dyDescent="0.2">
      <c r="AF25047" s="12"/>
    </row>
    <row r="25048" spans="32:32" x14ac:dyDescent="0.2">
      <c r="AF25048" s="12"/>
    </row>
    <row r="25049" spans="32:32" x14ac:dyDescent="0.2">
      <c r="AF25049" s="12"/>
    </row>
    <row r="25050" spans="32:32" x14ac:dyDescent="0.2">
      <c r="AF25050" s="12"/>
    </row>
    <row r="25051" spans="32:32" x14ac:dyDescent="0.2">
      <c r="AF25051" s="12"/>
    </row>
    <row r="25052" spans="32:32" x14ac:dyDescent="0.2">
      <c r="AF25052" s="12"/>
    </row>
    <row r="25053" spans="32:32" x14ac:dyDescent="0.2">
      <c r="AF25053" s="12"/>
    </row>
    <row r="25054" spans="32:32" x14ac:dyDescent="0.2">
      <c r="AF25054" s="12"/>
    </row>
    <row r="25055" spans="32:32" x14ac:dyDescent="0.2">
      <c r="AF25055" s="12"/>
    </row>
    <row r="25056" spans="32:32" x14ac:dyDescent="0.2">
      <c r="AF25056" s="12"/>
    </row>
    <row r="25057" spans="32:32" x14ac:dyDescent="0.2">
      <c r="AF25057" s="12"/>
    </row>
    <row r="25058" spans="32:32" x14ac:dyDescent="0.2">
      <c r="AF25058" s="12"/>
    </row>
    <row r="25059" spans="32:32" x14ac:dyDescent="0.2">
      <c r="AF25059" s="12"/>
    </row>
    <row r="25060" spans="32:32" x14ac:dyDescent="0.2">
      <c r="AF25060" s="12"/>
    </row>
    <row r="25061" spans="32:32" x14ac:dyDescent="0.2">
      <c r="AF25061" s="12"/>
    </row>
    <row r="25062" spans="32:32" x14ac:dyDescent="0.2">
      <c r="AF25062" s="12"/>
    </row>
    <row r="25063" spans="32:32" x14ac:dyDescent="0.2">
      <c r="AF25063" s="12"/>
    </row>
    <row r="25064" spans="32:32" x14ac:dyDescent="0.2">
      <c r="AF25064" s="12"/>
    </row>
    <row r="25065" spans="32:32" x14ac:dyDescent="0.2">
      <c r="AF25065" s="12"/>
    </row>
    <row r="25066" spans="32:32" x14ac:dyDescent="0.2">
      <c r="AF25066" s="12"/>
    </row>
    <row r="25067" spans="32:32" x14ac:dyDescent="0.2">
      <c r="AF25067" s="12"/>
    </row>
    <row r="25068" spans="32:32" x14ac:dyDescent="0.2">
      <c r="AF25068" s="12"/>
    </row>
    <row r="25069" spans="32:32" x14ac:dyDescent="0.2">
      <c r="AF25069" s="12"/>
    </row>
    <row r="25070" spans="32:32" x14ac:dyDescent="0.2">
      <c r="AF25070" s="12"/>
    </row>
    <row r="25071" spans="32:32" x14ac:dyDescent="0.2">
      <c r="AF25071" s="12"/>
    </row>
    <row r="25072" spans="32:32" x14ac:dyDescent="0.2">
      <c r="AF25072" s="12"/>
    </row>
    <row r="25073" spans="32:32" x14ac:dyDescent="0.2">
      <c r="AF25073" s="12"/>
    </row>
    <row r="25074" spans="32:32" x14ac:dyDescent="0.2">
      <c r="AF25074" s="12"/>
    </row>
    <row r="25075" spans="32:32" x14ac:dyDescent="0.2">
      <c r="AF25075" s="12"/>
    </row>
    <row r="25076" spans="32:32" x14ac:dyDescent="0.2">
      <c r="AF25076" s="12"/>
    </row>
    <row r="25077" spans="32:32" x14ac:dyDescent="0.2">
      <c r="AF25077" s="12"/>
    </row>
    <row r="25078" spans="32:32" x14ac:dyDescent="0.2">
      <c r="AF25078" s="12"/>
    </row>
    <row r="25079" spans="32:32" x14ac:dyDescent="0.2">
      <c r="AF25079" s="12"/>
    </row>
    <row r="25080" spans="32:32" x14ac:dyDescent="0.2">
      <c r="AF25080" s="12"/>
    </row>
    <row r="25081" spans="32:32" x14ac:dyDescent="0.2">
      <c r="AF25081" s="12"/>
    </row>
    <row r="25082" spans="32:32" x14ac:dyDescent="0.2">
      <c r="AF25082" s="12"/>
    </row>
    <row r="25083" spans="32:32" x14ac:dyDescent="0.2">
      <c r="AF25083" s="12"/>
    </row>
    <row r="25084" spans="32:32" x14ac:dyDescent="0.2">
      <c r="AF25084" s="12"/>
    </row>
    <row r="25085" spans="32:32" x14ac:dyDescent="0.2">
      <c r="AF25085" s="12"/>
    </row>
    <row r="25086" spans="32:32" x14ac:dyDescent="0.2">
      <c r="AF25086" s="12"/>
    </row>
    <row r="25087" spans="32:32" x14ac:dyDescent="0.2">
      <c r="AF25087" s="12"/>
    </row>
    <row r="25088" spans="32:32" x14ac:dyDescent="0.2">
      <c r="AF25088" s="12"/>
    </row>
    <row r="25089" spans="32:32" x14ac:dyDescent="0.2">
      <c r="AF25089" s="12"/>
    </row>
    <row r="25090" spans="32:32" x14ac:dyDescent="0.2">
      <c r="AF25090" s="12"/>
    </row>
    <row r="25091" spans="32:32" x14ac:dyDescent="0.2">
      <c r="AF25091" s="12"/>
    </row>
    <row r="25092" spans="32:32" x14ac:dyDescent="0.2">
      <c r="AF25092" s="12"/>
    </row>
    <row r="25093" spans="32:32" x14ac:dyDescent="0.2">
      <c r="AF25093" s="12"/>
    </row>
    <row r="25094" spans="32:32" x14ac:dyDescent="0.2">
      <c r="AF25094" s="12"/>
    </row>
    <row r="25095" spans="32:32" x14ac:dyDescent="0.2">
      <c r="AF25095" s="12"/>
    </row>
    <row r="25096" spans="32:32" x14ac:dyDescent="0.2">
      <c r="AF25096" s="12"/>
    </row>
    <row r="25097" spans="32:32" x14ac:dyDescent="0.2">
      <c r="AF25097" s="12"/>
    </row>
    <row r="25098" spans="32:32" x14ac:dyDescent="0.2">
      <c r="AF25098" s="12"/>
    </row>
    <row r="25099" spans="32:32" x14ac:dyDescent="0.2">
      <c r="AF25099" s="12"/>
    </row>
    <row r="25100" spans="32:32" x14ac:dyDescent="0.2">
      <c r="AF25100" s="12"/>
    </row>
    <row r="25101" spans="32:32" x14ac:dyDescent="0.2">
      <c r="AF25101" s="12"/>
    </row>
    <row r="25102" spans="32:32" x14ac:dyDescent="0.2">
      <c r="AF25102" s="12"/>
    </row>
    <row r="25103" spans="32:32" x14ac:dyDescent="0.2">
      <c r="AF25103" s="12"/>
    </row>
    <row r="25104" spans="32:32" x14ac:dyDescent="0.2">
      <c r="AF25104" s="12"/>
    </row>
    <row r="25105" spans="32:32" x14ac:dyDescent="0.2">
      <c r="AF25105" s="12"/>
    </row>
    <row r="25106" spans="32:32" x14ac:dyDescent="0.2">
      <c r="AF25106" s="12"/>
    </row>
    <row r="25107" spans="32:32" x14ac:dyDescent="0.2">
      <c r="AF25107" s="12"/>
    </row>
    <row r="25108" spans="32:32" x14ac:dyDescent="0.2">
      <c r="AF25108" s="12"/>
    </row>
    <row r="25109" spans="32:32" x14ac:dyDescent="0.2">
      <c r="AF25109" s="12"/>
    </row>
    <row r="25110" spans="32:32" x14ac:dyDescent="0.2">
      <c r="AF25110" s="12"/>
    </row>
    <row r="25111" spans="32:32" x14ac:dyDescent="0.2">
      <c r="AF25111" s="12"/>
    </row>
    <row r="25112" spans="32:32" x14ac:dyDescent="0.2">
      <c r="AF25112" s="12"/>
    </row>
    <row r="25113" spans="32:32" x14ac:dyDescent="0.2">
      <c r="AF25113" s="12"/>
    </row>
    <row r="25114" spans="32:32" x14ac:dyDescent="0.2">
      <c r="AF25114" s="12"/>
    </row>
    <row r="25115" spans="32:32" x14ac:dyDescent="0.2">
      <c r="AF25115" s="12"/>
    </row>
    <row r="25116" spans="32:32" x14ac:dyDescent="0.2">
      <c r="AF25116" s="12"/>
    </row>
    <row r="25117" spans="32:32" x14ac:dyDescent="0.2">
      <c r="AF25117" s="12"/>
    </row>
    <row r="25118" spans="32:32" x14ac:dyDescent="0.2">
      <c r="AF25118" s="12"/>
    </row>
    <row r="25119" spans="32:32" x14ac:dyDescent="0.2">
      <c r="AF25119" s="12"/>
    </row>
    <row r="25120" spans="32:32" x14ac:dyDescent="0.2">
      <c r="AF25120" s="12"/>
    </row>
    <row r="25121" spans="32:32" x14ac:dyDescent="0.2">
      <c r="AF25121" s="12"/>
    </row>
    <row r="25122" spans="32:32" x14ac:dyDescent="0.2">
      <c r="AF25122" s="12"/>
    </row>
    <row r="25123" spans="32:32" x14ac:dyDescent="0.2">
      <c r="AF25123" s="12"/>
    </row>
    <row r="25124" spans="32:32" x14ac:dyDescent="0.2">
      <c r="AF25124" s="12"/>
    </row>
    <row r="25125" spans="32:32" x14ac:dyDescent="0.2">
      <c r="AF25125" s="12"/>
    </row>
    <row r="25126" spans="32:32" x14ac:dyDescent="0.2">
      <c r="AF25126" s="12"/>
    </row>
    <row r="25127" spans="32:32" x14ac:dyDescent="0.2">
      <c r="AF25127" s="12"/>
    </row>
    <row r="25128" spans="32:32" x14ac:dyDescent="0.2">
      <c r="AF25128" s="12"/>
    </row>
    <row r="25129" spans="32:32" x14ac:dyDescent="0.2">
      <c r="AF25129" s="12"/>
    </row>
    <row r="25130" spans="32:32" x14ac:dyDescent="0.2">
      <c r="AF25130" s="12"/>
    </row>
    <row r="25131" spans="32:32" x14ac:dyDescent="0.2">
      <c r="AF25131" s="12"/>
    </row>
    <row r="25132" spans="32:32" x14ac:dyDescent="0.2">
      <c r="AF25132" s="12"/>
    </row>
    <row r="25133" spans="32:32" x14ac:dyDescent="0.2">
      <c r="AF25133" s="12"/>
    </row>
    <row r="25134" spans="32:32" x14ac:dyDescent="0.2">
      <c r="AF25134" s="12"/>
    </row>
    <row r="25135" spans="32:32" x14ac:dyDescent="0.2">
      <c r="AF25135" s="12"/>
    </row>
    <row r="25136" spans="32:32" x14ac:dyDescent="0.2">
      <c r="AF25136" s="12"/>
    </row>
    <row r="25137" spans="32:32" x14ac:dyDescent="0.2">
      <c r="AF25137" s="12"/>
    </row>
    <row r="25138" spans="32:32" x14ac:dyDescent="0.2">
      <c r="AF25138" s="12"/>
    </row>
    <row r="25139" spans="32:32" x14ac:dyDescent="0.2">
      <c r="AF25139" s="12"/>
    </row>
    <row r="25140" spans="32:32" x14ac:dyDescent="0.2">
      <c r="AF25140" s="12"/>
    </row>
    <row r="25141" spans="32:32" x14ac:dyDescent="0.2">
      <c r="AF25141" s="12"/>
    </row>
    <row r="25142" spans="32:32" x14ac:dyDescent="0.2">
      <c r="AF25142" s="12"/>
    </row>
    <row r="25143" spans="32:32" x14ac:dyDescent="0.2">
      <c r="AF25143" s="12"/>
    </row>
    <row r="25144" spans="32:32" x14ac:dyDescent="0.2">
      <c r="AF25144" s="12"/>
    </row>
    <row r="25145" spans="32:32" x14ac:dyDescent="0.2">
      <c r="AF25145" s="12"/>
    </row>
    <row r="25146" spans="32:32" x14ac:dyDescent="0.2">
      <c r="AF25146" s="12"/>
    </row>
    <row r="25147" spans="32:32" x14ac:dyDescent="0.2">
      <c r="AF25147" s="12"/>
    </row>
    <row r="25148" spans="32:32" x14ac:dyDescent="0.2">
      <c r="AF25148" s="12"/>
    </row>
    <row r="25149" spans="32:32" x14ac:dyDescent="0.2">
      <c r="AF25149" s="12"/>
    </row>
    <row r="25150" spans="32:32" x14ac:dyDescent="0.2">
      <c r="AF25150" s="12"/>
    </row>
    <row r="25151" spans="32:32" x14ac:dyDescent="0.2">
      <c r="AF25151" s="12"/>
    </row>
    <row r="25152" spans="32:32" x14ac:dyDescent="0.2">
      <c r="AF25152" s="12"/>
    </row>
    <row r="25153" spans="32:32" x14ac:dyDescent="0.2">
      <c r="AF25153" s="12"/>
    </row>
    <row r="25154" spans="32:32" x14ac:dyDescent="0.2">
      <c r="AF25154" s="12"/>
    </row>
    <row r="25155" spans="32:32" x14ac:dyDescent="0.2">
      <c r="AF25155" s="12"/>
    </row>
    <row r="25156" spans="32:32" x14ac:dyDescent="0.2">
      <c r="AF25156" s="12"/>
    </row>
    <row r="25157" spans="32:32" x14ac:dyDescent="0.2">
      <c r="AF25157" s="12"/>
    </row>
    <row r="25158" spans="32:32" x14ac:dyDescent="0.2">
      <c r="AF25158" s="12"/>
    </row>
    <row r="25159" spans="32:32" x14ac:dyDescent="0.2">
      <c r="AF25159" s="12"/>
    </row>
    <row r="25160" spans="32:32" x14ac:dyDescent="0.2">
      <c r="AF25160" s="12"/>
    </row>
    <row r="25161" spans="32:32" x14ac:dyDescent="0.2">
      <c r="AF25161" s="12"/>
    </row>
    <row r="25162" spans="32:32" x14ac:dyDescent="0.2">
      <c r="AF25162" s="12"/>
    </row>
    <row r="25163" spans="32:32" x14ac:dyDescent="0.2">
      <c r="AF25163" s="12"/>
    </row>
    <row r="25164" spans="32:32" x14ac:dyDescent="0.2">
      <c r="AF25164" s="12"/>
    </row>
    <row r="25165" spans="32:32" x14ac:dyDescent="0.2">
      <c r="AF25165" s="12"/>
    </row>
    <row r="25166" spans="32:32" x14ac:dyDescent="0.2">
      <c r="AF25166" s="12"/>
    </row>
    <row r="25167" spans="32:32" x14ac:dyDescent="0.2">
      <c r="AF25167" s="12"/>
    </row>
    <row r="25168" spans="32:32" x14ac:dyDescent="0.2">
      <c r="AF25168" s="12"/>
    </row>
    <row r="25169" spans="32:32" x14ac:dyDescent="0.2">
      <c r="AF25169" s="12"/>
    </row>
    <row r="25170" spans="32:32" x14ac:dyDescent="0.2">
      <c r="AF25170" s="12"/>
    </row>
    <row r="25171" spans="32:32" x14ac:dyDescent="0.2">
      <c r="AF25171" s="12"/>
    </row>
    <row r="25172" spans="32:32" x14ac:dyDescent="0.2">
      <c r="AF25172" s="12"/>
    </row>
    <row r="25173" spans="32:32" x14ac:dyDescent="0.2">
      <c r="AF25173" s="12"/>
    </row>
    <row r="25174" spans="32:32" x14ac:dyDescent="0.2">
      <c r="AF25174" s="12"/>
    </row>
    <row r="25175" spans="32:32" x14ac:dyDescent="0.2">
      <c r="AF25175" s="12"/>
    </row>
    <row r="25176" spans="32:32" x14ac:dyDescent="0.2">
      <c r="AF25176" s="12"/>
    </row>
    <row r="25177" spans="32:32" x14ac:dyDescent="0.2">
      <c r="AF25177" s="12"/>
    </row>
    <row r="25178" spans="32:32" x14ac:dyDescent="0.2">
      <c r="AF25178" s="12"/>
    </row>
    <row r="25179" spans="32:32" x14ac:dyDescent="0.2">
      <c r="AF25179" s="12"/>
    </row>
    <row r="25180" spans="32:32" x14ac:dyDescent="0.2">
      <c r="AF25180" s="12"/>
    </row>
    <row r="25181" spans="32:32" x14ac:dyDescent="0.2">
      <c r="AF25181" s="12"/>
    </row>
    <row r="25182" spans="32:32" x14ac:dyDescent="0.2">
      <c r="AF25182" s="12"/>
    </row>
    <row r="25183" spans="32:32" x14ac:dyDescent="0.2">
      <c r="AF25183" s="12"/>
    </row>
    <row r="25184" spans="32:32" x14ac:dyDescent="0.2">
      <c r="AF25184" s="12"/>
    </row>
    <row r="25185" spans="32:32" x14ac:dyDescent="0.2">
      <c r="AF25185" s="12"/>
    </row>
    <row r="25186" spans="32:32" x14ac:dyDescent="0.2">
      <c r="AF25186" s="12"/>
    </row>
    <row r="25187" spans="32:32" x14ac:dyDescent="0.2">
      <c r="AF25187" s="12"/>
    </row>
    <row r="25188" spans="32:32" x14ac:dyDescent="0.2">
      <c r="AF25188" s="12"/>
    </row>
    <row r="25189" spans="32:32" x14ac:dyDescent="0.2">
      <c r="AF25189" s="12"/>
    </row>
    <row r="25190" spans="32:32" x14ac:dyDescent="0.2">
      <c r="AF25190" s="12"/>
    </row>
    <row r="25191" spans="32:32" x14ac:dyDescent="0.2">
      <c r="AF25191" s="12"/>
    </row>
    <row r="25192" spans="32:32" x14ac:dyDescent="0.2">
      <c r="AF25192" s="12"/>
    </row>
    <row r="25193" spans="32:32" x14ac:dyDescent="0.2">
      <c r="AF25193" s="12"/>
    </row>
    <row r="25194" spans="32:32" x14ac:dyDescent="0.2">
      <c r="AF25194" s="12"/>
    </row>
    <row r="25195" spans="32:32" x14ac:dyDescent="0.2">
      <c r="AF25195" s="12"/>
    </row>
    <row r="25196" spans="32:32" x14ac:dyDescent="0.2">
      <c r="AF25196" s="12"/>
    </row>
    <row r="25197" spans="32:32" x14ac:dyDescent="0.2">
      <c r="AF25197" s="12"/>
    </row>
    <row r="25198" spans="32:32" x14ac:dyDescent="0.2">
      <c r="AF25198" s="12"/>
    </row>
    <row r="25199" spans="32:32" x14ac:dyDescent="0.2">
      <c r="AF25199" s="12"/>
    </row>
    <row r="25200" spans="32:32" x14ac:dyDescent="0.2">
      <c r="AF25200" s="12"/>
    </row>
    <row r="25201" spans="32:32" x14ac:dyDescent="0.2">
      <c r="AF25201" s="12"/>
    </row>
    <row r="25202" spans="32:32" x14ac:dyDescent="0.2">
      <c r="AF25202" s="12"/>
    </row>
    <row r="25203" spans="32:32" x14ac:dyDescent="0.2">
      <c r="AF25203" s="12"/>
    </row>
    <row r="25204" spans="32:32" x14ac:dyDescent="0.2">
      <c r="AF25204" s="12"/>
    </row>
    <row r="25205" spans="32:32" x14ac:dyDescent="0.2">
      <c r="AF25205" s="12"/>
    </row>
    <row r="25206" spans="32:32" x14ac:dyDescent="0.2">
      <c r="AF25206" s="12"/>
    </row>
    <row r="25207" spans="32:32" x14ac:dyDescent="0.2">
      <c r="AF25207" s="12"/>
    </row>
    <row r="25208" spans="32:32" x14ac:dyDescent="0.2">
      <c r="AF25208" s="12"/>
    </row>
    <row r="25209" spans="32:32" x14ac:dyDescent="0.2">
      <c r="AF25209" s="12"/>
    </row>
    <row r="25210" spans="32:32" x14ac:dyDescent="0.2">
      <c r="AF25210" s="12"/>
    </row>
    <row r="25211" spans="32:32" x14ac:dyDescent="0.2">
      <c r="AF25211" s="12"/>
    </row>
    <row r="25212" spans="32:32" x14ac:dyDescent="0.2">
      <c r="AF25212" s="12"/>
    </row>
    <row r="25213" spans="32:32" x14ac:dyDescent="0.2">
      <c r="AF25213" s="12"/>
    </row>
    <row r="25214" spans="32:32" x14ac:dyDescent="0.2">
      <c r="AF25214" s="12"/>
    </row>
    <row r="25215" spans="32:32" x14ac:dyDescent="0.2">
      <c r="AF25215" s="12"/>
    </row>
    <row r="25216" spans="32:32" x14ac:dyDescent="0.2">
      <c r="AF25216" s="12"/>
    </row>
    <row r="25217" spans="32:32" x14ac:dyDescent="0.2">
      <c r="AF25217" s="12"/>
    </row>
    <row r="25218" spans="32:32" x14ac:dyDescent="0.2">
      <c r="AF25218" s="12"/>
    </row>
    <row r="25219" spans="32:32" x14ac:dyDescent="0.2">
      <c r="AF25219" s="12"/>
    </row>
    <row r="25220" spans="32:32" x14ac:dyDescent="0.2">
      <c r="AF25220" s="12"/>
    </row>
    <row r="25221" spans="32:32" x14ac:dyDescent="0.2">
      <c r="AF25221" s="12"/>
    </row>
    <row r="25222" spans="32:32" x14ac:dyDescent="0.2">
      <c r="AF25222" s="12"/>
    </row>
    <row r="25223" spans="32:32" x14ac:dyDescent="0.2">
      <c r="AF25223" s="12"/>
    </row>
    <row r="25224" spans="32:32" x14ac:dyDescent="0.2">
      <c r="AF25224" s="12"/>
    </row>
    <row r="25225" spans="32:32" x14ac:dyDescent="0.2">
      <c r="AF25225" s="12"/>
    </row>
    <row r="25226" spans="32:32" x14ac:dyDescent="0.2">
      <c r="AF25226" s="12"/>
    </row>
    <row r="25227" spans="32:32" x14ac:dyDescent="0.2">
      <c r="AF25227" s="12"/>
    </row>
    <row r="25228" spans="32:32" x14ac:dyDescent="0.2">
      <c r="AF25228" s="12"/>
    </row>
    <row r="25229" spans="32:32" x14ac:dyDescent="0.2">
      <c r="AF25229" s="12"/>
    </row>
    <row r="25230" spans="32:32" x14ac:dyDescent="0.2">
      <c r="AF25230" s="12"/>
    </row>
    <row r="25231" spans="32:32" x14ac:dyDescent="0.2">
      <c r="AF25231" s="12"/>
    </row>
    <row r="25232" spans="32:32" x14ac:dyDescent="0.2">
      <c r="AF25232" s="12"/>
    </row>
    <row r="25233" spans="32:32" x14ac:dyDescent="0.2">
      <c r="AF25233" s="12"/>
    </row>
    <row r="25234" spans="32:32" x14ac:dyDescent="0.2">
      <c r="AF25234" s="12"/>
    </row>
    <row r="25235" spans="32:32" x14ac:dyDescent="0.2">
      <c r="AF25235" s="12"/>
    </row>
    <row r="25236" spans="32:32" x14ac:dyDescent="0.2">
      <c r="AF25236" s="12"/>
    </row>
    <row r="25237" spans="32:32" x14ac:dyDescent="0.2">
      <c r="AF25237" s="12"/>
    </row>
    <row r="25238" spans="32:32" x14ac:dyDescent="0.2">
      <c r="AF25238" s="12"/>
    </row>
    <row r="25239" spans="32:32" x14ac:dyDescent="0.2">
      <c r="AF25239" s="12"/>
    </row>
    <row r="25240" spans="32:32" x14ac:dyDescent="0.2">
      <c r="AF25240" s="12"/>
    </row>
    <row r="25241" spans="32:32" x14ac:dyDescent="0.2">
      <c r="AF25241" s="12"/>
    </row>
    <row r="25242" spans="32:32" x14ac:dyDescent="0.2">
      <c r="AF25242" s="12"/>
    </row>
    <row r="25243" spans="32:32" x14ac:dyDescent="0.2">
      <c r="AF25243" s="12"/>
    </row>
    <row r="25244" spans="32:32" x14ac:dyDescent="0.2">
      <c r="AF25244" s="12"/>
    </row>
    <row r="25245" spans="32:32" x14ac:dyDescent="0.2">
      <c r="AF25245" s="12"/>
    </row>
    <row r="25246" spans="32:32" x14ac:dyDescent="0.2">
      <c r="AF25246" s="12"/>
    </row>
    <row r="25247" spans="32:32" x14ac:dyDescent="0.2">
      <c r="AF25247" s="12"/>
    </row>
    <row r="25248" spans="32:32" x14ac:dyDescent="0.2">
      <c r="AF25248" s="12"/>
    </row>
    <row r="25249" spans="32:32" x14ac:dyDescent="0.2">
      <c r="AF25249" s="12"/>
    </row>
    <row r="25250" spans="32:32" x14ac:dyDescent="0.2">
      <c r="AF25250" s="12"/>
    </row>
    <row r="25251" spans="32:32" x14ac:dyDescent="0.2">
      <c r="AF25251" s="12"/>
    </row>
    <row r="25252" spans="32:32" x14ac:dyDescent="0.2">
      <c r="AF25252" s="12"/>
    </row>
    <row r="25253" spans="32:32" x14ac:dyDescent="0.2">
      <c r="AF25253" s="12"/>
    </row>
    <row r="25254" spans="32:32" x14ac:dyDescent="0.2">
      <c r="AF25254" s="12"/>
    </row>
    <row r="25255" spans="32:32" x14ac:dyDescent="0.2">
      <c r="AF25255" s="12"/>
    </row>
    <row r="25256" spans="32:32" x14ac:dyDescent="0.2">
      <c r="AF25256" s="12"/>
    </row>
    <row r="25257" spans="32:32" x14ac:dyDescent="0.2">
      <c r="AF25257" s="12"/>
    </row>
    <row r="25258" spans="32:32" x14ac:dyDescent="0.2">
      <c r="AF25258" s="12"/>
    </row>
    <row r="25259" spans="32:32" x14ac:dyDescent="0.2">
      <c r="AF25259" s="12"/>
    </row>
    <row r="25260" spans="32:32" x14ac:dyDescent="0.2">
      <c r="AF25260" s="12"/>
    </row>
    <row r="25261" spans="32:32" x14ac:dyDescent="0.2">
      <c r="AF25261" s="12"/>
    </row>
    <row r="25262" spans="32:32" x14ac:dyDescent="0.2">
      <c r="AF25262" s="12"/>
    </row>
    <row r="25263" spans="32:32" x14ac:dyDescent="0.2">
      <c r="AF25263" s="12"/>
    </row>
    <row r="25264" spans="32:32" x14ac:dyDescent="0.2">
      <c r="AF25264" s="12"/>
    </row>
    <row r="25265" spans="32:32" x14ac:dyDescent="0.2">
      <c r="AF25265" s="12"/>
    </row>
    <row r="25266" spans="32:32" x14ac:dyDescent="0.2">
      <c r="AF25266" s="12"/>
    </row>
    <row r="25267" spans="32:32" x14ac:dyDescent="0.2">
      <c r="AF25267" s="12"/>
    </row>
    <row r="25268" spans="32:32" x14ac:dyDescent="0.2">
      <c r="AF25268" s="12"/>
    </row>
    <row r="25269" spans="32:32" x14ac:dyDescent="0.2">
      <c r="AF25269" s="12"/>
    </row>
    <row r="25270" spans="32:32" x14ac:dyDescent="0.2">
      <c r="AF25270" s="12"/>
    </row>
    <row r="25271" spans="32:32" x14ac:dyDescent="0.2">
      <c r="AF25271" s="12"/>
    </row>
    <row r="25272" spans="32:32" x14ac:dyDescent="0.2">
      <c r="AF25272" s="12"/>
    </row>
    <row r="25273" spans="32:32" x14ac:dyDescent="0.2">
      <c r="AF25273" s="12"/>
    </row>
    <row r="25274" spans="32:32" x14ac:dyDescent="0.2">
      <c r="AF25274" s="12"/>
    </row>
    <row r="25275" spans="32:32" x14ac:dyDescent="0.2">
      <c r="AF25275" s="12"/>
    </row>
    <row r="25276" spans="32:32" x14ac:dyDescent="0.2">
      <c r="AF25276" s="12"/>
    </row>
    <row r="25277" spans="32:32" x14ac:dyDescent="0.2">
      <c r="AF25277" s="12"/>
    </row>
    <row r="25278" spans="32:32" x14ac:dyDescent="0.2">
      <c r="AF25278" s="12"/>
    </row>
    <row r="25279" spans="32:32" x14ac:dyDescent="0.2">
      <c r="AF25279" s="12"/>
    </row>
    <row r="25280" spans="32:32" x14ac:dyDescent="0.2">
      <c r="AF25280" s="12"/>
    </row>
    <row r="25281" spans="32:32" x14ac:dyDescent="0.2">
      <c r="AF25281" s="12"/>
    </row>
    <row r="25282" spans="32:32" x14ac:dyDescent="0.2">
      <c r="AF25282" s="12"/>
    </row>
    <row r="25283" spans="32:32" x14ac:dyDescent="0.2">
      <c r="AF25283" s="12"/>
    </row>
    <row r="25284" spans="32:32" x14ac:dyDescent="0.2">
      <c r="AF25284" s="12"/>
    </row>
    <row r="25285" spans="32:32" x14ac:dyDescent="0.2">
      <c r="AF25285" s="12"/>
    </row>
    <row r="25286" spans="32:32" x14ac:dyDescent="0.2">
      <c r="AF25286" s="12"/>
    </row>
    <row r="25287" spans="32:32" x14ac:dyDescent="0.2">
      <c r="AF25287" s="12"/>
    </row>
    <row r="25288" spans="32:32" x14ac:dyDescent="0.2">
      <c r="AF25288" s="12"/>
    </row>
    <row r="25289" spans="32:32" x14ac:dyDescent="0.2">
      <c r="AF25289" s="12"/>
    </row>
    <row r="25290" spans="32:32" x14ac:dyDescent="0.2">
      <c r="AF25290" s="12"/>
    </row>
    <row r="25291" spans="32:32" x14ac:dyDescent="0.2">
      <c r="AF25291" s="12"/>
    </row>
    <row r="25292" spans="32:32" x14ac:dyDescent="0.2">
      <c r="AF25292" s="12"/>
    </row>
    <row r="25293" spans="32:32" x14ac:dyDescent="0.2">
      <c r="AF25293" s="12"/>
    </row>
    <row r="25294" spans="32:32" x14ac:dyDescent="0.2">
      <c r="AF25294" s="12"/>
    </row>
    <row r="25295" spans="32:32" x14ac:dyDescent="0.2">
      <c r="AF25295" s="12"/>
    </row>
    <row r="25296" spans="32:32" x14ac:dyDescent="0.2">
      <c r="AF25296" s="12"/>
    </row>
    <row r="25297" spans="32:32" x14ac:dyDescent="0.2">
      <c r="AF25297" s="12"/>
    </row>
    <row r="25298" spans="32:32" x14ac:dyDescent="0.2">
      <c r="AF25298" s="12"/>
    </row>
    <row r="25299" spans="32:32" x14ac:dyDescent="0.2">
      <c r="AF25299" s="12"/>
    </row>
    <row r="25300" spans="32:32" x14ac:dyDescent="0.2">
      <c r="AF25300" s="12"/>
    </row>
    <row r="25301" spans="32:32" x14ac:dyDescent="0.2">
      <c r="AF25301" s="12"/>
    </row>
    <row r="25302" spans="32:32" x14ac:dyDescent="0.2">
      <c r="AF25302" s="12"/>
    </row>
    <row r="25303" spans="32:32" x14ac:dyDescent="0.2">
      <c r="AF25303" s="12"/>
    </row>
    <row r="25304" spans="32:32" x14ac:dyDescent="0.2">
      <c r="AF25304" s="12"/>
    </row>
    <row r="25305" spans="32:32" x14ac:dyDescent="0.2">
      <c r="AF25305" s="12"/>
    </row>
    <row r="25306" spans="32:32" x14ac:dyDescent="0.2">
      <c r="AF25306" s="12"/>
    </row>
    <row r="25307" spans="32:32" x14ac:dyDescent="0.2">
      <c r="AF25307" s="12"/>
    </row>
    <row r="25308" spans="32:32" x14ac:dyDescent="0.2">
      <c r="AF25308" s="12"/>
    </row>
    <row r="25309" spans="32:32" x14ac:dyDescent="0.2">
      <c r="AF25309" s="12"/>
    </row>
    <row r="25310" spans="32:32" x14ac:dyDescent="0.2">
      <c r="AF25310" s="12"/>
    </row>
    <row r="25311" spans="32:32" x14ac:dyDescent="0.2">
      <c r="AF25311" s="12"/>
    </row>
    <row r="25312" spans="32:32" x14ac:dyDescent="0.2">
      <c r="AF25312" s="12"/>
    </row>
    <row r="25313" spans="32:32" x14ac:dyDescent="0.2">
      <c r="AF25313" s="12"/>
    </row>
    <row r="25314" spans="32:32" x14ac:dyDescent="0.2">
      <c r="AF25314" s="12"/>
    </row>
    <row r="25315" spans="32:32" x14ac:dyDescent="0.2">
      <c r="AF25315" s="12"/>
    </row>
    <row r="25316" spans="32:32" x14ac:dyDescent="0.2">
      <c r="AF25316" s="12"/>
    </row>
    <row r="25317" spans="32:32" x14ac:dyDescent="0.2">
      <c r="AF25317" s="12"/>
    </row>
    <row r="25318" spans="32:32" x14ac:dyDescent="0.2">
      <c r="AF25318" s="12"/>
    </row>
    <row r="25319" spans="32:32" x14ac:dyDescent="0.2">
      <c r="AF25319" s="12"/>
    </row>
    <row r="25320" spans="32:32" x14ac:dyDescent="0.2">
      <c r="AF25320" s="12"/>
    </row>
    <row r="25321" spans="32:32" x14ac:dyDescent="0.2">
      <c r="AF25321" s="12"/>
    </row>
    <row r="25322" spans="32:32" x14ac:dyDescent="0.2">
      <c r="AF25322" s="12"/>
    </row>
    <row r="25323" spans="32:32" x14ac:dyDescent="0.2">
      <c r="AF25323" s="12"/>
    </row>
    <row r="25324" spans="32:32" x14ac:dyDescent="0.2">
      <c r="AF25324" s="12"/>
    </row>
    <row r="25325" spans="32:32" x14ac:dyDescent="0.2">
      <c r="AF25325" s="12"/>
    </row>
    <row r="25326" spans="32:32" x14ac:dyDescent="0.2">
      <c r="AF25326" s="12"/>
    </row>
    <row r="25327" spans="32:32" x14ac:dyDescent="0.2">
      <c r="AF25327" s="12"/>
    </row>
    <row r="25328" spans="32:32" x14ac:dyDescent="0.2">
      <c r="AF25328" s="12"/>
    </row>
    <row r="25329" spans="32:32" x14ac:dyDescent="0.2">
      <c r="AF25329" s="12"/>
    </row>
    <row r="25330" spans="32:32" x14ac:dyDescent="0.2">
      <c r="AF25330" s="12"/>
    </row>
    <row r="25331" spans="32:32" x14ac:dyDescent="0.2">
      <c r="AF25331" s="12"/>
    </row>
    <row r="25332" spans="32:32" x14ac:dyDescent="0.2">
      <c r="AF25332" s="12"/>
    </row>
    <row r="25333" spans="32:32" x14ac:dyDescent="0.2">
      <c r="AF25333" s="12"/>
    </row>
    <row r="25334" spans="32:32" x14ac:dyDescent="0.2">
      <c r="AF25334" s="12"/>
    </row>
    <row r="25335" spans="32:32" x14ac:dyDescent="0.2">
      <c r="AF25335" s="12"/>
    </row>
    <row r="25336" spans="32:32" x14ac:dyDescent="0.2">
      <c r="AF25336" s="12"/>
    </row>
    <row r="25337" spans="32:32" x14ac:dyDescent="0.2">
      <c r="AF25337" s="12"/>
    </row>
    <row r="25338" spans="32:32" x14ac:dyDescent="0.2">
      <c r="AF25338" s="12"/>
    </row>
    <row r="25339" spans="32:32" x14ac:dyDescent="0.2">
      <c r="AF25339" s="12"/>
    </row>
    <row r="25340" spans="32:32" x14ac:dyDescent="0.2">
      <c r="AF25340" s="12"/>
    </row>
    <row r="25341" spans="32:32" x14ac:dyDescent="0.2">
      <c r="AF25341" s="12"/>
    </row>
    <row r="25342" spans="32:32" x14ac:dyDescent="0.2">
      <c r="AF25342" s="12"/>
    </row>
    <row r="25343" spans="32:32" x14ac:dyDescent="0.2">
      <c r="AF25343" s="12"/>
    </row>
    <row r="25344" spans="32:32" x14ac:dyDescent="0.2">
      <c r="AF25344" s="12"/>
    </row>
    <row r="25345" spans="32:32" x14ac:dyDescent="0.2">
      <c r="AF25345" s="12"/>
    </row>
    <row r="25346" spans="32:32" x14ac:dyDescent="0.2">
      <c r="AF25346" s="12"/>
    </row>
    <row r="25347" spans="32:32" x14ac:dyDescent="0.2">
      <c r="AF25347" s="12"/>
    </row>
    <row r="25348" spans="32:32" x14ac:dyDescent="0.2">
      <c r="AF25348" s="12"/>
    </row>
    <row r="25349" spans="32:32" x14ac:dyDescent="0.2">
      <c r="AF25349" s="12"/>
    </row>
    <row r="25350" spans="32:32" x14ac:dyDescent="0.2">
      <c r="AF25350" s="12"/>
    </row>
    <row r="25351" spans="32:32" x14ac:dyDescent="0.2">
      <c r="AF25351" s="12"/>
    </row>
    <row r="25352" spans="32:32" x14ac:dyDescent="0.2">
      <c r="AF25352" s="12"/>
    </row>
    <row r="25353" spans="32:32" x14ac:dyDescent="0.2">
      <c r="AF25353" s="12"/>
    </row>
    <row r="25354" spans="32:32" x14ac:dyDescent="0.2">
      <c r="AF25354" s="12"/>
    </row>
    <row r="25355" spans="32:32" x14ac:dyDescent="0.2">
      <c r="AF25355" s="12"/>
    </row>
    <row r="25356" spans="32:32" x14ac:dyDescent="0.2">
      <c r="AF25356" s="12"/>
    </row>
    <row r="25357" spans="32:32" x14ac:dyDescent="0.2">
      <c r="AF25357" s="12"/>
    </row>
    <row r="25358" spans="32:32" x14ac:dyDescent="0.2">
      <c r="AF25358" s="12"/>
    </row>
    <row r="25359" spans="32:32" x14ac:dyDescent="0.2">
      <c r="AF25359" s="12"/>
    </row>
    <row r="25360" spans="32:32" x14ac:dyDescent="0.2">
      <c r="AF25360" s="12"/>
    </row>
    <row r="25361" spans="32:32" x14ac:dyDescent="0.2">
      <c r="AF25361" s="12"/>
    </row>
    <row r="25362" spans="32:32" x14ac:dyDescent="0.2">
      <c r="AF25362" s="12"/>
    </row>
    <row r="25363" spans="32:32" x14ac:dyDescent="0.2">
      <c r="AF25363" s="12"/>
    </row>
    <row r="25364" spans="32:32" x14ac:dyDescent="0.2">
      <c r="AF25364" s="12"/>
    </row>
    <row r="25365" spans="32:32" x14ac:dyDescent="0.2">
      <c r="AF25365" s="12"/>
    </row>
    <row r="25366" spans="32:32" x14ac:dyDescent="0.2">
      <c r="AF25366" s="12"/>
    </row>
    <row r="25367" spans="32:32" x14ac:dyDescent="0.2">
      <c r="AF25367" s="12"/>
    </row>
    <row r="25368" spans="32:32" x14ac:dyDescent="0.2">
      <c r="AF25368" s="12"/>
    </row>
    <row r="25369" spans="32:32" x14ac:dyDescent="0.2">
      <c r="AF25369" s="12"/>
    </row>
    <row r="25370" spans="32:32" x14ac:dyDescent="0.2">
      <c r="AF25370" s="12"/>
    </row>
    <row r="25371" spans="32:32" x14ac:dyDescent="0.2">
      <c r="AF25371" s="12"/>
    </row>
    <row r="25372" spans="32:32" x14ac:dyDescent="0.2">
      <c r="AF25372" s="12"/>
    </row>
    <row r="25373" spans="32:32" x14ac:dyDescent="0.2">
      <c r="AF25373" s="12"/>
    </row>
    <row r="25374" spans="32:32" x14ac:dyDescent="0.2">
      <c r="AF25374" s="12"/>
    </row>
    <row r="25375" spans="32:32" x14ac:dyDescent="0.2">
      <c r="AF25375" s="12"/>
    </row>
    <row r="25376" spans="32:32" x14ac:dyDescent="0.2">
      <c r="AF25376" s="12"/>
    </row>
    <row r="25377" spans="32:32" x14ac:dyDescent="0.2">
      <c r="AF25377" s="12"/>
    </row>
    <row r="25378" spans="32:32" x14ac:dyDescent="0.2">
      <c r="AF25378" s="12"/>
    </row>
    <row r="25379" spans="32:32" x14ac:dyDescent="0.2">
      <c r="AF25379" s="12"/>
    </row>
    <row r="25380" spans="32:32" x14ac:dyDescent="0.2">
      <c r="AF25380" s="12"/>
    </row>
    <row r="25381" spans="32:32" x14ac:dyDescent="0.2">
      <c r="AF25381" s="12"/>
    </row>
    <row r="25382" spans="32:32" x14ac:dyDescent="0.2">
      <c r="AF25382" s="12"/>
    </row>
    <row r="25383" spans="32:32" x14ac:dyDescent="0.2">
      <c r="AF25383" s="12"/>
    </row>
    <row r="25384" spans="32:32" x14ac:dyDescent="0.2">
      <c r="AF25384" s="12"/>
    </row>
    <row r="25385" spans="32:32" x14ac:dyDescent="0.2">
      <c r="AF25385" s="12"/>
    </row>
    <row r="25386" spans="32:32" x14ac:dyDescent="0.2">
      <c r="AF25386" s="12"/>
    </row>
    <row r="25387" spans="32:32" x14ac:dyDescent="0.2">
      <c r="AF25387" s="12"/>
    </row>
    <row r="25388" spans="32:32" x14ac:dyDescent="0.2">
      <c r="AF25388" s="12"/>
    </row>
    <row r="25389" spans="32:32" x14ac:dyDescent="0.2">
      <c r="AF25389" s="12"/>
    </row>
    <row r="25390" spans="32:32" x14ac:dyDescent="0.2">
      <c r="AF25390" s="12"/>
    </row>
    <row r="25391" spans="32:32" x14ac:dyDescent="0.2">
      <c r="AF25391" s="12"/>
    </row>
    <row r="25392" spans="32:32" x14ac:dyDescent="0.2">
      <c r="AF25392" s="12"/>
    </row>
    <row r="25393" spans="32:32" x14ac:dyDescent="0.2">
      <c r="AF25393" s="12"/>
    </row>
    <row r="25394" spans="32:32" x14ac:dyDescent="0.2">
      <c r="AF25394" s="12"/>
    </row>
    <row r="25395" spans="32:32" x14ac:dyDescent="0.2">
      <c r="AF25395" s="12"/>
    </row>
    <row r="25396" spans="32:32" x14ac:dyDescent="0.2">
      <c r="AF25396" s="12"/>
    </row>
    <row r="25397" spans="32:32" x14ac:dyDescent="0.2">
      <c r="AF25397" s="12"/>
    </row>
    <row r="25398" spans="32:32" x14ac:dyDescent="0.2">
      <c r="AF25398" s="12"/>
    </row>
    <row r="25399" spans="32:32" x14ac:dyDescent="0.2">
      <c r="AF25399" s="12"/>
    </row>
    <row r="25400" spans="32:32" x14ac:dyDescent="0.2">
      <c r="AF25400" s="12"/>
    </row>
    <row r="25401" spans="32:32" x14ac:dyDescent="0.2">
      <c r="AF25401" s="12"/>
    </row>
    <row r="25402" spans="32:32" x14ac:dyDescent="0.2">
      <c r="AF25402" s="12"/>
    </row>
    <row r="25403" spans="32:32" x14ac:dyDescent="0.2">
      <c r="AF25403" s="12"/>
    </row>
    <row r="25404" spans="32:32" x14ac:dyDescent="0.2">
      <c r="AF25404" s="12"/>
    </row>
    <row r="25405" spans="32:32" x14ac:dyDescent="0.2">
      <c r="AF25405" s="12"/>
    </row>
    <row r="25406" spans="32:32" x14ac:dyDescent="0.2">
      <c r="AF25406" s="12"/>
    </row>
    <row r="25407" spans="32:32" x14ac:dyDescent="0.2">
      <c r="AF25407" s="12"/>
    </row>
    <row r="25408" spans="32:32" x14ac:dyDescent="0.2">
      <c r="AF25408" s="12"/>
    </row>
    <row r="25409" spans="32:32" x14ac:dyDescent="0.2">
      <c r="AF25409" s="12"/>
    </row>
    <row r="25410" spans="32:32" x14ac:dyDescent="0.2">
      <c r="AF25410" s="12"/>
    </row>
    <row r="25411" spans="32:32" x14ac:dyDescent="0.2">
      <c r="AF25411" s="12"/>
    </row>
    <row r="25412" spans="32:32" x14ac:dyDescent="0.2">
      <c r="AF25412" s="12"/>
    </row>
    <row r="25413" spans="32:32" x14ac:dyDescent="0.2">
      <c r="AF25413" s="12"/>
    </row>
    <row r="25414" spans="32:32" x14ac:dyDescent="0.2">
      <c r="AF25414" s="12"/>
    </row>
    <row r="25415" spans="32:32" x14ac:dyDescent="0.2">
      <c r="AF25415" s="12"/>
    </row>
    <row r="25416" spans="32:32" x14ac:dyDescent="0.2">
      <c r="AF25416" s="12"/>
    </row>
    <row r="25417" spans="32:32" x14ac:dyDescent="0.2">
      <c r="AF25417" s="12"/>
    </row>
    <row r="25418" spans="32:32" x14ac:dyDescent="0.2">
      <c r="AF25418" s="12"/>
    </row>
    <row r="25419" spans="32:32" x14ac:dyDescent="0.2">
      <c r="AF25419" s="12"/>
    </row>
    <row r="25420" spans="32:32" x14ac:dyDescent="0.2">
      <c r="AF25420" s="12"/>
    </row>
    <row r="25421" spans="32:32" x14ac:dyDescent="0.2">
      <c r="AF25421" s="12"/>
    </row>
    <row r="25422" spans="32:32" x14ac:dyDescent="0.2">
      <c r="AF25422" s="12"/>
    </row>
    <row r="25423" spans="32:32" x14ac:dyDescent="0.2">
      <c r="AF25423" s="12"/>
    </row>
    <row r="25424" spans="32:32" x14ac:dyDescent="0.2">
      <c r="AF25424" s="12"/>
    </row>
    <row r="25425" spans="32:32" x14ac:dyDescent="0.2">
      <c r="AF25425" s="12"/>
    </row>
    <row r="25426" spans="32:32" x14ac:dyDescent="0.2">
      <c r="AF25426" s="12"/>
    </row>
    <row r="25427" spans="32:32" x14ac:dyDescent="0.2">
      <c r="AF25427" s="12"/>
    </row>
    <row r="25428" spans="32:32" x14ac:dyDescent="0.2">
      <c r="AF25428" s="12"/>
    </row>
    <row r="25429" spans="32:32" x14ac:dyDescent="0.2">
      <c r="AF25429" s="12"/>
    </row>
    <row r="25430" spans="32:32" x14ac:dyDescent="0.2">
      <c r="AF25430" s="12"/>
    </row>
    <row r="25431" spans="32:32" x14ac:dyDescent="0.2">
      <c r="AF25431" s="12"/>
    </row>
    <row r="25432" spans="32:32" x14ac:dyDescent="0.2">
      <c r="AF25432" s="12"/>
    </row>
    <row r="25433" spans="32:32" x14ac:dyDescent="0.2">
      <c r="AF25433" s="12"/>
    </row>
    <row r="25434" spans="32:32" x14ac:dyDescent="0.2">
      <c r="AF25434" s="12"/>
    </row>
    <row r="25435" spans="32:32" x14ac:dyDescent="0.2">
      <c r="AF25435" s="12"/>
    </row>
    <row r="25436" spans="32:32" x14ac:dyDescent="0.2">
      <c r="AF25436" s="12"/>
    </row>
    <row r="25437" spans="32:32" x14ac:dyDescent="0.2">
      <c r="AF25437" s="12"/>
    </row>
    <row r="25438" spans="32:32" x14ac:dyDescent="0.2">
      <c r="AF25438" s="12"/>
    </row>
    <row r="25439" spans="32:32" x14ac:dyDescent="0.2">
      <c r="AF25439" s="12"/>
    </row>
    <row r="25440" spans="32:32" x14ac:dyDescent="0.2">
      <c r="AF25440" s="12"/>
    </row>
    <row r="25441" spans="32:32" x14ac:dyDescent="0.2">
      <c r="AF25441" s="12"/>
    </row>
    <row r="25442" spans="32:32" x14ac:dyDescent="0.2">
      <c r="AF25442" s="12"/>
    </row>
    <row r="25443" spans="32:32" x14ac:dyDescent="0.2">
      <c r="AF25443" s="12"/>
    </row>
    <row r="25444" spans="32:32" x14ac:dyDescent="0.2">
      <c r="AF25444" s="12"/>
    </row>
    <row r="25445" spans="32:32" x14ac:dyDescent="0.2">
      <c r="AF25445" s="12"/>
    </row>
    <row r="25446" spans="32:32" x14ac:dyDescent="0.2">
      <c r="AF25446" s="12"/>
    </row>
    <row r="25447" spans="32:32" x14ac:dyDescent="0.2">
      <c r="AF25447" s="12"/>
    </row>
    <row r="25448" spans="32:32" x14ac:dyDescent="0.2">
      <c r="AF25448" s="12"/>
    </row>
    <row r="25449" spans="32:32" x14ac:dyDescent="0.2">
      <c r="AF25449" s="12"/>
    </row>
    <row r="25450" spans="32:32" x14ac:dyDescent="0.2">
      <c r="AF25450" s="12"/>
    </row>
    <row r="25451" spans="32:32" x14ac:dyDescent="0.2">
      <c r="AF25451" s="12"/>
    </row>
    <row r="25452" spans="32:32" x14ac:dyDescent="0.2">
      <c r="AF25452" s="12"/>
    </row>
    <row r="25453" spans="32:32" x14ac:dyDescent="0.2">
      <c r="AF25453" s="12"/>
    </row>
    <row r="25454" spans="32:32" x14ac:dyDescent="0.2">
      <c r="AF25454" s="12"/>
    </row>
    <row r="25455" spans="32:32" x14ac:dyDescent="0.2">
      <c r="AF25455" s="12"/>
    </row>
    <row r="25456" spans="32:32" x14ac:dyDescent="0.2">
      <c r="AF25456" s="12"/>
    </row>
    <row r="25457" spans="32:32" x14ac:dyDescent="0.2">
      <c r="AF25457" s="12"/>
    </row>
    <row r="25458" spans="32:32" x14ac:dyDescent="0.2">
      <c r="AF25458" s="12"/>
    </row>
    <row r="25459" spans="32:32" x14ac:dyDescent="0.2">
      <c r="AF25459" s="12"/>
    </row>
    <row r="25460" spans="32:32" x14ac:dyDescent="0.2">
      <c r="AF25460" s="12"/>
    </row>
    <row r="25461" spans="32:32" x14ac:dyDescent="0.2">
      <c r="AF25461" s="12"/>
    </row>
    <row r="25462" spans="32:32" x14ac:dyDescent="0.2">
      <c r="AF25462" s="12"/>
    </row>
    <row r="25463" spans="32:32" x14ac:dyDescent="0.2">
      <c r="AF25463" s="12"/>
    </row>
    <row r="25464" spans="32:32" x14ac:dyDescent="0.2">
      <c r="AF25464" s="12"/>
    </row>
    <row r="25465" spans="32:32" x14ac:dyDescent="0.2">
      <c r="AF25465" s="12"/>
    </row>
    <row r="25466" spans="32:32" x14ac:dyDescent="0.2">
      <c r="AF25466" s="12"/>
    </row>
    <row r="25467" spans="32:32" x14ac:dyDescent="0.2">
      <c r="AF25467" s="12"/>
    </row>
    <row r="25468" spans="32:32" x14ac:dyDescent="0.2">
      <c r="AF25468" s="12"/>
    </row>
    <row r="25469" spans="32:32" x14ac:dyDescent="0.2">
      <c r="AF25469" s="12"/>
    </row>
    <row r="25470" spans="32:32" x14ac:dyDescent="0.2">
      <c r="AF25470" s="12"/>
    </row>
    <row r="25471" spans="32:32" x14ac:dyDescent="0.2">
      <c r="AF25471" s="12"/>
    </row>
    <row r="25472" spans="32:32" x14ac:dyDescent="0.2">
      <c r="AF25472" s="12"/>
    </row>
    <row r="25473" spans="32:32" x14ac:dyDescent="0.2">
      <c r="AF25473" s="12"/>
    </row>
    <row r="25474" spans="32:32" x14ac:dyDescent="0.2">
      <c r="AF25474" s="12"/>
    </row>
    <row r="25475" spans="32:32" x14ac:dyDescent="0.2">
      <c r="AF25475" s="12"/>
    </row>
    <row r="25476" spans="32:32" x14ac:dyDescent="0.2">
      <c r="AF25476" s="12"/>
    </row>
    <row r="25477" spans="32:32" x14ac:dyDescent="0.2">
      <c r="AF25477" s="12"/>
    </row>
    <row r="25478" spans="32:32" x14ac:dyDescent="0.2">
      <c r="AF25478" s="12"/>
    </row>
    <row r="25479" spans="32:32" x14ac:dyDescent="0.2">
      <c r="AF25479" s="12"/>
    </row>
    <row r="25480" spans="32:32" x14ac:dyDescent="0.2">
      <c r="AF25480" s="12"/>
    </row>
    <row r="25481" spans="32:32" x14ac:dyDescent="0.2">
      <c r="AF25481" s="12"/>
    </row>
    <row r="25482" spans="32:32" x14ac:dyDescent="0.2">
      <c r="AF25482" s="12"/>
    </row>
    <row r="25483" spans="32:32" x14ac:dyDescent="0.2">
      <c r="AF25483" s="12"/>
    </row>
    <row r="25484" spans="32:32" x14ac:dyDescent="0.2">
      <c r="AF25484" s="12"/>
    </row>
    <row r="25485" spans="32:32" x14ac:dyDescent="0.2">
      <c r="AF25485" s="12"/>
    </row>
    <row r="25486" spans="32:32" x14ac:dyDescent="0.2">
      <c r="AF25486" s="12"/>
    </row>
    <row r="25487" spans="32:32" x14ac:dyDescent="0.2">
      <c r="AF25487" s="12"/>
    </row>
    <row r="25488" spans="32:32" x14ac:dyDescent="0.2">
      <c r="AF25488" s="12"/>
    </row>
    <row r="25489" spans="32:32" x14ac:dyDescent="0.2">
      <c r="AF25489" s="12"/>
    </row>
    <row r="25490" spans="32:32" x14ac:dyDescent="0.2">
      <c r="AF25490" s="12"/>
    </row>
    <row r="25491" spans="32:32" x14ac:dyDescent="0.2">
      <c r="AF25491" s="12"/>
    </row>
    <row r="25492" spans="32:32" x14ac:dyDescent="0.2">
      <c r="AF25492" s="12"/>
    </row>
    <row r="25493" spans="32:32" x14ac:dyDescent="0.2">
      <c r="AF25493" s="12"/>
    </row>
    <row r="25494" spans="32:32" x14ac:dyDescent="0.2">
      <c r="AF25494" s="12"/>
    </row>
    <row r="25495" spans="32:32" x14ac:dyDescent="0.2">
      <c r="AF25495" s="12"/>
    </row>
    <row r="25496" spans="32:32" x14ac:dyDescent="0.2">
      <c r="AF25496" s="12"/>
    </row>
    <row r="25497" spans="32:32" x14ac:dyDescent="0.2">
      <c r="AF25497" s="12"/>
    </row>
    <row r="25498" spans="32:32" x14ac:dyDescent="0.2">
      <c r="AF25498" s="12"/>
    </row>
    <row r="25499" spans="32:32" x14ac:dyDescent="0.2">
      <c r="AF25499" s="12"/>
    </row>
    <row r="25500" spans="32:32" x14ac:dyDescent="0.2">
      <c r="AF25500" s="12"/>
    </row>
    <row r="25501" spans="32:32" x14ac:dyDescent="0.2">
      <c r="AF25501" s="12"/>
    </row>
    <row r="25502" spans="32:32" x14ac:dyDescent="0.2">
      <c r="AF25502" s="12"/>
    </row>
    <row r="25503" spans="32:32" x14ac:dyDescent="0.2">
      <c r="AF25503" s="12"/>
    </row>
    <row r="25504" spans="32:32" x14ac:dyDescent="0.2">
      <c r="AF25504" s="12"/>
    </row>
    <row r="25505" spans="32:32" x14ac:dyDescent="0.2">
      <c r="AF25505" s="12"/>
    </row>
    <row r="25506" spans="32:32" x14ac:dyDescent="0.2">
      <c r="AF25506" s="12"/>
    </row>
    <row r="25507" spans="32:32" x14ac:dyDescent="0.2">
      <c r="AF25507" s="12"/>
    </row>
    <row r="25508" spans="32:32" x14ac:dyDescent="0.2">
      <c r="AF25508" s="12"/>
    </row>
    <row r="25509" spans="32:32" x14ac:dyDescent="0.2">
      <c r="AF25509" s="12"/>
    </row>
    <row r="25510" spans="32:32" x14ac:dyDescent="0.2">
      <c r="AF25510" s="12"/>
    </row>
    <row r="25511" spans="32:32" x14ac:dyDescent="0.2">
      <c r="AF25511" s="12"/>
    </row>
    <row r="25512" spans="32:32" x14ac:dyDescent="0.2">
      <c r="AF25512" s="12"/>
    </row>
    <row r="25513" spans="32:32" x14ac:dyDescent="0.2">
      <c r="AF25513" s="12"/>
    </row>
    <row r="25514" spans="32:32" x14ac:dyDescent="0.2">
      <c r="AF25514" s="12"/>
    </row>
    <row r="25515" spans="32:32" x14ac:dyDescent="0.2">
      <c r="AF25515" s="12"/>
    </row>
    <row r="25516" spans="32:32" x14ac:dyDescent="0.2">
      <c r="AF25516" s="12"/>
    </row>
    <row r="25517" spans="32:32" x14ac:dyDescent="0.2">
      <c r="AF25517" s="12"/>
    </row>
    <row r="25518" spans="32:32" x14ac:dyDescent="0.2">
      <c r="AF25518" s="12"/>
    </row>
    <row r="25519" spans="32:32" x14ac:dyDescent="0.2">
      <c r="AF25519" s="12"/>
    </row>
    <row r="25520" spans="32:32" x14ac:dyDescent="0.2">
      <c r="AF25520" s="12"/>
    </row>
    <row r="25521" spans="32:32" x14ac:dyDescent="0.2">
      <c r="AF25521" s="12"/>
    </row>
    <row r="25522" spans="32:32" x14ac:dyDescent="0.2">
      <c r="AF25522" s="12"/>
    </row>
    <row r="25523" spans="32:32" x14ac:dyDescent="0.2">
      <c r="AF25523" s="12"/>
    </row>
    <row r="25524" spans="32:32" x14ac:dyDescent="0.2">
      <c r="AF25524" s="12"/>
    </row>
    <row r="25525" spans="32:32" x14ac:dyDescent="0.2">
      <c r="AF25525" s="12"/>
    </row>
    <row r="25526" spans="32:32" x14ac:dyDescent="0.2">
      <c r="AF25526" s="12"/>
    </row>
    <row r="25527" spans="32:32" x14ac:dyDescent="0.2">
      <c r="AF25527" s="12"/>
    </row>
    <row r="25528" spans="32:32" x14ac:dyDescent="0.2">
      <c r="AF25528" s="12"/>
    </row>
    <row r="25529" spans="32:32" x14ac:dyDescent="0.2">
      <c r="AF25529" s="12"/>
    </row>
    <row r="25530" spans="32:32" x14ac:dyDescent="0.2">
      <c r="AF25530" s="12"/>
    </row>
    <row r="25531" spans="32:32" x14ac:dyDescent="0.2">
      <c r="AF25531" s="12"/>
    </row>
    <row r="25532" spans="32:32" x14ac:dyDescent="0.2">
      <c r="AF25532" s="12"/>
    </row>
    <row r="25533" spans="32:32" x14ac:dyDescent="0.2">
      <c r="AF25533" s="12"/>
    </row>
    <row r="25534" spans="32:32" x14ac:dyDescent="0.2">
      <c r="AF25534" s="12"/>
    </row>
    <row r="25535" spans="32:32" x14ac:dyDescent="0.2">
      <c r="AF25535" s="12"/>
    </row>
    <row r="25536" spans="32:32" x14ac:dyDescent="0.2">
      <c r="AF25536" s="12"/>
    </row>
    <row r="25537" spans="32:32" x14ac:dyDescent="0.2">
      <c r="AF25537" s="12"/>
    </row>
    <row r="25538" spans="32:32" x14ac:dyDescent="0.2">
      <c r="AF25538" s="12"/>
    </row>
    <row r="25539" spans="32:32" x14ac:dyDescent="0.2">
      <c r="AF25539" s="12"/>
    </row>
    <row r="25540" spans="32:32" x14ac:dyDescent="0.2">
      <c r="AF25540" s="12"/>
    </row>
    <row r="25541" spans="32:32" x14ac:dyDescent="0.2">
      <c r="AF25541" s="12"/>
    </row>
    <row r="25542" spans="32:32" x14ac:dyDescent="0.2">
      <c r="AF25542" s="12"/>
    </row>
    <row r="25543" spans="32:32" x14ac:dyDescent="0.2">
      <c r="AF25543" s="12"/>
    </row>
    <row r="25544" spans="32:32" x14ac:dyDescent="0.2">
      <c r="AF25544" s="12"/>
    </row>
    <row r="25545" spans="32:32" x14ac:dyDescent="0.2">
      <c r="AF25545" s="12"/>
    </row>
    <row r="25546" spans="32:32" x14ac:dyDescent="0.2">
      <c r="AF25546" s="12"/>
    </row>
    <row r="25547" spans="32:32" x14ac:dyDescent="0.2">
      <c r="AF25547" s="12"/>
    </row>
    <row r="25548" spans="32:32" x14ac:dyDescent="0.2">
      <c r="AF25548" s="12"/>
    </row>
    <row r="25549" spans="32:32" x14ac:dyDescent="0.2">
      <c r="AF25549" s="12"/>
    </row>
    <row r="25550" spans="32:32" x14ac:dyDescent="0.2">
      <c r="AF25550" s="12"/>
    </row>
    <row r="25551" spans="32:32" x14ac:dyDescent="0.2">
      <c r="AF25551" s="12"/>
    </row>
    <row r="25552" spans="32:32" x14ac:dyDescent="0.2">
      <c r="AF25552" s="12"/>
    </row>
    <row r="25553" spans="32:32" x14ac:dyDescent="0.2">
      <c r="AF25553" s="12"/>
    </row>
    <row r="25554" spans="32:32" x14ac:dyDescent="0.2">
      <c r="AF25554" s="12"/>
    </row>
    <row r="25555" spans="32:32" x14ac:dyDescent="0.2">
      <c r="AF25555" s="12"/>
    </row>
    <row r="25556" spans="32:32" x14ac:dyDescent="0.2">
      <c r="AF25556" s="12"/>
    </row>
    <row r="25557" spans="32:32" x14ac:dyDescent="0.2">
      <c r="AF25557" s="12"/>
    </row>
    <row r="25558" spans="32:32" x14ac:dyDescent="0.2">
      <c r="AF25558" s="12"/>
    </row>
    <row r="25559" spans="32:32" x14ac:dyDescent="0.2">
      <c r="AF25559" s="12"/>
    </row>
    <row r="25560" spans="32:32" x14ac:dyDescent="0.2">
      <c r="AF25560" s="12"/>
    </row>
    <row r="25561" spans="32:32" x14ac:dyDescent="0.2">
      <c r="AF25561" s="12"/>
    </row>
    <row r="25562" spans="32:32" x14ac:dyDescent="0.2">
      <c r="AF25562" s="12"/>
    </row>
    <row r="25563" spans="32:32" x14ac:dyDescent="0.2">
      <c r="AF25563" s="12"/>
    </row>
    <row r="25564" spans="32:32" x14ac:dyDescent="0.2">
      <c r="AF25564" s="12"/>
    </row>
    <row r="25565" spans="32:32" x14ac:dyDescent="0.2">
      <c r="AF25565" s="12"/>
    </row>
    <row r="25566" spans="32:32" x14ac:dyDescent="0.2">
      <c r="AF25566" s="12"/>
    </row>
    <row r="25567" spans="32:32" x14ac:dyDescent="0.2">
      <c r="AF25567" s="12"/>
    </row>
    <row r="25568" spans="32:32" x14ac:dyDescent="0.2">
      <c r="AF25568" s="12"/>
    </row>
    <row r="25569" spans="32:32" x14ac:dyDescent="0.2">
      <c r="AF25569" s="12"/>
    </row>
    <row r="25570" spans="32:32" x14ac:dyDescent="0.2">
      <c r="AF25570" s="12"/>
    </row>
    <row r="25571" spans="32:32" x14ac:dyDescent="0.2">
      <c r="AF25571" s="12"/>
    </row>
    <row r="25572" spans="32:32" x14ac:dyDescent="0.2">
      <c r="AF25572" s="12"/>
    </row>
    <row r="25573" spans="32:32" x14ac:dyDescent="0.2">
      <c r="AF25573" s="12"/>
    </row>
    <row r="25574" spans="32:32" x14ac:dyDescent="0.2">
      <c r="AF25574" s="12"/>
    </row>
    <row r="25575" spans="32:32" x14ac:dyDescent="0.2">
      <c r="AF25575" s="12"/>
    </row>
    <row r="25576" spans="32:32" x14ac:dyDescent="0.2">
      <c r="AF25576" s="12"/>
    </row>
    <row r="25577" spans="32:32" x14ac:dyDescent="0.2">
      <c r="AF25577" s="12"/>
    </row>
    <row r="25578" spans="32:32" x14ac:dyDescent="0.2">
      <c r="AF25578" s="12"/>
    </row>
    <row r="25579" spans="32:32" x14ac:dyDescent="0.2">
      <c r="AF25579" s="12"/>
    </row>
    <row r="25580" spans="32:32" x14ac:dyDescent="0.2">
      <c r="AF25580" s="12"/>
    </row>
    <row r="25581" spans="32:32" x14ac:dyDescent="0.2">
      <c r="AF25581" s="12"/>
    </row>
    <row r="25582" spans="32:32" x14ac:dyDescent="0.2">
      <c r="AF25582" s="12"/>
    </row>
    <row r="25583" spans="32:32" x14ac:dyDescent="0.2">
      <c r="AF25583" s="12"/>
    </row>
    <row r="25584" spans="32:32" x14ac:dyDescent="0.2">
      <c r="AF25584" s="12"/>
    </row>
    <row r="25585" spans="32:32" x14ac:dyDescent="0.2">
      <c r="AF25585" s="12"/>
    </row>
    <row r="25586" spans="32:32" x14ac:dyDescent="0.2">
      <c r="AF25586" s="12"/>
    </row>
    <row r="25587" spans="32:32" x14ac:dyDescent="0.2">
      <c r="AF25587" s="12"/>
    </row>
    <row r="25588" spans="32:32" x14ac:dyDescent="0.2">
      <c r="AF25588" s="12"/>
    </row>
    <row r="25589" spans="32:32" x14ac:dyDescent="0.2">
      <c r="AF25589" s="12"/>
    </row>
    <row r="25590" spans="32:32" x14ac:dyDescent="0.2">
      <c r="AF25590" s="12"/>
    </row>
    <row r="25591" spans="32:32" x14ac:dyDescent="0.2">
      <c r="AF25591" s="12"/>
    </row>
    <row r="25592" spans="32:32" x14ac:dyDescent="0.2">
      <c r="AF25592" s="12"/>
    </row>
    <row r="25593" spans="32:32" x14ac:dyDescent="0.2">
      <c r="AF25593" s="12"/>
    </row>
    <row r="25594" spans="32:32" x14ac:dyDescent="0.2">
      <c r="AF25594" s="12"/>
    </row>
    <row r="25595" spans="32:32" x14ac:dyDescent="0.2">
      <c r="AF25595" s="12"/>
    </row>
    <row r="25596" spans="32:32" x14ac:dyDescent="0.2">
      <c r="AF25596" s="12"/>
    </row>
    <row r="25597" spans="32:32" x14ac:dyDescent="0.2">
      <c r="AF25597" s="12"/>
    </row>
    <row r="25598" spans="32:32" x14ac:dyDescent="0.2">
      <c r="AF25598" s="12"/>
    </row>
    <row r="25599" spans="32:32" x14ac:dyDescent="0.2">
      <c r="AF25599" s="12"/>
    </row>
    <row r="25600" spans="32:32" x14ac:dyDescent="0.2">
      <c r="AF25600" s="12"/>
    </row>
    <row r="25601" spans="32:32" x14ac:dyDescent="0.2">
      <c r="AF25601" s="12"/>
    </row>
    <row r="25602" spans="32:32" x14ac:dyDescent="0.2">
      <c r="AF25602" s="12"/>
    </row>
    <row r="25603" spans="32:32" x14ac:dyDescent="0.2">
      <c r="AF25603" s="12"/>
    </row>
    <row r="25604" spans="32:32" x14ac:dyDescent="0.2">
      <c r="AF25604" s="12"/>
    </row>
    <row r="25605" spans="32:32" x14ac:dyDescent="0.2">
      <c r="AF25605" s="12"/>
    </row>
    <row r="25606" spans="32:32" x14ac:dyDescent="0.2">
      <c r="AF25606" s="12"/>
    </row>
    <row r="25607" spans="32:32" x14ac:dyDescent="0.2">
      <c r="AF25607" s="12"/>
    </row>
    <row r="25608" spans="32:32" x14ac:dyDescent="0.2">
      <c r="AF25608" s="12"/>
    </row>
    <row r="25609" spans="32:32" x14ac:dyDescent="0.2">
      <c r="AF25609" s="12"/>
    </row>
    <row r="25610" spans="32:32" x14ac:dyDescent="0.2">
      <c r="AF25610" s="12"/>
    </row>
    <row r="25611" spans="32:32" x14ac:dyDescent="0.2">
      <c r="AF25611" s="12"/>
    </row>
    <row r="25612" spans="32:32" x14ac:dyDescent="0.2">
      <c r="AF25612" s="12"/>
    </row>
    <row r="25613" spans="32:32" x14ac:dyDescent="0.2">
      <c r="AF25613" s="12"/>
    </row>
    <row r="25614" spans="32:32" x14ac:dyDescent="0.2">
      <c r="AF25614" s="12"/>
    </row>
    <row r="25615" spans="32:32" x14ac:dyDescent="0.2">
      <c r="AF25615" s="12"/>
    </row>
    <row r="25616" spans="32:32" x14ac:dyDescent="0.2">
      <c r="AF25616" s="12"/>
    </row>
    <row r="25617" spans="32:32" x14ac:dyDescent="0.2">
      <c r="AF25617" s="12"/>
    </row>
    <row r="25618" spans="32:32" x14ac:dyDescent="0.2">
      <c r="AF25618" s="12"/>
    </row>
    <row r="25619" spans="32:32" x14ac:dyDescent="0.2">
      <c r="AF25619" s="12"/>
    </row>
    <row r="25620" spans="32:32" x14ac:dyDescent="0.2">
      <c r="AF25620" s="12"/>
    </row>
    <row r="25621" spans="32:32" x14ac:dyDescent="0.2">
      <c r="AF25621" s="12"/>
    </row>
    <row r="25622" spans="32:32" x14ac:dyDescent="0.2">
      <c r="AF25622" s="12"/>
    </row>
    <row r="25623" spans="32:32" x14ac:dyDescent="0.2">
      <c r="AF25623" s="12"/>
    </row>
    <row r="25624" spans="32:32" x14ac:dyDescent="0.2">
      <c r="AF25624" s="12"/>
    </row>
    <row r="25625" spans="32:32" x14ac:dyDescent="0.2">
      <c r="AF25625" s="12"/>
    </row>
    <row r="25626" spans="32:32" x14ac:dyDescent="0.2">
      <c r="AF25626" s="12"/>
    </row>
    <row r="25627" spans="32:32" x14ac:dyDescent="0.2">
      <c r="AF25627" s="12"/>
    </row>
    <row r="25628" spans="32:32" x14ac:dyDescent="0.2">
      <c r="AF25628" s="12"/>
    </row>
    <row r="25629" spans="32:32" x14ac:dyDescent="0.2">
      <c r="AF25629" s="12"/>
    </row>
    <row r="25630" spans="32:32" x14ac:dyDescent="0.2">
      <c r="AF25630" s="12"/>
    </row>
    <row r="25631" spans="32:32" x14ac:dyDescent="0.2">
      <c r="AF25631" s="12"/>
    </row>
    <row r="25632" spans="32:32" x14ac:dyDescent="0.2">
      <c r="AF25632" s="12"/>
    </row>
    <row r="25633" spans="32:32" x14ac:dyDescent="0.2">
      <c r="AF25633" s="12"/>
    </row>
    <row r="25634" spans="32:32" x14ac:dyDescent="0.2">
      <c r="AF25634" s="12"/>
    </row>
    <row r="25635" spans="32:32" x14ac:dyDescent="0.2">
      <c r="AF25635" s="12"/>
    </row>
    <row r="25636" spans="32:32" x14ac:dyDescent="0.2">
      <c r="AF25636" s="12"/>
    </row>
    <row r="25637" spans="32:32" x14ac:dyDescent="0.2">
      <c r="AF25637" s="12"/>
    </row>
    <row r="25638" spans="32:32" x14ac:dyDescent="0.2">
      <c r="AF25638" s="12"/>
    </row>
    <row r="25639" spans="32:32" x14ac:dyDescent="0.2">
      <c r="AF25639" s="12"/>
    </row>
    <row r="25640" spans="32:32" x14ac:dyDescent="0.2">
      <c r="AF25640" s="12"/>
    </row>
    <row r="25641" spans="32:32" x14ac:dyDescent="0.2">
      <c r="AF25641" s="12"/>
    </row>
    <row r="25642" spans="32:32" x14ac:dyDescent="0.2">
      <c r="AF25642" s="12"/>
    </row>
    <row r="25643" spans="32:32" x14ac:dyDescent="0.2">
      <c r="AF25643" s="12"/>
    </row>
    <row r="25644" spans="32:32" x14ac:dyDescent="0.2">
      <c r="AF25644" s="12"/>
    </row>
    <row r="25645" spans="32:32" x14ac:dyDescent="0.2">
      <c r="AF25645" s="12"/>
    </row>
    <row r="25646" spans="32:32" x14ac:dyDescent="0.2">
      <c r="AF25646" s="12"/>
    </row>
    <row r="25647" spans="32:32" x14ac:dyDescent="0.2">
      <c r="AF25647" s="12"/>
    </row>
    <row r="25648" spans="32:32" x14ac:dyDescent="0.2">
      <c r="AF25648" s="12"/>
    </row>
    <row r="25649" spans="32:32" x14ac:dyDescent="0.2">
      <c r="AF25649" s="12"/>
    </row>
    <row r="25650" spans="32:32" x14ac:dyDescent="0.2">
      <c r="AF25650" s="12"/>
    </row>
    <row r="25651" spans="32:32" x14ac:dyDescent="0.2">
      <c r="AF25651" s="12"/>
    </row>
    <row r="25652" spans="32:32" x14ac:dyDescent="0.2">
      <c r="AF25652" s="12"/>
    </row>
    <row r="25653" spans="32:32" x14ac:dyDescent="0.2">
      <c r="AF25653" s="12"/>
    </row>
    <row r="25654" spans="32:32" x14ac:dyDescent="0.2">
      <c r="AF25654" s="12"/>
    </row>
    <row r="25655" spans="32:32" x14ac:dyDescent="0.2">
      <c r="AF25655" s="12"/>
    </row>
    <row r="25656" spans="32:32" x14ac:dyDescent="0.2">
      <c r="AF25656" s="12"/>
    </row>
    <row r="25657" spans="32:32" x14ac:dyDescent="0.2">
      <c r="AF25657" s="12"/>
    </row>
    <row r="25658" spans="32:32" x14ac:dyDescent="0.2">
      <c r="AF25658" s="12"/>
    </row>
    <row r="25659" spans="32:32" x14ac:dyDescent="0.2">
      <c r="AF25659" s="12"/>
    </row>
    <row r="25660" spans="32:32" x14ac:dyDescent="0.2">
      <c r="AF25660" s="12"/>
    </row>
    <row r="25661" spans="32:32" x14ac:dyDescent="0.2">
      <c r="AF25661" s="12"/>
    </row>
    <row r="25662" spans="32:32" x14ac:dyDescent="0.2">
      <c r="AF25662" s="12"/>
    </row>
    <row r="25663" spans="32:32" x14ac:dyDescent="0.2">
      <c r="AF25663" s="12"/>
    </row>
    <row r="25664" spans="32:32" x14ac:dyDescent="0.2">
      <c r="AF25664" s="12"/>
    </row>
    <row r="25665" spans="32:32" x14ac:dyDescent="0.2">
      <c r="AF25665" s="12"/>
    </row>
    <row r="25666" spans="32:32" x14ac:dyDescent="0.2">
      <c r="AF25666" s="12"/>
    </row>
    <row r="25667" spans="32:32" x14ac:dyDescent="0.2">
      <c r="AF25667" s="12"/>
    </row>
    <row r="25668" spans="32:32" x14ac:dyDescent="0.2">
      <c r="AF25668" s="12"/>
    </row>
    <row r="25669" spans="32:32" x14ac:dyDescent="0.2">
      <c r="AF25669" s="12"/>
    </row>
    <row r="25670" spans="32:32" x14ac:dyDescent="0.2">
      <c r="AF25670" s="12"/>
    </row>
    <row r="25671" spans="32:32" x14ac:dyDescent="0.2">
      <c r="AF25671" s="12"/>
    </row>
    <row r="25672" spans="32:32" x14ac:dyDescent="0.2">
      <c r="AF25672" s="12"/>
    </row>
    <row r="25673" spans="32:32" x14ac:dyDescent="0.2">
      <c r="AF25673" s="12"/>
    </row>
    <row r="25674" spans="32:32" x14ac:dyDescent="0.2">
      <c r="AF25674" s="12"/>
    </row>
    <row r="25675" spans="32:32" x14ac:dyDescent="0.2">
      <c r="AF25675" s="12"/>
    </row>
    <row r="25676" spans="32:32" x14ac:dyDescent="0.2">
      <c r="AF25676" s="12"/>
    </row>
    <row r="25677" spans="32:32" x14ac:dyDescent="0.2">
      <c r="AF25677" s="12"/>
    </row>
    <row r="25678" spans="32:32" x14ac:dyDescent="0.2">
      <c r="AF25678" s="12"/>
    </row>
    <row r="25679" spans="32:32" x14ac:dyDescent="0.2">
      <c r="AF25679" s="12"/>
    </row>
    <row r="25680" spans="32:32" x14ac:dyDescent="0.2">
      <c r="AF25680" s="12"/>
    </row>
    <row r="25681" spans="32:32" x14ac:dyDescent="0.2">
      <c r="AF25681" s="12"/>
    </row>
    <row r="25682" spans="32:32" x14ac:dyDescent="0.2">
      <c r="AF25682" s="12"/>
    </row>
    <row r="25683" spans="32:32" x14ac:dyDescent="0.2">
      <c r="AF25683" s="12"/>
    </row>
    <row r="25684" spans="32:32" x14ac:dyDescent="0.2">
      <c r="AF25684" s="12"/>
    </row>
    <row r="25685" spans="32:32" x14ac:dyDescent="0.2">
      <c r="AF25685" s="12"/>
    </row>
    <row r="25686" spans="32:32" x14ac:dyDescent="0.2">
      <c r="AF25686" s="12"/>
    </row>
    <row r="25687" spans="32:32" x14ac:dyDescent="0.2">
      <c r="AF25687" s="12"/>
    </row>
    <row r="25688" spans="32:32" x14ac:dyDescent="0.2">
      <c r="AF25688" s="12"/>
    </row>
    <row r="25689" spans="32:32" x14ac:dyDescent="0.2">
      <c r="AF25689" s="12"/>
    </row>
    <row r="25690" spans="32:32" x14ac:dyDescent="0.2">
      <c r="AF25690" s="12"/>
    </row>
    <row r="25691" spans="32:32" x14ac:dyDescent="0.2">
      <c r="AF25691" s="12"/>
    </row>
    <row r="25692" spans="32:32" x14ac:dyDescent="0.2">
      <c r="AF25692" s="12"/>
    </row>
    <row r="25693" spans="32:32" x14ac:dyDescent="0.2">
      <c r="AF25693" s="12"/>
    </row>
    <row r="25694" spans="32:32" x14ac:dyDescent="0.2">
      <c r="AF25694" s="12"/>
    </row>
    <row r="25695" spans="32:32" x14ac:dyDescent="0.2">
      <c r="AF25695" s="12"/>
    </row>
    <row r="25696" spans="32:32" x14ac:dyDescent="0.2">
      <c r="AF25696" s="12"/>
    </row>
    <row r="25697" spans="32:32" x14ac:dyDescent="0.2">
      <c r="AF25697" s="12"/>
    </row>
    <row r="25698" spans="32:32" x14ac:dyDescent="0.2">
      <c r="AF25698" s="12"/>
    </row>
    <row r="25699" spans="32:32" x14ac:dyDescent="0.2">
      <c r="AF25699" s="12"/>
    </row>
    <row r="25700" spans="32:32" x14ac:dyDescent="0.2">
      <c r="AF25700" s="12"/>
    </row>
    <row r="25701" spans="32:32" x14ac:dyDescent="0.2">
      <c r="AF25701" s="12"/>
    </row>
    <row r="25702" spans="32:32" x14ac:dyDescent="0.2">
      <c r="AF25702" s="12"/>
    </row>
    <row r="25703" spans="32:32" x14ac:dyDescent="0.2">
      <c r="AF25703" s="12"/>
    </row>
    <row r="25704" spans="32:32" x14ac:dyDescent="0.2">
      <c r="AF25704" s="12"/>
    </row>
    <row r="25705" spans="32:32" x14ac:dyDescent="0.2">
      <c r="AF25705" s="12"/>
    </row>
    <row r="25706" spans="32:32" x14ac:dyDescent="0.2">
      <c r="AF25706" s="12"/>
    </row>
    <row r="25707" spans="32:32" x14ac:dyDescent="0.2">
      <c r="AF25707" s="12"/>
    </row>
    <row r="25708" spans="32:32" x14ac:dyDescent="0.2">
      <c r="AF25708" s="12"/>
    </row>
    <row r="25709" spans="32:32" x14ac:dyDescent="0.2">
      <c r="AF25709" s="12"/>
    </row>
    <row r="25710" spans="32:32" x14ac:dyDescent="0.2">
      <c r="AF25710" s="12"/>
    </row>
    <row r="25711" spans="32:32" x14ac:dyDescent="0.2">
      <c r="AF25711" s="12"/>
    </row>
    <row r="25712" spans="32:32" x14ac:dyDescent="0.2">
      <c r="AF25712" s="12"/>
    </row>
    <row r="25713" spans="32:32" x14ac:dyDescent="0.2">
      <c r="AF25713" s="12"/>
    </row>
    <row r="25714" spans="32:32" x14ac:dyDescent="0.2">
      <c r="AF25714" s="12"/>
    </row>
    <row r="25715" spans="32:32" x14ac:dyDescent="0.2">
      <c r="AF25715" s="12"/>
    </row>
    <row r="25716" spans="32:32" x14ac:dyDescent="0.2">
      <c r="AF25716" s="12"/>
    </row>
    <row r="25717" spans="32:32" x14ac:dyDescent="0.2">
      <c r="AF25717" s="12"/>
    </row>
    <row r="25718" spans="32:32" x14ac:dyDescent="0.2">
      <c r="AF25718" s="12"/>
    </row>
    <row r="25719" spans="32:32" x14ac:dyDescent="0.2">
      <c r="AF25719" s="12"/>
    </row>
    <row r="25720" spans="32:32" x14ac:dyDescent="0.2">
      <c r="AF25720" s="12"/>
    </row>
    <row r="25721" spans="32:32" x14ac:dyDescent="0.2">
      <c r="AF25721" s="12"/>
    </row>
    <row r="25722" spans="32:32" x14ac:dyDescent="0.2">
      <c r="AF25722" s="12"/>
    </row>
    <row r="25723" spans="32:32" x14ac:dyDescent="0.2">
      <c r="AF25723" s="12"/>
    </row>
    <row r="25724" spans="32:32" x14ac:dyDescent="0.2">
      <c r="AF25724" s="12"/>
    </row>
    <row r="25725" spans="32:32" x14ac:dyDescent="0.2">
      <c r="AF25725" s="12"/>
    </row>
    <row r="25726" spans="32:32" x14ac:dyDescent="0.2">
      <c r="AF25726" s="12"/>
    </row>
    <row r="25727" spans="32:32" x14ac:dyDescent="0.2">
      <c r="AF25727" s="12"/>
    </row>
    <row r="25728" spans="32:32" x14ac:dyDescent="0.2">
      <c r="AF25728" s="12"/>
    </row>
    <row r="25729" spans="32:32" x14ac:dyDescent="0.2">
      <c r="AF25729" s="12"/>
    </row>
    <row r="25730" spans="32:32" x14ac:dyDescent="0.2">
      <c r="AF25730" s="12"/>
    </row>
    <row r="25731" spans="32:32" x14ac:dyDescent="0.2">
      <c r="AF25731" s="12"/>
    </row>
    <row r="25732" spans="32:32" x14ac:dyDescent="0.2">
      <c r="AF25732" s="12"/>
    </row>
    <row r="25733" spans="32:32" x14ac:dyDescent="0.2">
      <c r="AF25733" s="12"/>
    </row>
    <row r="25734" spans="32:32" x14ac:dyDescent="0.2">
      <c r="AF25734" s="12"/>
    </row>
    <row r="25735" spans="32:32" x14ac:dyDescent="0.2">
      <c r="AF25735" s="12"/>
    </row>
    <row r="25736" spans="32:32" x14ac:dyDescent="0.2">
      <c r="AF25736" s="12"/>
    </row>
    <row r="25737" spans="32:32" x14ac:dyDescent="0.2">
      <c r="AF25737" s="12"/>
    </row>
    <row r="25738" spans="32:32" x14ac:dyDescent="0.2">
      <c r="AF25738" s="12"/>
    </row>
    <row r="25739" spans="32:32" x14ac:dyDescent="0.2">
      <c r="AF25739" s="12"/>
    </row>
    <row r="25740" spans="32:32" x14ac:dyDescent="0.2">
      <c r="AF25740" s="12"/>
    </row>
    <row r="25741" spans="32:32" x14ac:dyDescent="0.2">
      <c r="AF25741" s="12"/>
    </row>
    <row r="25742" spans="32:32" x14ac:dyDescent="0.2">
      <c r="AF25742" s="12"/>
    </row>
    <row r="25743" spans="32:32" x14ac:dyDescent="0.2">
      <c r="AF25743" s="12"/>
    </row>
    <row r="25744" spans="32:32" x14ac:dyDescent="0.2">
      <c r="AF25744" s="12"/>
    </row>
    <row r="25745" spans="32:32" x14ac:dyDescent="0.2">
      <c r="AF25745" s="12"/>
    </row>
    <row r="25746" spans="32:32" x14ac:dyDescent="0.2">
      <c r="AF25746" s="12"/>
    </row>
    <row r="25747" spans="32:32" x14ac:dyDescent="0.2">
      <c r="AF25747" s="12"/>
    </row>
    <row r="25748" spans="32:32" x14ac:dyDescent="0.2">
      <c r="AF25748" s="12"/>
    </row>
    <row r="25749" spans="32:32" x14ac:dyDescent="0.2">
      <c r="AF25749" s="12"/>
    </row>
    <row r="25750" spans="32:32" x14ac:dyDescent="0.2">
      <c r="AF25750" s="12"/>
    </row>
    <row r="25751" spans="32:32" x14ac:dyDescent="0.2">
      <c r="AF25751" s="12"/>
    </row>
    <row r="25752" spans="32:32" x14ac:dyDescent="0.2">
      <c r="AF25752" s="12"/>
    </row>
    <row r="25753" spans="32:32" x14ac:dyDescent="0.2">
      <c r="AF25753" s="12"/>
    </row>
    <row r="25754" spans="32:32" x14ac:dyDescent="0.2">
      <c r="AF25754" s="12"/>
    </row>
    <row r="25755" spans="32:32" x14ac:dyDescent="0.2">
      <c r="AF25755" s="12"/>
    </row>
    <row r="25756" spans="32:32" x14ac:dyDescent="0.2">
      <c r="AF25756" s="12"/>
    </row>
    <row r="25757" spans="32:32" x14ac:dyDescent="0.2">
      <c r="AF25757" s="12"/>
    </row>
    <row r="25758" spans="32:32" x14ac:dyDescent="0.2">
      <c r="AF25758" s="12"/>
    </row>
    <row r="25759" spans="32:32" x14ac:dyDescent="0.2">
      <c r="AF25759" s="12"/>
    </row>
    <row r="25760" spans="32:32" x14ac:dyDescent="0.2">
      <c r="AF25760" s="12"/>
    </row>
    <row r="25761" spans="32:32" x14ac:dyDescent="0.2">
      <c r="AF25761" s="12"/>
    </row>
    <row r="25762" spans="32:32" x14ac:dyDescent="0.2">
      <c r="AF25762" s="12"/>
    </row>
    <row r="25763" spans="32:32" x14ac:dyDescent="0.2">
      <c r="AF25763" s="12"/>
    </row>
    <row r="25764" spans="32:32" x14ac:dyDescent="0.2">
      <c r="AF25764" s="12"/>
    </row>
    <row r="25765" spans="32:32" x14ac:dyDescent="0.2">
      <c r="AF25765" s="12"/>
    </row>
    <row r="25766" spans="32:32" x14ac:dyDescent="0.2">
      <c r="AF25766" s="12"/>
    </row>
    <row r="25767" spans="32:32" x14ac:dyDescent="0.2">
      <c r="AF25767" s="12"/>
    </row>
    <row r="25768" spans="32:32" x14ac:dyDescent="0.2">
      <c r="AF25768" s="12"/>
    </row>
    <row r="25769" spans="32:32" x14ac:dyDescent="0.2">
      <c r="AF25769" s="12"/>
    </row>
    <row r="25770" spans="32:32" x14ac:dyDescent="0.2">
      <c r="AF25770" s="12"/>
    </row>
    <row r="25771" spans="32:32" x14ac:dyDescent="0.2">
      <c r="AF25771" s="12"/>
    </row>
    <row r="25772" spans="32:32" x14ac:dyDescent="0.2">
      <c r="AF25772" s="12"/>
    </row>
    <row r="25773" spans="32:32" x14ac:dyDescent="0.2">
      <c r="AF25773" s="12"/>
    </row>
    <row r="25774" spans="32:32" x14ac:dyDescent="0.2">
      <c r="AF25774" s="12"/>
    </row>
    <row r="25775" spans="32:32" x14ac:dyDescent="0.2">
      <c r="AF25775" s="12"/>
    </row>
    <row r="25776" spans="32:32" x14ac:dyDescent="0.2">
      <c r="AF25776" s="12"/>
    </row>
    <row r="25777" spans="32:32" x14ac:dyDescent="0.2">
      <c r="AF25777" s="12"/>
    </row>
    <row r="25778" spans="32:32" x14ac:dyDescent="0.2">
      <c r="AF25778" s="12"/>
    </row>
    <row r="25779" spans="32:32" x14ac:dyDescent="0.2">
      <c r="AF25779" s="12"/>
    </row>
    <row r="25780" spans="32:32" x14ac:dyDescent="0.2">
      <c r="AF25780" s="12"/>
    </row>
    <row r="25781" spans="32:32" x14ac:dyDescent="0.2">
      <c r="AF25781" s="12"/>
    </row>
    <row r="25782" spans="32:32" x14ac:dyDescent="0.2">
      <c r="AF25782" s="12"/>
    </row>
    <row r="25783" spans="32:32" x14ac:dyDescent="0.2">
      <c r="AF25783" s="12"/>
    </row>
    <row r="25784" spans="32:32" x14ac:dyDescent="0.2">
      <c r="AF25784" s="12"/>
    </row>
    <row r="25785" spans="32:32" x14ac:dyDescent="0.2">
      <c r="AF25785" s="12"/>
    </row>
    <row r="25786" spans="32:32" x14ac:dyDescent="0.2">
      <c r="AF25786" s="12"/>
    </row>
    <row r="25787" spans="32:32" x14ac:dyDescent="0.2">
      <c r="AF25787" s="12"/>
    </row>
    <row r="25788" spans="32:32" x14ac:dyDescent="0.2">
      <c r="AF25788" s="12"/>
    </row>
    <row r="25789" spans="32:32" x14ac:dyDescent="0.2">
      <c r="AF25789" s="12"/>
    </row>
    <row r="25790" spans="32:32" x14ac:dyDescent="0.2">
      <c r="AF25790" s="12"/>
    </row>
    <row r="25791" spans="32:32" x14ac:dyDescent="0.2">
      <c r="AF25791" s="12"/>
    </row>
    <row r="25792" spans="32:32" x14ac:dyDescent="0.2">
      <c r="AF25792" s="12"/>
    </row>
    <row r="25793" spans="32:32" x14ac:dyDescent="0.2">
      <c r="AF25793" s="12"/>
    </row>
    <row r="25794" spans="32:32" x14ac:dyDescent="0.2">
      <c r="AF25794" s="12"/>
    </row>
    <row r="25795" spans="32:32" x14ac:dyDescent="0.2">
      <c r="AF25795" s="12"/>
    </row>
    <row r="25796" spans="32:32" x14ac:dyDescent="0.2">
      <c r="AF25796" s="12"/>
    </row>
    <row r="25797" spans="32:32" x14ac:dyDescent="0.2">
      <c r="AF25797" s="12"/>
    </row>
    <row r="25798" spans="32:32" x14ac:dyDescent="0.2">
      <c r="AF25798" s="12"/>
    </row>
    <row r="25799" spans="32:32" x14ac:dyDescent="0.2">
      <c r="AF25799" s="12"/>
    </row>
    <row r="25800" spans="32:32" x14ac:dyDescent="0.2">
      <c r="AF25800" s="12"/>
    </row>
    <row r="25801" spans="32:32" x14ac:dyDescent="0.2">
      <c r="AF25801" s="12"/>
    </row>
    <row r="25802" spans="32:32" x14ac:dyDescent="0.2">
      <c r="AF25802" s="12"/>
    </row>
    <row r="25803" spans="32:32" x14ac:dyDescent="0.2">
      <c r="AF25803" s="12"/>
    </row>
    <row r="25804" spans="32:32" x14ac:dyDescent="0.2">
      <c r="AF25804" s="12"/>
    </row>
    <row r="25805" spans="32:32" x14ac:dyDescent="0.2">
      <c r="AF25805" s="12"/>
    </row>
    <row r="25806" spans="32:32" x14ac:dyDescent="0.2">
      <c r="AF25806" s="12"/>
    </row>
    <row r="25807" spans="32:32" x14ac:dyDescent="0.2">
      <c r="AF25807" s="12"/>
    </row>
    <row r="25808" spans="32:32" x14ac:dyDescent="0.2">
      <c r="AF25808" s="12"/>
    </row>
    <row r="25809" spans="32:32" x14ac:dyDescent="0.2">
      <c r="AF25809" s="12"/>
    </row>
    <row r="25810" spans="32:32" x14ac:dyDescent="0.2">
      <c r="AF25810" s="12"/>
    </row>
    <row r="25811" spans="32:32" x14ac:dyDescent="0.2">
      <c r="AF25811" s="12"/>
    </row>
    <row r="25812" spans="32:32" x14ac:dyDescent="0.2">
      <c r="AF25812" s="12"/>
    </row>
    <row r="25813" spans="32:32" x14ac:dyDescent="0.2">
      <c r="AF25813" s="12"/>
    </row>
    <row r="25814" spans="32:32" x14ac:dyDescent="0.2">
      <c r="AF25814" s="12"/>
    </row>
    <row r="25815" spans="32:32" x14ac:dyDescent="0.2">
      <c r="AF25815" s="12"/>
    </row>
    <row r="25816" spans="32:32" x14ac:dyDescent="0.2">
      <c r="AF25816" s="12"/>
    </row>
    <row r="25817" spans="32:32" x14ac:dyDescent="0.2">
      <c r="AF25817" s="12"/>
    </row>
    <row r="25818" spans="32:32" x14ac:dyDescent="0.2">
      <c r="AF25818" s="12"/>
    </row>
    <row r="25819" spans="32:32" x14ac:dyDescent="0.2">
      <c r="AF25819" s="12"/>
    </row>
    <row r="25820" spans="32:32" x14ac:dyDescent="0.2">
      <c r="AF25820" s="12"/>
    </row>
    <row r="25821" spans="32:32" x14ac:dyDescent="0.2">
      <c r="AF25821" s="12"/>
    </row>
    <row r="25822" spans="32:32" x14ac:dyDescent="0.2">
      <c r="AF25822" s="12"/>
    </row>
    <row r="25823" spans="32:32" x14ac:dyDescent="0.2">
      <c r="AF25823" s="12"/>
    </row>
    <row r="25824" spans="32:32" x14ac:dyDescent="0.2">
      <c r="AF25824" s="12"/>
    </row>
    <row r="25825" spans="32:32" x14ac:dyDescent="0.2">
      <c r="AF25825" s="12"/>
    </row>
    <row r="25826" spans="32:32" x14ac:dyDescent="0.2">
      <c r="AF25826" s="12"/>
    </row>
    <row r="25827" spans="32:32" x14ac:dyDescent="0.2">
      <c r="AF25827" s="12"/>
    </row>
    <row r="25828" spans="32:32" x14ac:dyDescent="0.2">
      <c r="AF25828" s="12"/>
    </row>
    <row r="25829" spans="32:32" x14ac:dyDescent="0.2">
      <c r="AF25829" s="12"/>
    </row>
    <row r="25830" spans="32:32" x14ac:dyDescent="0.2">
      <c r="AF25830" s="12"/>
    </row>
    <row r="25831" spans="32:32" x14ac:dyDescent="0.2">
      <c r="AF25831" s="12"/>
    </row>
    <row r="25832" spans="32:32" x14ac:dyDescent="0.2">
      <c r="AF25832" s="12"/>
    </row>
    <row r="25833" spans="32:32" x14ac:dyDescent="0.2">
      <c r="AF25833" s="12"/>
    </row>
    <row r="25834" spans="32:32" x14ac:dyDescent="0.2">
      <c r="AF25834" s="12"/>
    </row>
    <row r="25835" spans="32:32" x14ac:dyDescent="0.2">
      <c r="AF25835" s="12"/>
    </row>
    <row r="25836" spans="32:32" x14ac:dyDescent="0.2">
      <c r="AF25836" s="12"/>
    </row>
    <row r="25837" spans="32:32" x14ac:dyDescent="0.2">
      <c r="AF25837" s="12"/>
    </row>
    <row r="25838" spans="32:32" x14ac:dyDescent="0.2">
      <c r="AF25838" s="12"/>
    </row>
    <row r="25839" spans="32:32" x14ac:dyDescent="0.2">
      <c r="AF25839" s="12"/>
    </row>
    <row r="25840" spans="32:32" x14ac:dyDescent="0.2">
      <c r="AF25840" s="12"/>
    </row>
    <row r="25841" spans="32:32" x14ac:dyDescent="0.2">
      <c r="AF25841" s="12"/>
    </row>
    <row r="25842" spans="32:32" x14ac:dyDescent="0.2">
      <c r="AF25842" s="12"/>
    </row>
    <row r="25843" spans="32:32" x14ac:dyDescent="0.2">
      <c r="AF25843" s="12"/>
    </row>
    <row r="25844" spans="32:32" x14ac:dyDescent="0.2">
      <c r="AF25844" s="12"/>
    </row>
    <row r="25845" spans="32:32" x14ac:dyDescent="0.2">
      <c r="AF25845" s="12"/>
    </row>
    <row r="25846" spans="32:32" x14ac:dyDescent="0.2">
      <c r="AF25846" s="12"/>
    </row>
    <row r="25847" spans="32:32" x14ac:dyDescent="0.2">
      <c r="AF25847" s="12"/>
    </row>
    <row r="25848" spans="32:32" x14ac:dyDescent="0.2">
      <c r="AF25848" s="12"/>
    </row>
    <row r="25849" spans="32:32" x14ac:dyDescent="0.2">
      <c r="AF25849" s="12"/>
    </row>
    <row r="25850" spans="32:32" x14ac:dyDescent="0.2">
      <c r="AF25850" s="12"/>
    </row>
    <row r="25851" spans="32:32" x14ac:dyDescent="0.2">
      <c r="AF25851" s="12"/>
    </row>
    <row r="25852" spans="32:32" x14ac:dyDescent="0.2">
      <c r="AF25852" s="12"/>
    </row>
    <row r="25853" spans="32:32" x14ac:dyDescent="0.2">
      <c r="AF25853" s="12"/>
    </row>
    <row r="25854" spans="32:32" x14ac:dyDescent="0.2">
      <c r="AF25854" s="12"/>
    </row>
    <row r="25855" spans="32:32" x14ac:dyDescent="0.2">
      <c r="AF25855" s="12"/>
    </row>
    <row r="25856" spans="32:32" x14ac:dyDescent="0.2">
      <c r="AF25856" s="12"/>
    </row>
    <row r="25857" spans="32:32" x14ac:dyDescent="0.2">
      <c r="AF25857" s="12"/>
    </row>
    <row r="25858" spans="32:32" x14ac:dyDescent="0.2">
      <c r="AF25858" s="12"/>
    </row>
    <row r="25859" spans="32:32" x14ac:dyDescent="0.2">
      <c r="AF25859" s="12"/>
    </row>
    <row r="25860" spans="32:32" x14ac:dyDescent="0.2">
      <c r="AF25860" s="12"/>
    </row>
    <row r="25861" spans="32:32" x14ac:dyDescent="0.2">
      <c r="AF25861" s="12"/>
    </row>
    <row r="25862" spans="32:32" x14ac:dyDescent="0.2">
      <c r="AF25862" s="12"/>
    </row>
    <row r="25863" spans="32:32" x14ac:dyDescent="0.2">
      <c r="AF25863" s="12"/>
    </row>
    <row r="25864" spans="32:32" x14ac:dyDescent="0.2">
      <c r="AF25864" s="12"/>
    </row>
    <row r="25865" spans="32:32" x14ac:dyDescent="0.2">
      <c r="AF25865" s="12"/>
    </row>
    <row r="25866" spans="32:32" x14ac:dyDescent="0.2">
      <c r="AF25866" s="12"/>
    </row>
    <row r="25867" spans="32:32" x14ac:dyDescent="0.2">
      <c r="AF25867" s="12"/>
    </row>
    <row r="25868" spans="32:32" x14ac:dyDescent="0.2">
      <c r="AF25868" s="12"/>
    </row>
    <row r="25869" spans="32:32" x14ac:dyDescent="0.2">
      <c r="AF25869" s="12"/>
    </row>
    <row r="25870" spans="32:32" x14ac:dyDescent="0.2">
      <c r="AF25870" s="12"/>
    </row>
    <row r="25871" spans="32:32" x14ac:dyDescent="0.2">
      <c r="AF25871" s="12"/>
    </row>
    <row r="25872" spans="32:32" x14ac:dyDescent="0.2">
      <c r="AF25872" s="12"/>
    </row>
    <row r="25873" spans="32:32" x14ac:dyDescent="0.2">
      <c r="AF25873" s="12"/>
    </row>
    <row r="25874" spans="32:32" x14ac:dyDescent="0.2">
      <c r="AF25874" s="12"/>
    </row>
    <row r="25875" spans="32:32" x14ac:dyDescent="0.2">
      <c r="AF25875" s="12"/>
    </row>
    <row r="25876" spans="32:32" x14ac:dyDescent="0.2">
      <c r="AF25876" s="12"/>
    </row>
    <row r="25877" spans="32:32" x14ac:dyDescent="0.2">
      <c r="AF25877" s="12"/>
    </row>
    <row r="25878" spans="32:32" x14ac:dyDescent="0.2">
      <c r="AF25878" s="12"/>
    </row>
    <row r="25879" spans="32:32" x14ac:dyDescent="0.2">
      <c r="AF25879" s="12"/>
    </row>
    <row r="25880" spans="32:32" x14ac:dyDescent="0.2">
      <c r="AF25880" s="12"/>
    </row>
    <row r="25881" spans="32:32" x14ac:dyDescent="0.2">
      <c r="AF25881" s="12"/>
    </row>
    <row r="25882" spans="32:32" x14ac:dyDescent="0.2">
      <c r="AF25882" s="12"/>
    </row>
    <row r="25883" spans="32:32" x14ac:dyDescent="0.2">
      <c r="AF25883" s="12"/>
    </row>
    <row r="25884" spans="32:32" x14ac:dyDescent="0.2">
      <c r="AF25884" s="12"/>
    </row>
    <row r="25885" spans="32:32" x14ac:dyDescent="0.2">
      <c r="AF25885" s="12"/>
    </row>
    <row r="25886" spans="32:32" x14ac:dyDescent="0.2">
      <c r="AF25886" s="12"/>
    </row>
    <row r="25887" spans="32:32" x14ac:dyDescent="0.2">
      <c r="AF25887" s="12"/>
    </row>
    <row r="25888" spans="32:32" x14ac:dyDescent="0.2">
      <c r="AF25888" s="12"/>
    </row>
    <row r="25889" spans="32:32" x14ac:dyDescent="0.2">
      <c r="AF25889" s="12"/>
    </row>
    <row r="25890" spans="32:32" x14ac:dyDescent="0.2">
      <c r="AF25890" s="12"/>
    </row>
    <row r="25891" spans="32:32" x14ac:dyDescent="0.2">
      <c r="AF25891" s="12"/>
    </row>
    <row r="25892" spans="32:32" x14ac:dyDescent="0.2">
      <c r="AF25892" s="12"/>
    </row>
    <row r="25893" spans="32:32" x14ac:dyDescent="0.2">
      <c r="AF25893" s="12"/>
    </row>
    <row r="25894" spans="32:32" x14ac:dyDescent="0.2">
      <c r="AF25894" s="12"/>
    </row>
    <row r="25895" spans="32:32" x14ac:dyDescent="0.2">
      <c r="AF25895" s="12"/>
    </row>
    <row r="25896" spans="32:32" x14ac:dyDescent="0.2">
      <c r="AF25896" s="12"/>
    </row>
    <row r="25897" spans="32:32" x14ac:dyDescent="0.2">
      <c r="AF25897" s="12"/>
    </row>
    <row r="25898" spans="32:32" x14ac:dyDescent="0.2">
      <c r="AF25898" s="12"/>
    </row>
    <row r="25899" spans="32:32" x14ac:dyDescent="0.2">
      <c r="AF25899" s="12"/>
    </row>
    <row r="25900" spans="32:32" x14ac:dyDescent="0.2">
      <c r="AF25900" s="12"/>
    </row>
    <row r="25901" spans="32:32" x14ac:dyDescent="0.2">
      <c r="AF25901" s="12"/>
    </row>
    <row r="25902" spans="32:32" x14ac:dyDescent="0.2">
      <c r="AF25902" s="12"/>
    </row>
    <row r="25903" spans="32:32" x14ac:dyDescent="0.2">
      <c r="AF25903" s="12"/>
    </row>
    <row r="25904" spans="32:32" x14ac:dyDescent="0.2">
      <c r="AF25904" s="12"/>
    </row>
    <row r="25905" spans="32:32" x14ac:dyDescent="0.2">
      <c r="AF25905" s="12"/>
    </row>
    <row r="25906" spans="32:32" x14ac:dyDescent="0.2">
      <c r="AF25906" s="12"/>
    </row>
    <row r="25907" spans="32:32" x14ac:dyDescent="0.2">
      <c r="AF25907" s="12"/>
    </row>
    <row r="25908" spans="32:32" x14ac:dyDescent="0.2">
      <c r="AF25908" s="12"/>
    </row>
    <row r="25909" spans="32:32" x14ac:dyDescent="0.2">
      <c r="AF25909" s="12"/>
    </row>
    <row r="25910" spans="32:32" x14ac:dyDescent="0.2">
      <c r="AF25910" s="12"/>
    </row>
    <row r="25911" spans="32:32" x14ac:dyDescent="0.2">
      <c r="AF25911" s="12"/>
    </row>
    <row r="25912" spans="32:32" x14ac:dyDescent="0.2">
      <c r="AF25912" s="12"/>
    </row>
    <row r="25913" spans="32:32" x14ac:dyDescent="0.2">
      <c r="AF25913" s="12"/>
    </row>
    <row r="25914" spans="32:32" x14ac:dyDescent="0.2">
      <c r="AF25914" s="12"/>
    </row>
    <row r="25915" spans="32:32" x14ac:dyDescent="0.2">
      <c r="AF25915" s="12"/>
    </row>
    <row r="25916" spans="32:32" x14ac:dyDescent="0.2">
      <c r="AF25916" s="12"/>
    </row>
    <row r="25917" spans="32:32" x14ac:dyDescent="0.2">
      <c r="AF25917" s="12"/>
    </row>
    <row r="25918" spans="32:32" x14ac:dyDescent="0.2">
      <c r="AF25918" s="12"/>
    </row>
    <row r="25919" spans="32:32" x14ac:dyDescent="0.2">
      <c r="AF25919" s="12"/>
    </row>
    <row r="25920" spans="32:32" x14ac:dyDescent="0.2">
      <c r="AF25920" s="12"/>
    </row>
    <row r="25921" spans="32:32" x14ac:dyDescent="0.2">
      <c r="AF25921" s="12"/>
    </row>
    <row r="25922" spans="32:32" x14ac:dyDescent="0.2">
      <c r="AF25922" s="12"/>
    </row>
    <row r="25923" spans="32:32" x14ac:dyDescent="0.2">
      <c r="AF25923" s="12"/>
    </row>
    <row r="25924" spans="32:32" x14ac:dyDescent="0.2">
      <c r="AF25924" s="12"/>
    </row>
    <row r="25925" spans="32:32" x14ac:dyDescent="0.2">
      <c r="AF25925" s="12"/>
    </row>
    <row r="25926" spans="32:32" x14ac:dyDescent="0.2">
      <c r="AF25926" s="12"/>
    </row>
    <row r="25927" spans="32:32" x14ac:dyDescent="0.2">
      <c r="AF25927" s="12"/>
    </row>
    <row r="25928" spans="32:32" x14ac:dyDescent="0.2">
      <c r="AF25928" s="12"/>
    </row>
    <row r="25929" spans="32:32" x14ac:dyDescent="0.2">
      <c r="AF25929" s="12"/>
    </row>
    <row r="25930" spans="32:32" x14ac:dyDescent="0.2">
      <c r="AF25930" s="12"/>
    </row>
    <row r="25931" spans="32:32" x14ac:dyDescent="0.2">
      <c r="AF25931" s="12"/>
    </row>
    <row r="25932" spans="32:32" x14ac:dyDescent="0.2">
      <c r="AF25932" s="12"/>
    </row>
    <row r="25933" spans="32:32" x14ac:dyDescent="0.2">
      <c r="AF25933" s="12"/>
    </row>
    <row r="25934" spans="32:32" x14ac:dyDescent="0.2">
      <c r="AF25934" s="12"/>
    </row>
    <row r="25935" spans="32:32" x14ac:dyDescent="0.2">
      <c r="AF25935" s="12"/>
    </row>
    <row r="25936" spans="32:32" x14ac:dyDescent="0.2">
      <c r="AF25936" s="12"/>
    </row>
    <row r="25937" spans="32:32" x14ac:dyDescent="0.2">
      <c r="AF25937" s="12"/>
    </row>
    <row r="25938" spans="32:32" x14ac:dyDescent="0.2">
      <c r="AF25938" s="12"/>
    </row>
    <row r="25939" spans="32:32" x14ac:dyDescent="0.2">
      <c r="AF25939" s="12"/>
    </row>
    <row r="25940" spans="32:32" x14ac:dyDescent="0.2">
      <c r="AF25940" s="12"/>
    </row>
    <row r="25941" spans="32:32" x14ac:dyDescent="0.2">
      <c r="AF25941" s="12"/>
    </row>
    <row r="25942" spans="32:32" x14ac:dyDescent="0.2">
      <c r="AF25942" s="12"/>
    </row>
    <row r="25943" spans="32:32" x14ac:dyDescent="0.2">
      <c r="AF25943" s="12"/>
    </row>
    <row r="25944" spans="32:32" x14ac:dyDescent="0.2">
      <c r="AF25944" s="12"/>
    </row>
    <row r="25945" spans="32:32" x14ac:dyDescent="0.2">
      <c r="AF25945" s="12"/>
    </row>
    <row r="25946" spans="32:32" x14ac:dyDescent="0.2">
      <c r="AF25946" s="12"/>
    </row>
    <row r="25947" spans="32:32" x14ac:dyDescent="0.2">
      <c r="AF25947" s="12"/>
    </row>
    <row r="25948" spans="32:32" x14ac:dyDescent="0.2">
      <c r="AF25948" s="12"/>
    </row>
    <row r="25949" spans="32:32" x14ac:dyDescent="0.2">
      <c r="AF25949" s="12"/>
    </row>
    <row r="25950" spans="32:32" x14ac:dyDescent="0.2">
      <c r="AF25950" s="12"/>
    </row>
    <row r="25951" spans="32:32" x14ac:dyDescent="0.2">
      <c r="AF25951" s="12"/>
    </row>
    <row r="25952" spans="32:32" x14ac:dyDescent="0.2">
      <c r="AF25952" s="12"/>
    </row>
    <row r="25953" spans="32:32" x14ac:dyDescent="0.2">
      <c r="AF25953" s="12"/>
    </row>
    <row r="25954" spans="32:32" x14ac:dyDescent="0.2">
      <c r="AF25954" s="12"/>
    </row>
    <row r="25955" spans="32:32" x14ac:dyDescent="0.2">
      <c r="AF25955" s="12"/>
    </row>
    <row r="25956" spans="32:32" x14ac:dyDescent="0.2">
      <c r="AF25956" s="12"/>
    </row>
    <row r="25957" spans="32:32" x14ac:dyDescent="0.2">
      <c r="AF25957" s="12"/>
    </row>
    <row r="25958" spans="32:32" x14ac:dyDescent="0.2">
      <c r="AF25958" s="12"/>
    </row>
    <row r="25959" spans="32:32" x14ac:dyDescent="0.2">
      <c r="AF25959" s="12"/>
    </row>
    <row r="25960" spans="32:32" x14ac:dyDescent="0.2">
      <c r="AF25960" s="12"/>
    </row>
    <row r="25961" spans="32:32" x14ac:dyDescent="0.2">
      <c r="AF25961" s="12"/>
    </row>
    <row r="25962" spans="32:32" x14ac:dyDescent="0.2">
      <c r="AF25962" s="12"/>
    </row>
    <row r="25963" spans="32:32" x14ac:dyDescent="0.2">
      <c r="AF25963" s="12"/>
    </row>
    <row r="25964" spans="32:32" x14ac:dyDescent="0.2">
      <c r="AF25964" s="12"/>
    </row>
    <row r="25965" spans="32:32" x14ac:dyDescent="0.2">
      <c r="AF25965" s="12"/>
    </row>
    <row r="25966" spans="32:32" x14ac:dyDescent="0.2">
      <c r="AF25966" s="12"/>
    </row>
    <row r="25967" spans="32:32" x14ac:dyDescent="0.2">
      <c r="AF25967" s="12"/>
    </row>
    <row r="25968" spans="32:32" x14ac:dyDescent="0.2">
      <c r="AF25968" s="12"/>
    </row>
    <row r="25969" spans="32:32" x14ac:dyDescent="0.2">
      <c r="AF25969" s="12"/>
    </row>
    <row r="25970" spans="32:32" x14ac:dyDescent="0.2">
      <c r="AF25970" s="12"/>
    </row>
    <row r="25971" spans="32:32" x14ac:dyDescent="0.2">
      <c r="AF25971" s="12"/>
    </row>
    <row r="25972" spans="32:32" x14ac:dyDescent="0.2">
      <c r="AF25972" s="12"/>
    </row>
    <row r="25973" spans="32:32" x14ac:dyDescent="0.2">
      <c r="AF25973" s="12"/>
    </row>
    <row r="25974" spans="32:32" x14ac:dyDescent="0.2">
      <c r="AF25974" s="12"/>
    </row>
    <row r="25975" spans="32:32" x14ac:dyDescent="0.2">
      <c r="AF25975" s="12"/>
    </row>
    <row r="25976" spans="32:32" x14ac:dyDescent="0.2">
      <c r="AF25976" s="12"/>
    </row>
    <row r="25977" spans="32:32" x14ac:dyDescent="0.2">
      <c r="AF25977" s="12"/>
    </row>
    <row r="25978" spans="32:32" x14ac:dyDescent="0.2">
      <c r="AF25978" s="12"/>
    </row>
    <row r="25979" spans="32:32" x14ac:dyDescent="0.2">
      <c r="AF25979" s="12"/>
    </row>
    <row r="25980" spans="32:32" x14ac:dyDescent="0.2">
      <c r="AF25980" s="12"/>
    </row>
    <row r="25981" spans="32:32" x14ac:dyDescent="0.2">
      <c r="AF25981" s="12"/>
    </row>
    <row r="25982" spans="32:32" x14ac:dyDescent="0.2">
      <c r="AF25982" s="12"/>
    </row>
    <row r="25983" spans="32:32" x14ac:dyDescent="0.2">
      <c r="AF25983" s="12"/>
    </row>
    <row r="25984" spans="32:32" x14ac:dyDescent="0.2">
      <c r="AF25984" s="12"/>
    </row>
    <row r="25985" spans="32:32" x14ac:dyDescent="0.2">
      <c r="AF25985" s="12"/>
    </row>
    <row r="25986" spans="32:32" x14ac:dyDescent="0.2">
      <c r="AF25986" s="12"/>
    </row>
    <row r="25987" spans="32:32" x14ac:dyDescent="0.2">
      <c r="AF25987" s="12"/>
    </row>
    <row r="25988" spans="32:32" x14ac:dyDescent="0.2">
      <c r="AF25988" s="12"/>
    </row>
    <row r="25989" spans="32:32" x14ac:dyDescent="0.2">
      <c r="AF25989" s="12"/>
    </row>
    <row r="25990" spans="32:32" x14ac:dyDescent="0.2">
      <c r="AF25990" s="12"/>
    </row>
    <row r="25991" spans="32:32" x14ac:dyDescent="0.2">
      <c r="AF25991" s="12"/>
    </row>
    <row r="25992" spans="32:32" x14ac:dyDescent="0.2">
      <c r="AF25992" s="12"/>
    </row>
    <row r="25993" spans="32:32" x14ac:dyDescent="0.2">
      <c r="AF25993" s="12"/>
    </row>
    <row r="25994" spans="32:32" x14ac:dyDescent="0.2">
      <c r="AF25994" s="12"/>
    </row>
    <row r="25995" spans="32:32" x14ac:dyDescent="0.2">
      <c r="AF25995" s="12"/>
    </row>
    <row r="25996" spans="32:32" x14ac:dyDescent="0.2">
      <c r="AF25996" s="12"/>
    </row>
    <row r="25997" spans="32:32" x14ac:dyDescent="0.2">
      <c r="AF25997" s="12"/>
    </row>
    <row r="25998" spans="32:32" x14ac:dyDescent="0.2">
      <c r="AF25998" s="12"/>
    </row>
    <row r="25999" spans="32:32" x14ac:dyDescent="0.2">
      <c r="AF25999" s="12"/>
    </row>
    <row r="26000" spans="32:32" x14ac:dyDescent="0.2">
      <c r="AF26000" s="12"/>
    </row>
    <row r="26001" spans="32:32" x14ac:dyDescent="0.2">
      <c r="AF26001" s="12"/>
    </row>
    <row r="26002" spans="32:32" x14ac:dyDescent="0.2">
      <c r="AF26002" s="12"/>
    </row>
    <row r="26003" spans="32:32" x14ac:dyDescent="0.2">
      <c r="AF26003" s="12"/>
    </row>
    <row r="26004" spans="32:32" x14ac:dyDescent="0.2">
      <c r="AF26004" s="12"/>
    </row>
    <row r="26005" spans="32:32" x14ac:dyDescent="0.2">
      <c r="AF26005" s="12"/>
    </row>
    <row r="26006" spans="32:32" x14ac:dyDescent="0.2">
      <c r="AF26006" s="12"/>
    </row>
    <row r="26007" spans="32:32" x14ac:dyDescent="0.2">
      <c r="AF26007" s="12"/>
    </row>
    <row r="26008" spans="32:32" x14ac:dyDescent="0.2">
      <c r="AF26008" s="12"/>
    </row>
    <row r="26009" spans="32:32" x14ac:dyDescent="0.2">
      <c r="AF26009" s="12"/>
    </row>
    <row r="26010" spans="32:32" x14ac:dyDescent="0.2">
      <c r="AF26010" s="12"/>
    </row>
    <row r="26011" spans="32:32" x14ac:dyDescent="0.2">
      <c r="AF26011" s="12"/>
    </row>
    <row r="26012" spans="32:32" x14ac:dyDescent="0.2">
      <c r="AF26012" s="12"/>
    </row>
    <row r="26013" spans="32:32" x14ac:dyDescent="0.2">
      <c r="AF26013" s="12"/>
    </row>
    <row r="26014" spans="32:32" x14ac:dyDescent="0.2">
      <c r="AF26014" s="12"/>
    </row>
    <row r="26015" spans="32:32" x14ac:dyDescent="0.2">
      <c r="AF26015" s="12"/>
    </row>
    <row r="26016" spans="32:32" x14ac:dyDescent="0.2">
      <c r="AF26016" s="12"/>
    </row>
    <row r="26017" spans="32:32" x14ac:dyDescent="0.2">
      <c r="AF26017" s="12"/>
    </row>
    <row r="26018" spans="32:32" x14ac:dyDescent="0.2">
      <c r="AF26018" s="12"/>
    </row>
    <row r="26019" spans="32:32" x14ac:dyDescent="0.2">
      <c r="AF26019" s="12"/>
    </row>
    <row r="26020" spans="32:32" x14ac:dyDescent="0.2">
      <c r="AF26020" s="12"/>
    </row>
    <row r="26021" spans="32:32" x14ac:dyDescent="0.2">
      <c r="AF26021" s="12"/>
    </row>
    <row r="26022" spans="32:32" x14ac:dyDescent="0.2">
      <c r="AF26022" s="12"/>
    </row>
    <row r="26023" spans="32:32" x14ac:dyDescent="0.2">
      <c r="AF26023" s="12"/>
    </row>
    <row r="26024" spans="32:32" x14ac:dyDescent="0.2">
      <c r="AF26024" s="12"/>
    </row>
    <row r="26025" spans="32:32" x14ac:dyDescent="0.2">
      <c r="AF26025" s="12"/>
    </row>
    <row r="26026" spans="32:32" x14ac:dyDescent="0.2">
      <c r="AF26026" s="12"/>
    </row>
    <row r="26027" spans="32:32" x14ac:dyDescent="0.2">
      <c r="AF26027" s="12"/>
    </row>
    <row r="26028" spans="32:32" x14ac:dyDescent="0.2">
      <c r="AF26028" s="12"/>
    </row>
    <row r="26029" spans="32:32" x14ac:dyDescent="0.2">
      <c r="AF26029" s="12"/>
    </row>
    <row r="26030" spans="32:32" x14ac:dyDescent="0.2">
      <c r="AF26030" s="12"/>
    </row>
    <row r="26031" spans="32:32" x14ac:dyDescent="0.2">
      <c r="AF26031" s="12"/>
    </row>
    <row r="26032" spans="32:32" x14ac:dyDescent="0.2">
      <c r="AF26032" s="12"/>
    </row>
    <row r="26033" spans="32:32" x14ac:dyDescent="0.2">
      <c r="AF26033" s="12"/>
    </row>
    <row r="26034" spans="32:32" x14ac:dyDescent="0.2">
      <c r="AF26034" s="12"/>
    </row>
    <row r="26035" spans="32:32" x14ac:dyDescent="0.2">
      <c r="AF26035" s="12"/>
    </row>
    <row r="26036" spans="32:32" x14ac:dyDescent="0.2">
      <c r="AF26036" s="12"/>
    </row>
    <row r="26037" spans="32:32" x14ac:dyDescent="0.2">
      <c r="AF26037" s="12"/>
    </row>
    <row r="26038" spans="32:32" x14ac:dyDescent="0.2">
      <c r="AF26038" s="12"/>
    </row>
    <row r="26039" spans="32:32" x14ac:dyDescent="0.2">
      <c r="AF26039" s="12"/>
    </row>
    <row r="26040" spans="32:32" x14ac:dyDescent="0.2">
      <c r="AF26040" s="12"/>
    </row>
    <row r="26041" spans="32:32" x14ac:dyDescent="0.2">
      <c r="AF26041" s="12"/>
    </row>
    <row r="26042" spans="32:32" x14ac:dyDescent="0.2">
      <c r="AF26042" s="12"/>
    </row>
    <row r="26043" spans="32:32" x14ac:dyDescent="0.2">
      <c r="AF26043" s="12"/>
    </row>
    <row r="26044" spans="32:32" x14ac:dyDescent="0.2">
      <c r="AF26044" s="12"/>
    </row>
    <row r="26045" spans="32:32" x14ac:dyDescent="0.2">
      <c r="AF26045" s="12"/>
    </row>
    <row r="26046" spans="32:32" x14ac:dyDescent="0.2">
      <c r="AF26046" s="12"/>
    </row>
    <row r="26047" spans="32:32" x14ac:dyDescent="0.2">
      <c r="AF26047" s="12"/>
    </row>
    <row r="26048" spans="32:32" x14ac:dyDescent="0.2">
      <c r="AF26048" s="12"/>
    </row>
    <row r="26049" spans="32:32" x14ac:dyDescent="0.2">
      <c r="AF26049" s="12"/>
    </row>
    <row r="26050" spans="32:32" x14ac:dyDescent="0.2">
      <c r="AF26050" s="12"/>
    </row>
    <row r="26051" spans="32:32" x14ac:dyDescent="0.2">
      <c r="AF26051" s="12"/>
    </row>
    <row r="26052" spans="32:32" x14ac:dyDescent="0.2">
      <c r="AF26052" s="12"/>
    </row>
    <row r="26053" spans="32:32" x14ac:dyDescent="0.2">
      <c r="AF26053" s="12"/>
    </row>
    <row r="26054" spans="32:32" x14ac:dyDescent="0.2">
      <c r="AF26054" s="12"/>
    </row>
    <row r="26055" spans="32:32" x14ac:dyDescent="0.2">
      <c r="AF26055" s="12"/>
    </row>
    <row r="26056" spans="32:32" x14ac:dyDescent="0.2">
      <c r="AF26056" s="12"/>
    </row>
    <row r="26057" spans="32:32" x14ac:dyDescent="0.2">
      <c r="AF26057" s="12"/>
    </row>
    <row r="26058" spans="32:32" x14ac:dyDescent="0.2">
      <c r="AF26058" s="12"/>
    </row>
    <row r="26059" spans="32:32" x14ac:dyDescent="0.2">
      <c r="AF26059" s="12"/>
    </row>
    <row r="26060" spans="32:32" x14ac:dyDescent="0.2">
      <c r="AF26060" s="12"/>
    </row>
    <row r="26061" spans="32:32" x14ac:dyDescent="0.2">
      <c r="AF26061" s="12"/>
    </row>
    <row r="26062" spans="32:32" x14ac:dyDescent="0.2">
      <c r="AF26062" s="12"/>
    </row>
    <row r="26063" spans="32:32" x14ac:dyDescent="0.2">
      <c r="AF26063" s="12"/>
    </row>
    <row r="26064" spans="32:32" x14ac:dyDescent="0.2">
      <c r="AF26064" s="12"/>
    </row>
    <row r="26065" spans="32:32" x14ac:dyDescent="0.2">
      <c r="AF26065" s="12"/>
    </row>
    <row r="26066" spans="32:32" x14ac:dyDescent="0.2">
      <c r="AF26066" s="12"/>
    </row>
    <row r="26067" spans="32:32" x14ac:dyDescent="0.2">
      <c r="AF26067" s="12"/>
    </row>
    <row r="26068" spans="32:32" x14ac:dyDescent="0.2">
      <c r="AF26068" s="12"/>
    </row>
    <row r="26069" spans="32:32" x14ac:dyDescent="0.2">
      <c r="AF26069" s="12"/>
    </row>
    <row r="26070" spans="32:32" x14ac:dyDescent="0.2">
      <c r="AF26070" s="12"/>
    </row>
    <row r="26071" spans="32:32" x14ac:dyDescent="0.2">
      <c r="AF26071" s="12"/>
    </row>
    <row r="26072" spans="32:32" x14ac:dyDescent="0.2">
      <c r="AF26072" s="12"/>
    </row>
    <row r="26073" spans="32:32" x14ac:dyDescent="0.2">
      <c r="AF26073" s="12"/>
    </row>
    <row r="26074" spans="32:32" x14ac:dyDescent="0.2">
      <c r="AF26074" s="12"/>
    </row>
    <row r="26075" spans="32:32" x14ac:dyDescent="0.2">
      <c r="AF26075" s="12"/>
    </row>
    <row r="26076" spans="32:32" x14ac:dyDescent="0.2">
      <c r="AF26076" s="12"/>
    </row>
    <row r="26077" spans="32:32" x14ac:dyDescent="0.2">
      <c r="AF26077" s="12"/>
    </row>
    <row r="26078" spans="32:32" x14ac:dyDescent="0.2">
      <c r="AF26078" s="12"/>
    </row>
    <row r="26079" spans="32:32" x14ac:dyDescent="0.2">
      <c r="AF26079" s="12"/>
    </row>
    <row r="26080" spans="32:32" x14ac:dyDescent="0.2">
      <c r="AF26080" s="12"/>
    </row>
    <row r="26081" spans="32:32" x14ac:dyDescent="0.2">
      <c r="AF26081" s="12"/>
    </row>
    <row r="26082" spans="32:32" x14ac:dyDescent="0.2">
      <c r="AF26082" s="12"/>
    </row>
    <row r="26083" spans="32:32" x14ac:dyDescent="0.2">
      <c r="AF26083" s="12"/>
    </row>
    <row r="26084" spans="32:32" x14ac:dyDescent="0.2">
      <c r="AF26084" s="12"/>
    </row>
    <row r="26085" spans="32:32" x14ac:dyDescent="0.2">
      <c r="AF26085" s="12"/>
    </row>
    <row r="26086" spans="32:32" x14ac:dyDescent="0.2">
      <c r="AF26086" s="12"/>
    </row>
    <row r="26087" spans="32:32" x14ac:dyDescent="0.2">
      <c r="AF26087" s="12"/>
    </row>
    <row r="26088" spans="32:32" x14ac:dyDescent="0.2">
      <c r="AF26088" s="12"/>
    </row>
    <row r="26089" spans="32:32" x14ac:dyDescent="0.2">
      <c r="AF26089" s="12"/>
    </row>
    <row r="26090" spans="32:32" x14ac:dyDescent="0.2">
      <c r="AF26090" s="12"/>
    </row>
    <row r="26091" spans="32:32" x14ac:dyDescent="0.2">
      <c r="AF26091" s="12"/>
    </row>
    <row r="26092" spans="32:32" x14ac:dyDescent="0.2">
      <c r="AF26092" s="12"/>
    </row>
    <row r="26093" spans="32:32" x14ac:dyDescent="0.2">
      <c r="AF26093" s="12"/>
    </row>
    <row r="26094" spans="32:32" x14ac:dyDescent="0.2">
      <c r="AF26094" s="12"/>
    </row>
    <row r="26095" spans="32:32" x14ac:dyDescent="0.2">
      <c r="AF26095" s="12"/>
    </row>
    <row r="26096" spans="32:32" x14ac:dyDescent="0.2">
      <c r="AF26096" s="12"/>
    </row>
    <row r="26097" spans="32:32" x14ac:dyDescent="0.2">
      <c r="AF26097" s="12"/>
    </row>
    <row r="26098" spans="32:32" x14ac:dyDescent="0.2">
      <c r="AF26098" s="12"/>
    </row>
    <row r="26099" spans="32:32" x14ac:dyDescent="0.2">
      <c r="AF26099" s="12"/>
    </row>
    <row r="26100" spans="32:32" x14ac:dyDescent="0.2">
      <c r="AF26100" s="12"/>
    </row>
    <row r="26101" spans="32:32" x14ac:dyDescent="0.2">
      <c r="AF26101" s="12"/>
    </row>
    <row r="26102" spans="32:32" x14ac:dyDescent="0.2">
      <c r="AF26102" s="12"/>
    </row>
    <row r="26103" spans="32:32" x14ac:dyDescent="0.2">
      <c r="AF26103" s="12"/>
    </row>
    <row r="26104" spans="32:32" x14ac:dyDescent="0.2">
      <c r="AF26104" s="12"/>
    </row>
    <row r="26105" spans="32:32" x14ac:dyDescent="0.2">
      <c r="AF26105" s="12"/>
    </row>
    <row r="26106" spans="32:32" x14ac:dyDescent="0.2">
      <c r="AF26106" s="12"/>
    </row>
    <row r="26107" spans="32:32" x14ac:dyDescent="0.2">
      <c r="AF26107" s="12"/>
    </row>
    <row r="26108" spans="32:32" x14ac:dyDescent="0.2">
      <c r="AF26108" s="12"/>
    </row>
    <row r="26109" spans="32:32" x14ac:dyDescent="0.2">
      <c r="AF26109" s="12"/>
    </row>
    <row r="26110" spans="32:32" x14ac:dyDescent="0.2">
      <c r="AF26110" s="12"/>
    </row>
    <row r="26111" spans="32:32" x14ac:dyDescent="0.2">
      <c r="AF26111" s="12"/>
    </row>
    <row r="26112" spans="32:32" x14ac:dyDescent="0.2">
      <c r="AF26112" s="12"/>
    </row>
    <row r="26113" spans="32:32" x14ac:dyDescent="0.2">
      <c r="AF26113" s="12"/>
    </row>
    <row r="26114" spans="32:32" x14ac:dyDescent="0.2">
      <c r="AF26114" s="12"/>
    </row>
    <row r="26115" spans="32:32" x14ac:dyDescent="0.2">
      <c r="AF26115" s="12"/>
    </row>
    <row r="26116" spans="32:32" x14ac:dyDescent="0.2">
      <c r="AF26116" s="12"/>
    </row>
    <row r="26117" spans="32:32" x14ac:dyDescent="0.2">
      <c r="AF26117" s="12"/>
    </row>
    <row r="26118" spans="32:32" x14ac:dyDescent="0.2">
      <c r="AF26118" s="12"/>
    </row>
    <row r="26119" spans="32:32" x14ac:dyDescent="0.2">
      <c r="AF26119" s="12"/>
    </row>
    <row r="26120" spans="32:32" x14ac:dyDescent="0.2">
      <c r="AF26120" s="12"/>
    </row>
    <row r="26121" spans="32:32" x14ac:dyDescent="0.2">
      <c r="AF26121" s="12"/>
    </row>
    <row r="26122" spans="32:32" x14ac:dyDescent="0.2">
      <c r="AF26122" s="12"/>
    </row>
    <row r="26123" spans="32:32" x14ac:dyDescent="0.2">
      <c r="AF26123" s="12"/>
    </row>
    <row r="26124" spans="32:32" x14ac:dyDescent="0.2">
      <c r="AF26124" s="12"/>
    </row>
    <row r="26125" spans="32:32" x14ac:dyDescent="0.2">
      <c r="AF26125" s="12"/>
    </row>
    <row r="26126" spans="32:32" x14ac:dyDescent="0.2">
      <c r="AF26126" s="12"/>
    </row>
    <row r="26127" spans="32:32" x14ac:dyDescent="0.2">
      <c r="AF26127" s="12"/>
    </row>
    <row r="26128" spans="32:32" x14ac:dyDescent="0.2">
      <c r="AF26128" s="12"/>
    </row>
    <row r="26129" spans="32:32" x14ac:dyDescent="0.2">
      <c r="AF26129" s="12"/>
    </row>
    <row r="26130" spans="32:32" x14ac:dyDescent="0.2">
      <c r="AF26130" s="12"/>
    </row>
    <row r="26131" spans="32:32" x14ac:dyDescent="0.2">
      <c r="AF26131" s="12"/>
    </row>
    <row r="26132" spans="32:32" x14ac:dyDescent="0.2">
      <c r="AF26132" s="12"/>
    </row>
    <row r="26133" spans="32:32" x14ac:dyDescent="0.2">
      <c r="AF26133" s="12"/>
    </row>
    <row r="26134" spans="32:32" x14ac:dyDescent="0.2">
      <c r="AF26134" s="12"/>
    </row>
    <row r="26135" spans="32:32" x14ac:dyDescent="0.2">
      <c r="AF26135" s="12"/>
    </row>
    <row r="26136" spans="32:32" x14ac:dyDescent="0.2">
      <c r="AF26136" s="12"/>
    </row>
    <row r="26137" spans="32:32" x14ac:dyDescent="0.2">
      <c r="AF26137" s="12"/>
    </row>
    <row r="26138" spans="32:32" x14ac:dyDescent="0.2">
      <c r="AF26138" s="12"/>
    </row>
    <row r="26139" spans="32:32" x14ac:dyDescent="0.2">
      <c r="AF26139" s="12"/>
    </row>
    <row r="26140" spans="32:32" x14ac:dyDescent="0.2">
      <c r="AF26140" s="12"/>
    </row>
    <row r="26141" spans="32:32" x14ac:dyDescent="0.2">
      <c r="AF26141" s="12"/>
    </row>
    <row r="26142" spans="32:32" x14ac:dyDescent="0.2">
      <c r="AF26142" s="12"/>
    </row>
    <row r="26143" spans="32:32" x14ac:dyDescent="0.2">
      <c r="AF26143" s="12"/>
    </row>
    <row r="26144" spans="32:32" x14ac:dyDescent="0.2">
      <c r="AF26144" s="12"/>
    </row>
    <row r="26145" spans="32:32" x14ac:dyDescent="0.2">
      <c r="AF26145" s="12"/>
    </row>
    <row r="26146" spans="32:32" x14ac:dyDescent="0.2">
      <c r="AF26146" s="12"/>
    </row>
    <row r="26147" spans="32:32" x14ac:dyDescent="0.2">
      <c r="AF26147" s="12"/>
    </row>
    <row r="26148" spans="32:32" x14ac:dyDescent="0.2">
      <c r="AF26148" s="12"/>
    </row>
    <row r="26149" spans="32:32" x14ac:dyDescent="0.2">
      <c r="AF26149" s="12"/>
    </row>
    <row r="26150" spans="32:32" x14ac:dyDescent="0.2">
      <c r="AF26150" s="12"/>
    </row>
    <row r="26151" spans="32:32" x14ac:dyDescent="0.2">
      <c r="AF26151" s="12"/>
    </row>
    <row r="26152" spans="32:32" x14ac:dyDescent="0.2">
      <c r="AF26152" s="12"/>
    </row>
    <row r="26153" spans="32:32" x14ac:dyDescent="0.2">
      <c r="AF26153" s="12"/>
    </row>
    <row r="26154" spans="32:32" x14ac:dyDescent="0.2">
      <c r="AF26154" s="12"/>
    </row>
    <row r="26155" spans="32:32" x14ac:dyDescent="0.2">
      <c r="AF26155" s="12"/>
    </row>
    <row r="26156" spans="32:32" x14ac:dyDescent="0.2">
      <c r="AF26156" s="12"/>
    </row>
    <row r="26157" spans="32:32" x14ac:dyDescent="0.2">
      <c r="AF26157" s="12"/>
    </row>
    <row r="26158" spans="32:32" x14ac:dyDescent="0.2">
      <c r="AF26158" s="12"/>
    </row>
    <row r="26159" spans="32:32" x14ac:dyDescent="0.2">
      <c r="AF26159" s="12"/>
    </row>
    <row r="26160" spans="32:32" x14ac:dyDescent="0.2">
      <c r="AF26160" s="12"/>
    </row>
    <row r="26161" spans="32:32" x14ac:dyDescent="0.2">
      <c r="AF26161" s="12"/>
    </row>
    <row r="26162" spans="32:32" x14ac:dyDescent="0.2">
      <c r="AF26162" s="12"/>
    </row>
    <row r="26163" spans="32:32" x14ac:dyDescent="0.2">
      <c r="AF26163" s="12"/>
    </row>
    <row r="26164" spans="32:32" x14ac:dyDescent="0.2">
      <c r="AF26164" s="12"/>
    </row>
    <row r="26165" spans="32:32" x14ac:dyDescent="0.2">
      <c r="AF26165" s="12"/>
    </row>
    <row r="26166" spans="32:32" x14ac:dyDescent="0.2">
      <c r="AF26166" s="12"/>
    </row>
    <row r="26167" spans="32:32" x14ac:dyDescent="0.2">
      <c r="AF26167" s="12"/>
    </row>
    <row r="26168" spans="32:32" x14ac:dyDescent="0.2">
      <c r="AF26168" s="12"/>
    </row>
    <row r="26169" spans="32:32" x14ac:dyDescent="0.2">
      <c r="AF26169" s="12"/>
    </row>
    <row r="26170" spans="32:32" x14ac:dyDescent="0.2">
      <c r="AF26170" s="12"/>
    </row>
    <row r="26171" spans="32:32" x14ac:dyDescent="0.2">
      <c r="AF26171" s="12"/>
    </row>
    <row r="26172" spans="32:32" x14ac:dyDescent="0.2">
      <c r="AF26172" s="12"/>
    </row>
    <row r="26173" spans="32:32" x14ac:dyDescent="0.2">
      <c r="AF26173" s="12"/>
    </row>
    <row r="26174" spans="32:32" x14ac:dyDescent="0.2">
      <c r="AF26174" s="12"/>
    </row>
    <row r="26175" spans="32:32" x14ac:dyDescent="0.2">
      <c r="AF26175" s="12"/>
    </row>
    <row r="26176" spans="32:32" x14ac:dyDescent="0.2">
      <c r="AF26176" s="12"/>
    </row>
    <row r="26177" spans="32:32" x14ac:dyDescent="0.2">
      <c r="AF26177" s="12"/>
    </row>
    <row r="26178" spans="32:32" x14ac:dyDescent="0.2">
      <c r="AF26178" s="12"/>
    </row>
    <row r="26179" spans="32:32" x14ac:dyDescent="0.2">
      <c r="AF26179" s="12"/>
    </row>
    <row r="26180" spans="32:32" x14ac:dyDescent="0.2">
      <c r="AF26180" s="12"/>
    </row>
    <row r="26181" spans="32:32" x14ac:dyDescent="0.2">
      <c r="AF26181" s="12"/>
    </row>
    <row r="26182" spans="32:32" x14ac:dyDescent="0.2">
      <c r="AF26182" s="12"/>
    </row>
    <row r="26183" spans="32:32" x14ac:dyDescent="0.2">
      <c r="AF26183" s="12"/>
    </row>
    <row r="26184" spans="32:32" x14ac:dyDescent="0.2">
      <c r="AF26184" s="12"/>
    </row>
    <row r="26185" spans="32:32" x14ac:dyDescent="0.2">
      <c r="AF26185" s="12"/>
    </row>
    <row r="26186" spans="32:32" x14ac:dyDescent="0.2">
      <c r="AF26186" s="12"/>
    </row>
    <row r="26187" spans="32:32" x14ac:dyDescent="0.2">
      <c r="AF26187" s="12"/>
    </row>
    <row r="26188" spans="32:32" x14ac:dyDescent="0.2">
      <c r="AF26188" s="12"/>
    </row>
    <row r="26189" spans="32:32" x14ac:dyDescent="0.2">
      <c r="AF26189" s="12"/>
    </row>
    <row r="26190" spans="32:32" x14ac:dyDescent="0.2">
      <c r="AF26190" s="12"/>
    </row>
    <row r="26191" spans="32:32" x14ac:dyDescent="0.2">
      <c r="AF26191" s="12"/>
    </row>
    <row r="26192" spans="32:32" x14ac:dyDescent="0.2">
      <c r="AF26192" s="12"/>
    </row>
    <row r="26193" spans="32:32" x14ac:dyDescent="0.2">
      <c r="AF26193" s="12"/>
    </row>
    <row r="26194" spans="32:32" x14ac:dyDescent="0.2">
      <c r="AF26194" s="12"/>
    </row>
    <row r="26195" spans="32:32" x14ac:dyDescent="0.2">
      <c r="AF26195" s="12"/>
    </row>
    <row r="26196" spans="32:32" x14ac:dyDescent="0.2">
      <c r="AF26196" s="12"/>
    </row>
    <row r="26197" spans="32:32" x14ac:dyDescent="0.2">
      <c r="AF26197" s="12"/>
    </row>
    <row r="26198" spans="32:32" x14ac:dyDescent="0.2">
      <c r="AF26198" s="12"/>
    </row>
    <row r="26199" spans="32:32" x14ac:dyDescent="0.2">
      <c r="AF26199" s="12"/>
    </row>
    <row r="26200" spans="32:32" x14ac:dyDescent="0.2">
      <c r="AF26200" s="12"/>
    </row>
    <row r="26201" spans="32:32" x14ac:dyDescent="0.2">
      <c r="AF26201" s="12"/>
    </row>
    <row r="26202" spans="32:32" x14ac:dyDescent="0.2">
      <c r="AF26202" s="12"/>
    </row>
    <row r="26203" spans="32:32" x14ac:dyDescent="0.2">
      <c r="AF26203" s="12"/>
    </row>
    <row r="26204" spans="32:32" x14ac:dyDescent="0.2">
      <c r="AF26204" s="12"/>
    </row>
    <row r="26205" spans="32:32" x14ac:dyDescent="0.2">
      <c r="AF26205" s="12"/>
    </row>
    <row r="26206" spans="32:32" x14ac:dyDescent="0.2">
      <c r="AF26206" s="12"/>
    </row>
    <row r="26207" spans="32:32" x14ac:dyDescent="0.2">
      <c r="AF26207" s="12"/>
    </row>
    <row r="26208" spans="32:32" x14ac:dyDescent="0.2">
      <c r="AF26208" s="12"/>
    </row>
    <row r="26209" spans="32:32" x14ac:dyDescent="0.2">
      <c r="AF26209" s="12"/>
    </row>
    <row r="26210" spans="32:32" x14ac:dyDescent="0.2">
      <c r="AF26210" s="12"/>
    </row>
    <row r="26211" spans="32:32" x14ac:dyDescent="0.2">
      <c r="AF26211" s="12"/>
    </row>
    <row r="26212" spans="32:32" x14ac:dyDescent="0.2">
      <c r="AF26212" s="12"/>
    </row>
    <row r="26213" spans="32:32" x14ac:dyDescent="0.2">
      <c r="AF26213" s="12"/>
    </row>
    <row r="26214" spans="32:32" x14ac:dyDescent="0.2">
      <c r="AF26214" s="12"/>
    </row>
    <row r="26215" spans="32:32" x14ac:dyDescent="0.2">
      <c r="AF26215" s="12"/>
    </row>
    <row r="26216" spans="32:32" x14ac:dyDescent="0.2">
      <c r="AF26216" s="12"/>
    </row>
    <row r="26217" spans="32:32" x14ac:dyDescent="0.2">
      <c r="AF26217" s="12"/>
    </row>
    <row r="26218" spans="32:32" x14ac:dyDescent="0.2">
      <c r="AF26218" s="12"/>
    </row>
    <row r="26219" spans="32:32" x14ac:dyDescent="0.2">
      <c r="AF26219" s="12"/>
    </row>
    <row r="26220" spans="32:32" x14ac:dyDescent="0.2">
      <c r="AF26220" s="12"/>
    </row>
    <row r="26221" spans="32:32" x14ac:dyDescent="0.2">
      <c r="AF26221" s="12"/>
    </row>
    <row r="26222" spans="32:32" x14ac:dyDescent="0.2">
      <c r="AF26222" s="12"/>
    </row>
    <row r="26223" spans="32:32" x14ac:dyDescent="0.2">
      <c r="AF26223" s="12"/>
    </row>
    <row r="26224" spans="32:32" x14ac:dyDescent="0.2">
      <c r="AF26224" s="12"/>
    </row>
    <row r="26225" spans="32:32" x14ac:dyDescent="0.2">
      <c r="AF26225" s="12"/>
    </row>
    <row r="26226" spans="32:32" x14ac:dyDescent="0.2">
      <c r="AF26226" s="12"/>
    </row>
    <row r="26227" spans="32:32" x14ac:dyDescent="0.2">
      <c r="AF26227" s="12"/>
    </row>
    <row r="26228" spans="32:32" x14ac:dyDescent="0.2">
      <c r="AF26228" s="12"/>
    </row>
    <row r="26229" spans="32:32" x14ac:dyDescent="0.2">
      <c r="AF26229" s="12"/>
    </row>
    <row r="26230" spans="32:32" x14ac:dyDescent="0.2">
      <c r="AF26230" s="12"/>
    </row>
    <row r="26231" spans="32:32" x14ac:dyDescent="0.2">
      <c r="AF26231" s="12"/>
    </row>
    <row r="26232" spans="32:32" x14ac:dyDescent="0.2">
      <c r="AF26232" s="12"/>
    </row>
    <row r="26233" spans="32:32" x14ac:dyDescent="0.2">
      <c r="AF26233" s="12"/>
    </row>
    <row r="26234" spans="32:32" x14ac:dyDescent="0.2">
      <c r="AF26234" s="12"/>
    </row>
    <row r="26235" spans="32:32" x14ac:dyDescent="0.2">
      <c r="AF26235" s="12"/>
    </row>
    <row r="26236" spans="32:32" x14ac:dyDescent="0.2">
      <c r="AF26236" s="12"/>
    </row>
    <row r="26237" spans="32:32" x14ac:dyDescent="0.2">
      <c r="AF26237" s="12"/>
    </row>
    <row r="26238" spans="32:32" x14ac:dyDescent="0.2">
      <c r="AF26238" s="12"/>
    </row>
    <row r="26239" spans="32:32" x14ac:dyDescent="0.2">
      <c r="AF26239" s="12"/>
    </row>
    <row r="26240" spans="32:32" x14ac:dyDescent="0.2">
      <c r="AF26240" s="12"/>
    </row>
    <row r="26241" spans="32:32" x14ac:dyDescent="0.2">
      <c r="AF26241" s="12"/>
    </row>
    <row r="26242" spans="32:32" x14ac:dyDescent="0.2">
      <c r="AF26242" s="12"/>
    </row>
    <row r="26243" spans="32:32" x14ac:dyDescent="0.2">
      <c r="AF26243" s="12"/>
    </row>
    <row r="26244" spans="32:32" x14ac:dyDescent="0.2">
      <c r="AF26244" s="12"/>
    </row>
    <row r="26245" spans="32:32" x14ac:dyDescent="0.2">
      <c r="AF26245" s="12"/>
    </row>
    <row r="26246" spans="32:32" x14ac:dyDescent="0.2">
      <c r="AF26246" s="12"/>
    </row>
    <row r="26247" spans="32:32" x14ac:dyDescent="0.2">
      <c r="AF26247" s="12"/>
    </row>
    <row r="26248" spans="32:32" x14ac:dyDescent="0.2">
      <c r="AF26248" s="12"/>
    </row>
    <row r="26249" spans="32:32" x14ac:dyDescent="0.2">
      <c r="AF26249" s="12"/>
    </row>
    <row r="26250" spans="32:32" x14ac:dyDescent="0.2">
      <c r="AF26250" s="12"/>
    </row>
    <row r="26251" spans="32:32" x14ac:dyDescent="0.2">
      <c r="AF26251" s="12"/>
    </row>
    <row r="26252" spans="32:32" x14ac:dyDescent="0.2">
      <c r="AF26252" s="12"/>
    </row>
    <row r="26253" spans="32:32" x14ac:dyDescent="0.2">
      <c r="AF26253" s="12"/>
    </row>
    <row r="26254" spans="32:32" x14ac:dyDescent="0.2">
      <c r="AF26254" s="12"/>
    </row>
    <row r="26255" spans="32:32" x14ac:dyDescent="0.2">
      <c r="AF26255" s="12"/>
    </row>
    <row r="26256" spans="32:32" x14ac:dyDescent="0.2">
      <c r="AF26256" s="12"/>
    </row>
    <row r="26257" spans="32:32" x14ac:dyDescent="0.2">
      <c r="AF26257" s="12"/>
    </row>
    <row r="26258" spans="32:32" x14ac:dyDescent="0.2">
      <c r="AF26258" s="12"/>
    </row>
    <row r="26259" spans="32:32" x14ac:dyDescent="0.2">
      <c r="AF26259" s="12"/>
    </row>
    <row r="26260" spans="32:32" x14ac:dyDescent="0.2">
      <c r="AF26260" s="12"/>
    </row>
    <row r="26261" spans="32:32" x14ac:dyDescent="0.2">
      <c r="AF26261" s="12"/>
    </row>
    <row r="26262" spans="32:32" x14ac:dyDescent="0.2">
      <c r="AF26262" s="12"/>
    </row>
    <row r="26263" spans="32:32" x14ac:dyDescent="0.2">
      <c r="AF26263" s="12"/>
    </row>
    <row r="26264" spans="32:32" x14ac:dyDescent="0.2">
      <c r="AF26264" s="12"/>
    </row>
    <row r="26265" spans="32:32" x14ac:dyDescent="0.2">
      <c r="AF26265" s="12"/>
    </row>
    <row r="26266" spans="32:32" x14ac:dyDescent="0.2">
      <c r="AF26266" s="12"/>
    </row>
    <row r="26267" spans="32:32" x14ac:dyDescent="0.2">
      <c r="AF26267" s="12"/>
    </row>
    <row r="26268" spans="32:32" x14ac:dyDescent="0.2">
      <c r="AF26268" s="12"/>
    </row>
    <row r="26269" spans="32:32" x14ac:dyDescent="0.2">
      <c r="AF26269" s="12"/>
    </row>
    <row r="26270" spans="32:32" x14ac:dyDescent="0.2">
      <c r="AF26270" s="12"/>
    </row>
    <row r="26271" spans="32:32" x14ac:dyDescent="0.2">
      <c r="AF26271" s="12"/>
    </row>
    <row r="26272" spans="32:32" x14ac:dyDescent="0.2">
      <c r="AF26272" s="12"/>
    </row>
    <row r="26273" spans="32:32" x14ac:dyDescent="0.2">
      <c r="AF26273" s="12"/>
    </row>
    <row r="26274" spans="32:32" x14ac:dyDescent="0.2">
      <c r="AF26274" s="12"/>
    </row>
    <row r="26275" spans="32:32" x14ac:dyDescent="0.2">
      <c r="AF26275" s="12"/>
    </row>
    <row r="26276" spans="32:32" x14ac:dyDescent="0.2">
      <c r="AF26276" s="12"/>
    </row>
    <row r="26277" spans="32:32" x14ac:dyDescent="0.2">
      <c r="AF26277" s="12"/>
    </row>
    <row r="26278" spans="32:32" x14ac:dyDescent="0.2">
      <c r="AF26278" s="12"/>
    </row>
    <row r="26279" spans="32:32" x14ac:dyDescent="0.2">
      <c r="AF26279" s="12"/>
    </row>
    <row r="26280" spans="32:32" x14ac:dyDescent="0.2">
      <c r="AF26280" s="12"/>
    </row>
    <row r="26281" spans="32:32" x14ac:dyDescent="0.2">
      <c r="AF26281" s="12"/>
    </row>
    <row r="26282" spans="32:32" x14ac:dyDescent="0.2">
      <c r="AF26282" s="12"/>
    </row>
    <row r="26283" spans="32:32" x14ac:dyDescent="0.2">
      <c r="AF26283" s="12"/>
    </row>
    <row r="26284" spans="32:32" x14ac:dyDescent="0.2">
      <c r="AF26284" s="12"/>
    </row>
    <row r="26285" spans="32:32" x14ac:dyDescent="0.2">
      <c r="AF26285" s="12"/>
    </row>
    <row r="26286" spans="32:32" x14ac:dyDescent="0.2">
      <c r="AF26286" s="12"/>
    </row>
    <row r="26287" spans="32:32" x14ac:dyDescent="0.2">
      <c r="AF26287" s="12"/>
    </row>
    <row r="26288" spans="32:32" x14ac:dyDescent="0.2">
      <c r="AF26288" s="12"/>
    </row>
    <row r="26289" spans="32:32" x14ac:dyDescent="0.2">
      <c r="AF26289" s="12"/>
    </row>
    <row r="26290" spans="32:32" x14ac:dyDescent="0.2">
      <c r="AF26290" s="12"/>
    </row>
    <row r="26291" spans="32:32" x14ac:dyDescent="0.2">
      <c r="AF26291" s="12"/>
    </row>
    <row r="26292" spans="32:32" x14ac:dyDescent="0.2">
      <c r="AF26292" s="12"/>
    </row>
    <row r="26293" spans="32:32" x14ac:dyDescent="0.2">
      <c r="AF26293" s="12"/>
    </row>
    <row r="26294" spans="32:32" x14ac:dyDescent="0.2">
      <c r="AF26294" s="12"/>
    </row>
    <row r="26295" spans="32:32" x14ac:dyDescent="0.2">
      <c r="AF26295" s="12"/>
    </row>
    <row r="26296" spans="32:32" x14ac:dyDescent="0.2">
      <c r="AF26296" s="12"/>
    </row>
    <row r="26297" spans="32:32" x14ac:dyDescent="0.2">
      <c r="AF26297" s="12"/>
    </row>
    <row r="26298" spans="32:32" x14ac:dyDescent="0.2">
      <c r="AF26298" s="12"/>
    </row>
    <row r="26299" spans="32:32" x14ac:dyDescent="0.2">
      <c r="AF26299" s="12"/>
    </row>
    <row r="26300" spans="32:32" x14ac:dyDescent="0.2">
      <c r="AF26300" s="12"/>
    </row>
    <row r="26301" spans="32:32" x14ac:dyDescent="0.2">
      <c r="AF26301" s="12"/>
    </row>
    <row r="26302" spans="32:32" x14ac:dyDescent="0.2">
      <c r="AF26302" s="12"/>
    </row>
    <row r="26303" spans="32:32" x14ac:dyDescent="0.2">
      <c r="AF26303" s="12"/>
    </row>
    <row r="26304" spans="32:32" x14ac:dyDescent="0.2">
      <c r="AF26304" s="12"/>
    </row>
    <row r="26305" spans="32:32" x14ac:dyDescent="0.2">
      <c r="AF26305" s="12"/>
    </row>
    <row r="26306" spans="32:32" x14ac:dyDescent="0.2">
      <c r="AF26306" s="12"/>
    </row>
    <row r="26307" spans="32:32" x14ac:dyDescent="0.2">
      <c r="AF26307" s="12"/>
    </row>
    <row r="26308" spans="32:32" x14ac:dyDescent="0.2">
      <c r="AF26308" s="12"/>
    </row>
    <row r="26309" spans="32:32" x14ac:dyDescent="0.2">
      <c r="AF26309" s="12"/>
    </row>
    <row r="26310" spans="32:32" x14ac:dyDescent="0.2">
      <c r="AF26310" s="12"/>
    </row>
    <row r="26311" spans="32:32" x14ac:dyDescent="0.2">
      <c r="AF26311" s="12"/>
    </row>
    <row r="26312" spans="32:32" x14ac:dyDescent="0.2">
      <c r="AF26312" s="12"/>
    </row>
    <row r="26313" spans="32:32" x14ac:dyDescent="0.2">
      <c r="AF26313" s="12"/>
    </row>
    <row r="26314" spans="32:32" x14ac:dyDescent="0.2">
      <c r="AF26314" s="12"/>
    </row>
    <row r="26315" spans="32:32" x14ac:dyDescent="0.2">
      <c r="AF26315" s="12"/>
    </row>
    <row r="26316" spans="32:32" x14ac:dyDescent="0.2">
      <c r="AF26316" s="12"/>
    </row>
    <row r="26317" spans="32:32" x14ac:dyDescent="0.2">
      <c r="AF26317" s="12"/>
    </row>
    <row r="26318" spans="32:32" x14ac:dyDescent="0.2">
      <c r="AF26318" s="12"/>
    </row>
    <row r="26319" spans="32:32" x14ac:dyDescent="0.2">
      <c r="AF26319" s="12"/>
    </row>
    <row r="26320" spans="32:32" x14ac:dyDescent="0.2">
      <c r="AF26320" s="12"/>
    </row>
    <row r="26321" spans="32:32" x14ac:dyDescent="0.2">
      <c r="AF26321" s="12"/>
    </row>
    <row r="26322" spans="32:32" x14ac:dyDescent="0.2">
      <c r="AF26322" s="12"/>
    </row>
    <row r="26323" spans="32:32" x14ac:dyDescent="0.2">
      <c r="AF26323" s="12"/>
    </row>
    <row r="26324" spans="32:32" x14ac:dyDescent="0.2">
      <c r="AF26324" s="12"/>
    </row>
    <row r="26325" spans="32:32" x14ac:dyDescent="0.2">
      <c r="AF26325" s="12"/>
    </row>
    <row r="26326" spans="32:32" x14ac:dyDescent="0.2">
      <c r="AF26326" s="12"/>
    </row>
    <row r="26327" spans="32:32" x14ac:dyDescent="0.2">
      <c r="AF26327" s="12"/>
    </row>
    <row r="26328" spans="32:32" x14ac:dyDescent="0.2">
      <c r="AF26328" s="12"/>
    </row>
    <row r="26329" spans="32:32" x14ac:dyDescent="0.2">
      <c r="AF26329" s="12"/>
    </row>
    <row r="26330" spans="32:32" x14ac:dyDescent="0.2">
      <c r="AF26330" s="12"/>
    </row>
    <row r="26331" spans="32:32" x14ac:dyDescent="0.2">
      <c r="AF26331" s="12"/>
    </row>
    <row r="26332" spans="32:32" x14ac:dyDescent="0.2">
      <c r="AF26332" s="12"/>
    </row>
    <row r="26333" spans="32:32" x14ac:dyDescent="0.2">
      <c r="AF26333" s="12"/>
    </row>
    <row r="26334" spans="32:32" x14ac:dyDescent="0.2">
      <c r="AF26334" s="12"/>
    </row>
    <row r="26335" spans="32:32" x14ac:dyDescent="0.2">
      <c r="AF26335" s="12"/>
    </row>
    <row r="26336" spans="32:32" x14ac:dyDescent="0.2">
      <c r="AF26336" s="12"/>
    </row>
    <row r="26337" spans="32:32" x14ac:dyDescent="0.2">
      <c r="AF26337" s="12"/>
    </row>
    <row r="26338" spans="32:32" x14ac:dyDescent="0.2">
      <c r="AF26338" s="12"/>
    </row>
    <row r="26339" spans="32:32" x14ac:dyDescent="0.2">
      <c r="AF26339" s="12"/>
    </row>
    <row r="26340" spans="32:32" x14ac:dyDescent="0.2">
      <c r="AF26340" s="12"/>
    </row>
    <row r="26341" spans="32:32" x14ac:dyDescent="0.2">
      <c r="AF26341" s="12"/>
    </row>
    <row r="26342" spans="32:32" x14ac:dyDescent="0.2">
      <c r="AF26342" s="12"/>
    </row>
    <row r="26343" spans="32:32" x14ac:dyDescent="0.2">
      <c r="AF26343" s="12"/>
    </row>
    <row r="26344" spans="32:32" x14ac:dyDescent="0.2">
      <c r="AF26344" s="12"/>
    </row>
    <row r="26345" spans="32:32" x14ac:dyDescent="0.2">
      <c r="AF26345" s="12"/>
    </row>
    <row r="26346" spans="32:32" x14ac:dyDescent="0.2">
      <c r="AF26346" s="12"/>
    </row>
    <row r="26347" spans="32:32" x14ac:dyDescent="0.2">
      <c r="AF26347" s="12"/>
    </row>
    <row r="26348" spans="32:32" x14ac:dyDescent="0.2">
      <c r="AF26348" s="12"/>
    </row>
    <row r="26349" spans="32:32" x14ac:dyDescent="0.2">
      <c r="AF26349" s="12"/>
    </row>
    <row r="26350" spans="32:32" x14ac:dyDescent="0.2">
      <c r="AF26350" s="12"/>
    </row>
    <row r="26351" spans="32:32" x14ac:dyDescent="0.2">
      <c r="AF26351" s="12"/>
    </row>
    <row r="26352" spans="32:32" x14ac:dyDescent="0.2">
      <c r="AF26352" s="12"/>
    </row>
    <row r="26353" spans="32:32" x14ac:dyDescent="0.2">
      <c r="AF26353" s="12"/>
    </row>
    <row r="26354" spans="32:32" x14ac:dyDescent="0.2">
      <c r="AF26354" s="12"/>
    </row>
    <row r="26355" spans="32:32" x14ac:dyDescent="0.2">
      <c r="AF26355" s="12"/>
    </row>
    <row r="26356" spans="32:32" x14ac:dyDescent="0.2">
      <c r="AF26356" s="12"/>
    </row>
    <row r="26357" spans="32:32" x14ac:dyDescent="0.2">
      <c r="AF26357" s="12"/>
    </row>
    <row r="26358" spans="32:32" x14ac:dyDescent="0.2">
      <c r="AF26358" s="12"/>
    </row>
    <row r="26359" spans="32:32" x14ac:dyDescent="0.2">
      <c r="AF26359" s="12"/>
    </row>
    <row r="26360" spans="32:32" x14ac:dyDescent="0.2">
      <c r="AF26360" s="12"/>
    </row>
    <row r="26361" spans="32:32" x14ac:dyDescent="0.2">
      <c r="AF26361" s="12"/>
    </row>
    <row r="26362" spans="32:32" x14ac:dyDescent="0.2">
      <c r="AF26362" s="12"/>
    </row>
    <row r="26363" spans="32:32" x14ac:dyDescent="0.2">
      <c r="AF26363" s="12"/>
    </row>
    <row r="26364" spans="32:32" x14ac:dyDescent="0.2">
      <c r="AF26364" s="12"/>
    </row>
    <row r="26365" spans="32:32" x14ac:dyDescent="0.2">
      <c r="AF26365" s="12"/>
    </row>
    <row r="26366" spans="32:32" x14ac:dyDescent="0.2">
      <c r="AF26366" s="12"/>
    </row>
    <row r="26367" spans="32:32" x14ac:dyDescent="0.2">
      <c r="AF26367" s="12"/>
    </row>
    <row r="26368" spans="32:32" x14ac:dyDescent="0.2">
      <c r="AF26368" s="12"/>
    </row>
    <row r="26369" spans="32:32" x14ac:dyDescent="0.2">
      <c r="AF26369" s="12"/>
    </row>
    <row r="26370" spans="32:32" x14ac:dyDescent="0.2">
      <c r="AF26370" s="12"/>
    </row>
    <row r="26371" spans="32:32" x14ac:dyDescent="0.2">
      <c r="AF26371" s="12"/>
    </row>
    <row r="26372" spans="32:32" x14ac:dyDescent="0.2">
      <c r="AF26372" s="12"/>
    </row>
    <row r="26373" spans="32:32" x14ac:dyDescent="0.2">
      <c r="AF26373" s="12"/>
    </row>
    <row r="26374" spans="32:32" x14ac:dyDescent="0.2">
      <c r="AF26374" s="12"/>
    </row>
    <row r="26375" spans="32:32" x14ac:dyDescent="0.2">
      <c r="AF26375" s="12"/>
    </row>
    <row r="26376" spans="32:32" x14ac:dyDescent="0.2">
      <c r="AF26376" s="12"/>
    </row>
    <row r="26377" spans="32:32" x14ac:dyDescent="0.2">
      <c r="AF26377" s="12"/>
    </row>
    <row r="26378" spans="32:32" x14ac:dyDescent="0.2">
      <c r="AF26378" s="12"/>
    </row>
    <row r="26379" spans="32:32" x14ac:dyDescent="0.2">
      <c r="AF26379" s="12"/>
    </row>
    <row r="26380" spans="32:32" x14ac:dyDescent="0.2">
      <c r="AF26380" s="12"/>
    </row>
    <row r="26381" spans="32:32" x14ac:dyDescent="0.2">
      <c r="AF26381" s="12"/>
    </row>
    <row r="26382" spans="32:32" x14ac:dyDescent="0.2">
      <c r="AF26382" s="12"/>
    </row>
    <row r="26383" spans="32:32" x14ac:dyDescent="0.2">
      <c r="AF26383" s="12"/>
    </row>
    <row r="26384" spans="32:32" x14ac:dyDescent="0.2">
      <c r="AF26384" s="12"/>
    </row>
    <row r="26385" spans="32:32" x14ac:dyDescent="0.2">
      <c r="AF26385" s="12"/>
    </row>
    <row r="26386" spans="32:32" x14ac:dyDescent="0.2">
      <c r="AF26386" s="12"/>
    </row>
    <row r="26387" spans="32:32" x14ac:dyDescent="0.2">
      <c r="AF26387" s="12"/>
    </row>
    <row r="26388" spans="32:32" x14ac:dyDescent="0.2">
      <c r="AF26388" s="12"/>
    </row>
    <row r="26389" spans="32:32" x14ac:dyDescent="0.2">
      <c r="AF26389" s="12"/>
    </row>
    <row r="26390" spans="32:32" x14ac:dyDescent="0.2">
      <c r="AF26390" s="12"/>
    </row>
    <row r="26391" spans="32:32" x14ac:dyDescent="0.2">
      <c r="AF26391" s="12"/>
    </row>
    <row r="26392" spans="32:32" x14ac:dyDescent="0.2">
      <c r="AF26392" s="12"/>
    </row>
    <row r="26393" spans="32:32" x14ac:dyDescent="0.2">
      <c r="AF26393" s="12"/>
    </row>
    <row r="26394" spans="32:32" x14ac:dyDescent="0.2">
      <c r="AF26394" s="12"/>
    </row>
    <row r="26395" spans="32:32" x14ac:dyDescent="0.2">
      <c r="AF26395" s="12"/>
    </row>
    <row r="26396" spans="32:32" x14ac:dyDescent="0.2">
      <c r="AF26396" s="12"/>
    </row>
    <row r="26397" spans="32:32" x14ac:dyDescent="0.2">
      <c r="AF26397" s="12"/>
    </row>
    <row r="26398" spans="32:32" x14ac:dyDescent="0.2">
      <c r="AF26398" s="12"/>
    </row>
    <row r="26399" spans="32:32" x14ac:dyDescent="0.2">
      <c r="AF26399" s="12"/>
    </row>
    <row r="26400" spans="32:32" x14ac:dyDescent="0.2">
      <c r="AF26400" s="12"/>
    </row>
    <row r="26401" spans="32:32" x14ac:dyDescent="0.2">
      <c r="AF26401" s="12"/>
    </row>
    <row r="26402" spans="32:32" x14ac:dyDescent="0.2">
      <c r="AF26402" s="12"/>
    </row>
    <row r="26403" spans="32:32" x14ac:dyDescent="0.2">
      <c r="AF26403" s="12"/>
    </row>
    <row r="26404" spans="32:32" x14ac:dyDescent="0.2">
      <c r="AF26404" s="12"/>
    </row>
    <row r="26405" spans="32:32" x14ac:dyDescent="0.2">
      <c r="AF26405" s="12"/>
    </row>
    <row r="26406" spans="32:32" x14ac:dyDescent="0.2">
      <c r="AF26406" s="12"/>
    </row>
    <row r="26407" spans="32:32" x14ac:dyDescent="0.2">
      <c r="AF26407" s="12"/>
    </row>
    <row r="26408" spans="32:32" x14ac:dyDescent="0.2">
      <c r="AF26408" s="12"/>
    </row>
    <row r="26409" spans="32:32" x14ac:dyDescent="0.2">
      <c r="AF26409" s="12"/>
    </row>
    <row r="26410" spans="32:32" x14ac:dyDescent="0.2">
      <c r="AF26410" s="12"/>
    </row>
    <row r="26411" spans="32:32" x14ac:dyDescent="0.2">
      <c r="AF26411" s="12"/>
    </row>
    <row r="26412" spans="32:32" x14ac:dyDescent="0.2">
      <c r="AF26412" s="12"/>
    </row>
    <row r="26413" spans="32:32" x14ac:dyDescent="0.2">
      <c r="AF26413" s="12"/>
    </row>
    <row r="26414" spans="32:32" x14ac:dyDescent="0.2">
      <c r="AF26414" s="12"/>
    </row>
    <row r="26415" spans="32:32" x14ac:dyDescent="0.2">
      <c r="AF26415" s="12"/>
    </row>
    <row r="26416" spans="32:32" x14ac:dyDescent="0.2">
      <c r="AF26416" s="12"/>
    </row>
    <row r="26417" spans="32:32" x14ac:dyDescent="0.2">
      <c r="AF26417" s="12"/>
    </row>
    <row r="26418" spans="32:32" x14ac:dyDescent="0.2">
      <c r="AF26418" s="12"/>
    </row>
    <row r="26419" spans="32:32" x14ac:dyDescent="0.2">
      <c r="AF26419" s="12"/>
    </row>
    <row r="26420" spans="32:32" x14ac:dyDescent="0.2">
      <c r="AF26420" s="12"/>
    </row>
    <row r="26421" spans="32:32" x14ac:dyDescent="0.2">
      <c r="AF26421" s="12"/>
    </row>
    <row r="26422" spans="32:32" x14ac:dyDescent="0.2">
      <c r="AF26422" s="12"/>
    </row>
    <row r="26423" spans="32:32" x14ac:dyDescent="0.2">
      <c r="AF26423" s="12"/>
    </row>
    <row r="26424" spans="32:32" x14ac:dyDescent="0.2">
      <c r="AF26424" s="12"/>
    </row>
    <row r="26425" spans="32:32" x14ac:dyDescent="0.2">
      <c r="AF26425" s="12"/>
    </row>
    <row r="26426" spans="32:32" x14ac:dyDescent="0.2">
      <c r="AF26426" s="12"/>
    </row>
    <row r="26427" spans="32:32" x14ac:dyDescent="0.2">
      <c r="AF26427" s="12"/>
    </row>
    <row r="26428" spans="32:32" x14ac:dyDescent="0.2">
      <c r="AF26428" s="12"/>
    </row>
    <row r="26429" spans="32:32" x14ac:dyDescent="0.2">
      <c r="AF26429" s="12"/>
    </row>
    <row r="26430" spans="32:32" x14ac:dyDescent="0.2">
      <c r="AF26430" s="12"/>
    </row>
    <row r="26431" spans="32:32" x14ac:dyDescent="0.2">
      <c r="AF26431" s="12"/>
    </row>
    <row r="26432" spans="32:32" x14ac:dyDescent="0.2">
      <c r="AF26432" s="12"/>
    </row>
    <row r="26433" spans="32:32" x14ac:dyDescent="0.2">
      <c r="AF26433" s="12"/>
    </row>
    <row r="26434" spans="32:32" x14ac:dyDescent="0.2">
      <c r="AF26434" s="12"/>
    </row>
    <row r="26435" spans="32:32" x14ac:dyDescent="0.2">
      <c r="AF26435" s="12"/>
    </row>
    <row r="26436" spans="32:32" x14ac:dyDescent="0.2">
      <c r="AF26436" s="12"/>
    </row>
    <row r="26437" spans="32:32" x14ac:dyDescent="0.2">
      <c r="AF26437" s="12"/>
    </row>
    <row r="26438" spans="32:32" x14ac:dyDescent="0.2">
      <c r="AF26438" s="12"/>
    </row>
    <row r="26439" spans="32:32" x14ac:dyDescent="0.2">
      <c r="AF26439" s="12"/>
    </row>
    <row r="26440" spans="32:32" x14ac:dyDescent="0.2">
      <c r="AF26440" s="12"/>
    </row>
    <row r="26441" spans="32:32" x14ac:dyDescent="0.2">
      <c r="AF26441" s="12"/>
    </row>
    <row r="26442" spans="32:32" x14ac:dyDescent="0.2">
      <c r="AF26442" s="12"/>
    </row>
    <row r="26443" spans="32:32" x14ac:dyDescent="0.2">
      <c r="AF26443" s="12"/>
    </row>
    <row r="26444" spans="32:32" x14ac:dyDescent="0.2">
      <c r="AF26444" s="12"/>
    </row>
    <row r="26445" spans="32:32" x14ac:dyDescent="0.2">
      <c r="AF26445" s="12"/>
    </row>
    <row r="26446" spans="32:32" x14ac:dyDescent="0.2">
      <c r="AF26446" s="12"/>
    </row>
    <row r="26447" spans="32:32" x14ac:dyDescent="0.2">
      <c r="AF26447" s="12"/>
    </row>
    <row r="26448" spans="32:32" x14ac:dyDescent="0.2">
      <c r="AF26448" s="12"/>
    </row>
    <row r="26449" spans="32:32" x14ac:dyDescent="0.2">
      <c r="AF26449" s="12"/>
    </row>
    <row r="26450" spans="32:32" x14ac:dyDescent="0.2">
      <c r="AF26450" s="12"/>
    </row>
    <row r="26451" spans="32:32" x14ac:dyDescent="0.2">
      <c r="AF26451" s="12"/>
    </row>
    <row r="26452" spans="32:32" x14ac:dyDescent="0.2">
      <c r="AF26452" s="12"/>
    </row>
    <row r="26453" spans="32:32" x14ac:dyDescent="0.2">
      <c r="AF26453" s="12"/>
    </row>
    <row r="26454" spans="32:32" x14ac:dyDescent="0.2">
      <c r="AF26454" s="12"/>
    </row>
    <row r="26455" spans="32:32" x14ac:dyDescent="0.2">
      <c r="AF26455" s="12"/>
    </row>
    <row r="26456" spans="32:32" x14ac:dyDescent="0.2">
      <c r="AF26456" s="12"/>
    </row>
    <row r="26457" spans="32:32" x14ac:dyDescent="0.2">
      <c r="AF26457" s="12"/>
    </row>
    <row r="26458" spans="32:32" x14ac:dyDescent="0.2">
      <c r="AF26458" s="12"/>
    </row>
    <row r="26459" spans="32:32" x14ac:dyDescent="0.2">
      <c r="AF26459" s="12"/>
    </row>
    <row r="26460" spans="32:32" x14ac:dyDescent="0.2">
      <c r="AF26460" s="12"/>
    </row>
    <row r="26461" spans="32:32" x14ac:dyDescent="0.2">
      <c r="AF26461" s="12"/>
    </row>
    <row r="26462" spans="32:32" x14ac:dyDescent="0.2">
      <c r="AF26462" s="12"/>
    </row>
    <row r="26463" spans="32:32" x14ac:dyDescent="0.2">
      <c r="AF26463" s="12"/>
    </row>
    <row r="26464" spans="32:32" x14ac:dyDescent="0.2">
      <c r="AF26464" s="12"/>
    </row>
    <row r="26465" spans="32:32" x14ac:dyDescent="0.2">
      <c r="AF26465" s="12"/>
    </row>
    <row r="26466" spans="32:32" x14ac:dyDescent="0.2">
      <c r="AF26466" s="12"/>
    </row>
    <row r="26467" spans="32:32" x14ac:dyDescent="0.2">
      <c r="AF26467" s="12"/>
    </row>
    <row r="26468" spans="32:32" x14ac:dyDescent="0.2">
      <c r="AF26468" s="12"/>
    </row>
    <row r="26469" spans="32:32" x14ac:dyDescent="0.2">
      <c r="AF26469" s="12"/>
    </row>
    <row r="26470" spans="32:32" x14ac:dyDescent="0.2">
      <c r="AF26470" s="12"/>
    </row>
    <row r="26471" spans="32:32" x14ac:dyDescent="0.2">
      <c r="AF26471" s="12"/>
    </row>
    <row r="26472" spans="32:32" x14ac:dyDescent="0.2">
      <c r="AF26472" s="12"/>
    </row>
    <row r="26473" spans="32:32" x14ac:dyDescent="0.2">
      <c r="AF26473" s="12"/>
    </row>
    <row r="26474" spans="32:32" x14ac:dyDescent="0.2">
      <c r="AF26474" s="12"/>
    </row>
    <row r="26475" spans="32:32" x14ac:dyDescent="0.2">
      <c r="AF26475" s="12"/>
    </row>
    <row r="26476" spans="32:32" x14ac:dyDescent="0.2">
      <c r="AF26476" s="12"/>
    </row>
    <row r="26477" spans="32:32" x14ac:dyDescent="0.2">
      <c r="AF26477" s="12"/>
    </row>
    <row r="26478" spans="32:32" x14ac:dyDescent="0.2">
      <c r="AF26478" s="12"/>
    </row>
    <row r="26479" spans="32:32" x14ac:dyDescent="0.2">
      <c r="AF26479" s="12"/>
    </row>
    <row r="26480" spans="32:32" x14ac:dyDescent="0.2">
      <c r="AF26480" s="12"/>
    </row>
    <row r="26481" spans="32:32" x14ac:dyDescent="0.2">
      <c r="AF26481" s="12"/>
    </row>
    <row r="26482" spans="32:32" x14ac:dyDescent="0.2">
      <c r="AF26482" s="12"/>
    </row>
    <row r="26483" spans="32:32" x14ac:dyDescent="0.2">
      <c r="AF26483" s="12"/>
    </row>
    <row r="26484" spans="32:32" x14ac:dyDescent="0.2">
      <c r="AF26484" s="12"/>
    </row>
    <row r="26485" spans="32:32" x14ac:dyDescent="0.2">
      <c r="AF26485" s="12"/>
    </row>
    <row r="26486" spans="32:32" x14ac:dyDescent="0.2">
      <c r="AF26486" s="12"/>
    </row>
    <row r="26487" spans="32:32" x14ac:dyDescent="0.2">
      <c r="AF26487" s="12"/>
    </row>
    <row r="26488" spans="32:32" x14ac:dyDescent="0.2">
      <c r="AF26488" s="12"/>
    </row>
    <row r="26489" spans="32:32" x14ac:dyDescent="0.2">
      <c r="AF26489" s="12"/>
    </row>
    <row r="26490" spans="32:32" x14ac:dyDescent="0.2">
      <c r="AF26490" s="12"/>
    </row>
    <row r="26491" spans="32:32" x14ac:dyDescent="0.2">
      <c r="AF26491" s="12"/>
    </row>
    <row r="26492" spans="32:32" x14ac:dyDescent="0.2">
      <c r="AF26492" s="12"/>
    </row>
    <row r="26493" spans="32:32" x14ac:dyDescent="0.2">
      <c r="AF26493" s="12"/>
    </row>
    <row r="26494" spans="32:32" x14ac:dyDescent="0.2">
      <c r="AF26494" s="12"/>
    </row>
    <row r="26495" spans="32:32" x14ac:dyDescent="0.2">
      <c r="AF26495" s="12"/>
    </row>
    <row r="26496" spans="32:32" x14ac:dyDescent="0.2">
      <c r="AF26496" s="12"/>
    </row>
    <row r="26497" spans="32:32" x14ac:dyDescent="0.2">
      <c r="AF26497" s="12"/>
    </row>
    <row r="26498" spans="32:32" x14ac:dyDescent="0.2">
      <c r="AF26498" s="12"/>
    </row>
    <row r="26499" spans="32:32" x14ac:dyDescent="0.2">
      <c r="AF26499" s="12"/>
    </row>
    <row r="26500" spans="32:32" x14ac:dyDescent="0.2">
      <c r="AF26500" s="12"/>
    </row>
    <row r="26501" spans="32:32" x14ac:dyDescent="0.2">
      <c r="AF26501" s="12"/>
    </row>
    <row r="26502" spans="32:32" x14ac:dyDescent="0.2">
      <c r="AF26502" s="12"/>
    </row>
    <row r="26503" spans="32:32" x14ac:dyDescent="0.2">
      <c r="AF26503" s="12"/>
    </row>
    <row r="26504" spans="32:32" x14ac:dyDescent="0.2">
      <c r="AF26504" s="12"/>
    </row>
    <row r="26505" spans="32:32" x14ac:dyDescent="0.2">
      <c r="AF26505" s="12"/>
    </row>
    <row r="26506" spans="32:32" x14ac:dyDescent="0.2">
      <c r="AF26506" s="12"/>
    </row>
    <row r="26507" spans="32:32" x14ac:dyDescent="0.2">
      <c r="AF26507" s="12"/>
    </row>
    <row r="26508" spans="32:32" x14ac:dyDescent="0.2">
      <c r="AF26508" s="12"/>
    </row>
    <row r="26509" spans="32:32" x14ac:dyDescent="0.2">
      <c r="AF26509" s="12"/>
    </row>
    <row r="26510" spans="32:32" x14ac:dyDescent="0.2">
      <c r="AF26510" s="12"/>
    </row>
    <row r="26511" spans="32:32" x14ac:dyDescent="0.2">
      <c r="AF26511" s="12"/>
    </row>
    <row r="26512" spans="32:32" x14ac:dyDescent="0.2">
      <c r="AF26512" s="12"/>
    </row>
    <row r="26513" spans="32:32" x14ac:dyDescent="0.2">
      <c r="AF26513" s="12"/>
    </row>
    <row r="26514" spans="32:32" x14ac:dyDescent="0.2">
      <c r="AF26514" s="12"/>
    </row>
    <row r="26515" spans="32:32" x14ac:dyDescent="0.2">
      <c r="AF26515" s="12"/>
    </row>
    <row r="26516" spans="32:32" x14ac:dyDescent="0.2">
      <c r="AF26516" s="12"/>
    </row>
    <row r="26517" spans="32:32" x14ac:dyDescent="0.2">
      <c r="AF26517" s="12"/>
    </row>
    <row r="26518" spans="32:32" x14ac:dyDescent="0.2">
      <c r="AF26518" s="12"/>
    </row>
    <row r="26519" spans="32:32" x14ac:dyDescent="0.2">
      <c r="AF26519" s="12"/>
    </row>
    <row r="26520" spans="32:32" x14ac:dyDescent="0.2">
      <c r="AF26520" s="12"/>
    </row>
    <row r="26521" spans="32:32" x14ac:dyDescent="0.2">
      <c r="AF26521" s="12"/>
    </row>
    <row r="26522" spans="32:32" x14ac:dyDescent="0.2">
      <c r="AF26522" s="12"/>
    </row>
    <row r="26523" spans="32:32" x14ac:dyDescent="0.2">
      <c r="AF26523" s="12"/>
    </row>
    <row r="26524" spans="32:32" x14ac:dyDescent="0.2">
      <c r="AF26524" s="12"/>
    </row>
    <row r="26525" spans="32:32" x14ac:dyDescent="0.2">
      <c r="AF26525" s="12"/>
    </row>
    <row r="26526" spans="32:32" x14ac:dyDescent="0.2">
      <c r="AF26526" s="12"/>
    </row>
    <row r="26527" spans="32:32" x14ac:dyDescent="0.2">
      <c r="AF26527" s="12"/>
    </row>
    <row r="26528" spans="32:32" x14ac:dyDescent="0.2">
      <c r="AF26528" s="12"/>
    </row>
    <row r="26529" spans="32:32" x14ac:dyDescent="0.2">
      <c r="AF26529" s="12"/>
    </row>
    <row r="26530" spans="32:32" x14ac:dyDescent="0.2">
      <c r="AF26530" s="12"/>
    </row>
    <row r="26531" spans="32:32" x14ac:dyDescent="0.2">
      <c r="AF26531" s="12"/>
    </row>
    <row r="26532" spans="32:32" x14ac:dyDescent="0.2">
      <c r="AF26532" s="12"/>
    </row>
    <row r="26533" spans="32:32" x14ac:dyDescent="0.2">
      <c r="AF26533" s="12"/>
    </row>
    <row r="26534" spans="32:32" x14ac:dyDescent="0.2">
      <c r="AF26534" s="12"/>
    </row>
    <row r="26535" spans="32:32" x14ac:dyDescent="0.2">
      <c r="AF26535" s="12"/>
    </row>
    <row r="26536" spans="32:32" x14ac:dyDescent="0.2">
      <c r="AF26536" s="12"/>
    </row>
    <row r="26537" spans="32:32" x14ac:dyDescent="0.2">
      <c r="AF26537" s="12"/>
    </row>
    <row r="26538" spans="32:32" x14ac:dyDescent="0.2">
      <c r="AF26538" s="12"/>
    </row>
    <row r="26539" spans="32:32" x14ac:dyDescent="0.2">
      <c r="AF26539" s="12"/>
    </row>
    <row r="26540" spans="32:32" x14ac:dyDescent="0.2">
      <c r="AF26540" s="12"/>
    </row>
    <row r="26541" spans="32:32" x14ac:dyDescent="0.2">
      <c r="AF26541" s="12"/>
    </row>
    <row r="26542" spans="32:32" x14ac:dyDescent="0.2">
      <c r="AF26542" s="12"/>
    </row>
    <row r="26543" spans="32:32" x14ac:dyDescent="0.2">
      <c r="AF26543" s="12"/>
    </row>
    <row r="26544" spans="32:32" x14ac:dyDescent="0.2">
      <c r="AF26544" s="12"/>
    </row>
    <row r="26545" spans="32:32" x14ac:dyDescent="0.2">
      <c r="AF26545" s="12"/>
    </row>
    <row r="26546" spans="32:32" x14ac:dyDescent="0.2">
      <c r="AF26546" s="12"/>
    </row>
    <row r="26547" spans="32:32" x14ac:dyDescent="0.2">
      <c r="AF26547" s="12"/>
    </row>
    <row r="26548" spans="32:32" x14ac:dyDescent="0.2">
      <c r="AF26548" s="12"/>
    </row>
    <row r="26549" spans="32:32" x14ac:dyDescent="0.2">
      <c r="AF26549" s="12"/>
    </row>
    <row r="26550" spans="32:32" x14ac:dyDescent="0.2">
      <c r="AF26550" s="12"/>
    </row>
    <row r="26551" spans="32:32" x14ac:dyDescent="0.2">
      <c r="AF26551" s="12"/>
    </row>
    <row r="26552" spans="32:32" x14ac:dyDescent="0.2">
      <c r="AF26552" s="12"/>
    </row>
    <row r="26553" spans="32:32" x14ac:dyDescent="0.2">
      <c r="AF26553" s="12"/>
    </row>
    <row r="26554" spans="32:32" x14ac:dyDescent="0.2">
      <c r="AF26554" s="12"/>
    </row>
    <row r="26555" spans="32:32" x14ac:dyDescent="0.2">
      <c r="AF26555" s="12"/>
    </row>
    <row r="26556" spans="32:32" x14ac:dyDescent="0.2">
      <c r="AF26556" s="12"/>
    </row>
    <row r="26557" spans="32:32" x14ac:dyDescent="0.2">
      <c r="AF26557" s="12"/>
    </row>
    <row r="26558" spans="32:32" x14ac:dyDescent="0.2">
      <c r="AF26558" s="12"/>
    </row>
    <row r="26559" spans="32:32" x14ac:dyDescent="0.2">
      <c r="AF26559" s="12"/>
    </row>
    <row r="26560" spans="32:32" x14ac:dyDescent="0.2">
      <c r="AF26560" s="12"/>
    </row>
    <row r="26561" spans="32:32" x14ac:dyDescent="0.2">
      <c r="AF26561" s="12"/>
    </row>
    <row r="26562" spans="32:32" x14ac:dyDescent="0.2">
      <c r="AF26562" s="12"/>
    </row>
    <row r="26563" spans="32:32" x14ac:dyDescent="0.2">
      <c r="AF26563" s="12"/>
    </row>
    <row r="26564" spans="32:32" x14ac:dyDescent="0.2">
      <c r="AF26564" s="12"/>
    </row>
    <row r="26565" spans="32:32" x14ac:dyDescent="0.2">
      <c r="AF26565" s="12"/>
    </row>
    <row r="26566" spans="32:32" x14ac:dyDescent="0.2">
      <c r="AF26566" s="12"/>
    </row>
    <row r="26567" spans="32:32" x14ac:dyDescent="0.2">
      <c r="AF26567" s="12"/>
    </row>
    <row r="26568" spans="32:32" x14ac:dyDescent="0.2">
      <c r="AF26568" s="12"/>
    </row>
    <row r="26569" spans="32:32" x14ac:dyDescent="0.2">
      <c r="AF26569" s="12"/>
    </row>
    <row r="26570" spans="32:32" x14ac:dyDescent="0.2">
      <c r="AF26570" s="12"/>
    </row>
    <row r="26571" spans="32:32" x14ac:dyDescent="0.2">
      <c r="AF26571" s="12"/>
    </row>
    <row r="26572" spans="32:32" x14ac:dyDescent="0.2">
      <c r="AF26572" s="12"/>
    </row>
    <row r="26573" spans="32:32" x14ac:dyDescent="0.2">
      <c r="AF26573" s="12"/>
    </row>
    <row r="26574" spans="32:32" x14ac:dyDescent="0.2">
      <c r="AF26574" s="12"/>
    </row>
    <row r="26575" spans="32:32" x14ac:dyDescent="0.2">
      <c r="AF26575" s="12"/>
    </row>
    <row r="26576" spans="32:32" x14ac:dyDescent="0.2">
      <c r="AF26576" s="12"/>
    </row>
    <row r="26577" spans="32:32" x14ac:dyDescent="0.2">
      <c r="AF26577" s="12"/>
    </row>
    <row r="26578" spans="32:32" x14ac:dyDescent="0.2">
      <c r="AF26578" s="12"/>
    </row>
    <row r="26579" spans="32:32" x14ac:dyDescent="0.2">
      <c r="AF26579" s="12"/>
    </row>
    <row r="26580" spans="32:32" x14ac:dyDescent="0.2">
      <c r="AF26580" s="12"/>
    </row>
    <row r="26581" spans="32:32" x14ac:dyDescent="0.2">
      <c r="AF26581" s="12"/>
    </row>
    <row r="26582" spans="32:32" x14ac:dyDescent="0.2">
      <c r="AF26582" s="12"/>
    </row>
    <row r="26583" spans="32:32" x14ac:dyDescent="0.2">
      <c r="AF26583" s="12"/>
    </row>
    <row r="26584" spans="32:32" x14ac:dyDescent="0.2">
      <c r="AF26584" s="12"/>
    </row>
    <row r="26585" spans="32:32" x14ac:dyDescent="0.2">
      <c r="AF26585" s="12"/>
    </row>
    <row r="26586" spans="32:32" x14ac:dyDescent="0.2">
      <c r="AF26586" s="12"/>
    </row>
    <row r="26587" spans="32:32" x14ac:dyDescent="0.2">
      <c r="AF26587" s="12"/>
    </row>
    <row r="26588" spans="32:32" x14ac:dyDescent="0.2">
      <c r="AF26588" s="12"/>
    </row>
    <row r="26589" spans="32:32" x14ac:dyDescent="0.2">
      <c r="AF26589" s="12"/>
    </row>
    <row r="26590" spans="32:32" x14ac:dyDescent="0.2">
      <c r="AF26590" s="12"/>
    </row>
    <row r="26591" spans="32:32" x14ac:dyDescent="0.2">
      <c r="AF26591" s="12"/>
    </row>
    <row r="26592" spans="32:32" x14ac:dyDescent="0.2">
      <c r="AF26592" s="12"/>
    </row>
    <row r="26593" spans="32:32" x14ac:dyDescent="0.2">
      <c r="AF26593" s="12"/>
    </row>
    <row r="26594" spans="32:32" x14ac:dyDescent="0.2">
      <c r="AF26594" s="12"/>
    </row>
    <row r="26595" spans="32:32" x14ac:dyDescent="0.2">
      <c r="AF26595" s="12"/>
    </row>
    <row r="26596" spans="32:32" x14ac:dyDescent="0.2">
      <c r="AF26596" s="12"/>
    </row>
    <row r="26597" spans="32:32" x14ac:dyDescent="0.2">
      <c r="AF26597" s="12"/>
    </row>
    <row r="26598" spans="32:32" x14ac:dyDescent="0.2">
      <c r="AF26598" s="12"/>
    </row>
    <row r="26599" spans="32:32" x14ac:dyDescent="0.2">
      <c r="AF26599" s="12"/>
    </row>
    <row r="26600" spans="32:32" x14ac:dyDescent="0.2">
      <c r="AF26600" s="12"/>
    </row>
    <row r="26601" spans="32:32" x14ac:dyDescent="0.2">
      <c r="AF26601" s="12"/>
    </row>
    <row r="26602" spans="32:32" x14ac:dyDescent="0.2">
      <c r="AF26602" s="12"/>
    </row>
    <row r="26603" spans="32:32" x14ac:dyDescent="0.2">
      <c r="AF26603" s="12"/>
    </row>
    <row r="26604" spans="32:32" x14ac:dyDescent="0.2">
      <c r="AF26604" s="12"/>
    </row>
    <row r="26605" spans="32:32" x14ac:dyDescent="0.2">
      <c r="AF26605" s="12"/>
    </row>
    <row r="26606" spans="32:32" x14ac:dyDescent="0.2">
      <c r="AF26606" s="12"/>
    </row>
    <row r="26607" spans="32:32" x14ac:dyDescent="0.2">
      <c r="AF26607" s="12"/>
    </row>
    <row r="26608" spans="32:32" x14ac:dyDescent="0.2">
      <c r="AF26608" s="12"/>
    </row>
    <row r="26609" spans="32:32" x14ac:dyDescent="0.2">
      <c r="AF26609" s="12"/>
    </row>
    <row r="26610" spans="32:32" x14ac:dyDescent="0.2">
      <c r="AF26610" s="12"/>
    </row>
    <row r="26611" spans="32:32" x14ac:dyDescent="0.2">
      <c r="AF26611" s="12"/>
    </row>
    <row r="26612" spans="32:32" x14ac:dyDescent="0.2">
      <c r="AF26612" s="12"/>
    </row>
    <row r="26613" spans="32:32" x14ac:dyDescent="0.2">
      <c r="AF26613" s="12"/>
    </row>
    <row r="26614" spans="32:32" x14ac:dyDescent="0.2">
      <c r="AF26614" s="12"/>
    </row>
    <row r="26615" spans="32:32" x14ac:dyDescent="0.2">
      <c r="AF26615" s="12"/>
    </row>
    <row r="26616" spans="32:32" x14ac:dyDescent="0.2">
      <c r="AF26616" s="12"/>
    </row>
    <row r="26617" spans="32:32" x14ac:dyDescent="0.2">
      <c r="AF26617" s="12"/>
    </row>
    <row r="26618" spans="32:32" x14ac:dyDescent="0.2">
      <c r="AF26618" s="12"/>
    </row>
    <row r="26619" spans="32:32" x14ac:dyDescent="0.2">
      <c r="AF26619" s="12"/>
    </row>
    <row r="26620" spans="32:32" x14ac:dyDescent="0.2">
      <c r="AF26620" s="12"/>
    </row>
    <row r="26621" spans="32:32" x14ac:dyDescent="0.2">
      <c r="AF26621" s="12"/>
    </row>
    <row r="26622" spans="32:32" x14ac:dyDescent="0.2">
      <c r="AF26622" s="12"/>
    </row>
    <row r="26623" spans="32:32" x14ac:dyDescent="0.2">
      <c r="AF26623" s="12"/>
    </row>
    <row r="26624" spans="32:32" x14ac:dyDescent="0.2">
      <c r="AF26624" s="12"/>
    </row>
    <row r="26625" spans="32:32" x14ac:dyDescent="0.2">
      <c r="AF26625" s="12"/>
    </row>
    <row r="26626" spans="32:32" x14ac:dyDescent="0.2">
      <c r="AF26626" s="12"/>
    </row>
    <row r="26627" spans="32:32" x14ac:dyDescent="0.2">
      <c r="AF26627" s="12"/>
    </row>
    <row r="26628" spans="32:32" x14ac:dyDescent="0.2">
      <c r="AF26628" s="12"/>
    </row>
    <row r="26629" spans="32:32" x14ac:dyDescent="0.2">
      <c r="AF26629" s="12"/>
    </row>
    <row r="26630" spans="32:32" x14ac:dyDescent="0.2">
      <c r="AF26630" s="12"/>
    </row>
    <row r="26631" spans="32:32" x14ac:dyDescent="0.2">
      <c r="AF26631" s="12"/>
    </row>
    <row r="26632" spans="32:32" x14ac:dyDescent="0.2">
      <c r="AF26632" s="12"/>
    </row>
    <row r="26633" spans="32:32" x14ac:dyDescent="0.2">
      <c r="AF26633" s="12"/>
    </row>
    <row r="26634" spans="32:32" x14ac:dyDescent="0.2">
      <c r="AF26634" s="12"/>
    </row>
    <row r="26635" spans="32:32" x14ac:dyDescent="0.2">
      <c r="AF26635" s="12"/>
    </row>
    <row r="26636" spans="32:32" x14ac:dyDescent="0.2">
      <c r="AF26636" s="12"/>
    </row>
    <row r="26637" spans="32:32" x14ac:dyDescent="0.2">
      <c r="AF26637" s="12"/>
    </row>
    <row r="26638" spans="32:32" x14ac:dyDescent="0.2">
      <c r="AF26638" s="12"/>
    </row>
    <row r="26639" spans="32:32" x14ac:dyDescent="0.2">
      <c r="AF26639" s="12"/>
    </row>
    <row r="26640" spans="32:32" x14ac:dyDescent="0.2">
      <c r="AF26640" s="12"/>
    </row>
    <row r="26641" spans="32:32" x14ac:dyDescent="0.2">
      <c r="AF26641" s="12"/>
    </row>
    <row r="26642" spans="32:32" x14ac:dyDescent="0.2">
      <c r="AF26642" s="12"/>
    </row>
    <row r="26643" spans="32:32" x14ac:dyDescent="0.2">
      <c r="AF26643" s="12"/>
    </row>
    <row r="26644" spans="32:32" x14ac:dyDescent="0.2">
      <c r="AF26644" s="12"/>
    </row>
    <row r="26645" spans="32:32" x14ac:dyDescent="0.2">
      <c r="AF26645" s="12"/>
    </row>
    <row r="26646" spans="32:32" x14ac:dyDescent="0.2">
      <c r="AF26646" s="12"/>
    </row>
    <row r="26647" spans="32:32" x14ac:dyDescent="0.2">
      <c r="AF26647" s="12"/>
    </row>
    <row r="26648" spans="32:32" x14ac:dyDescent="0.2">
      <c r="AF26648" s="12"/>
    </row>
    <row r="26649" spans="32:32" x14ac:dyDescent="0.2">
      <c r="AF26649" s="12"/>
    </row>
    <row r="26650" spans="32:32" x14ac:dyDescent="0.2">
      <c r="AF26650" s="12"/>
    </row>
    <row r="26651" spans="32:32" x14ac:dyDescent="0.2">
      <c r="AF26651" s="12"/>
    </row>
    <row r="26652" spans="32:32" x14ac:dyDescent="0.2">
      <c r="AF26652" s="12"/>
    </row>
    <row r="26653" spans="32:32" x14ac:dyDescent="0.2">
      <c r="AF26653" s="12"/>
    </row>
    <row r="26654" spans="32:32" x14ac:dyDescent="0.2">
      <c r="AF26654" s="12"/>
    </row>
    <row r="26655" spans="32:32" x14ac:dyDescent="0.2">
      <c r="AF26655" s="12"/>
    </row>
    <row r="26656" spans="32:32" x14ac:dyDescent="0.2">
      <c r="AF26656" s="12"/>
    </row>
    <row r="26657" spans="32:32" x14ac:dyDescent="0.2">
      <c r="AF26657" s="12"/>
    </row>
    <row r="26658" spans="32:32" x14ac:dyDescent="0.2">
      <c r="AF26658" s="12"/>
    </row>
    <row r="26659" spans="32:32" x14ac:dyDescent="0.2">
      <c r="AF26659" s="12"/>
    </row>
    <row r="26660" spans="32:32" x14ac:dyDescent="0.2">
      <c r="AF26660" s="12"/>
    </row>
    <row r="26661" spans="32:32" x14ac:dyDescent="0.2">
      <c r="AF26661" s="12"/>
    </row>
    <row r="26662" spans="32:32" x14ac:dyDescent="0.2">
      <c r="AF26662" s="12"/>
    </row>
    <row r="26663" spans="32:32" x14ac:dyDescent="0.2">
      <c r="AF26663" s="12"/>
    </row>
    <row r="26664" spans="32:32" x14ac:dyDescent="0.2">
      <c r="AF26664" s="12"/>
    </row>
    <row r="26665" spans="32:32" x14ac:dyDescent="0.2">
      <c r="AF26665" s="12"/>
    </row>
    <row r="26666" spans="32:32" x14ac:dyDescent="0.2">
      <c r="AF26666" s="12"/>
    </row>
    <row r="26667" spans="32:32" x14ac:dyDescent="0.2">
      <c r="AF26667" s="12"/>
    </row>
    <row r="26668" spans="32:32" x14ac:dyDescent="0.2">
      <c r="AF26668" s="12"/>
    </row>
    <row r="26669" spans="32:32" x14ac:dyDescent="0.2">
      <c r="AF26669" s="12"/>
    </row>
    <row r="26670" spans="32:32" x14ac:dyDescent="0.2">
      <c r="AF26670" s="12"/>
    </row>
    <row r="26671" spans="32:32" x14ac:dyDescent="0.2">
      <c r="AF26671" s="12"/>
    </row>
    <row r="26672" spans="32:32" x14ac:dyDescent="0.2">
      <c r="AF26672" s="12"/>
    </row>
    <row r="26673" spans="32:32" x14ac:dyDescent="0.2">
      <c r="AF26673" s="12"/>
    </row>
    <row r="26674" spans="32:32" x14ac:dyDescent="0.2">
      <c r="AF26674" s="12"/>
    </row>
    <row r="26675" spans="32:32" x14ac:dyDescent="0.2">
      <c r="AF26675" s="12"/>
    </row>
    <row r="26676" spans="32:32" x14ac:dyDescent="0.2">
      <c r="AF26676" s="12"/>
    </row>
    <row r="26677" spans="32:32" x14ac:dyDescent="0.2">
      <c r="AF26677" s="12"/>
    </row>
    <row r="26678" spans="32:32" x14ac:dyDescent="0.2">
      <c r="AF26678" s="12"/>
    </row>
    <row r="26679" spans="32:32" x14ac:dyDescent="0.2">
      <c r="AF26679" s="12"/>
    </row>
    <row r="26680" spans="32:32" x14ac:dyDescent="0.2">
      <c r="AF26680" s="12"/>
    </row>
    <row r="26681" spans="32:32" x14ac:dyDescent="0.2">
      <c r="AF26681" s="12"/>
    </row>
    <row r="26682" spans="32:32" x14ac:dyDescent="0.2">
      <c r="AF26682" s="12"/>
    </row>
    <row r="26683" spans="32:32" x14ac:dyDescent="0.2">
      <c r="AF26683" s="12"/>
    </row>
    <row r="26684" spans="32:32" x14ac:dyDescent="0.2">
      <c r="AF26684" s="12"/>
    </row>
    <row r="26685" spans="32:32" x14ac:dyDescent="0.2">
      <c r="AF26685" s="12"/>
    </row>
    <row r="26686" spans="32:32" x14ac:dyDescent="0.2">
      <c r="AF26686" s="12"/>
    </row>
    <row r="26687" spans="32:32" x14ac:dyDescent="0.2">
      <c r="AF26687" s="12"/>
    </row>
    <row r="26688" spans="32:32" x14ac:dyDescent="0.2">
      <c r="AF26688" s="12"/>
    </row>
    <row r="26689" spans="32:32" x14ac:dyDescent="0.2">
      <c r="AF26689" s="12"/>
    </row>
    <row r="26690" spans="32:32" x14ac:dyDescent="0.2">
      <c r="AF26690" s="12"/>
    </row>
    <row r="26691" spans="32:32" x14ac:dyDescent="0.2">
      <c r="AF26691" s="12"/>
    </row>
    <row r="26692" spans="32:32" x14ac:dyDescent="0.2">
      <c r="AF26692" s="12"/>
    </row>
    <row r="26693" spans="32:32" x14ac:dyDescent="0.2">
      <c r="AF26693" s="12"/>
    </row>
    <row r="26694" spans="32:32" x14ac:dyDescent="0.2">
      <c r="AF26694" s="12"/>
    </row>
    <row r="26695" spans="32:32" x14ac:dyDescent="0.2">
      <c r="AF26695" s="12"/>
    </row>
    <row r="26696" spans="32:32" x14ac:dyDescent="0.2">
      <c r="AF26696" s="12"/>
    </row>
    <row r="26697" spans="32:32" x14ac:dyDescent="0.2">
      <c r="AF26697" s="12"/>
    </row>
    <row r="26698" spans="32:32" x14ac:dyDescent="0.2">
      <c r="AF26698" s="12"/>
    </row>
    <row r="26699" spans="32:32" x14ac:dyDescent="0.2">
      <c r="AF26699" s="12"/>
    </row>
    <row r="26700" spans="32:32" x14ac:dyDescent="0.2">
      <c r="AF26700" s="12"/>
    </row>
    <row r="26701" spans="32:32" x14ac:dyDescent="0.2">
      <c r="AF26701" s="12"/>
    </row>
    <row r="26702" spans="32:32" x14ac:dyDescent="0.2">
      <c r="AF26702" s="12"/>
    </row>
    <row r="26703" spans="32:32" x14ac:dyDescent="0.2">
      <c r="AF26703" s="12"/>
    </row>
    <row r="26704" spans="32:32" x14ac:dyDescent="0.2">
      <c r="AF26704" s="12"/>
    </row>
    <row r="26705" spans="32:32" x14ac:dyDescent="0.2">
      <c r="AF26705" s="12"/>
    </row>
    <row r="26706" spans="32:32" x14ac:dyDescent="0.2">
      <c r="AF26706" s="12"/>
    </row>
    <row r="26707" spans="32:32" x14ac:dyDescent="0.2">
      <c r="AF26707" s="12"/>
    </row>
    <row r="26708" spans="32:32" x14ac:dyDescent="0.2">
      <c r="AF26708" s="12"/>
    </row>
    <row r="26709" spans="32:32" x14ac:dyDescent="0.2">
      <c r="AF26709" s="12"/>
    </row>
    <row r="26710" spans="32:32" x14ac:dyDescent="0.2">
      <c r="AF26710" s="12"/>
    </row>
    <row r="26711" spans="32:32" x14ac:dyDescent="0.2">
      <c r="AF26711" s="12"/>
    </row>
    <row r="26712" spans="32:32" x14ac:dyDescent="0.2">
      <c r="AF26712" s="12"/>
    </row>
    <row r="26713" spans="32:32" x14ac:dyDescent="0.2">
      <c r="AF26713" s="12"/>
    </row>
    <row r="26714" spans="32:32" x14ac:dyDescent="0.2">
      <c r="AF26714" s="12"/>
    </row>
    <row r="26715" spans="32:32" x14ac:dyDescent="0.2">
      <c r="AF26715" s="12"/>
    </row>
    <row r="26716" spans="32:32" x14ac:dyDescent="0.2">
      <c r="AF26716" s="12"/>
    </row>
    <row r="26717" spans="32:32" x14ac:dyDescent="0.2">
      <c r="AF26717" s="12"/>
    </row>
    <row r="26718" spans="32:32" x14ac:dyDescent="0.2">
      <c r="AF26718" s="12"/>
    </row>
    <row r="26719" spans="32:32" x14ac:dyDescent="0.2">
      <c r="AF26719" s="12"/>
    </row>
    <row r="26720" spans="32:32" x14ac:dyDescent="0.2">
      <c r="AF26720" s="12"/>
    </row>
    <row r="26721" spans="32:32" x14ac:dyDescent="0.2">
      <c r="AF26721" s="12"/>
    </row>
    <row r="26722" spans="32:32" x14ac:dyDescent="0.2">
      <c r="AF26722" s="12"/>
    </row>
    <row r="26723" spans="32:32" x14ac:dyDescent="0.2">
      <c r="AF26723" s="12"/>
    </row>
    <row r="26724" spans="32:32" x14ac:dyDescent="0.2">
      <c r="AF26724" s="12"/>
    </row>
    <row r="26725" spans="32:32" x14ac:dyDescent="0.2">
      <c r="AF26725" s="12"/>
    </row>
    <row r="26726" spans="32:32" x14ac:dyDescent="0.2">
      <c r="AF26726" s="12"/>
    </row>
    <row r="26727" spans="32:32" x14ac:dyDescent="0.2">
      <c r="AF26727" s="12"/>
    </row>
    <row r="26728" spans="32:32" x14ac:dyDescent="0.2">
      <c r="AF26728" s="12"/>
    </row>
    <row r="26729" spans="32:32" x14ac:dyDescent="0.2">
      <c r="AF26729" s="12"/>
    </row>
    <row r="26730" spans="32:32" x14ac:dyDescent="0.2">
      <c r="AF26730" s="12"/>
    </row>
    <row r="26731" spans="32:32" x14ac:dyDescent="0.2">
      <c r="AF26731" s="12"/>
    </row>
    <row r="26732" spans="32:32" x14ac:dyDescent="0.2">
      <c r="AF26732" s="12"/>
    </row>
    <row r="26733" spans="32:32" x14ac:dyDescent="0.2">
      <c r="AF26733" s="12"/>
    </row>
    <row r="26734" spans="32:32" x14ac:dyDescent="0.2">
      <c r="AF26734" s="12"/>
    </row>
    <row r="26735" spans="32:32" x14ac:dyDescent="0.2">
      <c r="AF26735" s="12"/>
    </row>
    <row r="26736" spans="32:32" x14ac:dyDescent="0.2">
      <c r="AF26736" s="12"/>
    </row>
    <row r="26737" spans="32:32" x14ac:dyDescent="0.2">
      <c r="AF26737" s="12"/>
    </row>
    <row r="26738" spans="32:32" x14ac:dyDescent="0.2">
      <c r="AF26738" s="12"/>
    </row>
    <row r="26739" spans="32:32" x14ac:dyDescent="0.2">
      <c r="AF26739" s="12"/>
    </row>
    <row r="26740" spans="32:32" x14ac:dyDescent="0.2">
      <c r="AF26740" s="12"/>
    </row>
    <row r="26741" spans="32:32" x14ac:dyDescent="0.2">
      <c r="AF26741" s="12"/>
    </row>
    <row r="26742" spans="32:32" x14ac:dyDescent="0.2">
      <c r="AF26742" s="12"/>
    </row>
    <row r="26743" spans="32:32" x14ac:dyDescent="0.2">
      <c r="AF26743" s="12"/>
    </row>
    <row r="26744" spans="32:32" x14ac:dyDescent="0.2">
      <c r="AF26744" s="12"/>
    </row>
    <row r="26745" spans="32:32" x14ac:dyDescent="0.2">
      <c r="AF26745" s="12"/>
    </row>
    <row r="26746" spans="32:32" x14ac:dyDescent="0.2">
      <c r="AF26746" s="12"/>
    </row>
    <row r="26747" spans="32:32" x14ac:dyDescent="0.2">
      <c r="AF26747" s="12"/>
    </row>
    <row r="26748" spans="32:32" x14ac:dyDescent="0.2">
      <c r="AF26748" s="12"/>
    </row>
    <row r="26749" spans="32:32" x14ac:dyDescent="0.2">
      <c r="AF26749" s="12"/>
    </row>
    <row r="26750" spans="32:32" x14ac:dyDescent="0.2">
      <c r="AF26750" s="12"/>
    </row>
    <row r="26751" spans="32:32" x14ac:dyDescent="0.2">
      <c r="AF26751" s="12"/>
    </row>
    <row r="26752" spans="32:32" x14ac:dyDescent="0.2">
      <c r="AF26752" s="12"/>
    </row>
    <row r="26753" spans="32:32" x14ac:dyDescent="0.2">
      <c r="AF26753" s="12"/>
    </row>
    <row r="26754" spans="32:32" x14ac:dyDescent="0.2">
      <c r="AF26754" s="12"/>
    </row>
    <row r="26755" spans="32:32" x14ac:dyDescent="0.2">
      <c r="AF26755" s="12"/>
    </row>
    <row r="26756" spans="32:32" x14ac:dyDescent="0.2">
      <c r="AF26756" s="12"/>
    </row>
    <row r="26757" spans="32:32" x14ac:dyDescent="0.2">
      <c r="AF26757" s="12"/>
    </row>
    <row r="26758" spans="32:32" x14ac:dyDescent="0.2">
      <c r="AF26758" s="12"/>
    </row>
    <row r="26759" spans="32:32" x14ac:dyDescent="0.2">
      <c r="AF26759" s="12"/>
    </row>
    <row r="26760" spans="32:32" x14ac:dyDescent="0.2">
      <c r="AF26760" s="12"/>
    </row>
    <row r="26761" spans="32:32" x14ac:dyDescent="0.2">
      <c r="AF26761" s="12"/>
    </row>
    <row r="26762" spans="32:32" x14ac:dyDescent="0.2">
      <c r="AF26762" s="12"/>
    </row>
    <row r="26763" spans="32:32" x14ac:dyDescent="0.2">
      <c r="AF26763" s="12"/>
    </row>
    <row r="26764" spans="32:32" x14ac:dyDescent="0.2">
      <c r="AF26764" s="12"/>
    </row>
    <row r="26765" spans="32:32" x14ac:dyDescent="0.2">
      <c r="AF26765" s="12"/>
    </row>
    <row r="26766" spans="32:32" x14ac:dyDescent="0.2">
      <c r="AF26766" s="12"/>
    </row>
    <row r="26767" spans="32:32" x14ac:dyDescent="0.2">
      <c r="AF26767" s="12"/>
    </row>
    <row r="26768" spans="32:32" x14ac:dyDescent="0.2">
      <c r="AF26768" s="12"/>
    </row>
    <row r="26769" spans="32:32" x14ac:dyDescent="0.2">
      <c r="AF26769" s="12"/>
    </row>
    <row r="26770" spans="32:32" x14ac:dyDescent="0.2">
      <c r="AF26770" s="12"/>
    </row>
    <row r="26771" spans="32:32" x14ac:dyDescent="0.2">
      <c r="AF26771" s="12"/>
    </row>
    <row r="26772" spans="32:32" x14ac:dyDescent="0.2">
      <c r="AF26772" s="12"/>
    </row>
    <row r="26773" spans="32:32" x14ac:dyDescent="0.2">
      <c r="AF26773" s="12"/>
    </row>
    <row r="26774" spans="32:32" x14ac:dyDescent="0.2">
      <c r="AF26774" s="12"/>
    </row>
    <row r="26775" spans="32:32" x14ac:dyDescent="0.2">
      <c r="AF26775" s="12"/>
    </row>
    <row r="26776" spans="32:32" x14ac:dyDescent="0.2">
      <c r="AF26776" s="12"/>
    </row>
    <row r="26777" spans="32:32" x14ac:dyDescent="0.2">
      <c r="AF26777" s="12"/>
    </row>
    <row r="26778" spans="32:32" x14ac:dyDescent="0.2">
      <c r="AF26778" s="12"/>
    </row>
    <row r="26779" spans="32:32" x14ac:dyDescent="0.2">
      <c r="AF26779" s="12"/>
    </row>
    <row r="26780" spans="32:32" x14ac:dyDescent="0.2">
      <c r="AF26780" s="12"/>
    </row>
    <row r="26781" spans="32:32" x14ac:dyDescent="0.2">
      <c r="AF26781" s="12"/>
    </row>
    <row r="26782" spans="32:32" x14ac:dyDescent="0.2">
      <c r="AF26782" s="12"/>
    </row>
    <row r="26783" spans="32:32" x14ac:dyDescent="0.2">
      <c r="AF26783" s="12"/>
    </row>
    <row r="26784" spans="32:32" x14ac:dyDescent="0.2">
      <c r="AF26784" s="12"/>
    </row>
    <row r="26785" spans="32:32" x14ac:dyDescent="0.2">
      <c r="AF26785" s="12"/>
    </row>
    <row r="26786" spans="32:32" x14ac:dyDescent="0.2">
      <c r="AF26786" s="12"/>
    </row>
    <row r="26787" spans="32:32" x14ac:dyDescent="0.2">
      <c r="AF26787" s="12"/>
    </row>
    <row r="26788" spans="32:32" x14ac:dyDescent="0.2">
      <c r="AF26788" s="12"/>
    </row>
    <row r="26789" spans="32:32" x14ac:dyDescent="0.2">
      <c r="AF26789" s="12"/>
    </row>
    <row r="26790" spans="32:32" x14ac:dyDescent="0.2">
      <c r="AF26790" s="12"/>
    </row>
    <row r="26791" spans="32:32" x14ac:dyDescent="0.2">
      <c r="AF26791" s="12"/>
    </row>
    <row r="26792" spans="32:32" x14ac:dyDescent="0.2">
      <c r="AF26792" s="12"/>
    </row>
    <row r="26793" spans="32:32" x14ac:dyDescent="0.2">
      <c r="AF26793" s="12"/>
    </row>
    <row r="26794" spans="32:32" x14ac:dyDescent="0.2">
      <c r="AF26794" s="12"/>
    </row>
    <row r="26795" spans="32:32" x14ac:dyDescent="0.2">
      <c r="AF26795" s="12"/>
    </row>
    <row r="26796" spans="32:32" x14ac:dyDescent="0.2">
      <c r="AF26796" s="12"/>
    </row>
    <row r="26797" spans="32:32" x14ac:dyDescent="0.2">
      <c r="AF26797" s="12"/>
    </row>
    <row r="26798" spans="32:32" x14ac:dyDescent="0.2">
      <c r="AF26798" s="12"/>
    </row>
    <row r="26799" spans="32:32" x14ac:dyDescent="0.2">
      <c r="AF26799" s="12"/>
    </row>
    <row r="26800" spans="32:32" x14ac:dyDescent="0.2">
      <c r="AF26800" s="12"/>
    </row>
    <row r="26801" spans="32:32" x14ac:dyDescent="0.2">
      <c r="AF26801" s="12"/>
    </row>
    <row r="26802" spans="32:32" x14ac:dyDescent="0.2">
      <c r="AF26802" s="12"/>
    </row>
    <row r="26803" spans="32:32" x14ac:dyDescent="0.2">
      <c r="AF26803" s="12"/>
    </row>
    <row r="26804" spans="32:32" x14ac:dyDescent="0.2">
      <c r="AF26804" s="12"/>
    </row>
    <row r="26805" spans="32:32" x14ac:dyDescent="0.2">
      <c r="AF26805" s="12"/>
    </row>
    <row r="26806" spans="32:32" x14ac:dyDescent="0.2">
      <c r="AF26806" s="12"/>
    </row>
    <row r="26807" spans="32:32" x14ac:dyDescent="0.2">
      <c r="AF26807" s="12"/>
    </row>
    <row r="26808" spans="32:32" x14ac:dyDescent="0.2">
      <c r="AF26808" s="12"/>
    </row>
    <row r="26809" spans="32:32" x14ac:dyDescent="0.2">
      <c r="AF26809" s="12"/>
    </row>
    <row r="26810" spans="32:32" x14ac:dyDescent="0.2">
      <c r="AF26810" s="12"/>
    </row>
    <row r="26811" spans="32:32" x14ac:dyDescent="0.2">
      <c r="AF26811" s="12"/>
    </row>
    <row r="26812" spans="32:32" x14ac:dyDescent="0.2">
      <c r="AF26812" s="12"/>
    </row>
    <row r="26813" spans="32:32" x14ac:dyDescent="0.2">
      <c r="AF26813" s="12"/>
    </row>
    <row r="26814" spans="32:32" x14ac:dyDescent="0.2">
      <c r="AF26814" s="12"/>
    </row>
    <row r="26815" spans="32:32" x14ac:dyDescent="0.2">
      <c r="AF26815" s="12"/>
    </row>
    <row r="26816" spans="32:32" x14ac:dyDescent="0.2">
      <c r="AF26816" s="12"/>
    </row>
    <row r="26817" spans="32:32" x14ac:dyDescent="0.2">
      <c r="AF26817" s="12"/>
    </row>
    <row r="26818" spans="32:32" x14ac:dyDescent="0.2">
      <c r="AF26818" s="12"/>
    </row>
    <row r="26819" spans="32:32" x14ac:dyDescent="0.2">
      <c r="AF26819" s="12"/>
    </row>
    <row r="26820" spans="32:32" x14ac:dyDescent="0.2">
      <c r="AF26820" s="12"/>
    </row>
    <row r="26821" spans="32:32" x14ac:dyDescent="0.2">
      <c r="AF26821" s="12"/>
    </row>
    <row r="26822" spans="32:32" x14ac:dyDescent="0.2">
      <c r="AF26822" s="12"/>
    </row>
    <row r="26823" spans="32:32" x14ac:dyDescent="0.2">
      <c r="AF26823" s="12"/>
    </row>
    <row r="26824" spans="32:32" x14ac:dyDescent="0.2">
      <c r="AF26824" s="12"/>
    </row>
    <row r="26825" spans="32:32" x14ac:dyDescent="0.2">
      <c r="AF26825" s="12"/>
    </row>
    <row r="26826" spans="32:32" x14ac:dyDescent="0.2">
      <c r="AF26826" s="12"/>
    </row>
    <row r="26827" spans="32:32" x14ac:dyDescent="0.2">
      <c r="AF26827" s="12"/>
    </row>
    <row r="26828" spans="32:32" x14ac:dyDescent="0.2">
      <c r="AF26828" s="12"/>
    </row>
    <row r="26829" spans="32:32" x14ac:dyDescent="0.2">
      <c r="AF26829" s="12"/>
    </row>
    <row r="26830" spans="32:32" x14ac:dyDescent="0.2">
      <c r="AF26830" s="12"/>
    </row>
    <row r="26831" spans="32:32" x14ac:dyDescent="0.2">
      <c r="AF26831" s="12"/>
    </row>
    <row r="26832" spans="32:32" x14ac:dyDescent="0.2">
      <c r="AF26832" s="12"/>
    </row>
    <row r="26833" spans="32:32" x14ac:dyDescent="0.2">
      <c r="AF26833" s="12"/>
    </row>
    <row r="26834" spans="32:32" x14ac:dyDescent="0.2">
      <c r="AF26834" s="12"/>
    </row>
    <row r="26835" spans="32:32" x14ac:dyDescent="0.2">
      <c r="AF26835" s="12"/>
    </row>
    <row r="26836" spans="32:32" x14ac:dyDescent="0.2">
      <c r="AF26836" s="12"/>
    </row>
    <row r="26837" spans="32:32" x14ac:dyDescent="0.2">
      <c r="AF26837" s="12"/>
    </row>
    <row r="26838" spans="32:32" x14ac:dyDescent="0.2">
      <c r="AF26838" s="12"/>
    </row>
    <row r="26839" spans="32:32" x14ac:dyDescent="0.2">
      <c r="AF26839" s="12"/>
    </row>
    <row r="26840" spans="32:32" x14ac:dyDescent="0.2">
      <c r="AF26840" s="12"/>
    </row>
    <row r="26841" spans="32:32" x14ac:dyDescent="0.2">
      <c r="AF26841" s="12"/>
    </row>
    <row r="26842" spans="32:32" x14ac:dyDescent="0.2">
      <c r="AF26842" s="12"/>
    </row>
    <row r="26843" spans="32:32" x14ac:dyDescent="0.2">
      <c r="AF26843" s="12"/>
    </row>
    <row r="26844" spans="32:32" x14ac:dyDescent="0.2">
      <c r="AF26844" s="12"/>
    </row>
    <row r="26845" spans="32:32" x14ac:dyDescent="0.2">
      <c r="AF26845" s="12"/>
    </row>
    <row r="26846" spans="32:32" x14ac:dyDescent="0.2">
      <c r="AF26846" s="12"/>
    </row>
    <row r="26847" spans="32:32" x14ac:dyDescent="0.2">
      <c r="AF26847" s="12"/>
    </row>
    <row r="26848" spans="32:32" x14ac:dyDescent="0.2">
      <c r="AF26848" s="12"/>
    </row>
    <row r="26849" spans="32:32" x14ac:dyDescent="0.2">
      <c r="AF26849" s="12"/>
    </row>
    <row r="26850" spans="32:32" x14ac:dyDescent="0.2">
      <c r="AF26850" s="12"/>
    </row>
    <row r="26851" spans="32:32" x14ac:dyDescent="0.2">
      <c r="AF26851" s="12"/>
    </row>
    <row r="26852" spans="32:32" x14ac:dyDescent="0.2">
      <c r="AF26852" s="12"/>
    </row>
    <row r="26853" spans="32:32" x14ac:dyDescent="0.2">
      <c r="AF26853" s="12"/>
    </row>
    <row r="26854" spans="32:32" x14ac:dyDescent="0.2">
      <c r="AF26854" s="12"/>
    </row>
    <row r="26855" spans="32:32" x14ac:dyDescent="0.2">
      <c r="AF26855" s="12"/>
    </row>
    <row r="26856" spans="32:32" x14ac:dyDescent="0.2">
      <c r="AF26856" s="12"/>
    </row>
    <row r="26857" spans="32:32" x14ac:dyDescent="0.2">
      <c r="AF26857" s="12"/>
    </row>
    <row r="26858" spans="32:32" x14ac:dyDescent="0.2">
      <c r="AF26858" s="12"/>
    </row>
    <row r="26859" spans="32:32" x14ac:dyDescent="0.2">
      <c r="AF26859" s="12"/>
    </row>
    <row r="26860" spans="32:32" x14ac:dyDescent="0.2">
      <c r="AF26860" s="12"/>
    </row>
    <row r="26861" spans="32:32" x14ac:dyDescent="0.2">
      <c r="AF26861" s="12"/>
    </row>
    <row r="26862" spans="32:32" x14ac:dyDescent="0.2">
      <c r="AF26862" s="12"/>
    </row>
    <row r="26863" spans="32:32" x14ac:dyDescent="0.2">
      <c r="AF26863" s="12"/>
    </row>
    <row r="26864" spans="32:32" x14ac:dyDescent="0.2">
      <c r="AF26864" s="12"/>
    </row>
    <row r="26865" spans="32:32" x14ac:dyDescent="0.2">
      <c r="AF26865" s="12"/>
    </row>
    <row r="26866" spans="32:32" x14ac:dyDescent="0.2">
      <c r="AF26866" s="12"/>
    </row>
    <row r="26867" spans="32:32" x14ac:dyDescent="0.2">
      <c r="AF26867" s="12"/>
    </row>
    <row r="26868" spans="32:32" x14ac:dyDescent="0.2">
      <c r="AF26868" s="12"/>
    </row>
    <row r="26869" spans="32:32" x14ac:dyDescent="0.2">
      <c r="AF26869" s="12"/>
    </row>
    <row r="26870" spans="32:32" x14ac:dyDescent="0.2">
      <c r="AF26870" s="12"/>
    </row>
    <row r="26871" spans="32:32" x14ac:dyDescent="0.2">
      <c r="AF26871" s="12"/>
    </row>
    <row r="26872" spans="32:32" x14ac:dyDescent="0.2">
      <c r="AF26872" s="12"/>
    </row>
    <row r="26873" spans="32:32" x14ac:dyDescent="0.2">
      <c r="AF26873" s="12"/>
    </row>
    <row r="26874" spans="32:32" x14ac:dyDescent="0.2">
      <c r="AF26874" s="12"/>
    </row>
    <row r="26875" spans="32:32" x14ac:dyDescent="0.2">
      <c r="AF26875" s="12"/>
    </row>
    <row r="26876" spans="32:32" x14ac:dyDescent="0.2">
      <c r="AF26876" s="12"/>
    </row>
    <row r="26877" spans="32:32" x14ac:dyDescent="0.2">
      <c r="AF26877" s="12"/>
    </row>
    <row r="26878" spans="32:32" x14ac:dyDescent="0.2">
      <c r="AF26878" s="12"/>
    </row>
    <row r="26879" spans="32:32" x14ac:dyDescent="0.2">
      <c r="AF26879" s="12"/>
    </row>
    <row r="26880" spans="32:32" x14ac:dyDescent="0.2">
      <c r="AF26880" s="12"/>
    </row>
    <row r="26881" spans="32:32" x14ac:dyDescent="0.2">
      <c r="AF26881" s="12"/>
    </row>
    <row r="26882" spans="32:32" x14ac:dyDescent="0.2">
      <c r="AF26882" s="12"/>
    </row>
    <row r="26883" spans="32:32" x14ac:dyDescent="0.2">
      <c r="AF26883" s="12"/>
    </row>
    <row r="26884" spans="32:32" x14ac:dyDescent="0.2">
      <c r="AF26884" s="12"/>
    </row>
    <row r="26885" spans="32:32" x14ac:dyDescent="0.2">
      <c r="AF26885" s="12"/>
    </row>
    <row r="26886" spans="32:32" x14ac:dyDescent="0.2">
      <c r="AF26886" s="12"/>
    </row>
    <row r="26887" spans="32:32" x14ac:dyDescent="0.2">
      <c r="AF26887" s="12"/>
    </row>
    <row r="26888" spans="32:32" x14ac:dyDescent="0.2">
      <c r="AF26888" s="12"/>
    </row>
    <row r="26889" spans="32:32" x14ac:dyDescent="0.2">
      <c r="AF26889" s="12"/>
    </row>
    <row r="26890" spans="32:32" x14ac:dyDescent="0.2">
      <c r="AF26890" s="12"/>
    </row>
    <row r="26891" spans="32:32" x14ac:dyDescent="0.2">
      <c r="AF26891" s="12"/>
    </row>
    <row r="26892" spans="32:32" x14ac:dyDescent="0.2">
      <c r="AF26892" s="12"/>
    </row>
    <row r="26893" spans="32:32" x14ac:dyDescent="0.2">
      <c r="AF26893" s="12"/>
    </row>
    <row r="26894" spans="32:32" x14ac:dyDescent="0.2">
      <c r="AF26894" s="12"/>
    </row>
    <row r="26895" spans="32:32" x14ac:dyDescent="0.2">
      <c r="AF26895" s="12"/>
    </row>
    <row r="26896" spans="32:32" x14ac:dyDescent="0.2">
      <c r="AF26896" s="12"/>
    </row>
    <row r="26897" spans="32:32" x14ac:dyDescent="0.2">
      <c r="AF26897" s="12"/>
    </row>
    <row r="26898" spans="32:32" x14ac:dyDescent="0.2">
      <c r="AF26898" s="12"/>
    </row>
    <row r="26899" spans="32:32" x14ac:dyDescent="0.2">
      <c r="AF26899" s="12"/>
    </row>
    <row r="26900" spans="32:32" x14ac:dyDescent="0.2">
      <c r="AF26900" s="12"/>
    </row>
    <row r="26901" spans="32:32" x14ac:dyDescent="0.2">
      <c r="AF26901" s="12"/>
    </row>
    <row r="26902" spans="32:32" x14ac:dyDescent="0.2">
      <c r="AF26902" s="12"/>
    </row>
    <row r="26903" spans="32:32" x14ac:dyDescent="0.2">
      <c r="AF26903" s="12"/>
    </row>
    <row r="26904" spans="32:32" x14ac:dyDescent="0.2">
      <c r="AF26904" s="12"/>
    </row>
    <row r="26905" spans="32:32" x14ac:dyDescent="0.2">
      <c r="AF26905" s="12"/>
    </row>
    <row r="26906" spans="32:32" x14ac:dyDescent="0.2">
      <c r="AF26906" s="12"/>
    </row>
    <row r="26907" spans="32:32" x14ac:dyDescent="0.2">
      <c r="AF26907" s="12"/>
    </row>
    <row r="26908" spans="32:32" x14ac:dyDescent="0.2">
      <c r="AF26908" s="12"/>
    </row>
    <row r="26909" spans="32:32" x14ac:dyDescent="0.2">
      <c r="AF26909" s="12"/>
    </row>
    <row r="26910" spans="32:32" x14ac:dyDescent="0.2">
      <c r="AF26910" s="12"/>
    </row>
    <row r="26911" spans="32:32" x14ac:dyDescent="0.2">
      <c r="AF26911" s="12"/>
    </row>
    <row r="26912" spans="32:32" x14ac:dyDescent="0.2">
      <c r="AF26912" s="12"/>
    </row>
    <row r="26913" spans="32:32" x14ac:dyDescent="0.2">
      <c r="AF26913" s="12"/>
    </row>
    <row r="26914" spans="32:32" x14ac:dyDescent="0.2">
      <c r="AF26914" s="12"/>
    </row>
    <row r="26915" spans="32:32" x14ac:dyDescent="0.2">
      <c r="AF26915" s="12"/>
    </row>
    <row r="26916" spans="32:32" x14ac:dyDescent="0.2">
      <c r="AF26916" s="12"/>
    </row>
    <row r="26917" spans="32:32" x14ac:dyDescent="0.2">
      <c r="AF26917" s="12"/>
    </row>
    <row r="26918" spans="32:32" x14ac:dyDescent="0.2">
      <c r="AF26918" s="12"/>
    </row>
    <row r="26919" spans="32:32" x14ac:dyDescent="0.2">
      <c r="AF26919" s="12"/>
    </row>
    <row r="26920" spans="32:32" x14ac:dyDescent="0.2">
      <c r="AF26920" s="12"/>
    </row>
    <row r="26921" spans="32:32" x14ac:dyDescent="0.2">
      <c r="AF26921" s="12"/>
    </row>
    <row r="26922" spans="32:32" x14ac:dyDescent="0.2">
      <c r="AF26922" s="12"/>
    </row>
    <row r="26923" spans="32:32" x14ac:dyDescent="0.2">
      <c r="AF26923" s="12"/>
    </row>
    <row r="26924" spans="32:32" x14ac:dyDescent="0.2">
      <c r="AF26924" s="12"/>
    </row>
    <row r="26925" spans="32:32" x14ac:dyDescent="0.2">
      <c r="AF26925" s="12"/>
    </row>
    <row r="26926" spans="32:32" x14ac:dyDescent="0.2">
      <c r="AF26926" s="12"/>
    </row>
    <row r="26927" spans="32:32" x14ac:dyDescent="0.2">
      <c r="AF26927" s="12"/>
    </row>
    <row r="26928" spans="32:32" x14ac:dyDescent="0.2">
      <c r="AF26928" s="12"/>
    </row>
    <row r="26929" spans="32:32" x14ac:dyDescent="0.2">
      <c r="AF26929" s="12"/>
    </row>
    <row r="26930" spans="32:32" x14ac:dyDescent="0.2">
      <c r="AF26930" s="12"/>
    </row>
    <row r="26931" spans="32:32" x14ac:dyDescent="0.2">
      <c r="AF26931" s="12"/>
    </row>
    <row r="26932" spans="32:32" x14ac:dyDescent="0.2">
      <c r="AF26932" s="12"/>
    </row>
    <row r="26933" spans="32:32" x14ac:dyDescent="0.2">
      <c r="AF26933" s="12"/>
    </row>
    <row r="26934" spans="32:32" x14ac:dyDescent="0.2">
      <c r="AF26934" s="12"/>
    </row>
    <row r="26935" spans="32:32" x14ac:dyDescent="0.2">
      <c r="AF26935" s="12"/>
    </row>
    <row r="26936" spans="32:32" x14ac:dyDescent="0.2">
      <c r="AF26936" s="12"/>
    </row>
    <row r="26937" spans="32:32" x14ac:dyDescent="0.2">
      <c r="AF26937" s="12"/>
    </row>
    <row r="26938" spans="32:32" x14ac:dyDescent="0.2">
      <c r="AF26938" s="12"/>
    </row>
    <row r="26939" spans="32:32" x14ac:dyDescent="0.2">
      <c r="AF26939" s="12"/>
    </row>
    <row r="26940" spans="32:32" x14ac:dyDescent="0.2">
      <c r="AF26940" s="12"/>
    </row>
    <row r="26941" spans="32:32" x14ac:dyDescent="0.2">
      <c r="AF26941" s="12"/>
    </row>
    <row r="26942" spans="32:32" x14ac:dyDescent="0.2">
      <c r="AF26942" s="12"/>
    </row>
    <row r="26943" spans="32:32" x14ac:dyDescent="0.2">
      <c r="AF26943" s="12"/>
    </row>
    <row r="26944" spans="32:32" x14ac:dyDescent="0.2">
      <c r="AF26944" s="12"/>
    </row>
    <row r="26945" spans="32:32" x14ac:dyDescent="0.2">
      <c r="AF26945" s="12"/>
    </row>
    <row r="26946" spans="32:32" x14ac:dyDescent="0.2">
      <c r="AF26946" s="12"/>
    </row>
    <row r="26947" spans="32:32" x14ac:dyDescent="0.2">
      <c r="AF26947" s="12"/>
    </row>
    <row r="26948" spans="32:32" x14ac:dyDescent="0.2">
      <c r="AF26948" s="12"/>
    </row>
    <row r="26949" spans="32:32" x14ac:dyDescent="0.2">
      <c r="AF26949" s="12"/>
    </row>
    <row r="26950" spans="32:32" x14ac:dyDescent="0.2">
      <c r="AF26950" s="12"/>
    </row>
    <row r="26951" spans="32:32" x14ac:dyDescent="0.2">
      <c r="AF26951" s="12"/>
    </row>
    <row r="26952" spans="32:32" x14ac:dyDescent="0.2">
      <c r="AF26952" s="12"/>
    </row>
    <row r="26953" spans="32:32" x14ac:dyDescent="0.2">
      <c r="AF26953" s="12"/>
    </row>
    <row r="26954" spans="32:32" x14ac:dyDescent="0.2">
      <c r="AF26954" s="12"/>
    </row>
    <row r="26955" spans="32:32" x14ac:dyDescent="0.2">
      <c r="AF26955" s="12"/>
    </row>
    <row r="26956" spans="32:32" x14ac:dyDescent="0.2">
      <c r="AF26956" s="12"/>
    </row>
    <row r="26957" spans="32:32" x14ac:dyDescent="0.2">
      <c r="AF26957" s="12"/>
    </row>
    <row r="26958" spans="32:32" x14ac:dyDescent="0.2">
      <c r="AF26958" s="12"/>
    </row>
    <row r="26959" spans="32:32" x14ac:dyDescent="0.2">
      <c r="AF26959" s="12"/>
    </row>
    <row r="26960" spans="32:32" x14ac:dyDescent="0.2">
      <c r="AF26960" s="12"/>
    </row>
    <row r="26961" spans="32:32" x14ac:dyDescent="0.2">
      <c r="AF26961" s="12"/>
    </row>
    <row r="26962" spans="32:32" x14ac:dyDescent="0.2">
      <c r="AF26962" s="12"/>
    </row>
    <row r="26963" spans="32:32" x14ac:dyDescent="0.2">
      <c r="AF26963" s="12"/>
    </row>
    <row r="26964" spans="32:32" x14ac:dyDescent="0.2">
      <c r="AF26964" s="12"/>
    </row>
    <row r="26965" spans="32:32" x14ac:dyDescent="0.2">
      <c r="AF26965" s="12"/>
    </row>
    <row r="26966" spans="32:32" x14ac:dyDescent="0.2">
      <c r="AF26966" s="12"/>
    </row>
    <row r="26967" spans="32:32" x14ac:dyDescent="0.2">
      <c r="AF26967" s="12"/>
    </row>
    <row r="26968" spans="32:32" x14ac:dyDescent="0.2">
      <c r="AF26968" s="12"/>
    </row>
    <row r="26969" spans="32:32" x14ac:dyDescent="0.2">
      <c r="AF26969" s="12"/>
    </row>
    <row r="26970" spans="32:32" x14ac:dyDescent="0.2">
      <c r="AF26970" s="12"/>
    </row>
    <row r="26971" spans="32:32" x14ac:dyDescent="0.2">
      <c r="AF26971" s="12"/>
    </row>
    <row r="26972" spans="32:32" x14ac:dyDescent="0.2">
      <c r="AF26972" s="12"/>
    </row>
    <row r="26973" spans="32:32" x14ac:dyDescent="0.2">
      <c r="AF26973" s="12"/>
    </row>
    <row r="26974" spans="32:32" x14ac:dyDescent="0.2">
      <c r="AF26974" s="12"/>
    </row>
    <row r="26975" spans="32:32" x14ac:dyDescent="0.2">
      <c r="AF26975" s="12"/>
    </row>
    <row r="26976" spans="32:32" x14ac:dyDescent="0.2">
      <c r="AF26976" s="12"/>
    </row>
    <row r="26977" spans="32:32" x14ac:dyDescent="0.2">
      <c r="AF26977" s="12"/>
    </row>
    <row r="26978" spans="32:32" x14ac:dyDescent="0.2">
      <c r="AF26978" s="12"/>
    </row>
    <row r="26979" spans="32:32" x14ac:dyDescent="0.2">
      <c r="AF26979" s="12"/>
    </row>
    <row r="26980" spans="32:32" x14ac:dyDescent="0.2">
      <c r="AF26980" s="12"/>
    </row>
    <row r="26981" spans="32:32" x14ac:dyDescent="0.2">
      <c r="AF26981" s="12"/>
    </row>
    <row r="26982" spans="32:32" x14ac:dyDescent="0.2">
      <c r="AF26982" s="12"/>
    </row>
    <row r="26983" spans="32:32" x14ac:dyDescent="0.2">
      <c r="AF26983" s="12"/>
    </row>
    <row r="26984" spans="32:32" x14ac:dyDescent="0.2">
      <c r="AF26984" s="12"/>
    </row>
    <row r="26985" spans="32:32" x14ac:dyDescent="0.2">
      <c r="AF26985" s="12"/>
    </row>
    <row r="26986" spans="32:32" x14ac:dyDescent="0.2">
      <c r="AF26986" s="12"/>
    </row>
    <row r="26987" spans="32:32" x14ac:dyDescent="0.2">
      <c r="AF26987" s="12"/>
    </row>
    <row r="26988" spans="32:32" x14ac:dyDescent="0.2">
      <c r="AF26988" s="12"/>
    </row>
    <row r="26989" spans="32:32" x14ac:dyDescent="0.2">
      <c r="AF26989" s="12"/>
    </row>
    <row r="26990" spans="32:32" x14ac:dyDescent="0.2">
      <c r="AF26990" s="12"/>
    </row>
    <row r="26991" spans="32:32" x14ac:dyDescent="0.2">
      <c r="AF26991" s="12"/>
    </row>
    <row r="26992" spans="32:32" x14ac:dyDescent="0.2">
      <c r="AF26992" s="12"/>
    </row>
    <row r="26993" spans="32:32" x14ac:dyDescent="0.2">
      <c r="AF26993" s="12"/>
    </row>
    <row r="26994" spans="32:32" x14ac:dyDescent="0.2">
      <c r="AF26994" s="12"/>
    </row>
    <row r="26995" spans="32:32" x14ac:dyDescent="0.2">
      <c r="AF26995" s="12"/>
    </row>
    <row r="26996" spans="32:32" x14ac:dyDescent="0.2">
      <c r="AF26996" s="12"/>
    </row>
    <row r="26997" spans="32:32" x14ac:dyDescent="0.2">
      <c r="AF26997" s="12"/>
    </row>
    <row r="26998" spans="32:32" x14ac:dyDescent="0.2">
      <c r="AF26998" s="12"/>
    </row>
    <row r="26999" spans="32:32" x14ac:dyDescent="0.2">
      <c r="AF26999" s="12"/>
    </row>
    <row r="27000" spans="32:32" x14ac:dyDescent="0.2">
      <c r="AF27000" s="12"/>
    </row>
    <row r="27001" spans="32:32" x14ac:dyDescent="0.2">
      <c r="AF27001" s="12"/>
    </row>
    <row r="27002" spans="32:32" x14ac:dyDescent="0.2">
      <c r="AF27002" s="12"/>
    </row>
    <row r="27003" spans="32:32" x14ac:dyDescent="0.2">
      <c r="AF27003" s="12"/>
    </row>
    <row r="27004" spans="32:32" x14ac:dyDescent="0.2">
      <c r="AF27004" s="12"/>
    </row>
    <row r="27005" spans="32:32" x14ac:dyDescent="0.2">
      <c r="AF27005" s="12"/>
    </row>
    <row r="27006" spans="32:32" x14ac:dyDescent="0.2">
      <c r="AF27006" s="12"/>
    </row>
    <row r="27007" spans="32:32" x14ac:dyDescent="0.2">
      <c r="AF27007" s="12"/>
    </row>
    <row r="27008" spans="32:32" x14ac:dyDescent="0.2">
      <c r="AF27008" s="12"/>
    </row>
    <row r="27009" spans="32:32" x14ac:dyDescent="0.2">
      <c r="AF27009" s="12"/>
    </row>
    <row r="27010" spans="32:32" x14ac:dyDescent="0.2">
      <c r="AF27010" s="12"/>
    </row>
    <row r="27011" spans="32:32" x14ac:dyDescent="0.2">
      <c r="AF27011" s="12"/>
    </row>
    <row r="27012" spans="32:32" x14ac:dyDescent="0.2">
      <c r="AF27012" s="12"/>
    </row>
    <row r="27013" spans="32:32" x14ac:dyDescent="0.2">
      <c r="AF27013" s="12"/>
    </row>
    <row r="27014" spans="32:32" x14ac:dyDescent="0.2">
      <c r="AF27014" s="12"/>
    </row>
    <row r="27015" spans="32:32" x14ac:dyDescent="0.2">
      <c r="AF27015" s="12"/>
    </row>
    <row r="27016" spans="32:32" x14ac:dyDescent="0.2">
      <c r="AF27016" s="12"/>
    </row>
    <row r="27017" spans="32:32" x14ac:dyDescent="0.2">
      <c r="AF27017" s="12"/>
    </row>
    <row r="27018" spans="32:32" x14ac:dyDescent="0.2">
      <c r="AF27018" s="12"/>
    </row>
    <row r="27019" spans="32:32" x14ac:dyDescent="0.2">
      <c r="AF27019" s="12"/>
    </row>
    <row r="27020" spans="32:32" x14ac:dyDescent="0.2">
      <c r="AF27020" s="12"/>
    </row>
    <row r="27021" spans="32:32" x14ac:dyDescent="0.2">
      <c r="AF27021" s="12"/>
    </row>
    <row r="27022" spans="32:32" x14ac:dyDescent="0.2">
      <c r="AF27022" s="12"/>
    </row>
    <row r="27023" spans="32:32" x14ac:dyDescent="0.2">
      <c r="AF27023" s="12"/>
    </row>
    <row r="27024" spans="32:32" x14ac:dyDescent="0.2">
      <c r="AF27024" s="12"/>
    </row>
    <row r="27025" spans="32:32" x14ac:dyDescent="0.2">
      <c r="AF27025" s="12"/>
    </row>
    <row r="27026" spans="32:32" x14ac:dyDescent="0.2">
      <c r="AF27026" s="12"/>
    </row>
    <row r="27027" spans="32:32" x14ac:dyDescent="0.2">
      <c r="AF27027" s="12"/>
    </row>
    <row r="27028" spans="32:32" x14ac:dyDescent="0.2">
      <c r="AF27028" s="12"/>
    </row>
    <row r="27029" spans="32:32" x14ac:dyDescent="0.2">
      <c r="AF27029" s="12"/>
    </row>
    <row r="27030" spans="32:32" x14ac:dyDescent="0.2">
      <c r="AF27030" s="12"/>
    </row>
    <row r="27031" spans="32:32" x14ac:dyDescent="0.2">
      <c r="AF27031" s="12"/>
    </row>
    <row r="27032" spans="32:32" x14ac:dyDescent="0.2">
      <c r="AF27032" s="12"/>
    </row>
    <row r="27033" spans="32:32" x14ac:dyDescent="0.2">
      <c r="AF27033" s="12"/>
    </row>
    <row r="27034" spans="32:32" x14ac:dyDescent="0.2">
      <c r="AF27034" s="12"/>
    </row>
    <row r="27035" spans="32:32" x14ac:dyDescent="0.2">
      <c r="AF27035" s="12"/>
    </row>
    <row r="27036" spans="32:32" x14ac:dyDescent="0.2">
      <c r="AF27036" s="12"/>
    </row>
    <row r="27037" spans="32:32" x14ac:dyDescent="0.2">
      <c r="AF27037" s="12"/>
    </row>
    <row r="27038" spans="32:32" x14ac:dyDescent="0.2">
      <c r="AF27038" s="12"/>
    </row>
    <row r="27039" spans="32:32" x14ac:dyDescent="0.2">
      <c r="AF27039" s="12"/>
    </row>
    <row r="27040" spans="32:32" x14ac:dyDescent="0.2">
      <c r="AF27040" s="12"/>
    </row>
    <row r="27041" spans="32:32" x14ac:dyDescent="0.2">
      <c r="AF27041" s="12"/>
    </row>
    <row r="27042" spans="32:32" x14ac:dyDescent="0.2">
      <c r="AF27042" s="12"/>
    </row>
    <row r="27043" spans="32:32" x14ac:dyDescent="0.2">
      <c r="AF27043" s="12"/>
    </row>
    <row r="27044" spans="32:32" x14ac:dyDescent="0.2">
      <c r="AF27044" s="12"/>
    </row>
    <row r="27045" spans="32:32" x14ac:dyDescent="0.2">
      <c r="AF27045" s="12"/>
    </row>
    <row r="27046" spans="32:32" x14ac:dyDescent="0.2">
      <c r="AF27046" s="12"/>
    </row>
    <row r="27047" spans="32:32" x14ac:dyDescent="0.2">
      <c r="AF27047" s="12"/>
    </row>
    <row r="27048" spans="32:32" x14ac:dyDescent="0.2">
      <c r="AF27048" s="12"/>
    </row>
    <row r="27049" spans="32:32" x14ac:dyDescent="0.2">
      <c r="AF27049" s="12"/>
    </row>
    <row r="27050" spans="32:32" x14ac:dyDescent="0.2">
      <c r="AF27050" s="12"/>
    </row>
    <row r="27051" spans="32:32" x14ac:dyDescent="0.2">
      <c r="AF27051" s="12"/>
    </row>
    <row r="27052" spans="32:32" x14ac:dyDescent="0.2">
      <c r="AF27052" s="12"/>
    </row>
    <row r="27053" spans="32:32" x14ac:dyDescent="0.2">
      <c r="AF27053" s="12"/>
    </row>
    <row r="27054" spans="32:32" x14ac:dyDescent="0.2">
      <c r="AF27054" s="12"/>
    </row>
    <row r="27055" spans="32:32" x14ac:dyDescent="0.2">
      <c r="AF27055" s="12"/>
    </row>
    <row r="27056" spans="32:32" x14ac:dyDescent="0.2">
      <c r="AF27056" s="12"/>
    </row>
    <row r="27057" spans="32:32" x14ac:dyDescent="0.2">
      <c r="AF27057" s="12"/>
    </row>
    <row r="27058" spans="32:32" x14ac:dyDescent="0.2">
      <c r="AF27058" s="12"/>
    </row>
    <row r="27059" spans="32:32" x14ac:dyDescent="0.2">
      <c r="AF27059" s="12"/>
    </row>
    <row r="27060" spans="32:32" x14ac:dyDescent="0.2">
      <c r="AF27060" s="12"/>
    </row>
    <row r="27061" spans="32:32" x14ac:dyDescent="0.2">
      <c r="AF27061" s="12"/>
    </row>
    <row r="27062" spans="32:32" x14ac:dyDescent="0.2">
      <c r="AF27062" s="12"/>
    </row>
    <row r="27063" spans="32:32" x14ac:dyDescent="0.2">
      <c r="AF27063" s="12"/>
    </row>
    <row r="27064" spans="32:32" x14ac:dyDescent="0.2">
      <c r="AF27064" s="12"/>
    </row>
    <row r="27065" spans="32:32" x14ac:dyDescent="0.2">
      <c r="AF27065" s="12"/>
    </row>
    <row r="27066" spans="32:32" x14ac:dyDescent="0.2">
      <c r="AF27066" s="12"/>
    </row>
    <row r="27067" spans="32:32" x14ac:dyDescent="0.2">
      <c r="AF27067" s="12"/>
    </row>
    <row r="27068" spans="32:32" x14ac:dyDescent="0.2">
      <c r="AF27068" s="12"/>
    </row>
    <row r="27069" spans="32:32" x14ac:dyDescent="0.2">
      <c r="AF27069" s="12"/>
    </row>
    <row r="27070" spans="32:32" x14ac:dyDescent="0.2">
      <c r="AF27070" s="12"/>
    </row>
    <row r="27071" spans="32:32" x14ac:dyDescent="0.2">
      <c r="AF27071" s="12"/>
    </row>
    <row r="27072" spans="32:32" x14ac:dyDescent="0.2">
      <c r="AF27072" s="12"/>
    </row>
    <row r="27073" spans="32:32" x14ac:dyDescent="0.2">
      <c r="AF27073" s="12"/>
    </row>
    <row r="27074" spans="32:32" x14ac:dyDescent="0.2">
      <c r="AF27074" s="12"/>
    </row>
    <row r="27075" spans="32:32" x14ac:dyDescent="0.2">
      <c r="AF27075" s="12"/>
    </row>
    <row r="27076" spans="32:32" x14ac:dyDescent="0.2">
      <c r="AF27076" s="12"/>
    </row>
    <row r="27077" spans="32:32" x14ac:dyDescent="0.2">
      <c r="AF27077" s="12"/>
    </row>
    <row r="27078" spans="32:32" x14ac:dyDescent="0.2">
      <c r="AF27078" s="12"/>
    </row>
    <row r="27079" spans="32:32" x14ac:dyDescent="0.2">
      <c r="AF27079" s="12"/>
    </row>
    <row r="27080" spans="32:32" x14ac:dyDescent="0.2">
      <c r="AF27080" s="12"/>
    </row>
    <row r="27081" spans="32:32" x14ac:dyDescent="0.2">
      <c r="AF27081" s="12"/>
    </row>
    <row r="27082" spans="32:32" x14ac:dyDescent="0.2">
      <c r="AF27082" s="12"/>
    </row>
    <row r="27083" spans="32:32" x14ac:dyDescent="0.2">
      <c r="AF27083" s="12"/>
    </row>
    <row r="27084" spans="32:32" x14ac:dyDescent="0.2">
      <c r="AF27084" s="12"/>
    </row>
    <row r="27085" spans="32:32" x14ac:dyDescent="0.2">
      <c r="AF27085" s="12"/>
    </row>
    <row r="27086" spans="32:32" x14ac:dyDescent="0.2">
      <c r="AF27086" s="12"/>
    </row>
    <row r="27087" spans="32:32" x14ac:dyDescent="0.2">
      <c r="AF27087" s="12"/>
    </row>
    <row r="27088" spans="32:32" x14ac:dyDescent="0.2">
      <c r="AF27088" s="12"/>
    </row>
    <row r="27089" spans="32:32" x14ac:dyDescent="0.2">
      <c r="AF27089" s="12"/>
    </row>
    <row r="27090" spans="32:32" x14ac:dyDescent="0.2">
      <c r="AF27090" s="12"/>
    </row>
    <row r="27091" spans="32:32" x14ac:dyDescent="0.2">
      <c r="AF27091" s="12"/>
    </row>
    <row r="27092" spans="32:32" x14ac:dyDescent="0.2">
      <c r="AF27092" s="12"/>
    </row>
    <row r="27093" spans="32:32" x14ac:dyDescent="0.2">
      <c r="AF27093" s="12"/>
    </row>
    <row r="27094" spans="32:32" x14ac:dyDescent="0.2">
      <c r="AF27094" s="12"/>
    </row>
    <row r="27095" spans="32:32" x14ac:dyDescent="0.2">
      <c r="AF27095" s="12"/>
    </row>
    <row r="27096" spans="32:32" x14ac:dyDescent="0.2">
      <c r="AF27096" s="12"/>
    </row>
    <row r="27097" spans="32:32" x14ac:dyDescent="0.2">
      <c r="AF27097" s="12"/>
    </row>
    <row r="27098" spans="32:32" x14ac:dyDescent="0.2">
      <c r="AF27098" s="12"/>
    </row>
    <row r="27099" spans="32:32" x14ac:dyDescent="0.2">
      <c r="AF27099" s="12"/>
    </row>
    <row r="27100" spans="32:32" x14ac:dyDescent="0.2">
      <c r="AF27100" s="12"/>
    </row>
    <row r="27101" spans="32:32" x14ac:dyDescent="0.2">
      <c r="AF27101" s="12"/>
    </row>
    <row r="27102" spans="32:32" x14ac:dyDescent="0.2">
      <c r="AF27102" s="12"/>
    </row>
    <row r="27103" spans="32:32" x14ac:dyDescent="0.2">
      <c r="AF27103" s="12"/>
    </row>
    <row r="27104" spans="32:32" x14ac:dyDescent="0.2">
      <c r="AF27104" s="12"/>
    </row>
    <row r="27105" spans="32:32" x14ac:dyDescent="0.2">
      <c r="AF27105" s="12"/>
    </row>
    <row r="27106" spans="32:32" x14ac:dyDescent="0.2">
      <c r="AF27106" s="12"/>
    </row>
    <row r="27107" spans="32:32" x14ac:dyDescent="0.2">
      <c r="AF27107" s="12"/>
    </row>
    <row r="27108" spans="32:32" x14ac:dyDescent="0.2">
      <c r="AF27108" s="12"/>
    </row>
    <row r="27109" spans="32:32" x14ac:dyDescent="0.2">
      <c r="AF27109" s="12"/>
    </row>
    <row r="27110" spans="32:32" x14ac:dyDescent="0.2">
      <c r="AF27110" s="12"/>
    </row>
    <row r="27111" spans="32:32" x14ac:dyDescent="0.2">
      <c r="AF27111" s="12"/>
    </row>
    <row r="27112" spans="32:32" x14ac:dyDescent="0.2">
      <c r="AF27112" s="12"/>
    </row>
    <row r="27113" spans="32:32" x14ac:dyDescent="0.2">
      <c r="AF27113" s="12"/>
    </row>
    <row r="27114" spans="32:32" x14ac:dyDescent="0.2">
      <c r="AF27114" s="12"/>
    </row>
    <row r="27115" spans="32:32" x14ac:dyDescent="0.2">
      <c r="AF27115" s="12"/>
    </row>
    <row r="27116" spans="32:32" x14ac:dyDescent="0.2">
      <c r="AF27116" s="12"/>
    </row>
    <row r="27117" spans="32:32" x14ac:dyDescent="0.2">
      <c r="AF27117" s="12"/>
    </row>
    <row r="27118" spans="32:32" x14ac:dyDescent="0.2">
      <c r="AF27118" s="12"/>
    </row>
    <row r="27119" spans="32:32" x14ac:dyDescent="0.2">
      <c r="AF27119" s="12"/>
    </row>
    <row r="27120" spans="32:32" x14ac:dyDescent="0.2">
      <c r="AF27120" s="12"/>
    </row>
    <row r="27121" spans="32:32" x14ac:dyDescent="0.2">
      <c r="AF27121" s="12"/>
    </row>
    <row r="27122" spans="32:32" x14ac:dyDescent="0.2">
      <c r="AF27122" s="12"/>
    </row>
    <row r="27123" spans="32:32" x14ac:dyDescent="0.2">
      <c r="AF27123" s="12"/>
    </row>
    <row r="27124" spans="32:32" x14ac:dyDescent="0.2">
      <c r="AF27124" s="12"/>
    </row>
    <row r="27125" spans="32:32" x14ac:dyDescent="0.2">
      <c r="AF27125" s="12"/>
    </row>
    <row r="27126" spans="32:32" x14ac:dyDescent="0.2">
      <c r="AF27126" s="12"/>
    </row>
    <row r="27127" spans="32:32" x14ac:dyDescent="0.2">
      <c r="AF27127" s="12"/>
    </row>
    <row r="27128" spans="32:32" x14ac:dyDescent="0.2">
      <c r="AF27128" s="12"/>
    </row>
    <row r="27129" spans="32:32" x14ac:dyDescent="0.2">
      <c r="AF27129" s="12"/>
    </row>
    <row r="27130" spans="32:32" x14ac:dyDescent="0.2">
      <c r="AF27130" s="12"/>
    </row>
    <row r="27131" spans="32:32" x14ac:dyDescent="0.2">
      <c r="AF27131" s="12"/>
    </row>
    <row r="27132" spans="32:32" x14ac:dyDescent="0.2">
      <c r="AF27132" s="12"/>
    </row>
    <row r="27133" spans="32:32" x14ac:dyDescent="0.2">
      <c r="AF27133" s="12"/>
    </row>
    <row r="27134" spans="32:32" x14ac:dyDescent="0.2">
      <c r="AF27134" s="12"/>
    </row>
    <row r="27135" spans="32:32" x14ac:dyDescent="0.2">
      <c r="AF27135" s="12"/>
    </row>
    <row r="27136" spans="32:32" x14ac:dyDescent="0.2">
      <c r="AF27136" s="12"/>
    </row>
    <row r="27137" spans="32:32" x14ac:dyDescent="0.2">
      <c r="AF27137" s="12"/>
    </row>
    <row r="27138" spans="32:32" x14ac:dyDescent="0.2">
      <c r="AF27138" s="12"/>
    </row>
    <row r="27139" spans="32:32" x14ac:dyDescent="0.2">
      <c r="AF27139" s="12"/>
    </row>
    <row r="27140" spans="32:32" x14ac:dyDescent="0.2">
      <c r="AF27140" s="12"/>
    </row>
    <row r="27141" spans="32:32" x14ac:dyDescent="0.2">
      <c r="AF27141" s="12"/>
    </row>
    <row r="27142" spans="32:32" x14ac:dyDescent="0.2">
      <c r="AF27142" s="12"/>
    </row>
    <row r="27143" spans="32:32" x14ac:dyDescent="0.2">
      <c r="AF27143" s="12"/>
    </row>
    <row r="27144" spans="32:32" x14ac:dyDescent="0.2">
      <c r="AF27144" s="12"/>
    </row>
    <row r="27145" spans="32:32" x14ac:dyDescent="0.2">
      <c r="AF27145" s="12"/>
    </row>
    <row r="27146" spans="32:32" x14ac:dyDescent="0.2">
      <c r="AF27146" s="12"/>
    </row>
    <row r="27147" spans="32:32" x14ac:dyDescent="0.2">
      <c r="AF27147" s="12"/>
    </row>
    <row r="27148" spans="32:32" x14ac:dyDescent="0.2">
      <c r="AF27148" s="12"/>
    </row>
    <row r="27149" spans="32:32" x14ac:dyDescent="0.2">
      <c r="AF27149" s="12"/>
    </row>
    <row r="27150" spans="32:32" x14ac:dyDescent="0.2">
      <c r="AF27150" s="12"/>
    </row>
    <row r="27151" spans="32:32" x14ac:dyDescent="0.2">
      <c r="AF27151" s="12"/>
    </row>
    <row r="27152" spans="32:32" x14ac:dyDescent="0.2">
      <c r="AF27152" s="12"/>
    </row>
    <row r="27153" spans="32:32" x14ac:dyDescent="0.2">
      <c r="AF27153" s="12"/>
    </row>
    <row r="27154" spans="32:32" x14ac:dyDescent="0.2">
      <c r="AF27154" s="12"/>
    </row>
    <row r="27155" spans="32:32" x14ac:dyDescent="0.2">
      <c r="AF27155" s="12"/>
    </row>
    <row r="27156" spans="32:32" x14ac:dyDescent="0.2">
      <c r="AF27156" s="12"/>
    </row>
    <row r="27157" spans="32:32" x14ac:dyDescent="0.2">
      <c r="AF27157" s="12"/>
    </row>
    <row r="27158" spans="32:32" x14ac:dyDescent="0.2">
      <c r="AF27158" s="12"/>
    </row>
    <row r="27159" spans="32:32" x14ac:dyDescent="0.2">
      <c r="AF27159" s="12"/>
    </row>
    <row r="27160" spans="32:32" x14ac:dyDescent="0.2">
      <c r="AF27160" s="12"/>
    </row>
    <row r="27161" spans="32:32" x14ac:dyDescent="0.2">
      <c r="AF27161" s="12"/>
    </row>
    <row r="27162" spans="32:32" x14ac:dyDescent="0.2">
      <c r="AF27162" s="12"/>
    </row>
    <row r="27163" spans="32:32" x14ac:dyDescent="0.2">
      <c r="AF27163" s="12"/>
    </row>
    <row r="27164" spans="32:32" x14ac:dyDescent="0.2">
      <c r="AF27164" s="12"/>
    </row>
    <row r="27165" spans="32:32" x14ac:dyDescent="0.2">
      <c r="AF27165" s="12"/>
    </row>
    <row r="27166" spans="32:32" x14ac:dyDescent="0.2">
      <c r="AF27166" s="12"/>
    </row>
    <row r="27167" spans="32:32" x14ac:dyDescent="0.2">
      <c r="AF27167" s="12"/>
    </row>
    <row r="27168" spans="32:32" x14ac:dyDescent="0.2">
      <c r="AF27168" s="12"/>
    </row>
    <row r="27169" spans="32:32" x14ac:dyDescent="0.2">
      <c r="AF27169" s="12"/>
    </row>
    <row r="27170" spans="32:32" x14ac:dyDescent="0.2">
      <c r="AF27170" s="12"/>
    </row>
    <row r="27171" spans="32:32" x14ac:dyDescent="0.2">
      <c r="AF27171" s="12"/>
    </row>
    <row r="27172" spans="32:32" x14ac:dyDescent="0.2">
      <c r="AF27172" s="12"/>
    </row>
    <row r="27173" spans="32:32" x14ac:dyDescent="0.2">
      <c r="AF27173" s="12"/>
    </row>
    <row r="27174" spans="32:32" x14ac:dyDescent="0.2">
      <c r="AF27174" s="12"/>
    </row>
    <row r="27175" spans="32:32" x14ac:dyDescent="0.2">
      <c r="AF27175" s="12"/>
    </row>
    <row r="27176" spans="32:32" x14ac:dyDescent="0.2">
      <c r="AF27176" s="12"/>
    </row>
    <row r="27177" spans="32:32" x14ac:dyDescent="0.2">
      <c r="AF27177" s="12"/>
    </row>
    <row r="27178" spans="32:32" x14ac:dyDescent="0.2">
      <c r="AF27178" s="12"/>
    </row>
    <row r="27179" spans="32:32" x14ac:dyDescent="0.2">
      <c r="AF27179" s="12"/>
    </row>
    <row r="27180" spans="32:32" x14ac:dyDescent="0.2">
      <c r="AF27180" s="12"/>
    </row>
    <row r="27181" spans="32:32" x14ac:dyDescent="0.2">
      <c r="AF27181" s="12"/>
    </row>
    <row r="27182" spans="32:32" x14ac:dyDescent="0.2">
      <c r="AF27182" s="12"/>
    </row>
    <row r="27183" spans="32:32" x14ac:dyDescent="0.2">
      <c r="AF27183" s="12"/>
    </row>
    <row r="27184" spans="32:32" x14ac:dyDescent="0.2">
      <c r="AF27184" s="12"/>
    </row>
    <row r="27185" spans="32:32" x14ac:dyDescent="0.2">
      <c r="AF27185" s="12"/>
    </row>
    <row r="27186" spans="32:32" x14ac:dyDescent="0.2">
      <c r="AF27186" s="12"/>
    </row>
    <row r="27187" spans="32:32" x14ac:dyDescent="0.2">
      <c r="AF27187" s="12"/>
    </row>
    <row r="27188" spans="32:32" x14ac:dyDescent="0.2">
      <c r="AF27188" s="12"/>
    </row>
    <row r="27189" spans="32:32" x14ac:dyDescent="0.2">
      <c r="AF27189" s="12"/>
    </row>
    <row r="27190" spans="32:32" x14ac:dyDescent="0.2">
      <c r="AF27190" s="12"/>
    </row>
    <row r="27191" spans="32:32" x14ac:dyDescent="0.2">
      <c r="AF27191" s="12"/>
    </row>
    <row r="27192" spans="32:32" x14ac:dyDescent="0.2">
      <c r="AF27192" s="12"/>
    </row>
    <row r="27193" spans="32:32" x14ac:dyDescent="0.2">
      <c r="AF27193" s="12"/>
    </row>
    <row r="27194" spans="32:32" x14ac:dyDescent="0.2">
      <c r="AF27194" s="12"/>
    </row>
    <row r="27195" spans="32:32" x14ac:dyDescent="0.2">
      <c r="AF27195" s="12"/>
    </row>
    <row r="27196" spans="32:32" x14ac:dyDescent="0.2">
      <c r="AF27196" s="12"/>
    </row>
    <row r="27197" spans="32:32" x14ac:dyDescent="0.2">
      <c r="AF27197" s="12"/>
    </row>
    <row r="27198" spans="32:32" x14ac:dyDescent="0.2">
      <c r="AF27198" s="12"/>
    </row>
    <row r="27199" spans="32:32" x14ac:dyDescent="0.2">
      <c r="AF27199" s="12"/>
    </row>
    <row r="27200" spans="32:32" x14ac:dyDescent="0.2">
      <c r="AF27200" s="12"/>
    </row>
    <row r="27201" spans="32:32" x14ac:dyDescent="0.2">
      <c r="AF27201" s="12"/>
    </row>
    <row r="27202" spans="32:32" x14ac:dyDescent="0.2">
      <c r="AF27202" s="12"/>
    </row>
    <row r="27203" spans="32:32" x14ac:dyDescent="0.2">
      <c r="AF27203" s="12"/>
    </row>
    <row r="27204" spans="32:32" x14ac:dyDescent="0.2">
      <c r="AF27204" s="12"/>
    </row>
    <row r="27205" spans="32:32" x14ac:dyDescent="0.2">
      <c r="AF27205" s="12"/>
    </row>
    <row r="27206" spans="32:32" x14ac:dyDescent="0.2">
      <c r="AF27206" s="12"/>
    </row>
    <row r="27207" spans="32:32" x14ac:dyDescent="0.2">
      <c r="AF27207" s="12"/>
    </row>
    <row r="27208" spans="32:32" x14ac:dyDescent="0.2">
      <c r="AF27208" s="12"/>
    </row>
    <row r="27209" spans="32:32" x14ac:dyDescent="0.2">
      <c r="AF27209" s="12"/>
    </row>
    <row r="27210" spans="32:32" x14ac:dyDescent="0.2">
      <c r="AF27210" s="12"/>
    </row>
    <row r="27211" spans="32:32" x14ac:dyDescent="0.2">
      <c r="AF27211" s="12"/>
    </row>
    <row r="27212" spans="32:32" x14ac:dyDescent="0.2">
      <c r="AF27212" s="12"/>
    </row>
    <row r="27213" spans="32:32" x14ac:dyDescent="0.2">
      <c r="AF27213" s="12"/>
    </row>
    <row r="27214" spans="32:32" x14ac:dyDescent="0.2">
      <c r="AF27214" s="12"/>
    </row>
    <row r="27215" spans="32:32" x14ac:dyDescent="0.2">
      <c r="AF27215" s="12"/>
    </row>
    <row r="27216" spans="32:32" x14ac:dyDescent="0.2">
      <c r="AF27216" s="12"/>
    </row>
    <row r="27217" spans="32:32" x14ac:dyDescent="0.2">
      <c r="AF27217" s="12"/>
    </row>
    <row r="27218" spans="32:32" x14ac:dyDescent="0.2">
      <c r="AF27218" s="12"/>
    </row>
    <row r="27219" spans="32:32" x14ac:dyDescent="0.2">
      <c r="AF27219" s="12"/>
    </row>
    <row r="27220" spans="32:32" x14ac:dyDescent="0.2">
      <c r="AF27220" s="12"/>
    </row>
    <row r="27221" spans="32:32" x14ac:dyDescent="0.2">
      <c r="AF27221" s="12"/>
    </row>
    <row r="27222" spans="32:32" x14ac:dyDescent="0.2">
      <c r="AF27222" s="12"/>
    </row>
    <row r="27223" spans="32:32" x14ac:dyDescent="0.2">
      <c r="AF27223" s="12"/>
    </row>
    <row r="27224" spans="32:32" x14ac:dyDescent="0.2">
      <c r="AF27224" s="12"/>
    </row>
    <row r="27225" spans="32:32" x14ac:dyDescent="0.2">
      <c r="AF27225" s="12"/>
    </row>
    <row r="27226" spans="32:32" x14ac:dyDescent="0.2">
      <c r="AF27226" s="12"/>
    </row>
    <row r="27227" spans="32:32" x14ac:dyDescent="0.2">
      <c r="AF27227" s="12"/>
    </row>
    <row r="27228" spans="32:32" x14ac:dyDescent="0.2">
      <c r="AF27228" s="12"/>
    </row>
    <row r="27229" spans="32:32" x14ac:dyDescent="0.2">
      <c r="AF27229" s="12"/>
    </row>
    <row r="27230" spans="32:32" x14ac:dyDescent="0.2">
      <c r="AF27230" s="12"/>
    </row>
    <row r="27231" spans="32:32" x14ac:dyDescent="0.2">
      <c r="AF27231" s="12"/>
    </row>
    <row r="27232" spans="32:32" x14ac:dyDescent="0.2">
      <c r="AF27232" s="12"/>
    </row>
    <row r="27233" spans="32:32" x14ac:dyDescent="0.2">
      <c r="AF27233" s="12"/>
    </row>
    <row r="27234" spans="32:32" x14ac:dyDescent="0.2">
      <c r="AF27234" s="12"/>
    </row>
    <row r="27235" spans="32:32" x14ac:dyDescent="0.2">
      <c r="AF27235" s="12"/>
    </row>
    <row r="27236" spans="32:32" x14ac:dyDescent="0.2">
      <c r="AF27236" s="12"/>
    </row>
    <row r="27237" spans="32:32" x14ac:dyDescent="0.2">
      <c r="AF27237" s="12"/>
    </row>
    <row r="27238" spans="32:32" x14ac:dyDescent="0.2">
      <c r="AF27238" s="12"/>
    </row>
    <row r="27239" spans="32:32" x14ac:dyDescent="0.2">
      <c r="AF27239" s="12"/>
    </row>
    <row r="27240" spans="32:32" x14ac:dyDescent="0.2">
      <c r="AF27240" s="12"/>
    </row>
    <row r="27241" spans="32:32" x14ac:dyDescent="0.2">
      <c r="AF27241" s="12"/>
    </row>
    <row r="27242" spans="32:32" x14ac:dyDescent="0.2">
      <c r="AF27242" s="12"/>
    </row>
    <row r="27243" spans="32:32" x14ac:dyDescent="0.2">
      <c r="AF27243" s="12"/>
    </row>
    <row r="27244" spans="32:32" x14ac:dyDescent="0.2">
      <c r="AF27244" s="12"/>
    </row>
    <row r="27245" spans="32:32" x14ac:dyDescent="0.2">
      <c r="AF27245" s="12"/>
    </row>
    <row r="27246" spans="32:32" x14ac:dyDescent="0.2">
      <c r="AF27246" s="12"/>
    </row>
    <row r="27247" spans="32:32" x14ac:dyDescent="0.2">
      <c r="AF27247" s="12"/>
    </row>
    <row r="27248" spans="32:32" x14ac:dyDescent="0.2">
      <c r="AF27248" s="12"/>
    </row>
    <row r="27249" spans="32:32" x14ac:dyDescent="0.2">
      <c r="AF27249" s="12"/>
    </row>
    <row r="27250" spans="32:32" x14ac:dyDescent="0.2">
      <c r="AF27250" s="12"/>
    </row>
    <row r="27251" spans="32:32" x14ac:dyDescent="0.2">
      <c r="AF27251" s="12"/>
    </row>
    <row r="27252" spans="32:32" x14ac:dyDescent="0.2">
      <c r="AF27252" s="12"/>
    </row>
    <row r="27253" spans="32:32" x14ac:dyDescent="0.2">
      <c r="AF27253" s="12"/>
    </row>
    <row r="27254" spans="32:32" x14ac:dyDescent="0.2">
      <c r="AF27254" s="12"/>
    </row>
    <row r="27255" spans="32:32" x14ac:dyDescent="0.2">
      <c r="AF27255" s="12"/>
    </row>
    <row r="27256" spans="32:32" x14ac:dyDescent="0.2">
      <c r="AF27256" s="12"/>
    </row>
    <row r="27257" spans="32:32" x14ac:dyDescent="0.2">
      <c r="AF27257" s="12"/>
    </row>
    <row r="27258" spans="32:32" x14ac:dyDescent="0.2">
      <c r="AF27258" s="12"/>
    </row>
    <row r="27259" spans="32:32" x14ac:dyDescent="0.2">
      <c r="AF27259" s="12"/>
    </row>
    <row r="27260" spans="32:32" x14ac:dyDescent="0.2">
      <c r="AF27260" s="12"/>
    </row>
    <row r="27261" spans="32:32" x14ac:dyDescent="0.2">
      <c r="AF27261" s="12"/>
    </row>
    <row r="27262" spans="32:32" x14ac:dyDescent="0.2">
      <c r="AF27262" s="12"/>
    </row>
    <row r="27263" spans="32:32" x14ac:dyDescent="0.2">
      <c r="AF27263" s="12"/>
    </row>
    <row r="27264" spans="32:32" x14ac:dyDescent="0.2">
      <c r="AF27264" s="12"/>
    </row>
    <row r="27265" spans="32:32" x14ac:dyDescent="0.2">
      <c r="AF27265" s="12"/>
    </row>
    <row r="27266" spans="32:32" x14ac:dyDescent="0.2">
      <c r="AF27266" s="12"/>
    </row>
    <row r="27267" spans="32:32" x14ac:dyDescent="0.2">
      <c r="AF27267" s="12"/>
    </row>
    <row r="27268" spans="32:32" x14ac:dyDescent="0.2">
      <c r="AF27268" s="12"/>
    </row>
    <row r="27269" spans="32:32" x14ac:dyDescent="0.2">
      <c r="AF27269" s="12"/>
    </row>
    <row r="27270" spans="32:32" x14ac:dyDescent="0.2">
      <c r="AF27270" s="12"/>
    </row>
    <row r="27271" spans="32:32" x14ac:dyDescent="0.2">
      <c r="AF27271" s="12"/>
    </row>
    <row r="27272" spans="32:32" x14ac:dyDescent="0.2">
      <c r="AF27272" s="12"/>
    </row>
    <row r="27273" spans="32:32" x14ac:dyDescent="0.2">
      <c r="AF27273" s="12"/>
    </row>
    <row r="27274" spans="32:32" x14ac:dyDescent="0.2">
      <c r="AF27274" s="12"/>
    </row>
    <row r="27275" spans="32:32" x14ac:dyDescent="0.2">
      <c r="AF27275" s="12"/>
    </row>
    <row r="27276" spans="32:32" x14ac:dyDescent="0.2">
      <c r="AF27276" s="12"/>
    </row>
    <row r="27277" spans="32:32" x14ac:dyDescent="0.2">
      <c r="AF27277" s="12"/>
    </row>
    <row r="27278" spans="32:32" x14ac:dyDescent="0.2">
      <c r="AF27278" s="12"/>
    </row>
    <row r="27279" spans="32:32" x14ac:dyDescent="0.2">
      <c r="AF27279" s="12"/>
    </row>
    <row r="27280" spans="32:32" x14ac:dyDescent="0.2">
      <c r="AF27280" s="12"/>
    </row>
    <row r="27281" spans="32:32" x14ac:dyDescent="0.2">
      <c r="AF27281" s="12"/>
    </row>
    <row r="27282" spans="32:32" x14ac:dyDescent="0.2">
      <c r="AF27282" s="12"/>
    </row>
    <row r="27283" spans="32:32" x14ac:dyDescent="0.2">
      <c r="AF27283" s="12"/>
    </row>
    <row r="27284" spans="32:32" x14ac:dyDescent="0.2">
      <c r="AF27284" s="12"/>
    </row>
    <row r="27285" spans="32:32" x14ac:dyDescent="0.2">
      <c r="AF27285" s="12"/>
    </row>
    <row r="27286" spans="32:32" x14ac:dyDescent="0.2">
      <c r="AF27286" s="12"/>
    </row>
    <row r="27287" spans="32:32" x14ac:dyDescent="0.2">
      <c r="AF27287" s="12"/>
    </row>
    <row r="27288" spans="32:32" x14ac:dyDescent="0.2">
      <c r="AF27288" s="12"/>
    </row>
    <row r="27289" spans="32:32" x14ac:dyDescent="0.2">
      <c r="AF27289" s="12"/>
    </row>
    <row r="27290" spans="32:32" x14ac:dyDescent="0.2">
      <c r="AF27290" s="12"/>
    </row>
    <row r="27291" spans="32:32" x14ac:dyDescent="0.2">
      <c r="AF27291" s="12"/>
    </row>
    <row r="27292" spans="32:32" x14ac:dyDescent="0.2">
      <c r="AF27292" s="12"/>
    </row>
    <row r="27293" spans="32:32" x14ac:dyDescent="0.2">
      <c r="AF27293" s="12"/>
    </row>
    <row r="27294" spans="32:32" x14ac:dyDescent="0.2">
      <c r="AF27294" s="12"/>
    </row>
    <row r="27295" spans="32:32" x14ac:dyDescent="0.2">
      <c r="AF27295" s="12"/>
    </row>
    <row r="27296" spans="32:32" x14ac:dyDescent="0.2">
      <c r="AF27296" s="12"/>
    </row>
    <row r="27297" spans="32:32" x14ac:dyDescent="0.2">
      <c r="AF27297" s="12"/>
    </row>
    <row r="27298" spans="32:32" x14ac:dyDescent="0.2">
      <c r="AF27298" s="12"/>
    </row>
    <row r="27299" spans="32:32" x14ac:dyDescent="0.2">
      <c r="AF27299" s="12"/>
    </row>
    <row r="27300" spans="32:32" x14ac:dyDescent="0.2">
      <c r="AF27300" s="12"/>
    </row>
    <row r="27301" spans="32:32" x14ac:dyDescent="0.2">
      <c r="AF27301" s="12"/>
    </row>
    <row r="27302" spans="32:32" x14ac:dyDescent="0.2">
      <c r="AF27302" s="12"/>
    </row>
    <row r="27303" spans="32:32" x14ac:dyDescent="0.2">
      <c r="AF27303" s="12"/>
    </row>
    <row r="27304" spans="32:32" x14ac:dyDescent="0.2">
      <c r="AF27304" s="12"/>
    </row>
    <row r="27305" spans="32:32" x14ac:dyDescent="0.2">
      <c r="AF27305" s="12"/>
    </row>
    <row r="27306" spans="32:32" x14ac:dyDescent="0.2">
      <c r="AF27306" s="12"/>
    </row>
    <row r="27307" spans="32:32" x14ac:dyDescent="0.2">
      <c r="AF27307" s="12"/>
    </row>
    <row r="27308" spans="32:32" x14ac:dyDescent="0.2">
      <c r="AF27308" s="12"/>
    </row>
    <row r="27309" spans="32:32" x14ac:dyDescent="0.2">
      <c r="AF27309" s="12"/>
    </row>
    <row r="27310" spans="32:32" x14ac:dyDescent="0.2">
      <c r="AF27310" s="12"/>
    </row>
    <row r="27311" spans="32:32" x14ac:dyDescent="0.2">
      <c r="AF27311" s="12"/>
    </row>
    <row r="27312" spans="32:32" x14ac:dyDescent="0.2">
      <c r="AF27312" s="12"/>
    </row>
    <row r="27313" spans="32:32" x14ac:dyDescent="0.2">
      <c r="AF27313" s="12"/>
    </row>
    <row r="27314" spans="32:32" x14ac:dyDescent="0.2">
      <c r="AF27314" s="12"/>
    </row>
    <row r="27315" spans="32:32" x14ac:dyDescent="0.2">
      <c r="AF27315" s="12"/>
    </row>
    <row r="27316" spans="32:32" x14ac:dyDescent="0.2">
      <c r="AF27316" s="12"/>
    </row>
    <row r="27317" spans="32:32" x14ac:dyDescent="0.2">
      <c r="AF27317" s="12"/>
    </row>
    <row r="27318" spans="32:32" x14ac:dyDescent="0.2">
      <c r="AF27318" s="12"/>
    </row>
    <row r="27319" spans="32:32" x14ac:dyDescent="0.2">
      <c r="AF27319" s="12"/>
    </row>
    <row r="27320" spans="32:32" x14ac:dyDescent="0.2">
      <c r="AF27320" s="12"/>
    </row>
    <row r="27321" spans="32:32" x14ac:dyDescent="0.2">
      <c r="AF27321" s="12"/>
    </row>
    <row r="27322" spans="32:32" x14ac:dyDescent="0.2">
      <c r="AF27322" s="12"/>
    </row>
    <row r="27323" spans="32:32" x14ac:dyDescent="0.2">
      <c r="AF27323" s="12"/>
    </row>
    <row r="27324" spans="32:32" x14ac:dyDescent="0.2">
      <c r="AF27324" s="12"/>
    </row>
    <row r="27325" spans="32:32" x14ac:dyDescent="0.2">
      <c r="AF27325" s="12"/>
    </row>
    <row r="27326" spans="32:32" x14ac:dyDescent="0.2">
      <c r="AF27326" s="12"/>
    </row>
    <row r="27327" spans="32:32" x14ac:dyDescent="0.2">
      <c r="AF27327" s="12"/>
    </row>
    <row r="27328" spans="32:32" x14ac:dyDescent="0.2">
      <c r="AF27328" s="12"/>
    </row>
    <row r="27329" spans="32:32" x14ac:dyDescent="0.2">
      <c r="AF27329" s="12"/>
    </row>
    <row r="27330" spans="32:32" x14ac:dyDescent="0.2">
      <c r="AF27330" s="12"/>
    </row>
    <row r="27331" spans="32:32" x14ac:dyDescent="0.2">
      <c r="AF27331" s="12"/>
    </row>
    <row r="27332" spans="32:32" x14ac:dyDescent="0.2">
      <c r="AF27332" s="12"/>
    </row>
    <row r="27333" spans="32:32" x14ac:dyDescent="0.2">
      <c r="AF27333" s="12"/>
    </row>
    <row r="27334" spans="32:32" x14ac:dyDescent="0.2">
      <c r="AF27334" s="12"/>
    </row>
    <row r="27335" spans="32:32" x14ac:dyDescent="0.2">
      <c r="AF27335" s="12"/>
    </row>
    <row r="27336" spans="32:32" x14ac:dyDescent="0.2">
      <c r="AF27336" s="12"/>
    </row>
    <row r="27337" spans="32:32" x14ac:dyDescent="0.2">
      <c r="AF27337" s="12"/>
    </row>
    <row r="27338" spans="32:32" x14ac:dyDescent="0.2">
      <c r="AF27338" s="12"/>
    </row>
    <row r="27339" spans="32:32" x14ac:dyDescent="0.2">
      <c r="AF27339" s="12"/>
    </row>
    <row r="27340" spans="32:32" x14ac:dyDescent="0.2">
      <c r="AF27340" s="12"/>
    </row>
    <row r="27341" spans="32:32" x14ac:dyDescent="0.2">
      <c r="AF27341" s="12"/>
    </row>
    <row r="27342" spans="32:32" x14ac:dyDescent="0.2">
      <c r="AF27342" s="12"/>
    </row>
    <row r="27343" spans="32:32" x14ac:dyDescent="0.2">
      <c r="AF27343" s="12"/>
    </row>
    <row r="27344" spans="32:32" x14ac:dyDescent="0.2">
      <c r="AF27344" s="12"/>
    </row>
    <row r="27345" spans="32:32" x14ac:dyDescent="0.2">
      <c r="AF27345" s="12"/>
    </row>
    <row r="27346" spans="32:32" x14ac:dyDescent="0.2">
      <c r="AF27346" s="12"/>
    </row>
    <row r="27347" spans="32:32" x14ac:dyDescent="0.2">
      <c r="AF27347" s="12"/>
    </row>
    <row r="27348" spans="32:32" x14ac:dyDescent="0.2">
      <c r="AF27348" s="12"/>
    </row>
    <row r="27349" spans="32:32" x14ac:dyDescent="0.2">
      <c r="AF27349" s="12"/>
    </row>
    <row r="27350" spans="32:32" x14ac:dyDescent="0.2">
      <c r="AF27350" s="12"/>
    </row>
    <row r="27351" spans="32:32" x14ac:dyDescent="0.2">
      <c r="AF27351" s="12"/>
    </row>
    <row r="27352" spans="32:32" x14ac:dyDescent="0.2">
      <c r="AF27352" s="12"/>
    </row>
    <row r="27353" spans="32:32" x14ac:dyDescent="0.2">
      <c r="AF27353" s="12"/>
    </row>
    <row r="27354" spans="32:32" x14ac:dyDescent="0.2">
      <c r="AF27354" s="12"/>
    </row>
    <row r="27355" spans="32:32" x14ac:dyDescent="0.2">
      <c r="AF27355" s="12"/>
    </row>
    <row r="27356" spans="32:32" x14ac:dyDescent="0.2">
      <c r="AF27356" s="12"/>
    </row>
    <row r="27357" spans="32:32" x14ac:dyDescent="0.2">
      <c r="AF27357" s="12"/>
    </row>
    <row r="27358" spans="32:32" x14ac:dyDescent="0.2">
      <c r="AF27358" s="12"/>
    </row>
    <row r="27359" spans="32:32" x14ac:dyDescent="0.2">
      <c r="AF27359" s="12"/>
    </row>
    <row r="27360" spans="32:32" x14ac:dyDescent="0.2">
      <c r="AF27360" s="12"/>
    </row>
    <row r="27361" spans="32:32" x14ac:dyDescent="0.2">
      <c r="AF27361" s="12"/>
    </row>
    <row r="27362" spans="32:32" x14ac:dyDescent="0.2">
      <c r="AF27362" s="12"/>
    </row>
    <row r="27363" spans="32:32" x14ac:dyDescent="0.2">
      <c r="AF27363" s="12"/>
    </row>
    <row r="27364" spans="32:32" x14ac:dyDescent="0.2">
      <c r="AF27364" s="12"/>
    </row>
    <row r="27365" spans="32:32" x14ac:dyDescent="0.2">
      <c r="AF27365" s="12"/>
    </row>
    <row r="27366" spans="32:32" x14ac:dyDescent="0.2">
      <c r="AF27366" s="12"/>
    </row>
    <row r="27367" spans="32:32" x14ac:dyDescent="0.2">
      <c r="AF27367" s="12"/>
    </row>
    <row r="27368" spans="32:32" x14ac:dyDescent="0.2">
      <c r="AF27368" s="12"/>
    </row>
    <row r="27369" spans="32:32" x14ac:dyDescent="0.2">
      <c r="AF27369" s="12"/>
    </row>
    <row r="27370" spans="32:32" x14ac:dyDescent="0.2">
      <c r="AF27370" s="12"/>
    </row>
    <row r="27371" spans="32:32" x14ac:dyDescent="0.2">
      <c r="AF27371" s="12"/>
    </row>
    <row r="27372" spans="32:32" x14ac:dyDescent="0.2">
      <c r="AF27372" s="12"/>
    </row>
    <row r="27373" spans="32:32" x14ac:dyDescent="0.2">
      <c r="AF27373" s="12"/>
    </row>
    <row r="27374" spans="32:32" x14ac:dyDescent="0.2">
      <c r="AF27374" s="12"/>
    </row>
    <row r="27375" spans="32:32" x14ac:dyDescent="0.2">
      <c r="AF27375" s="12"/>
    </row>
    <row r="27376" spans="32:32" x14ac:dyDescent="0.2">
      <c r="AF27376" s="12"/>
    </row>
    <row r="27377" spans="32:32" x14ac:dyDescent="0.2">
      <c r="AF27377" s="12"/>
    </row>
    <row r="27378" spans="32:32" x14ac:dyDescent="0.2">
      <c r="AF27378" s="12"/>
    </row>
    <row r="27379" spans="32:32" x14ac:dyDescent="0.2">
      <c r="AF27379" s="12"/>
    </row>
    <row r="27380" spans="32:32" x14ac:dyDescent="0.2">
      <c r="AF27380" s="12"/>
    </row>
    <row r="27381" spans="32:32" x14ac:dyDescent="0.2">
      <c r="AF27381" s="12"/>
    </row>
    <row r="27382" spans="32:32" x14ac:dyDescent="0.2">
      <c r="AF27382" s="12"/>
    </row>
    <row r="27383" spans="32:32" x14ac:dyDescent="0.2">
      <c r="AF27383" s="12"/>
    </row>
    <row r="27384" spans="32:32" x14ac:dyDescent="0.2">
      <c r="AF27384" s="12"/>
    </row>
    <row r="27385" spans="32:32" x14ac:dyDescent="0.2">
      <c r="AF27385" s="12"/>
    </row>
    <row r="27386" spans="32:32" x14ac:dyDescent="0.2">
      <c r="AF27386" s="12"/>
    </row>
    <row r="27387" spans="32:32" x14ac:dyDescent="0.2">
      <c r="AF27387" s="12"/>
    </row>
    <row r="27388" spans="32:32" x14ac:dyDescent="0.2">
      <c r="AF27388" s="12"/>
    </row>
    <row r="27389" spans="32:32" x14ac:dyDescent="0.2">
      <c r="AF27389" s="12"/>
    </row>
    <row r="27390" spans="32:32" x14ac:dyDescent="0.2">
      <c r="AF27390" s="12"/>
    </row>
    <row r="27391" spans="32:32" x14ac:dyDescent="0.2">
      <c r="AF27391" s="12"/>
    </row>
    <row r="27392" spans="32:32" x14ac:dyDescent="0.2">
      <c r="AF27392" s="12"/>
    </row>
    <row r="27393" spans="32:32" x14ac:dyDescent="0.2">
      <c r="AF27393" s="12"/>
    </row>
    <row r="27394" spans="32:32" x14ac:dyDescent="0.2">
      <c r="AF27394" s="12"/>
    </row>
    <row r="27395" spans="32:32" x14ac:dyDescent="0.2">
      <c r="AF27395" s="12"/>
    </row>
    <row r="27396" spans="32:32" x14ac:dyDescent="0.2">
      <c r="AF27396" s="12"/>
    </row>
    <row r="27397" spans="32:32" x14ac:dyDescent="0.2">
      <c r="AF27397" s="12"/>
    </row>
    <row r="27398" spans="32:32" x14ac:dyDescent="0.2">
      <c r="AF27398" s="12"/>
    </row>
    <row r="27399" spans="32:32" x14ac:dyDescent="0.2">
      <c r="AF27399" s="12"/>
    </row>
    <row r="27400" spans="32:32" x14ac:dyDescent="0.2">
      <c r="AF27400" s="12"/>
    </row>
    <row r="27401" spans="32:32" x14ac:dyDescent="0.2">
      <c r="AF27401" s="12"/>
    </row>
    <row r="27402" spans="32:32" x14ac:dyDescent="0.2">
      <c r="AF27402" s="12"/>
    </row>
    <row r="27403" spans="32:32" x14ac:dyDescent="0.2">
      <c r="AF27403" s="12"/>
    </row>
    <row r="27404" spans="32:32" x14ac:dyDescent="0.2">
      <c r="AF27404" s="12"/>
    </row>
    <row r="27405" spans="32:32" x14ac:dyDescent="0.2">
      <c r="AF27405" s="12"/>
    </row>
    <row r="27406" spans="32:32" x14ac:dyDescent="0.2">
      <c r="AF27406" s="12"/>
    </row>
    <row r="27407" spans="32:32" x14ac:dyDescent="0.2">
      <c r="AF27407" s="12"/>
    </row>
    <row r="27408" spans="32:32" x14ac:dyDescent="0.2">
      <c r="AF27408" s="12"/>
    </row>
    <row r="27409" spans="32:32" x14ac:dyDescent="0.2">
      <c r="AF27409" s="12"/>
    </row>
    <row r="27410" spans="32:32" x14ac:dyDescent="0.2">
      <c r="AF27410" s="12"/>
    </row>
    <row r="27411" spans="32:32" x14ac:dyDescent="0.2">
      <c r="AF27411" s="12"/>
    </row>
    <row r="27412" spans="32:32" x14ac:dyDescent="0.2">
      <c r="AF27412" s="12"/>
    </row>
    <row r="27413" spans="32:32" x14ac:dyDescent="0.2">
      <c r="AF27413" s="12"/>
    </row>
    <row r="27414" spans="32:32" x14ac:dyDescent="0.2">
      <c r="AF27414" s="12"/>
    </row>
    <row r="27415" spans="32:32" x14ac:dyDescent="0.2">
      <c r="AF27415" s="12"/>
    </row>
    <row r="27416" spans="32:32" x14ac:dyDescent="0.2">
      <c r="AF27416" s="12"/>
    </row>
    <row r="27417" spans="32:32" x14ac:dyDescent="0.2">
      <c r="AF27417" s="12"/>
    </row>
    <row r="27418" spans="32:32" x14ac:dyDescent="0.2">
      <c r="AF27418" s="12"/>
    </row>
    <row r="27419" spans="32:32" x14ac:dyDescent="0.2">
      <c r="AF27419" s="12"/>
    </row>
    <row r="27420" spans="32:32" x14ac:dyDescent="0.2">
      <c r="AF27420" s="12"/>
    </row>
    <row r="27421" spans="32:32" x14ac:dyDescent="0.2">
      <c r="AF27421" s="12"/>
    </row>
    <row r="27422" spans="32:32" x14ac:dyDescent="0.2">
      <c r="AF27422" s="12"/>
    </row>
    <row r="27423" spans="32:32" x14ac:dyDescent="0.2">
      <c r="AF27423" s="12"/>
    </row>
    <row r="27424" spans="32:32" x14ac:dyDescent="0.2">
      <c r="AF27424" s="12"/>
    </row>
    <row r="27425" spans="32:32" x14ac:dyDescent="0.2">
      <c r="AF27425" s="12"/>
    </row>
    <row r="27426" spans="32:32" x14ac:dyDescent="0.2">
      <c r="AF27426" s="12"/>
    </row>
    <row r="27427" spans="32:32" x14ac:dyDescent="0.2">
      <c r="AF27427" s="12"/>
    </row>
    <row r="27428" spans="32:32" x14ac:dyDescent="0.2">
      <c r="AF27428" s="12"/>
    </row>
    <row r="27429" spans="32:32" x14ac:dyDescent="0.2">
      <c r="AF27429" s="12"/>
    </row>
    <row r="27430" spans="32:32" x14ac:dyDescent="0.2">
      <c r="AF27430" s="12"/>
    </row>
    <row r="27431" spans="32:32" x14ac:dyDescent="0.2">
      <c r="AF27431" s="12"/>
    </row>
    <row r="27432" spans="32:32" x14ac:dyDescent="0.2">
      <c r="AF27432" s="12"/>
    </row>
    <row r="27433" spans="32:32" x14ac:dyDescent="0.2">
      <c r="AF27433" s="12"/>
    </row>
    <row r="27434" spans="32:32" x14ac:dyDescent="0.2">
      <c r="AF27434" s="12"/>
    </row>
    <row r="27435" spans="32:32" x14ac:dyDescent="0.2">
      <c r="AF27435" s="12"/>
    </row>
    <row r="27436" spans="32:32" x14ac:dyDescent="0.2">
      <c r="AF27436" s="12"/>
    </row>
    <row r="27437" spans="32:32" x14ac:dyDescent="0.2">
      <c r="AF27437" s="12"/>
    </row>
    <row r="27438" spans="32:32" x14ac:dyDescent="0.2">
      <c r="AF27438" s="12"/>
    </row>
    <row r="27439" spans="32:32" x14ac:dyDescent="0.2">
      <c r="AF27439" s="12"/>
    </row>
    <row r="27440" spans="32:32" x14ac:dyDescent="0.2">
      <c r="AF27440" s="12"/>
    </row>
    <row r="27441" spans="32:32" x14ac:dyDescent="0.2">
      <c r="AF27441" s="12"/>
    </row>
    <row r="27442" spans="32:32" x14ac:dyDescent="0.2">
      <c r="AF27442" s="12"/>
    </row>
    <row r="27443" spans="32:32" x14ac:dyDescent="0.2">
      <c r="AF27443" s="12"/>
    </row>
    <row r="27444" spans="32:32" x14ac:dyDescent="0.2">
      <c r="AF27444" s="12"/>
    </row>
    <row r="27445" spans="32:32" x14ac:dyDescent="0.2">
      <c r="AF27445" s="12"/>
    </row>
    <row r="27446" spans="32:32" x14ac:dyDescent="0.2">
      <c r="AF27446" s="12"/>
    </row>
    <row r="27447" spans="32:32" x14ac:dyDescent="0.2">
      <c r="AF27447" s="12"/>
    </row>
    <row r="27448" spans="32:32" x14ac:dyDescent="0.2">
      <c r="AF27448" s="12"/>
    </row>
    <row r="27449" spans="32:32" x14ac:dyDescent="0.2">
      <c r="AF27449" s="12"/>
    </row>
    <row r="27450" spans="32:32" x14ac:dyDescent="0.2">
      <c r="AF27450" s="12"/>
    </row>
    <row r="27451" spans="32:32" x14ac:dyDescent="0.2">
      <c r="AF27451" s="12"/>
    </row>
    <row r="27452" spans="32:32" x14ac:dyDescent="0.2">
      <c r="AF27452" s="12"/>
    </row>
    <row r="27453" spans="32:32" x14ac:dyDescent="0.2">
      <c r="AF27453" s="12"/>
    </row>
    <row r="27454" spans="32:32" x14ac:dyDescent="0.2">
      <c r="AF27454" s="12"/>
    </row>
    <row r="27455" spans="32:32" x14ac:dyDescent="0.2">
      <c r="AF27455" s="12"/>
    </row>
    <row r="27456" spans="32:32" x14ac:dyDescent="0.2">
      <c r="AF27456" s="12"/>
    </row>
    <row r="27457" spans="32:32" x14ac:dyDescent="0.2">
      <c r="AF27457" s="12"/>
    </row>
    <row r="27458" spans="32:32" x14ac:dyDescent="0.2">
      <c r="AF27458" s="12"/>
    </row>
    <row r="27459" spans="32:32" x14ac:dyDescent="0.2">
      <c r="AF27459" s="12"/>
    </row>
    <row r="27460" spans="32:32" x14ac:dyDescent="0.2">
      <c r="AF27460" s="12"/>
    </row>
    <row r="27461" spans="32:32" x14ac:dyDescent="0.2">
      <c r="AF27461" s="12"/>
    </row>
    <row r="27462" spans="32:32" x14ac:dyDescent="0.2">
      <c r="AF27462" s="12"/>
    </row>
    <row r="27463" spans="32:32" x14ac:dyDescent="0.2">
      <c r="AF27463" s="12"/>
    </row>
    <row r="27464" spans="32:32" x14ac:dyDescent="0.2">
      <c r="AF27464" s="12"/>
    </row>
    <row r="27465" spans="32:32" x14ac:dyDescent="0.2">
      <c r="AF27465" s="12"/>
    </row>
    <row r="27466" spans="32:32" x14ac:dyDescent="0.2">
      <c r="AF27466" s="12"/>
    </row>
    <row r="27467" spans="32:32" x14ac:dyDescent="0.2">
      <c r="AF27467" s="12"/>
    </row>
    <row r="27468" spans="32:32" x14ac:dyDescent="0.2">
      <c r="AF27468" s="12"/>
    </row>
    <row r="27469" spans="32:32" x14ac:dyDescent="0.2">
      <c r="AF27469" s="12"/>
    </row>
    <row r="27470" spans="32:32" x14ac:dyDescent="0.2">
      <c r="AF27470" s="12"/>
    </row>
    <row r="27471" spans="32:32" x14ac:dyDescent="0.2">
      <c r="AF27471" s="12"/>
    </row>
    <row r="27472" spans="32:32" x14ac:dyDescent="0.2">
      <c r="AF27472" s="12"/>
    </row>
    <row r="27473" spans="32:32" x14ac:dyDescent="0.2">
      <c r="AF27473" s="12"/>
    </row>
    <row r="27474" spans="32:32" x14ac:dyDescent="0.2">
      <c r="AF27474" s="12"/>
    </row>
    <row r="27475" spans="32:32" x14ac:dyDescent="0.2">
      <c r="AF27475" s="12"/>
    </row>
    <row r="27476" spans="32:32" x14ac:dyDescent="0.2">
      <c r="AF27476" s="12"/>
    </row>
    <row r="27477" spans="32:32" x14ac:dyDescent="0.2">
      <c r="AF27477" s="12"/>
    </row>
    <row r="27478" spans="32:32" x14ac:dyDescent="0.2">
      <c r="AF27478" s="12"/>
    </row>
    <row r="27479" spans="32:32" x14ac:dyDescent="0.2">
      <c r="AF27479" s="12"/>
    </row>
    <row r="27480" spans="32:32" x14ac:dyDescent="0.2">
      <c r="AF27480" s="12"/>
    </row>
    <row r="27481" spans="32:32" x14ac:dyDescent="0.2">
      <c r="AF27481" s="12"/>
    </row>
    <row r="27482" spans="32:32" x14ac:dyDescent="0.2">
      <c r="AF27482" s="12"/>
    </row>
    <row r="27483" spans="32:32" x14ac:dyDescent="0.2">
      <c r="AF27483" s="12"/>
    </row>
    <row r="27484" spans="32:32" x14ac:dyDescent="0.2">
      <c r="AF27484" s="12"/>
    </row>
    <row r="27485" spans="32:32" x14ac:dyDescent="0.2">
      <c r="AF27485" s="12"/>
    </row>
    <row r="27486" spans="32:32" x14ac:dyDescent="0.2">
      <c r="AF27486" s="12"/>
    </row>
    <row r="27487" spans="32:32" x14ac:dyDescent="0.2">
      <c r="AF27487" s="12"/>
    </row>
    <row r="27488" spans="32:32" x14ac:dyDescent="0.2">
      <c r="AF27488" s="12"/>
    </row>
    <row r="27489" spans="32:32" x14ac:dyDescent="0.2">
      <c r="AF27489" s="12"/>
    </row>
    <row r="27490" spans="32:32" x14ac:dyDescent="0.2">
      <c r="AF27490" s="12"/>
    </row>
    <row r="27491" spans="32:32" x14ac:dyDescent="0.2">
      <c r="AF27491" s="12"/>
    </row>
    <row r="27492" spans="32:32" x14ac:dyDescent="0.2">
      <c r="AF27492" s="12"/>
    </row>
    <row r="27493" spans="32:32" x14ac:dyDescent="0.2">
      <c r="AF27493" s="12"/>
    </row>
    <row r="27494" spans="32:32" x14ac:dyDescent="0.2">
      <c r="AF27494" s="12"/>
    </row>
    <row r="27495" spans="32:32" x14ac:dyDescent="0.2">
      <c r="AF27495" s="12"/>
    </row>
    <row r="27496" spans="32:32" x14ac:dyDescent="0.2">
      <c r="AF27496" s="12"/>
    </row>
    <row r="27497" spans="32:32" x14ac:dyDescent="0.2">
      <c r="AF27497" s="12"/>
    </row>
    <row r="27498" spans="32:32" x14ac:dyDescent="0.2">
      <c r="AF27498" s="12"/>
    </row>
    <row r="27499" spans="32:32" x14ac:dyDescent="0.2">
      <c r="AF27499" s="12"/>
    </row>
    <row r="27500" spans="32:32" x14ac:dyDescent="0.2">
      <c r="AF27500" s="12"/>
    </row>
    <row r="27501" spans="32:32" x14ac:dyDescent="0.2">
      <c r="AF27501" s="12"/>
    </row>
    <row r="27502" spans="32:32" x14ac:dyDescent="0.2">
      <c r="AF27502" s="12"/>
    </row>
    <row r="27503" spans="32:32" x14ac:dyDescent="0.2">
      <c r="AF27503" s="12"/>
    </row>
    <row r="27504" spans="32:32" x14ac:dyDescent="0.2">
      <c r="AF27504" s="12"/>
    </row>
    <row r="27505" spans="32:32" x14ac:dyDescent="0.2">
      <c r="AF27505" s="12"/>
    </row>
    <row r="27506" spans="32:32" x14ac:dyDescent="0.2">
      <c r="AF27506" s="12"/>
    </row>
    <row r="27507" spans="32:32" x14ac:dyDescent="0.2">
      <c r="AF27507" s="12"/>
    </row>
    <row r="27508" spans="32:32" x14ac:dyDescent="0.2">
      <c r="AF27508" s="12"/>
    </row>
    <row r="27509" spans="32:32" x14ac:dyDescent="0.2">
      <c r="AF27509" s="12"/>
    </row>
    <row r="27510" spans="32:32" x14ac:dyDescent="0.2">
      <c r="AF27510" s="12"/>
    </row>
    <row r="27511" spans="32:32" x14ac:dyDescent="0.2">
      <c r="AF27511" s="12"/>
    </row>
    <row r="27512" spans="32:32" x14ac:dyDescent="0.2">
      <c r="AF27512" s="12"/>
    </row>
    <row r="27513" spans="32:32" x14ac:dyDescent="0.2">
      <c r="AF27513" s="12"/>
    </row>
    <row r="27514" spans="32:32" x14ac:dyDescent="0.2">
      <c r="AF27514" s="12"/>
    </row>
    <row r="27515" spans="32:32" x14ac:dyDescent="0.2">
      <c r="AF27515" s="12"/>
    </row>
    <row r="27516" spans="32:32" x14ac:dyDescent="0.2">
      <c r="AF27516" s="12"/>
    </row>
    <row r="27517" spans="32:32" x14ac:dyDescent="0.2">
      <c r="AF27517" s="12"/>
    </row>
    <row r="27518" spans="32:32" x14ac:dyDescent="0.2">
      <c r="AF27518" s="12"/>
    </row>
    <row r="27519" spans="32:32" x14ac:dyDescent="0.2">
      <c r="AF27519" s="12"/>
    </row>
    <row r="27520" spans="32:32" x14ac:dyDescent="0.2">
      <c r="AF27520" s="12"/>
    </row>
    <row r="27521" spans="32:32" x14ac:dyDescent="0.2">
      <c r="AF27521" s="12"/>
    </row>
    <row r="27522" spans="32:32" x14ac:dyDescent="0.2">
      <c r="AF27522" s="12"/>
    </row>
    <row r="27523" spans="32:32" x14ac:dyDescent="0.2">
      <c r="AF27523" s="12"/>
    </row>
    <row r="27524" spans="32:32" x14ac:dyDescent="0.2">
      <c r="AF27524" s="12"/>
    </row>
    <row r="27525" spans="32:32" x14ac:dyDescent="0.2">
      <c r="AF27525" s="12"/>
    </row>
    <row r="27526" spans="32:32" x14ac:dyDescent="0.2">
      <c r="AF27526" s="12"/>
    </row>
    <row r="27527" spans="32:32" x14ac:dyDescent="0.2">
      <c r="AF27527" s="12"/>
    </row>
    <row r="27528" spans="32:32" x14ac:dyDescent="0.2">
      <c r="AF27528" s="12"/>
    </row>
    <row r="27529" spans="32:32" x14ac:dyDescent="0.2">
      <c r="AF27529" s="12"/>
    </row>
    <row r="27530" spans="32:32" x14ac:dyDescent="0.2">
      <c r="AF27530" s="12"/>
    </row>
    <row r="27531" spans="32:32" x14ac:dyDescent="0.2">
      <c r="AF27531" s="12"/>
    </row>
    <row r="27532" spans="32:32" x14ac:dyDescent="0.2">
      <c r="AF27532" s="12"/>
    </row>
    <row r="27533" spans="32:32" x14ac:dyDescent="0.2">
      <c r="AF27533" s="12"/>
    </row>
    <row r="27534" spans="32:32" x14ac:dyDescent="0.2">
      <c r="AF27534" s="12"/>
    </row>
    <row r="27535" spans="32:32" x14ac:dyDescent="0.2">
      <c r="AF27535" s="12"/>
    </row>
    <row r="27536" spans="32:32" x14ac:dyDescent="0.2">
      <c r="AF27536" s="12"/>
    </row>
    <row r="27537" spans="32:32" x14ac:dyDescent="0.2">
      <c r="AF27537" s="12"/>
    </row>
    <row r="27538" spans="32:32" x14ac:dyDescent="0.2">
      <c r="AF27538" s="12"/>
    </row>
    <row r="27539" spans="32:32" x14ac:dyDescent="0.2">
      <c r="AF27539" s="12"/>
    </row>
    <row r="27540" spans="32:32" x14ac:dyDescent="0.2">
      <c r="AF27540" s="12"/>
    </row>
    <row r="27541" spans="32:32" x14ac:dyDescent="0.2">
      <c r="AF27541" s="12"/>
    </row>
    <row r="27542" spans="32:32" x14ac:dyDescent="0.2">
      <c r="AF27542" s="12"/>
    </row>
    <row r="27543" spans="32:32" x14ac:dyDescent="0.2">
      <c r="AF27543" s="12"/>
    </row>
    <row r="27544" spans="32:32" x14ac:dyDescent="0.2">
      <c r="AF27544" s="12"/>
    </row>
    <row r="27545" spans="32:32" x14ac:dyDescent="0.2">
      <c r="AF27545" s="12"/>
    </row>
    <row r="27546" spans="32:32" x14ac:dyDescent="0.2">
      <c r="AF27546" s="12"/>
    </row>
    <row r="27547" spans="32:32" x14ac:dyDescent="0.2">
      <c r="AF27547" s="12"/>
    </row>
    <row r="27548" spans="32:32" x14ac:dyDescent="0.2">
      <c r="AF27548" s="12"/>
    </row>
    <row r="27549" spans="32:32" x14ac:dyDescent="0.2">
      <c r="AF27549" s="12"/>
    </row>
    <row r="27550" spans="32:32" x14ac:dyDescent="0.2">
      <c r="AF27550" s="12"/>
    </row>
    <row r="27551" spans="32:32" x14ac:dyDescent="0.2">
      <c r="AF27551" s="12"/>
    </row>
    <row r="27552" spans="32:32" x14ac:dyDescent="0.2">
      <c r="AF27552" s="12"/>
    </row>
    <row r="27553" spans="32:32" x14ac:dyDescent="0.2">
      <c r="AF27553" s="12"/>
    </row>
    <row r="27554" spans="32:32" x14ac:dyDescent="0.2">
      <c r="AF27554" s="12"/>
    </row>
    <row r="27555" spans="32:32" x14ac:dyDescent="0.2">
      <c r="AF27555" s="12"/>
    </row>
    <row r="27556" spans="32:32" x14ac:dyDescent="0.2">
      <c r="AF27556" s="12"/>
    </row>
    <row r="27557" spans="32:32" x14ac:dyDescent="0.2">
      <c r="AF27557" s="12"/>
    </row>
    <row r="27558" spans="32:32" x14ac:dyDescent="0.2">
      <c r="AF27558" s="12"/>
    </row>
    <row r="27559" spans="32:32" x14ac:dyDescent="0.2">
      <c r="AF27559" s="12"/>
    </row>
    <row r="27560" spans="32:32" x14ac:dyDescent="0.2">
      <c r="AF27560" s="12"/>
    </row>
    <row r="27561" spans="32:32" x14ac:dyDescent="0.2">
      <c r="AF27561" s="12"/>
    </row>
    <row r="27562" spans="32:32" x14ac:dyDescent="0.2">
      <c r="AF27562" s="12"/>
    </row>
    <row r="27563" spans="32:32" x14ac:dyDescent="0.2">
      <c r="AF27563" s="12"/>
    </row>
    <row r="27564" spans="32:32" x14ac:dyDescent="0.2">
      <c r="AF27564" s="12"/>
    </row>
    <row r="27565" spans="32:32" x14ac:dyDescent="0.2">
      <c r="AF27565" s="12"/>
    </row>
    <row r="27566" spans="32:32" x14ac:dyDescent="0.2">
      <c r="AF27566" s="12"/>
    </row>
    <row r="27567" spans="32:32" x14ac:dyDescent="0.2">
      <c r="AF27567" s="12"/>
    </row>
    <row r="27568" spans="32:32" x14ac:dyDescent="0.2">
      <c r="AF27568" s="12"/>
    </row>
    <row r="27569" spans="32:32" x14ac:dyDescent="0.2">
      <c r="AF27569" s="12"/>
    </row>
    <row r="27570" spans="32:32" x14ac:dyDescent="0.2">
      <c r="AF27570" s="12"/>
    </row>
    <row r="27571" spans="32:32" x14ac:dyDescent="0.2">
      <c r="AF27571" s="12"/>
    </row>
    <row r="27572" spans="32:32" x14ac:dyDescent="0.2">
      <c r="AF27572" s="12"/>
    </row>
    <row r="27573" spans="32:32" x14ac:dyDescent="0.2">
      <c r="AF27573" s="12"/>
    </row>
    <row r="27574" spans="32:32" x14ac:dyDescent="0.2">
      <c r="AF27574" s="12"/>
    </row>
    <row r="27575" spans="32:32" x14ac:dyDescent="0.2">
      <c r="AF27575" s="12"/>
    </row>
    <row r="27576" spans="32:32" x14ac:dyDescent="0.2">
      <c r="AF27576" s="12"/>
    </row>
    <row r="27577" spans="32:32" x14ac:dyDescent="0.2">
      <c r="AF27577" s="12"/>
    </row>
    <row r="27578" spans="32:32" x14ac:dyDescent="0.2">
      <c r="AF27578" s="12"/>
    </row>
    <row r="27579" spans="32:32" x14ac:dyDescent="0.2">
      <c r="AF27579" s="12"/>
    </row>
    <row r="27580" spans="32:32" x14ac:dyDescent="0.2">
      <c r="AF27580" s="12"/>
    </row>
    <row r="27581" spans="32:32" x14ac:dyDescent="0.2">
      <c r="AF27581" s="12"/>
    </row>
    <row r="27582" spans="32:32" x14ac:dyDescent="0.2">
      <c r="AF27582" s="12"/>
    </row>
    <row r="27583" spans="32:32" x14ac:dyDescent="0.2">
      <c r="AF27583" s="12"/>
    </row>
    <row r="27584" spans="32:32" x14ac:dyDescent="0.2">
      <c r="AF27584" s="12"/>
    </row>
    <row r="27585" spans="32:32" x14ac:dyDescent="0.2">
      <c r="AF27585" s="12"/>
    </row>
    <row r="27586" spans="32:32" x14ac:dyDescent="0.2">
      <c r="AF27586" s="12"/>
    </row>
    <row r="27587" spans="32:32" x14ac:dyDescent="0.2">
      <c r="AF27587" s="12"/>
    </row>
    <row r="27588" spans="32:32" x14ac:dyDescent="0.2">
      <c r="AF27588" s="12"/>
    </row>
    <row r="27589" spans="32:32" x14ac:dyDescent="0.2">
      <c r="AF27589" s="12"/>
    </row>
    <row r="27590" spans="32:32" x14ac:dyDescent="0.2">
      <c r="AF27590" s="12"/>
    </row>
    <row r="27591" spans="32:32" x14ac:dyDescent="0.2">
      <c r="AF27591" s="12"/>
    </row>
    <row r="27592" spans="32:32" x14ac:dyDescent="0.2">
      <c r="AF27592" s="12"/>
    </row>
    <row r="27593" spans="32:32" x14ac:dyDescent="0.2">
      <c r="AF27593" s="12"/>
    </row>
    <row r="27594" spans="32:32" x14ac:dyDescent="0.2">
      <c r="AF27594" s="12"/>
    </row>
    <row r="27595" spans="32:32" x14ac:dyDescent="0.2">
      <c r="AF27595" s="12"/>
    </row>
    <row r="27596" spans="32:32" x14ac:dyDescent="0.2">
      <c r="AF27596" s="12"/>
    </row>
    <row r="27597" spans="32:32" x14ac:dyDescent="0.2">
      <c r="AF27597" s="12"/>
    </row>
    <row r="27598" spans="32:32" x14ac:dyDescent="0.2">
      <c r="AF27598" s="12"/>
    </row>
    <row r="27599" spans="32:32" x14ac:dyDescent="0.2">
      <c r="AF27599" s="12"/>
    </row>
    <row r="27600" spans="32:32" x14ac:dyDescent="0.2">
      <c r="AF27600" s="12"/>
    </row>
    <row r="27601" spans="32:32" x14ac:dyDescent="0.2">
      <c r="AF27601" s="12"/>
    </row>
    <row r="27602" spans="32:32" x14ac:dyDescent="0.2">
      <c r="AF27602" s="12"/>
    </row>
    <row r="27603" spans="32:32" x14ac:dyDescent="0.2">
      <c r="AF27603" s="12"/>
    </row>
    <row r="27604" spans="32:32" x14ac:dyDescent="0.2">
      <c r="AF27604" s="12"/>
    </row>
    <row r="27605" spans="32:32" x14ac:dyDescent="0.2">
      <c r="AF27605" s="12"/>
    </row>
    <row r="27606" spans="32:32" x14ac:dyDescent="0.2">
      <c r="AF27606" s="12"/>
    </row>
    <row r="27607" spans="32:32" x14ac:dyDescent="0.2">
      <c r="AF27607" s="12"/>
    </row>
    <row r="27608" spans="32:32" x14ac:dyDescent="0.2">
      <c r="AF27608" s="12"/>
    </row>
    <row r="27609" spans="32:32" x14ac:dyDescent="0.2">
      <c r="AF27609" s="12"/>
    </row>
    <row r="27610" spans="32:32" x14ac:dyDescent="0.2">
      <c r="AF27610" s="12"/>
    </row>
    <row r="27611" spans="32:32" x14ac:dyDescent="0.2">
      <c r="AF27611" s="12"/>
    </row>
    <row r="27612" spans="32:32" x14ac:dyDescent="0.2">
      <c r="AF27612" s="12"/>
    </row>
    <row r="27613" spans="32:32" x14ac:dyDescent="0.2">
      <c r="AF27613" s="12"/>
    </row>
    <row r="27614" spans="32:32" x14ac:dyDescent="0.2">
      <c r="AF27614" s="12"/>
    </row>
    <row r="27615" spans="32:32" x14ac:dyDescent="0.2">
      <c r="AF27615" s="12"/>
    </row>
    <row r="27616" spans="32:32" x14ac:dyDescent="0.2">
      <c r="AF27616" s="12"/>
    </row>
    <row r="27617" spans="32:32" x14ac:dyDescent="0.2">
      <c r="AF27617" s="12"/>
    </row>
    <row r="27618" spans="32:32" x14ac:dyDescent="0.2">
      <c r="AF27618" s="12"/>
    </row>
    <row r="27619" spans="32:32" x14ac:dyDescent="0.2">
      <c r="AF27619" s="12"/>
    </row>
    <row r="27620" spans="32:32" x14ac:dyDescent="0.2">
      <c r="AF27620" s="12"/>
    </row>
    <row r="27621" spans="32:32" x14ac:dyDescent="0.2">
      <c r="AF27621" s="12"/>
    </row>
    <row r="27622" spans="32:32" x14ac:dyDescent="0.2">
      <c r="AF27622" s="12"/>
    </row>
    <row r="27623" spans="32:32" x14ac:dyDescent="0.2">
      <c r="AF27623" s="12"/>
    </row>
    <row r="27624" spans="32:32" x14ac:dyDescent="0.2">
      <c r="AF27624" s="12"/>
    </row>
    <row r="27625" spans="32:32" x14ac:dyDescent="0.2">
      <c r="AF27625" s="12"/>
    </row>
    <row r="27626" spans="32:32" x14ac:dyDescent="0.2">
      <c r="AF27626" s="12"/>
    </row>
    <row r="27627" spans="32:32" x14ac:dyDescent="0.2">
      <c r="AF27627" s="12"/>
    </row>
    <row r="27628" spans="32:32" x14ac:dyDescent="0.2">
      <c r="AF27628" s="12"/>
    </row>
    <row r="27629" spans="32:32" x14ac:dyDescent="0.2">
      <c r="AF27629" s="12"/>
    </row>
    <row r="27630" spans="32:32" x14ac:dyDescent="0.2">
      <c r="AF27630" s="12"/>
    </row>
    <row r="27631" spans="32:32" x14ac:dyDescent="0.2">
      <c r="AF27631" s="12"/>
    </row>
    <row r="27632" spans="32:32" x14ac:dyDescent="0.2">
      <c r="AF27632" s="12"/>
    </row>
    <row r="27633" spans="32:32" x14ac:dyDescent="0.2">
      <c r="AF27633" s="12"/>
    </row>
    <row r="27634" spans="32:32" x14ac:dyDescent="0.2">
      <c r="AF27634" s="12"/>
    </row>
    <row r="27635" spans="32:32" x14ac:dyDescent="0.2">
      <c r="AF27635" s="12"/>
    </row>
    <row r="27636" spans="32:32" x14ac:dyDescent="0.2">
      <c r="AF27636" s="12"/>
    </row>
    <row r="27637" spans="32:32" x14ac:dyDescent="0.2">
      <c r="AF27637" s="12"/>
    </row>
    <row r="27638" spans="32:32" x14ac:dyDescent="0.2">
      <c r="AF27638" s="12"/>
    </row>
    <row r="27639" spans="32:32" x14ac:dyDescent="0.2">
      <c r="AF27639" s="12"/>
    </row>
    <row r="27640" spans="32:32" x14ac:dyDescent="0.2">
      <c r="AF27640" s="12"/>
    </row>
    <row r="27641" spans="32:32" x14ac:dyDescent="0.2">
      <c r="AF27641" s="12"/>
    </row>
    <row r="27642" spans="32:32" x14ac:dyDescent="0.2">
      <c r="AF27642" s="12"/>
    </row>
    <row r="27643" spans="32:32" x14ac:dyDescent="0.2">
      <c r="AF27643" s="12"/>
    </row>
    <row r="27644" spans="32:32" x14ac:dyDescent="0.2">
      <c r="AF27644" s="12"/>
    </row>
    <row r="27645" spans="32:32" x14ac:dyDescent="0.2">
      <c r="AF27645" s="12"/>
    </row>
    <row r="27646" spans="32:32" x14ac:dyDescent="0.2">
      <c r="AF27646" s="12"/>
    </row>
    <row r="27647" spans="32:32" x14ac:dyDescent="0.2">
      <c r="AF27647" s="12"/>
    </row>
    <row r="27648" spans="32:32" x14ac:dyDescent="0.2">
      <c r="AF27648" s="12"/>
    </row>
    <row r="27649" spans="32:32" x14ac:dyDescent="0.2">
      <c r="AF27649" s="12"/>
    </row>
    <row r="27650" spans="32:32" x14ac:dyDescent="0.2">
      <c r="AF27650" s="12"/>
    </row>
    <row r="27651" spans="32:32" x14ac:dyDescent="0.2">
      <c r="AF27651" s="12"/>
    </row>
    <row r="27652" spans="32:32" x14ac:dyDescent="0.2">
      <c r="AF27652" s="12"/>
    </row>
    <row r="27653" spans="32:32" x14ac:dyDescent="0.2">
      <c r="AF27653" s="12"/>
    </row>
    <row r="27654" spans="32:32" x14ac:dyDescent="0.2">
      <c r="AF27654" s="12"/>
    </row>
    <row r="27655" spans="32:32" x14ac:dyDescent="0.2">
      <c r="AF27655" s="12"/>
    </row>
    <row r="27656" spans="32:32" x14ac:dyDescent="0.2">
      <c r="AF27656" s="12"/>
    </row>
    <row r="27657" spans="32:32" x14ac:dyDescent="0.2">
      <c r="AF27657" s="12"/>
    </row>
    <row r="27658" spans="32:32" x14ac:dyDescent="0.2">
      <c r="AF27658" s="12"/>
    </row>
    <row r="27659" spans="32:32" x14ac:dyDescent="0.2">
      <c r="AF27659" s="12"/>
    </row>
    <row r="27660" spans="32:32" x14ac:dyDescent="0.2">
      <c r="AF27660" s="12"/>
    </row>
    <row r="27661" spans="32:32" x14ac:dyDescent="0.2">
      <c r="AF27661" s="12"/>
    </row>
    <row r="27662" spans="32:32" x14ac:dyDescent="0.2">
      <c r="AF27662" s="12"/>
    </row>
    <row r="27663" spans="32:32" x14ac:dyDescent="0.2">
      <c r="AF27663" s="12"/>
    </row>
    <row r="27664" spans="32:32" x14ac:dyDescent="0.2">
      <c r="AF27664" s="12"/>
    </row>
    <row r="27665" spans="32:32" x14ac:dyDescent="0.2">
      <c r="AF27665" s="12"/>
    </row>
    <row r="27666" spans="32:32" x14ac:dyDescent="0.2">
      <c r="AF27666" s="12"/>
    </row>
    <row r="27667" spans="32:32" x14ac:dyDescent="0.2">
      <c r="AF27667" s="12"/>
    </row>
    <row r="27668" spans="32:32" x14ac:dyDescent="0.2">
      <c r="AF27668" s="12"/>
    </row>
    <row r="27669" spans="32:32" x14ac:dyDescent="0.2">
      <c r="AF27669" s="12"/>
    </row>
    <row r="27670" spans="32:32" x14ac:dyDescent="0.2">
      <c r="AF27670" s="12"/>
    </row>
    <row r="27671" spans="32:32" x14ac:dyDescent="0.2">
      <c r="AF27671" s="12"/>
    </row>
    <row r="27672" spans="32:32" x14ac:dyDescent="0.2">
      <c r="AF27672" s="12"/>
    </row>
    <row r="27673" spans="32:32" x14ac:dyDescent="0.2">
      <c r="AF27673" s="12"/>
    </row>
    <row r="27674" spans="32:32" x14ac:dyDescent="0.2">
      <c r="AF27674" s="12"/>
    </row>
    <row r="27675" spans="32:32" x14ac:dyDescent="0.2">
      <c r="AF27675" s="12"/>
    </row>
    <row r="27676" spans="32:32" x14ac:dyDescent="0.2">
      <c r="AF27676" s="12"/>
    </row>
    <row r="27677" spans="32:32" x14ac:dyDescent="0.2">
      <c r="AF27677" s="12"/>
    </row>
    <row r="27678" spans="32:32" x14ac:dyDescent="0.2">
      <c r="AF27678" s="12"/>
    </row>
    <row r="27679" spans="32:32" x14ac:dyDescent="0.2">
      <c r="AF27679" s="12"/>
    </row>
    <row r="27680" spans="32:32" x14ac:dyDescent="0.2">
      <c r="AF27680" s="12"/>
    </row>
    <row r="27681" spans="32:32" x14ac:dyDescent="0.2">
      <c r="AF27681" s="12"/>
    </row>
    <row r="27682" spans="32:32" x14ac:dyDescent="0.2">
      <c r="AF27682" s="12"/>
    </row>
    <row r="27683" spans="32:32" x14ac:dyDescent="0.2">
      <c r="AF27683" s="12"/>
    </row>
    <row r="27684" spans="32:32" x14ac:dyDescent="0.2">
      <c r="AF27684" s="12"/>
    </row>
    <row r="27685" spans="32:32" x14ac:dyDescent="0.2">
      <c r="AF27685" s="12"/>
    </row>
    <row r="27686" spans="32:32" x14ac:dyDescent="0.2">
      <c r="AF27686" s="12"/>
    </row>
    <row r="27687" spans="32:32" x14ac:dyDescent="0.2">
      <c r="AF27687" s="12"/>
    </row>
    <row r="27688" spans="32:32" x14ac:dyDescent="0.2">
      <c r="AF27688" s="12"/>
    </row>
    <row r="27689" spans="32:32" x14ac:dyDescent="0.2">
      <c r="AF27689" s="12"/>
    </row>
    <row r="27690" spans="32:32" x14ac:dyDescent="0.2">
      <c r="AF27690" s="12"/>
    </row>
    <row r="27691" spans="32:32" x14ac:dyDescent="0.2">
      <c r="AF27691" s="12"/>
    </row>
    <row r="27692" spans="32:32" x14ac:dyDescent="0.2">
      <c r="AF27692" s="12"/>
    </row>
    <row r="27693" spans="32:32" x14ac:dyDescent="0.2">
      <c r="AF27693" s="12"/>
    </row>
    <row r="27694" spans="32:32" x14ac:dyDescent="0.2">
      <c r="AF27694" s="12"/>
    </row>
    <row r="27695" spans="32:32" x14ac:dyDescent="0.2">
      <c r="AF27695" s="12"/>
    </row>
    <row r="27696" spans="32:32" x14ac:dyDescent="0.2">
      <c r="AF27696" s="12"/>
    </row>
    <row r="27697" spans="32:32" x14ac:dyDescent="0.2">
      <c r="AF27697" s="12"/>
    </row>
    <row r="27698" spans="32:32" x14ac:dyDescent="0.2">
      <c r="AF27698" s="12"/>
    </row>
    <row r="27699" spans="32:32" x14ac:dyDescent="0.2">
      <c r="AF27699" s="12"/>
    </row>
    <row r="27700" spans="32:32" x14ac:dyDescent="0.2">
      <c r="AF27700" s="12"/>
    </row>
    <row r="27701" spans="32:32" x14ac:dyDescent="0.2">
      <c r="AF27701" s="12"/>
    </row>
    <row r="27702" spans="32:32" x14ac:dyDescent="0.2">
      <c r="AF27702" s="12"/>
    </row>
    <row r="27703" spans="32:32" x14ac:dyDescent="0.2">
      <c r="AF27703" s="12"/>
    </row>
    <row r="27704" spans="32:32" x14ac:dyDescent="0.2">
      <c r="AF27704" s="12"/>
    </row>
    <row r="27705" spans="32:32" x14ac:dyDescent="0.2">
      <c r="AF27705" s="12"/>
    </row>
    <row r="27706" spans="32:32" x14ac:dyDescent="0.2">
      <c r="AF27706" s="12"/>
    </row>
    <row r="27707" spans="32:32" x14ac:dyDescent="0.2">
      <c r="AF27707" s="12"/>
    </row>
    <row r="27708" spans="32:32" x14ac:dyDescent="0.2">
      <c r="AF27708" s="12"/>
    </row>
    <row r="27709" spans="32:32" x14ac:dyDescent="0.2">
      <c r="AF27709" s="12"/>
    </row>
    <row r="27710" spans="32:32" x14ac:dyDescent="0.2">
      <c r="AF27710" s="12"/>
    </row>
    <row r="27711" spans="32:32" x14ac:dyDescent="0.2">
      <c r="AF27711" s="12"/>
    </row>
    <row r="27712" spans="32:32" x14ac:dyDescent="0.2">
      <c r="AF27712" s="12"/>
    </row>
    <row r="27713" spans="32:32" x14ac:dyDescent="0.2">
      <c r="AF27713" s="12"/>
    </row>
    <row r="27714" spans="32:32" x14ac:dyDescent="0.2">
      <c r="AF27714" s="12"/>
    </row>
    <row r="27715" spans="32:32" x14ac:dyDescent="0.2">
      <c r="AF27715" s="12"/>
    </row>
    <row r="27716" spans="32:32" x14ac:dyDescent="0.2">
      <c r="AF27716" s="12"/>
    </row>
    <row r="27717" spans="32:32" x14ac:dyDescent="0.2">
      <c r="AF27717" s="12"/>
    </row>
    <row r="27718" spans="32:32" x14ac:dyDescent="0.2">
      <c r="AF27718" s="12"/>
    </row>
    <row r="27719" spans="32:32" x14ac:dyDescent="0.2">
      <c r="AF27719" s="12"/>
    </row>
    <row r="27720" spans="32:32" x14ac:dyDescent="0.2">
      <c r="AF27720" s="12"/>
    </row>
    <row r="27721" spans="32:32" x14ac:dyDescent="0.2">
      <c r="AF27721" s="12"/>
    </row>
    <row r="27722" spans="32:32" x14ac:dyDescent="0.2">
      <c r="AF27722" s="12"/>
    </row>
    <row r="27723" spans="32:32" x14ac:dyDescent="0.2">
      <c r="AF27723" s="12"/>
    </row>
    <row r="27724" spans="32:32" x14ac:dyDescent="0.2">
      <c r="AF27724" s="12"/>
    </row>
    <row r="27725" spans="32:32" x14ac:dyDescent="0.2">
      <c r="AF27725" s="12"/>
    </row>
    <row r="27726" spans="32:32" x14ac:dyDescent="0.2">
      <c r="AF27726" s="12"/>
    </row>
    <row r="27727" spans="32:32" x14ac:dyDescent="0.2">
      <c r="AF27727" s="12"/>
    </row>
    <row r="27728" spans="32:32" x14ac:dyDescent="0.2">
      <c r="AF27728" s="12"/>
    </row>
    <row r="27729" spans="32:32" x14ac:dyDescent="0.2">
      <c r="AF27729" s="12"/>
    </row>
    <row r="27730" spans="32:32" x14ac:dyDescent="0.2">
      <c r="AF27730" s="12"/>
    </row>
    <row r="27731" spans="32:32" x14ac:dyDescent="0.2">
      <c r="AF27731" s="12"/>
    </row>
    <row r="27732" spans="32:32" x14ac:dyDescent="0.2">
      <c r="AF27732" s="12"/>
    </row>
    <row r="27733" spans="32:32" x14ac:dyDescent="0.2">
      <c r="AF27733" s="12"/>
    </row>
    <row r="27734" spans="32:32" x14ac:dyDescent="0.2">
      <c r="AF27734" s="12"/>
    </row>
    <row r="27735" spans="32:32" x14ac:dyDescent="0.2">
      <c r="AF27735" s="12"/>
    </row>
    <row r="27736" spans="32:32" x14ac:dyDescent="0.2">
      <c r="AF27736" s="12"/>
    </row>
    <row r="27737" spans="32:32" x14ac:dyDescent="0.2">
      <c r="AF27737" s="12"/>
    </row>
    <row r="27738" spans="32:32" x14ac:dyDescent="0.2">
      <c r="AF27738" s="12"/>
    </row>
    <row r="27739" spans="32:32" x14ac:dyDescent="0.2">
      <c r="AF27739" s="12"/>
    </row>
    <row r="27740" spans="32:32" x14ac:dyDescent="0.2">
      <c r="AF27740" s="12"/>
    </row>
    <row r="27741" spans="32:32" x14ac:dyDescent="0.2">
      <c r="AF27741" s="12"/>
    </row>
    <row r="27742" spans="32:32" x14ac:dyDescent="0.2">
      <c r="AF27742" s="12"/>
    </row>
    <row r="27743" spans="32:32" x14ac:dyDescent="0.2">
      <c r="AF27743" s="12"/>
    </row>
    <row r="27744" spans="32:32" x14ac:dyDescent="0.2">
      <c r="AF27744" s="12"/>
    </row>
    <row r="27745" spans="32:32" x14ac:dyDescent="0.2">
      <c r="AF27745" s="12"/>
    </row>
    <row r="27746" spans="32:32" x14ac:dyDescent="0.2">
      <c r="AF27746" s="12"/>
    </row>
    <row r="27747" spans="32:32" x14ac:dyDescent="0.2">
      <c r="AF27747" s="12"/>
    </row>
    <row r="27748" spans="32:32" x14ac:dyDescent="0.2">
      <c r="AF27748" s="12"/>
    </row>
    <row r="27749" spans="32:32" x14ac:dyDescent="0.2">
      <c r="AF27749" s="12"/>
    </row>
    <row r="27750" spans="32:32" x14ac:dyDescent="0.2">
      <c r="AF27750" s="12"/>
    </row>
    <row r="27751" spans="32:32" x14ac:dyDescent="0.2">
      <c r="AF27751" s="12"/>
    </row>
    <row r="27752" spans="32:32" x14ac:dyDescent="0.2">
      <c r="AF27752" s="12"/>
    </row>
    <row r="27753" spans="32:32" x14ac:dyDescent="0.2">
      <c r="AF27753" s="12"/>
    </row>
    <row r="27754" spans="32:32" x14ac:dyDescent="0.2">
      <c r="AF27754" s="12"/>
    </row>
    <row r="27755" spans="32:32" x14ac:dyDescent="0.2">
      <c r="AF27755" s="12"/>
    </row>
    <row r="27756" spans="32:32" x14ac:dyDescent="0.2">
      <c r="AF27756" s="12"/>
    </row>
    <row r="27757" spans="32:32" x14ac:dyDescent="0.2">
      <c r="AF27757" s="12"/>
    </row>
    <row r="27758" spans="32:32" x14ac:dyDescent="0.2">
      <c r="AF27758" s="12"/>
    </row>
    <row r="27759" spans="32:32" x14ac:dyDescent="0.2">
      <c r="AF27759" s="12"/>
    </row>
    <row r="27760" spans="32:32" x14ac:dyDescent="0.2">
      <c r="AF27760" s="12"/>
    </row>
    <row r="27761" spans="32:32" x14ac:dyDescent="0.2">
      <c r="AF27761" s="12"/>
    </row>
    <row r="27762" spans="32:32" x14ac:dyDescent="0.2">
      <c r="AF27762" s="12"/>
    </row>
    <row r="27763" spans="32:32" x14ac:dyDescent="0.2">
      <c r="AF27763" s="12"/>
    </row>
    <row r="27764" spans="32:32" x14ac:dyDescent="0.2">
      <c r="AF27764" s="12"/>
    </row>
    <row r="27765" spans="32:32" x14ac:dyDescent="0.2">
      <c r="AF27765" s="12"/>
    </row>
    <row r="27766" spans="32:32" x14ac:dyDescent="0.2">
      <c r="AF27766" s="12"/>
    </row>
    <row r="27767" spans="32:32" x14ac:dyDescent="0.2">
      <c r="AF27767" s="12"/>
    </row>
    <row r="27768" spans="32:32" x14ac:dyDescent="0.2">
      <c r="AF27768" s="12"/>
    </row>
    <row r="27769" spans="32:32" x14ac:dyDescent="0.2">
      <c r="AF27769" s="12"/>
    </row>
    <row r="27770" spans="32:32" x14ac:dyDescent="0.2">
      <c r="AF27770" s="12"/>
    </row>
    <row r="27771" spans="32:32" x14ac:dyDescent="0.2">
      <c r="AF27771" s="12"/>
    </row>
    <row r="27772" spans="32:32" x14ac:dyDescent="0.2">
      <c r="AF27772" s="12"/>
    </row>
    <row r="27773" spans="32:32" x14ac:dyDescent="0.2">
      <c r="AF27773" s="12"/>
    </row>
    <row r="27774" spans="32:32" x14ac:dyDescent="0.2">
      <c r="AF27774" s="12"/>
    </row>
    <row r="27775" spans="32:32" x14ac:dyDescent="0.2">
      <c r="AF27775" s="12"/>
    </row>
    <row r="27776" spans="32:32" x14ac:dyDescent="0.2">
      <c r="AF27776" s="12"/>
    </row>
    <row r="27777" spans="32:32" x14ac:dyDescent="0.2">
      <c r="AF27777" s="12"/>
    </row>
    <row r="27778" spans="32:32" x14ac:dyDescent="0.2">
      <c r="AF27778" s="12"/>
    </row>
    <row r="27779" spans="32:32" x14ac:dyDescent="0.2">
      <c r="AF27779" s="12"/>
    </row>
    <row r="27780" spans="32:32" x14ac:dyDescent="0.2">
      <c r="AF27780" s="12"/>
    </row>
    <row r="27781" spans="32:32" x14ac:dyDescent="0.2">
      <c r="AF27781" s="12"/>
    </row>
    <row r="27782" spans="32:32" x14ac:dyDescent="0.2">
      <c r="AF27782" s="12"/>
    </row>
    <row r="27783" spans="32:32" x14ac:dyDescent="0.2">
      <c r="AF27783" s="12"/>
    </row>
    <row r="27784" spans="32:32" x14ac:dyDescent="0.2">
      <c r="AF27784" s="12"/>
    </row>
    <row r="27785" spans="32:32" x14ac:dyDescent="0.2">
      <c r="AF27785" s="12"/>
    </row>
    <row r="27786" spans="32:32" x14ac:dyDescent="0.2">
      <c r="AF27786" s="12"/>
    </row>
    <row r="27787" spans="32:32" x14ac:dyDescent="0.2">
      <c r="AF27787" s="12"/>
    </row>
    <row r="27788" spans="32:32" x14ac:dyDescent="0.2">
      <c r="AF27788" s="12"/>
    </row>
    <row r="27789" spans="32:32" x14ac:dyDescent="0.2">
      <c r="AF27789" s="12"/>
    </row>
    <row r="27790" spans="32:32" x14ac:dyDescent="0.2">
      <c r="AF27790" s="12"/>
    </row>
    <row r="27791" spans="32:32" x14ac:dyDescent="0.2">
      <c r="AF27791" s="12"/>
    </row>
    <row r="27792" spans="32:32" x14ac:dyDescent="0.2">
      <c r="AF27792" s="12"/>
    </row>
    <row r="27793" spans="32:32" x14ac:dyDescent="0.2">
      <c r="AF27793" s="12"/>
    </row>
    <row r="27794" spans="32:32" x14ac:dyDescent="0.2">
      <c r="AF27794" s="12"/>
    </row>
    <row r="27795" spans="32:32" x14ac:dyDescent="0.2">
      <c r="AF27795" s="12"/>
    </row>
    <row r="27796" spans="32:32" x14ac:dyDescent="0.2">
      <c r="AF27796" s="12"/>
    </row>
    <row r="27797" spans="32:32" x14ac:dyDescent="0.2">
      <c r="AF27797" s="12"/>
    </row>
    <row r="27798" spans="32:32" x14ac:dyDescent="0.2">
      <c r="AF27798" s="12"/>
    </row>
    <row r="27799" spans="32:32" x14ac:dyDescent="0.2">
      <c r="AF27799" s="12"/>
    </row>
    <row r="27800" spans="32:32" x14ac:dyDescent="0.2">
      <c r="AF27800" s="12"/>
    </row>
    <row r="27801" spans="32:32" x14ac:dyDescent="0.2">
      <c r="AF27801" s="12"/>
    </row>
    <row r="27802" spans="32:32" x14ac:dyDescent="0.2">
      <c r="AF27802" s="12"/>
    </row>
    <row r="27803" spans="32:32" x14ac:dyDescent="0.2">
      <c r="AF27803" s="12"/>
    </row>
    <row r="27804" spans="32:32" x14ac:dyDescent="0.2">
      <c r="AF27804" s="12"/>
    </row>
    <row r="27805" spans="32:32" x14ac:dyDescent="0.2">
      <c r="AF27805" s="12"/>
    </row>
    <row r="27806" spans="32:32" x14ac:dyDescent="0.2">
      <c r="AF27806" s="12"/>
    </row>
    <row r="27807" spans="32:32" x14ac:dyDescent="0.2">
      <c r="AF27807" s="12"/>
    </row>
    <row r="27808" spans="32:32" x14ac:dyDescent="0.2">
      <c r="AF27808" s="12"/>
    </row>
    <row r="27809" spans="32:32" x14ac:dyDescent="0.2">
      <c r="AF27809" s="12"/>
    </row>
    <row r="27810" spans="32:32" x14ac:dyDescent="0.2">
      <c r="AF27810" s="12"/>
    </row>
    <row r="27811" spans="32:32" x14ac:dyDescent="0.2">
      <c r="AF27811" s="12"/>
    </row>
    <row r="27812" spans="32:32" x14ac:dyDescent="0.2">
      <c r="AF27812" s="12"/>
    </row>
    <row r="27813" spans="32:32" x14ac:dyDescent="0.2">
      <c r="AF27813" s="12"/>
    </row>
    <row r="27814" spans="32:32" x14ac:dyDescent="0.2">
      <c r="AF27814" s="12"/>
    </row>
    <row r="27815" spans="32:32" x14ac:dyDescent="0.2">
      <c r="AF27815" s="12"/>
    </row>
    <row r="27816" spans="32:32" x14ac:dyDescent="0.2">
      <c r="AF27816" s="12"/>
    </row>
    <row r="27817" spans="32:32" x14ac:dyDescent="0.2">
      <c r="AF27817" s="12"/>
    </row>
    <row r="27818" spans="32:32" x14ac:dyDescent="0.2">
      <c r="AF27818" s="12"/>
    </row>
    <row r="27819" spans="32:32" x14ac:dyDescent="0.2">
      <c r="AF27819" s="12"/>
    </row>
    <row r="27820" spans="32:32" x14ac:dyDescent="0.2">
      <c r="AF27820" s="12"/>
    </row>
    <row r="27821" spans="32:32" x14ac:dyDescent="0.2">
      <c r="AF27821" s="12"/>
    </row>
    <row r="27822" spans="32:32" x14ac:dyDescent="0.2">
      <c r="AF27822" s="12"/>
    </row>
    <row r="27823" spans="32:32" x14ac:dyDescent="0.2">
      <c r="AF27823" s="12"/>
    </row>
    <row r="27824" spans="32:32" x14ac:dyDescent="0.2">
      <c r="AF27824" s="12"/>
    </row>
    <row r="27825" spans="32:32" x14ac:dyDescent="0.2">
      <c r="AF27825" s="12"/>
    </row>
    <row r="27826" spans="32:32" x14ac:dyDescent="0.2">
      <c r="AF27826" s="12"/>
    </row>
    <row r="27827" spans="32:32" x14ac:dyDescent="0.2">
      <c r="AF27827" s="12"/>
    </row>
    <row r="27828" spans="32:32" x14ac:dyDescent="0.2">
      <c r="AF27828" s="12"/>
    </row>
    <row r="27829" spans="32:32" x14ac:dyDescent="0.2">
      <c r="AF27829" s="12"/>
    </row>
    <row r="27830" spans="32:32" x14ac:dyDescent="0.2">
      <c r="AF27830" s="12"/>
    </row>
    <row r="27831" spans="32:32" x14ac:dyDescent="0.2">
      <c r="AF27831" s="12"/>
    </row>
    <row r="27832" spans="32:32" x14ac:dyDescent="0.2">
      <c r="AF27832" s="12"/>
    </row>
    <row r="27833" spans="32:32" x14ac:dyDescent="0.2">
      <c r="AF27833" s="12"/>
    </row>
    <row r="27834" spans="32:32" x14ac:dyDescent="0.2">
      <c r="AF27834" s="12"/>
    </row>
    <row r="27835" spans="32:32" x14ac:dyDescent="0.2">
      <c r="AF27835" s="12"/>
    </row>
    <row r="27836" spans="32:32" x14ac:dyDescent="0.2">
      <c r="AF27836" s="12"/>
    </row>
    <row r="27837" spans="32:32" x14ac:dyDescent="0.2">
      <c r="AF27837" s="12"/>
    </row>
    <row r="27838" spans="32:32" x14ac:dyDescent="0.2">
      <c r="AF27838" s="12"/>
    </row>
    <row r="27839" spans="32:32" x14ac:dyDescent="0.2">
      <c r="AF27839" s="12"/>
    </row>
    <row r="27840" spans="32:32" x14ac:dyDescent="0.2">
      <c r="AF27840" s="12"/>
    </row>
    <row r="27841" spans="32:32" x14ac:dyDescent="0.2">
      <c r="AF27841" s="12"/>
    </row>
    <row r="27842" spans="32:32" x14ac:dyDescent="0.2">
      <c r="AF27842" s="12"/>
    </row>
    <row r="27843" spans="32:32" x14ac:dyDescent="0.2">
      <c r="AF27843" s="12"/>
    </row>
    <row r="27844" spans="32:32" x14ac:dyDescent="0.2">
      <c r="AF27844" s="12"/>
    </row>
    <row r="27845" spans="32:32" x14ac:dyDescent="0.2">
      <c r="AF27845" s="12"/>
    </row>
    <row r="27846" spans="32:32" x14ac:dyDescent="0.2">
      <c r="AF27846" s="12"/>
    </row>
    <row r="27847" spans="32:32" x14ac:dyDescent="0.2">
      <c r="AF27847" s="12"/>
    </row>
    <row r="27848" spans="32:32" x14ac:dyDescent="0.2">
      <c r="AF27848" s="12"/>
    </row>
    <row r="27849" spans="32:32" x14ac:dyDescent="0.2">
      <c r="AF27849" s="12"/>
    </row>
    <row r="27850" spans="32:32" x14ac:dyDescent="0.2">
      <c r="AF27850" s="12"/>
    </row>
    <row r="27851" spans="32:32" x14ac:dyDescent="0.2">
      <c r="AF27851" s="12"/>
    </row>
    <row r="27852" spans="32:32" x14ac:dyDescent="0.2">
      <c r="AF27852" s="12"/>
    </row>
    <row r="27853" spans="32:32" x14ac:dyDescent="0.2">
      <c r="AF27853" s="12"/>
    </row>
    <row r="27854" spans="32:32" x14ac:dyDescent="0.2">
      <c r="AF27854" s="12"/>
    </row>
    <row r="27855" spans="32:32" x14ac:dyDescent="0.2">
      <c r="AF27855" s="12"/>
    </row>
    <row r="27856" spans="32:32" x14ac:dyDescent="0.2">
      <c r="AF27856" s="12"/>
    </row>
    <row r="27857" spans="32:32" x14ac:dyDescent="0.2">
      <c r="AF27857" s="12"/>
    </row>
    <row r="27858" spans="32:32" x14ac:dyDescent="0.2">
      <c r="AF27858" s="12"/>
    </row>
    <row r="27859" spans="32:32" x14ac:dyDescent="0.2">
      <c r="AF27859" s="12"/>
    </row>
    <row r="27860" spans="32:32" x14ac:dyDescent="0.2">
      <c r="AF27860" s="12"/>
    </row>
    <row r="27861" spans="32:32" x14ac:dyDescent="0.2">
      <c r="AF27861" s="12"/>
    </row>
    <row r="27862" spans="32:32" x14ac:dyDescent="0.2">
      <c r="AF27862" s="12"/>
    </row>
    <row r="27863" spans="32:32" x14ac:dyDescent="0.2">
      <c r="AF27863" s="12"/>
    </row>
    <row r="27864" spans="32:32" x14ac:dyDescent="0.2">
      <c r="AF27864" s="12"/>
    </row>
    <row r="27865" spans="32:32" x14ac:dyDescent="0.2">
      <c r="AF27865" s="12"/>
    </row>
    <row r="27866" spans="32:32" x14ac:dyDescent="0.2">
      <c r="AF27866" s="12"/>
    </row>
    <row r="27867" spans="32:32" x14ac:dyDescent="0.2">
      <c r="AF27867" s="12"/>
    </row>
    <row r="27868" spans="32:32" x14ac:dyDescent="0.2">
      <c r="AF27868" s="12"/>
    </row>
    <row r="27869" spans="32:32" x14ac:dyDescent="0.2">
      <c r="AF27869" s="12"/>
    </row>
    <row r="27870" spans="32:32" x14ac:dyDescent="0.2">
      <c r="AF27870" s="12"/>
    </row>
    <row r="27871" spans="32:32" x14ac:dyDescent="0.2">
      <c r="AF27871" s="12"/>
    </row>
    <row r="27872" spans="32:32" x14ac:dyDescent="0.2">
      <c r="AF27872" s="12"/>
    </row>
    <row r="27873" spans="32:32" x14ac:dyDescent="0.2">
      <c r="AF27873" s="12"/>
    </row>
    <row r="27874" spans="32:32" x14ac:dyDescent="0.2">
      <c r="AF27874" s="12"/>
    </row>
    <row r="27875" spans="32:32" x14ac:dyDescent="0.2">
      <c r="AF27875" s="12"/>
    </row>
    <row r="27876" spans="32:32" x14ac:dyDescent="0.2">
      <c r="AF27876" s="12"/>
    </row>
    <row r="27877" spans="32:32" x14ac:dyDescent="0.2">
      <c r="AF27877" s="12"/>
    </row>
    <row r="27878" spans="32:32" x14ac:dyDescent="0.2">
      <c r="AF27878" s="12"/>
    </row>
    <row r="27879" spans="32:32" x14ac:dyDescent="0.2">
      <c r="AF27879" s="12"/>
    </row>
    <row r="27880" spans="32:32" x14ac:dyDescent="0.2">
      <c r="AF27880" s="12"/>
    </row>
    <row r="27881" spans="32:32" x14ac:dyDescent="0.2">
      <c r="AF27881" s="12"/>
    </row>
    <row r="27882" spans="32:32" x14ac:dyDescent="0.2">
      <c r="AF27882" s="12"/>
    </row>
    <row r="27883" spans="32:32" x14ac:dyDescent="0.2">
      <c r="AF27883" s="12"/>
    </row>
    <row r="27884" spans="32:32" x14ac:dyDescent="0.2">
      <c r="AF27884" s="12"/>
    </row>
    <row r="27885" spans="32:32" x14ac:dyDescent="0.2">
      <c r="AF27885" s="12"/>
    </row>
    <row r="27886" spans="32:32" x14ac:dyDescent="0.2">
      <c r="AF27886" s="12"/>
    </row>
    <row r="27887" spans="32:32" x14ac:dyDescent="0.2">
      <c r="AF27887" s="12"/>
    </row>
    <row r="27888" spans="32:32" x14ac:dyDescent="0.2">
      <c r="AF27888" s="12"/>
    </row>
    <row r="27889" spans="32:32" x14ac:dyDescent="0.2">
      <c r="AF27889" s="12"/>
    </row>
    <row r="27890" spans="32:32" x14ac:dyDescent="0.2">
      <c r="AF27890" s="12"/>
    </row>
    <row r="27891" spans="32:32" x14ac:dyDescent="0.2">
      <c r="AF27891" s="12"/>
    </row>
    <row r="27892" spans="32:32" x14ac:dyDescent="0.2">
      <c r="AF27892" s="12"/>
    </row>
    <row r="27893" spans="32:32" x14ac:dyDescent="0.2">
      <c r="AF27893" s="12"/>
    </row>
    <row r="27894" spans="32:32" x14ac:dyDescent="0.2">
      <c r="AF27894" s="12"/>
    </row>
    <row r="27895" spans="32:32" x14ac:dyDescent="0.2">
      <c r="AF27895" s="12"/>
    </row>
    <row r="27896" spans="32:32" x14ac:dyDescent="0.2">
      <c r="AF27896" s="12"/>
    </row>
    <row r="27897" spans="32:32" x14ac:dyDescent="0.2">
      <c r="AF27897" s="12"/>
    </row>
    <row r="27898" spans="32:32" x14ac:dyDescent="0.2">
      <c r="AF27898" s="12"/>
    </row>
    <row r="27899" spans="32:32" x14ac:dyDescent="0.2">
      <c r="AF27899" s="12"/>
    </row>
    <row r="27900" spans="32:32" x14ac:dyDescent="0.2">
      <c r="AF27900" s="12"/>
    </row>
    <row r="27901" spans="32:32" x14ac:dyDescent="0.2">
      <c r="AF27901" s="12"/>
    </row>
    <row r="27902" spans="32:32" x14ac:dyDescent="0.2">
      <c r="AF27902" s="12"/>
    </row>
    <row r="27903" spans="32:32" x14ac:dyDescent="0.2">
      <c r="AF27903" s="12"/>
    </row>
    <row r="27904" spans="32:32" x14ac:dyDescent="0.2">
      <c r="AF27904" s="12"/>
    </row>
    <row r="27905" spans="32:32" x14ac:dyDescent="0.2">
      <c r="AF27905" s="12"/>
    </row>
    <row r="27906" spans="32:32" x14ac:dyDescent="0.2">
      <c r="AF27906" s="12"/>
    </row>
    <row r="27907" spans="32:32" x14ac:dyDescent="0.2">
      <c r="AF27907" s="12"/>
    </row>
    <row r="27908" spans="32:32" x14ac:dyDescent="0.2">
      <c r="AF27908" s="12"/>
    </row>
    <row r="27909" spans="32:32" x14ac:dyDescent="0.2">
      <c r="AF27909" s="12"/>
    </row>
    <row r="27910" spans="32:32" x14ac:dyDescent="0.2">
      <c r="AF27910" s="12"/>
    </row>
    <row r="27911" spans="32:32" x14ac:dyDescent="0.2">
      <c r="AF27911" s="12"/>
    </row>
    <row r="27912" spans="32:32" x14ac:dyDescent="0.2">
      <c r="AF27912" s="12"/>
    </row>
    <row r="27913" spans="32:32" x14ac:dyDescent="0.2">
      <c r="AF27913" s="12"/>
    </row>
    <row r="27914" spans="32:32" x14ac:dyDescent="0.2">
      <c r="AF27914" s="12"/>
    </row>
    <row r="27915" spans="32:32" x14ac:dyDescent="0.2">
      <c r="AF27915" s="12"/>
    </row>
    <row r="27916" spans="32:32" x14ac:dyDescent="0.2">
      <c r="AF27916" s="12"/>
    </row>
    <row r="27917" spans="32:32" x14ac:dyDescent="0.2">
      <c r="AF27917" s="12"/>
    </row>
    <row r="27918" spans="32:32" x14ac:dyDescent="0.2">
      <c r="AF27918" s="12"/>
    </row>
    <row r="27919" spans="32:32" x14ac:dyDescent="0.2">
      <c r="AF27919" s="12"/>
    </row>
    <row r="27920" spans="32:32" x14ac:dyDescent="0.2">
      <c r="AF27920" s="12"/>
    </row>
    <row r="27921" spans="32:32" x14ac:dyDescent="0.2">
      <c r="AF27921" s="12"/>
    </row>
    <row r="27922" spans="32:32" x14ac:dyDescent="0.2">
      <c r="AF27922" s="12"/>
    </row>
    <row r="27923" spans="32:32" x14ac:dyDescent="0.2">
      <c r="AF27923" s="12"/>
    </row>
    <row r="27924" spans="32:32" x14ac:dyDescent="0.2">
      <c r="AF27924" s="12"/>
    </row>
    <row r="27925" spans="32:32" x14ac:dyDescent="0.2">
      <c r="AF27925" s="12"/>
    </row>
    <row r="27926" spans="32:32" x14ac:dyDescent="0.2">
      <c r="AF27926" s="12"/>
    </row>
    <row r="27927" spans="32:32" x14ac:dyDescent="0.2">
      <c r="AF27927" s="12"/>
    </row>
    <row r="27928" spans="32:32" x14ac:dyDescent="0.2">
      <c r="AF27928" s="12"/>
    </row>
    <row r="27929" spans="32:32" x14ac:dyDescent="0.2">
      <c r="AF27929" s="12"/>
    </row>
    <row r="27930" spans="32:32" x14ac:dyDescent="0.2">
      <c r="AF27930" s="12"/>
    </row>
    <row r="27931" spans="32:32" x14ac:dyDescent="0.2">
      <c r="AF27931" s="12"/>
    </row>
    <row r="27932" spans="32:32" x14ac:dyDescent="0.2">
      <c r="AF27932" s="12"/>
    </row>
    <row r="27933" spans="32:32" x14ac:dyDescent="0.2">
      <c r="AF27933" s="12"/>
    </row>
    <row r="27934" spans="32:32" x14ac:dyDescent="0.2">
      <c r="AF27934" s="12"/>
    </row>
    <row r="27935" spans="32:32" x14ac:dyDescent="0.2">
      <c r="AF27935" s="12"/>
    </row>
    <row r="27936" spans="32:32" x14ac:dyDescent="0.2">
      <c r="AF27936" s="12"/>
    </row>
    <row r="27937" spans="32:32" x14ac:dyDescent="0.2">
      <c r="AF27937" s="12"/>
    </row>
    <row r="27938" spans="32:32" x14ac:dyDescent="0.2">
      <c r="AF27938" s="12"/>
    </row>
    <row r="27939" spans="32:32" x14ac:dyDescent="0.2">
      <c r="AF27939" s="12"/>
    </row>
    <row r="27940" spans="32:32" x14ac:dyDescent="0.2">
      <c r="AF27940" s="12"/>
    </row>
    <row r="27941" spans="32:32" x14ac:dyDescent="0.2">
      <c r="AF27941" s="12"/>
    </row>
    <row r="27942" spans="32:32" x14ac:dyDescent="0.2">
      <c r="AF27942" s="12"/>
    </row>
    <row r="27943" spans="32:32" x14ac:dyDescent="0.2">
      <c r="AF27943" s="12"/>
    </row>
    <row r="27944" spans="32:32" x14ac:dyDescent="0.2">
      <c r="AF27944" s="12"/>
    </row>
    <row r="27945" spans="32:32" x14ac:dyDescent="0.2">
      <c r="AF27945" s="12"/>
    </row>
    <row r="27946" spans="32:32" x14ac:dyDescent="0.2">
      <c r="AF27946" s="12"/>
    </row>
    <row r="27947" spans="32:32" x14ac:dyDescent="0.2">
      <c r="AF27947" s="12"/>
    </row>
    <row r="27948" spans="32:32" x14ac:dyDescent="0.2">
      <c r="AF27948" s="12"/>
    </row>
    <row r="27949" spans="32:32" x14ac:dyDescent="0.2">
      <c r="AF27949" s="12"/>
    </row>
    <row r="27950" spans="32:32" x14ac:dyDescent="0.2">
      <c r="AF27950" s="12"/>
    </row>
    <row r="27951" spans="32:32" x14ac:dyDescent="0.2">
      <c r="AF27951" s="12"/>
    </row>
    <row r="27952" spans="32:32" x14ac:dyDescent="0.2">
      <c r="AF27952" s="12"/>
    </row>
    <row r="27953" spans="32:32" x14ac:dyDescent="0.2">
      <c r="AF27953" s="12"/>
    </row>
    <row r="27954" spans="32:32" x14ac:dyDescent="0.2">
      <c r="AF27954" s="12"/>
    </row>
    <row r="27955" spans="32:32" x14ac:dyDescent="0.2">
      <c r="AF27955" s="12"/>
    </row>
    <row r="27956" spans="32:32" x14ac:dyDescent="0.2">
      <c r="AF27956" s="12"/>
    </row>
    <row r="27957" spans="32:32" x14ac:dyDescent="0.2">
      <c r="AF27957" s="12"/>
    </row>
    <row r="27958" spans="32:32" x14ac:dyDescent="0.2">
      <c r="AF27958" s="12"/>
    </row>
    <row r="27959" spans="32:32" x14ac:dyDescent="0.2">
      <c r="AF27959" s="12"/>
    </row>
    <row r="27960" spans="32:32" x14ac:dyDescent="0.2">
      <c r="AF27960" s="12"/>
    </row>
    <row r="27961" spans="32:32" x14ac:dyDescent="0.2">
      <c r="AF27961" s="12"/>
    </row>
    <row r="27962" spans="32:32" x14ac:dyDescent="0.2">
      <c r="AF27962" s="12"/>
    </row>
    <row r="27963" spans="32:32" x14ac:dyDescent="0.2">
      <c r="AF27963" s="12"/>
    </row>
    <row r="27964" spans="32:32" x14ac:dyDescent="0.2">
      <c r="AF27964" s="12"/>
    </row>
    <row r="27965" spans="32:32" x14ac:dyDescent="0.2">
      <c r="AF27965" s="12"/>
    </row>
    <row r="27966" spans="32:32" x14ac:dyDescent="0.2">
      <c r="AF27966" s="12"/>
    </row>
    <row r="27967" spans="32:32" x14ac:dyDescent="0.2">
      <c r="AF27967" s="12"/>
    </row>
    <row r="27968" spans="32:32" x14ac:dyDescent="0.2">
      <c r="AF27968" s="12"/>
    </row>
    <row r="27969" spans="32:32" x14ac:dyDescent="0.2">
      <c r="AF27969" s="12"/>
    </row>
    <row r="27970" spans="32:32" x14ac:dyDescent="0.2">
      <c r="AF27970" s="12"/>
    </row>
    <row r="27971" spans="32:32" x14ac:dyDescent="0.2">
      <c r="AF27971" s="12"/>
    </row>
    <row r="27972" spans="32:32" x14ac:dyDescent="0.2">
      <c r="AF27972" s="12"/>
    </row>
    <row r="27973" spans="32:32" x14ac:dyDescent="0.2">
      <c r="AF27973" s="12"/>
    </row>
    <row r="27974" spans="32:32" x14ac:dyDescent="0.2">
      <c r="AF27974" s="12"/>
    </row>
    <row r="27975" spans="32:32" x14ac:dyDescent="0.2">
      <c r="AF27975" s="12"/>
    </row>
    <row r="27976" spans="32:32" x14ac:dyDescent="0.2">
      <c r="AF27976" s="12"/>
    </row>
    <row r="27977" spans="32:32" x14ac:dyDescent="0.2">
      <c r="AF27977" s="12"/>
    </row>
    <row r="27978" spans="32:32" x14ac:dyDescent="0.2">
      <c r="AF27978" s="12"/>
    </row>
    <row r="27979" spans="32:32" x14ac:dyDescent="0.2">
      <c r="AF27979" s="12"/>
    </row>
    <row r="27980" spans="32:32" x14ac:dyDescent="0.2">
      <c r="AF27980" s="12"/>
    </row>
    <row r="27981" spans="32:32" x14ac:dyDescent="0.2">
      <c r="AF27981" s="12"/>
    </row>
    <row r="27982" spans="32:32" x14ac:dyDescent="0.2">
      <c r="AF27982" s="12"/>
    </row>
    <row r="27983" spans="32:32" x14ac:dyDescent="0.2">
      <c r="AF27983" s="12"/>
    </row>
    <row r="27984" spans="32:32" x14ac:dyDescent="0.2">
      <c r="AF27984" s="12"/>
    </row>
    <row r="27985" spans="32:32" x14ac:dyDescent="0.2">
      <c r="AF27985" s="12"/>
    </row>
    <row r="27986" spans="32:32" x14ac:dyDescent="0.2">
      <c r="AF27986" s="12"/>
    </row>
    <row r="27987" spans="32:32" x14ac:dyDescent="0.2">
      <c r="AF27987" s="12"/>
    </row>
    <row r="27988" spans="32:32" x14ac:dyDescent="0.2">
      <c r="AF27988" s="12"/>
    </row>
    <row r="27989" spans="32:32" x14ac:dyDescent="0.2">
      <c r="AF27989" s="12"/>
    </row>
    <row r="27990" spans="32:32" x14ac:dyDescent="0.2">
      <c r="AF27990" s="12"/>
    </row>
    <row r="27991" spans="32:32" x14ac:dyDescent="0.2">
      <c r="AF27991" s="12"/>
    </row>
    <row r="27992" spans="32:32" x14ac:dyDescent="0.2">
      <c r="AF27992" s="12"/>
    </row>
    <row r="27993" spans="32:32" x14ac:dyDescent="0.2">
      <c r="AF27993" s="12"/>
    </row>
    <row r="27994" spans="32:32" x14ac:dyDescent="0.2">
      <c r="AF27994" s="12"/>
    </row>
    <row r="27995" spans="32:32" x14ac:dyDescent="0.2">
      <c r="AF27995" s="12"/>
    </row>
    <row r="27996" spans="32:32" x14ac:dyDescent="0.2">
      <c r="AF27996" s="12"/>
    </row>
    <row r="27997" spans="32:32" x14ac:dyDescent="0.2">
      <c r="AF27997" s="12"/>
    </row>
    <row r="27998" spans="32:32" x14ac:dyDescent="0.2">
      <c r="AF27998" s="12"/>
    </row>
    <row r="27999" spans="32:32" x14ac:dyDescent="0.2">
      <c r="AF27999" s="12"/>
    </row>
    <row r="28000" spans="32:32" x14ac:dyDescent="0.2">
      <c r="AF28000" s="12"/>
    </row>
    <row r="28001" spans="32:32" x14ac:dyDescent="0.2">
      <c r="AF28001" s="12"/>
    </row>
    <row r="28002" spans="32:32" x14ac:dyDescent="0.2">
      <c r="AF28002" s="12"/>
    </row>
    <row r="28003" spans="32:32" x14ac:dyDescent="0.2">
      <c r="AF28003" s="12"/>
    </row>
    <row r="28004" spans="32:32" x14ac:dyDescent="0.2">
      <c r="AF28004" s="12"/>
    </row>
    <row r="28005" spans="32:32" x14ac:dyDescent="0.2">
      <c r="AF28005" s="12"/>
    </row>
    <row r="28006" spans="32:32" x14ac:dyDescent="0.2">
      <c r="AF28006" s="12"/>
    </row>
    <row r="28007" spans="32:32" x14ac:dyDescent="0.2">
      <c r="AF28007" s="12"/>
    </row>
    <row r="28008" spans="32:32" x14ac:dyDescent="0.2">
      <c r="AF28008" s="12"/>
    </row>
    <row r="28009" spans="32:32" x14ac:dyDescent="0.2">
      <c r="AF28009" s="12"/>
    </row>
    <row r="28010" spans="32:32" x14ac:dyDescent="0.2">
      <c r="AF28010" s="12"/>
    </row>
    <row r="28011" spans="32:32" x14ac:dyDescent="0.2">
      <c r="AF28011" s="12"/>
    </row>
    <row r="28012" spans="32:32" x14ac:dyDescent="0.2">
      <c r="AF28012" s="12"/>
    </row>
    <row r="28013" spans="32:32" x14ac:dyDescent="0.2">
      <c r="AF28013" s="12"/>
    </row>
    <row r="28014" spans="32:32" x14ac:dyDescent="0.2">
      <c r="AF28014" s="12"/>
    </row>
    <row r="28015" spans="32:32" x14ac:dyDescent="0.2">
      <c r="AF28015" s="12"/>
    </row>
    <row r="28016" spans="32:32" x14ac:dyDescent="0.2">
      <c r="AF28016" s="12"/>
    </row>
    <row r="28017" spans="32:32" x14ac:dyDescent="0.2">
      <c r="AF28017" s="12"/>
    </row>
    <row r="28018" spans="32:32" x14ac:dyDescent="0.2">
      <c r="AF28018" s="12"/>
    </row>
    <row r="28019" spans="32:32" x14ac:dyDescent="0.2">
      <c r="AF28019" s="12"/>
    </row>
    <row r="28020" spans="32:32" x14ac:dyDescent="0.2">
      <c r="AF28020" s="12"/>
    </row>
    <row r="28021" spans="32:32" x14ac:dyDescent="0.2">
      <c r="AF28021" s="12"/>
    </row>
    <row r="28022" spans="32:32" x14ac:dyDescent="0.2">
      <c r="AF28022" s="12"/>
    </row>
    <row r="28023" spans="32:32" x14ac:dyDescent="0.2">
      <c r="AF28023" s="12"/>
    </row>
    <row r="28024" spans="32:32" x14ac:dyDescent="0.2">
      <c r="AF28024" s="12"/>
    </row>
    <row r="28025" spans="32:32" x14ac:dyDescent="0.2">
      <c r="AF28025" s="12"/>
    </row>
    <row r="28026" spans="32:32" x14ac:dyDescent="0.2">
      <c r="AF28026" s="12"/>
    </row>
    <row r="28027" spans="32:32" x14ac:dyDescent="0.2">
      <c r="AF28027" s="12"/>
    </row>
    <row r="28028" spans="32:32" x14ac:dyDescent="0.2">
      <c r="AF28028" s="12"/>
    </row>
    <row r="28029" spans="32:32" x14ac:dyDescent="0.2">
      <c r="AF28029" s="12"/>
    </row>
    <row r="28030" spans="32:32" x14ac:dyDescent="0.2">
      <c r="AF28030" s="12"/>
    </row>
    <row r="28031" spans="32:32" x14ac:dyDescent="0.2">
      <c r="AF28031" s="12"/>
    </row>
    <row r="28032" spans="32:32" x14ac:dyDescent="0.2">
      <c r="AF28032" s="12"/>
    </row>
    <row r="28033" spans="32:32" x14ac:dyDescent="0.2">
      <c r="AF28033" s="12"/>
    </row>
    <row r="28034" spans="32:32" x14ac:dyDescent="0.2">
      <c r="AF28034" s="12"/>
    </row>
    <row r="28035" spans="32:32" x14ac:dyDescent="0.2">
      <c r="AF28035" s="12"/>
    </row>
    <row r="28036" spans="32:32" x14ac:dyDescent="0.2">
      <c r="AF28036" s="12"/>
    </row>
    <row r="28037" spans="32:32" x14ac:dyDescent="0.2">
      <c r="AF28037" s="12"/>
    </row>
    <row r="28038" spans="32:32" x14ac:dyDescent="0.2">
      <c r="AF28038" s="12"/>
    </row>
    <row r="28039" spans="32:32" x14ac:dyDescent="0.2">
      <c r="AF28039" s="12"/>
    </row>
    <row r="28040" spans="32:32" x14ac:dyDescent="0.2">
      <c r="AF28040" s="12"/>
    </row>
    <row r="28041" spans="32:32" x14ac:dyDescent="0.2">
      <c r="AF28041" s="12"/>
    </row>
    <row r="28042" spans="32:32" x14ac:dyDescent="0.2">
      <c r="AF28042" s="12"/>
    </row>
    <row r="28043" spans="32:32" x14ac:dyDescent="0.2">
      <c r="AF28043" s="12"/>
    </row>
    <row r="28044" spans="32:32" x14ac:dyDescent="0.2">
      <c r="AF28044" s="12"/>
    </row>
    <row r="28045" spans="32:32" x14ac:dyDescent="0.2">
      <c r="AF28045" s="12"/>
    </row>
    <row r="28046" spans="32:32" x14ac:dyDescent="0.2">
      <c r="AF28046" s="12"/>
    </row>
    <row r="28047" spans="32:32" x14ac:dyDescent="0.2">
      <c r="AF28047" s="12"/>
    </row>
    <row r="28048" spans="32:32" x14ac:dyDescent="0.2">
      <c r="AF28048" s="12"/>
    </row>
    <row r="28049" spans="32:32" x14ac:dyDescent="0.2">
      <c r="AF28049" s="12"/>
    </row>
    <row r="28050" spans="32:32" x14ac:dyDescent="0.2">
      <c r="AF28050" s="12"/>
    </row>
    <row r="28051" spans="32:32" x14ac:dyDescent="0.2">
      <c r="AF28051" s="12"/>
    </row>
    <row r="28052" spans="32:32" x14ac:dyDescent="0.2">
      <c r="AF28052" s="12"/>
    </row>
    <row r="28053" spans="32:32" x14ac:dyDescent="0.2">
      <c r="AF28053" s="12"/>
    </row>
    <row r="28054" spans="32:32" x14ac:dyDescent="0.2">
      <c r="AF28054" s="12"/>
    </row>
    <row r="28055" spans="32:32" x14ac:dyDescent="0.2">
      <c r="AF28055" s="12"/>
    </row>
    <row r="28056" spans="32:32" x14ac:dyDescent="0.2">
      <c r="AF28056" s="12"/>
    </row>
    <row r="28057" spans="32:32" x14ac:dyDescent="0.2">
      <c r="AF28057" s="12"/>
    </row>
    <row r="28058" spans="32:32" x14ac:dyDescent="0.2">
      <c r="AF28058" s="12"/>
    </row>
    <row r="28059" spans="32:32" x14ac:dyDescent="0.2">
      <c r="AF28059" s="12"/>
    </row>
    <row r="28060" spans="32:32" x14ac:dyDescent="0.2">
      <c r="AF28060" s="12"/>
    </row>
    <row r="28061" spans="32:32" x14ac:dyDescent="0.2">
      <c r="AF28061" s="12"/>
    </row>
    <row r="28062" spans="32:32" x14ac:dyDescent="0.2">
      <c r="AF28062" s="12"/>
    </row>
    <row r="28063" spans="32:32" x14ac:dyDescent="0.2">
      <c r="AF28063" s="12"/>
    </row>
    <row r="28064" spans="32:32" x14ac:dyDescent="0.2">
      <c r="AF28064" s="12"/>
    </row>
    <row r="28065" spans="32:32" x14ac:dyDescent="0.2">
      <c r="AF28065" s="12"/>
    </row>
    <row r="28066" spans="32:32" x14ac:dyDescent="0.2">
      <c r="AF28066" s="12"/>
    </row>
    <row r="28067" spans="32:32" x14ac:dyDescent="0.2">
      <c r="AF28067" s="12"/>
    </row>
    <row r="28068" spans="32:32" x14ac:dyDescent="0.2">
      <c r="AF28068" s="12"/>
    </row>
    <row r="28069" spans="32:32" x14ac:dyDescent="0.2">
      <c r="AF28069" s="12"/>
    </row>
    <row r="28070" spans="32:32" x14ac:dyDescent="0.2">
      <c r="AF28070" s="12"/>
    </row>
    <row r="28071" spans="32:32" x14ac:dyDescent="0.2">
      <c r="AF28071" s="12"/>
    </row>
    <row r="28072" spans="32:32" x14ac:dyDescent="0.2">
      <c r="AF28072" s="12"/>
    </row>
    <row r="28073" spans="32:32" x14ac:dyDescent="0.2">
      <c r="AF28073" s="12"/>
    </row>
    <row r="28074" spans="32:32" x14ac:dyDescent="0.2">
      <c r="AF28074" s="12"/>
    </row>
    <row r="28075" spans="32:32" x14ac:dyDescent="0.2">
      <c r="AF28075" s="12"/>
    </row>
    <row r="28076" spans="32:32" x14ac:dyDescent="0.2">
      <c r="AF28076" s="12"/>
    </row>
    <row r="28077" spans="32:32" x14ac:dyDescent="0.2">
      <c r="AF28077" s="12"/>
    </row>
    <row r="28078" spans="32:32" x14ac:dyDescent="0.2">
      <c r="AF28078" s="12"/>
    </row>
    <row r="28079" spans="32:32" x14ac:dyDescent="0.2">
      <c r="AF28079" s="12"/>
    </row>
    <row r="28080" spans="32:32" x14ac:dyDescent="0.2">
      <c r="AF28080" s="12"/>
    </row>
    <row r="28081" spans="32:32" x14ac:dyDescent="0.2">
      <c r="AF28081" s="12"/>
    </row>
    <row r="28082" spans="32:32" x14ac:dyDescent="0.2">
      <c r="AF28082" s="12"/>
    </row>
    <row r="28083" spans="32:32" x14ac:dyDescent="0.2">
      <c r="AF28083" s="12"/>
    </row>
    <row r="28084" spans="32:32" x14ac:dyDescent="0.2">
      <c r="AF28084" s="12"/>
    </row>
    <row r="28085" spans="32:32" x14ac:dyDescent="0.2">
      <c r="AF28085" s="12"/>
    </row>
    <row r="28086" spans="32:32" x14ac:dyDescent="0.2">
      <c r="AF28086" s="12"/>
    </row>
    <row r="28087" spans="32:32" x14ac:dyDescent="0.2">
      <c r="AF28087" s="12"/>
    </row>
    <row r="28088" spans="32:32" x14ac:dyDescent="0.2">
      <c r="AF28088" s="12"/>
    </row>
    <row r="28089" spans="32:32" x14ac:dyDescent="0.2">
      <c r="AF28089" s="12"/>
    </row>
    <row r="28090" spans="32:32" x14ac:dyDescent="0.2">
      <c r="AF28090" s="12"/>
    </row>
    <row r="28091" spans="32:32" x14ac:dyDescent="0.2">
      <c r="AF28091" s="12"/>
    </row>
    <row r="28092" spans="32:32" x14ac:dyDescent="0.2">
      <c r="AF28092" s="12"/>
    </row>
    <row r="28093" spans="32:32" x14ac:dyDescent="0.2">
      <c r="AF28093" s="12"/>
    </row>
    <row r="28094" spans="32:32" x14ac:dyDescent="0.2">
      <c r="AF28094" s="12"/>
    </row>
    <row r="28095" spans="32:32" x14ac:dyDescent="0.2">
      <c r="AF28095" s="12"/>
    </row>
    <row r="28096" spans="32:32" x14ac:dyDescent="0.2">
      <c r="AF28096" s="12"/>
    </row>
    <row r="28097" spans="32:32" x14ac:dyDescent="0.2">
      <c r="AF28097" s="12"/>
    </row>
    <row r="28098" spans="32:32" x14ac:dyDescent="0.2">
      <c r="AF28098" s="12"/>
    </row>
    <row r="28099" spans="32:32" x14ac:dyDescent="0.2">
      <c r="AF28099" s="12"/>
    </row>
    <row r="28100" spans="32:32" x14ac:dyDescent="0.2">
      <c r="AF28100" s="12"/>
    </row>
    <row r="28101" spans="32:32" x14ac:dyDescent="0.2">
      <c r="AF28101" s="12"/>
    </row>
    <row r="28102" spans="32:32" x14ac:dyDescent="0.2">
      <c r="AF28102" s="12"/>
    </row>
    <row r="28103" spans="32:32" x14ac:dyDescent="0.2">
      <c r="AF28103" s="12"/>
    </row>
    <row r="28104" spans="32:32" x14ac:dyDescent="0.2">
      <c r="AF28104" s="12"/>
    </row>
    <row r="28105" spans="32:32" x14ac:dyDescent="0.2">
      <c r="AF28105" s="12"/>
    </row>
    <row r="28106" spans="32:32" x14ac:dyDescent="0.2">
      <c r="AF28106" s="12"/>
    </row>
    <row r="28107" spans="32:32" x14ac:dyDescent="0.2">
      <c r="AF28107" s="12"/>
    </row>
    <row r="28108" spans="32:32" x14ac:dyDescent="0.2">
      <c r="AF28108" s="12"/>
    </row>
    <row r="28109" spans="32:32" x14ac:dyDescent="0.2">
      <c r="AF28109" s="12"/>
    </row>
    <row r="28110" spans="32:32" x14ac:dyDescent="0.2">
      <c r="AF28110" s="12"/>
    </row>
    <row r="28111" spans="32:32" x14ac:dyDescent="0.2">
      <c r="AF28111" s="12"/>
    </row>
    <row r="28112" spans="32:32" x14ac:dyDescent="0.2">
      <c r="AF28112" s="12"/>
    </row>
    <row r="28113" spans="32:32" x14ac:dyDescent="0.2">
      <c r="AF28113" s="12"/>
    </row>
    <row r="28114" spans="32:32" x14ac:dyDescent="0.2">
      <c r="AF28114" s="12"/>
    </row>
    <row r="28115" spans="32:32" x14ac:dyDescent="0.2">
      <c r="AF28115" s="12"/>
    </row>
    <row r="28116" spans="32:32" x14ac:dyDescent="0.2">
      <c r="AF28116" s="12"/>
    </row>
    <row r="28117" spans="32:32" x14ac:dyDescent="0.2">
      <c r="AF28117" s="12"/>
    </row>
    <row r="28118" spans="32:32" x14ac:dyDescent="0.2">
      <c r="AF28118" s="12"/>
    </row>
    <row r="28119" spans="32:32" x14ac:dyDescent="0.2">
      <c r="AF28119" s="12"/>
    </row>
    <row r="28120" spans="32:32" x14ac:dyDescent="0.2">
      <c r="AF28120" s="12"/>
    </row>
    <row r="28121" spans="32:32" x14ac:dyDescent="0.2">
      <c r="AF28121" s="12"/>
    </row>
    <row r="28122" spans="32:32" x14ac:dyDescent="0.2">
      <c r="AF28122" s="12"/>
    </row>
    <row r="28123" spans="32:32" x14ac:dyDescent="0.2">
      <c r="AF28123" s="12"/>
    </row>
    <row r="28124" spans="32:32" x14ac:dyDescent="0.2">
      <c r="AF28124" s="12"/>
    </row>
    <row r="28125" spans="32:32" x14ac:dyDescent="0.2">
      <c r="AF28125" s="12"/>
    </row>
    <row r="28126" spans="32:32" x14ac:dyDescent="0.2">
      <c r="AF28126" s="12"/>
    </row>
    <row r="28127" spans="32:32" x14ac:dyDescent="0.2">
      <c r="AF28127" s="12"/>
    </row>
    <row r="28128" spans="32:32" x14ac:dyDescent="0.2">
      <c r="AF28128" s="12"/>
    </row>
    <row r="28129" spans="32:32" x14ac:dyDescent="0.2">
      <c r="AF28129" s="12"/>
    </row>
    <row r="28130" spans="32:32" x14ac:dyDescent="0.2">
      <c r="AF28130" s="12"/>
    </row>
    <row r="28131" spans="32:32" x14ac:dyDescent="0.2">
      <c r="AF28131" s="12"/>
    </row>
    <row r="28132" spans="32:32" x14ac:dyDescent="0.2">
      <c r="AF28132" s="12"/>
    </row>
    <row r="28133" spans="32:32" x14ac:dyDescent="0.2">
      <c r="AF28133" s="12"/>
    </row>
    <row r="28134" spans="32:32" x14ac:dyDescent="0.2">
      <c r="AF28134" s="12"/>
    </row>
    <row r="28135" spans="32:32" x14ac:dyDescent="0.2">
      <c r="AF28135" s="12"/>
    </row>
    <row r="28136" spans="32:32" x14ac:dyDescent="0.2">
      <c r="AF28136" s="12"/>
    </row>
    <row r="28137" spans="32:32" x14ac:dyDescent="0.2">
      <c r="AF28137" s="12"/>
    </row>
    <row r="28138" spans="32:32" x14ac:dyDescent="0.2">
      <c r="AF28138" s="12"/>
    </row>
    <row r="28139" spans="32:32" x14ac:dyDescent="0.2">
      <c r="AF28139" s="12"/>
    </row>
    <row r="28140" spans="32:32" x14ac:dyDescent="0.2">
      <c r="AF28140" s="12"/>
    </row>
    <row r="28141" spans="32:32" x14ac:dyDescent="0.2">
      <c r="AF28141" s="12"/>
    </row>
    <row r="28142" spans="32:32" x14ac:dyDescent="0.2">
      <c r="AF28142" s="12"/>
    </row>
    <row r="28143" spans="32:32" x14ac:dyDescent="0.2">
      <c r="AF28143" s="12"/>
    </row>
    <row r="28144" spans="32:32" x14ac:dyDescent="0.2">
      <c r="AF28144" s="12"/>
    </row>
    <row r="28145" spans="32:32" x14ac:dyDescent="0.2">
      <c r="AF28145" s="12"/>
    </row>
    <row r="28146" spans="32:32" x14ac:dyDescent="0.2">
      <c r="AF28146" s="12"/>
    </row>
    <row r="28147" spans="32:32" x14ac:dyDescent="0.2">
      <c r="AF28147" s="12"/>
    </row>
    <row r="28148" spans="32:32" x14ac:dyDescent="0.2">
      <c r="AF28148" s="12"/>
    </row>
    <row r="28149" spans="32:32" x14ac:dyDescent="0.2">
      <c r="AF28149" s="12"/>
    </row>
    <row r="28150" spans="32:32" x14ac:dyDescent="0.2">
      <c r="AF28150" s="12"/>
    </row>
    <row r="28151" spans="32:32" x14ac:dyDescent="0.2">
      <c r="AF28151" s="12"/>
    </row>
    <row r="28152" spans="32:32" x14ac:dyDescent="0.2">
      <c r="AF28152" s="12"/>
    </row>
    <row r="28153" spans="32:32" x14ac:dyDescent="0.2">
      <c r="AF28153" s="12"/>
    </row>
    <row r="28154" spans="32:32" x14ac:dyDescent="0.2">
      <c r="AF28154" s="12"/>
    </row>
    <row r="28155" spans="32:32" x14ac:dyDescent="0.2">
      <c r="AF28155" s="12"/>
    </row>
    <row r="28156" spans="32:32" x14ac:dyDescent="0.2">
      <c r="AF28156" s="12"/>
    </row>
    <row r="28157" spans="32:32" x14ac:dyDescent="0.2">
      <c r="AF28157" s="12"/>
    </row>
    <row r="28158" spans="32:32" x14ac:dyDescent="0.2">
      <c r="AF28158" s="12"/>
    </row>
    <row r="28159" spans="32:32" x14ac:dyDescent="0.2">
      <c r="AF28159" s="12"/>
    </row>
    <row r="28160" spans="32:32" x14ac:dyDescent="0.2">
      <c r="AF28160" s="12"/>
    </row>
    <row r="28161" spans="32:32" x14ac:dyDescent="0.2">
      <c r="AF28161" s="12"/>
    </row>
    <row r="28162" spans="32:32" x14ac:dyDescent="0.2">
      <c r="AF28162" s="12"/>
    </row>
    <row r="28163" spans="32:32" x14ac:dyDescent="0.2">
      <c r="AF28163" s="12"/>
    </row>
    <row r="28164" spans="32:32" x14ac:dyDescent="0.2">
      <c r="AF28164" s="12"/>
    </row>
    <row r="28165" spans="32:32" x14ac:dyDescent="0.2">
      <c r="AF28165" s="12"/>
    </row>
    <row r="28166" spans="32:32" x14ac:dyDescent="0.2">
      <c r="AF28166" s="12"/>
    </row>
    <row r="28167" spans="32:32" x14ac:dyDescent="0.2">
      <c r="AF28167" s="12"/>
    </row>
    <row r="28168" spans="32:32" x14ac:dyDescent="0.2">
      <c r="AF28168" s="12"/>
    </row>
    <row r="28169" spans="32:32" x14ac:dyDescent="0.2">
      <c r="AF28169" s="12"/>
    </row>
    <row r="28170" spans="32:32" x14ac:dyDescent="0.2">
      <c r="AF28170" s="12"/>
    </row>
    <row r="28171" spans="32:32" x14ac:dyDescent="0.2">
      <c r="AF28171" s="12"/>
    </row>
    <row r="28172" spans="32:32" x14ac:dyDescent="0.2">
      <c r="AF28172" s="12"/>
    </row>
    <row r="28173" spans="32:32" x14ac:dyDescent="0.2">
      <c r="AF28173" s="12"/>
    </row>
    <row r="28174" spans="32:32" x14ac:dyDescent="0.2">
      <c r="AF28174" s="12"/>
    </row>
    <row r="28175" spans="32:32" x14ac:dyDescent="0.2">
      <c r="AF28175" s="12"/>
    </row>
    <row r="28176" spans="32:32" x14ac:dyDescent="0.2">
      <c r="AF28176" s="12"/>
    </row>
    <row r="28177" spans="32:32" x14ac:dyDescent="0.2">
      <c r="AF28177" s="12"/>
    </row>
    <row r="28178" spans="32:32" x14ac:dyDescent="0.2">
      <c r="AF28178" s="12"/>
    </row>
    <row r="28179" spans="32:32" x14ac:dyDescent="0.2">
      <c r="AF28179" s="12"/>
    </row>
    <row r="28180" spans="32:32" x14ac:dyDescent="0.2">
      <c r="AF28180" s="12"/>
    </row>
    <row r="28181" spans="32:32" x14ac:dyDescent="0.2">
      <c r="AF28181" s="12"/>
    </row>
    <row r="28182" spans="32:32" x14ac:dyDescent="0.2">
      <c r="AF28182" s="12"/>
    </row>
    <row r="28183" spans="32:32" x14ac:dyDescent="0.2">
      <c r="AF28183" s="12"/>
    </row>
    <row r="28184" spans="32:32" x14ac:dyDescent="0.2">
      <c r="AF28184" s="12"/>
    </row>
    <row r="28185" spans="32:32" x14ac:dyDescent="0.2">
      <c r="AF28185" s="12"/>
    </row>
    <row r="28186" spans="32:32" x14ac:dyDescent="0.2">
      <c r="AF28186" s="12"/>
    </row>
    <row r="28187" spans="32:32" x14ac:dyDescent="0.2">
      <c r="AF28187" s="12"/>
    </row>
    <row r="28188" spans="32:32" x14ac:dyDescent="0.2">
      <c r="AF28188" s="12"/>
    </row>
    <row r="28189" spans="32:32" x14ac:dyDescent="0.2">
      <c r="AF28189" s="12"/>
    </row>
    <row r="28190" spans="32:32" x14ac:dyDescent="0.2">
      <c r="AF28190" s="12"/>
    </row>
    <row r="28191" spans="32:32" x14ac:dyDescent="0.2">
      <c r="AF28191" s="12"/>
    </row>
    <row r="28192" spans="32:32" x14ac:dyDescent="0.2">
      <c r="AF28192" s="12"/>
    </row>
    <row r="28193" spans="32:32" x14ac:dyDescent="0.2">
      <c r="AF28193" s="12"/>
    </row>
    <row r="28194" spans="32:32" x14ac:dyDescent="0.2">
      <c r="AF28194" s="12"/>
    </row>
    <row r="28195" spans="32:32" x14ac:dyDescent="0.2">
      <c r="AF28195" s="12"/>
    </row>
    <row r="28196" spans="32:32" x14ac:dyDescent="0.2">
      <c r="AF28196" s="12"/>
    </row>
    <row r="28197" spans="32:32" x14ac:dyDescent="0.2">
      <c r="AF28197" s="12"/>
    </row>
    <row r="28198" spans="32:32" x14ac:dyDescent="0.2">
      <c r="AF28198" s="12"/>
    </row>
    <row r="28199" spans="32:32" x14ac:dyDescent="0.2">
      <c r="AF28199" s="12"/>
    </row>
    <row r="28200" spans="32:32" x14ac:dyDescent="0.2">
      <c r="AF28200" s="12"/>
    </row>
    <row r="28201" spans="32:32" x14ac:dyDescent="0.2">
      <c r="AF28201" s="12"/>
    </row>
    <row r="28202" spans="32:32" x14ac:dyDescent="0.2">
      <c r="AF28202" s="12"/>
    </row>
    <row r="28203" spans="32:32" x14ac:dyDescent="0.2">
      <c r="AF28203" s="12"/>
    </row>
    <row r="28204" spans="32:32" x14ac:dyDescent="0.2">
      <c r="AF28204" s="12"/>
    </row>
    <row r="28205" spans="32:32" x14ac:dyDescent="0.2">
      <c r="AF28205" s="12"/>
    </row>
    <row r="28206" spans="32:32" x14ac:dyDescent="0.2">
      <c r="AF28206" s="12"/>
    </row>
    <row r="28207" spans="32:32" x14ac:dyDescent="0.2">
      <c r="AF28207" s="12"/>
    </row>
    <row r="28208" spans="32:32" x14ac:dyDescent="0.2">
      <c r="AF28208" s="12"/>
    </row>
    <row r="28209" spans="32:32" x14ac:dyDescent="0.2">
      <c r="AF28209" s="12"/>
    </row>
    <row r="28210" spans="32:32" x14ac:dyDescent="0.2">
      <c r="AF28210" s="12"/>
    </row>
    <row r="28211" spans="32:32" x14ac:dyDescent="0.2">
      <c r="AF28211" s="12"/>
    </row>
    <row r="28212" spans="32:32" x14ac:dyDescent="0.2">
      <c r="AF28212" s="12"/>
    </row>
    <row r="28213" spans="32:32" x14ac:dyDescent="0.2">
      <c r="AF28213" s="12"/>
    </row>
    <row r="28214" spans="32:32" x14ac:dyDescent="0.2">
      <c r="AF28214" s="12"/>
    </row>
    <row r="28215" spans="32:32" x14ac:dyDescent="0.2">
      <c r="AF28215" s="12"/>
    </row>
    <row r="28216" spans="32:32" x14ac:dyDescent="0.2">
      <c r="AF28216" s="12"/>
    </row>
    <row r="28217" spans="32:32" x14ac:dyDescent="0.2">
      <c r="AF28217" s="12"/>
    </row>
    <row r="28218" spans="32:32" x14ac:dyDescent="0.2">
      <c r="AF28218" s="12"/>
    </row>
    <row r="28219" spans="32:32" x14ac:dyDescent="0.2">
      <c r="AF28219" s="12"/>
    </row>
    <row r="28220" spans="32:32" x14ac:dyDescent="0.2">
      <c r="AF28220" s="12"/>
    </row>
    <row r="28221" spans="32:32" x14ac:dyDescent="0.2">
      <c r="AF28221" s="12"/>
    </row>
    <row r="28222" spans="32:32" x14ac:dyDescent="0.2">
      <c r="AF28222" s="12"/>
    </row>
    <row r="28223" spans="32:32" x14ac:dyDescent="0.2">
      <c r="AF28223" s="12"/>
    </row>
    <row r="28224" spans="32:32" x14ac:dyDescent="0.2">
      <c r="AF28224" s="12"/>
    </row>
    <row r="28225" spans="32:32" x14ac:dyDescent="0.2">
      <c r="AF28225" s="12"/>
    </row>
    <row r="28226" spans="32:32" x14ac:dyDescent="0.2">
      <c r="AF28226" s="12"/>
    </row>
    <row r="28227" spans="32:32" x14ac:dyDescent="0.2">
      <c r="AF28227" s="12"/>
    </row>
    <row r="28228" spans="32:32" x14ac:dyDescent="0.2">
      <c r="AF28228" s="12"/>
    </row>
    <row r="28229" spans="32:32" x14ac:dyDescent="0.2">
      <c r="AF28229" s="12"/>
    </row>
    <row r="28230" spans="32:32" x14ac:dyDescent="0.2">
      <c r="AF28230" s="12"/>
    </row>
    <row r="28231" spans="32:32" x14ac:dyDescent="0.2">
      <c r="AF28231" s="12"/>
    </row>
    <row r="28232" spans="32:32" x14ac:dyDescent="0.2">
      <c r="AF28232" s="12"/>
    </row>
    <row r="28233" spans="32:32" x14ac:dyDescent="0.2">
      <c r="AF28233" s="12"/>
    </row>
    <row r="28234" spans="32:32" x14ac:dyDescent="0.2">
      <c r="AF28234" s="12"/>
    </row>
    <row r="28235" spans="32:32" x14ac:dyDescent="0.2">
      <c r="AF28235" s="12"/>
    </row>
    <row r="28236" spans="32:32" x14ac:dyDescent="0.2">
      <c r="AF28236" s="12"/>
    </row>
    <row r="28237" spans="32:32" x14ac:dyDescent="0.2">
      <c r="AF28237" s="12"/>
    </row>
    <row r="28238" spans="32:32" x14ac:dyDescent="0.2">
      <c r="AF28238" s="12"/>
    </row>
    <row r="28239" spans="32:32" x14ac:dyDescent="0.2">
      <c r="AF28239" s="12"/>
    </row>
    <row r="28240" spans="32:32" x14ac:dyDescent="0.2">
      <c r="AF28240" s="12"/>
    </row>
    <row r="28241" spans="32:32" x14ac:dyDescent="0.2">
      <c r="AF28241" s="12"/>
    </row>
    <row r="28242" spans="32:32" x14ac:dyDescent="0.2">
      <c r="AF28242" s="12"/>
    </row>
    <row r="28243" spans="32:32" x14ac:dyDescent="0.2">
      <c r="AF28243" s="12"/>
    </row>
    <row r="28244" spans="32:32" x14ac:dyDescent="0.2">
      <c r="AF28244" s="12"/>
    </row>
    <row r="28245" spans="32:32" x14ac:dyDescent="0.2">
      <c r="AF28245" s="12"/>
    </row>
    <row r="28246" spans="32:32" x14ac:dyDescent="0.2">
      <c r="AF28246" s="12"/>
    </row>
    <row r="28247" spans="32:32" x14ac:dyDescent="0.2">
      <c r="AF28247" s="12"/>
    </row>
    <row r="28248" spans="32:32" x14ac:dyDescent="0.2">
      <c r="AF28248" s="12"/>
    </row>
    <row r="28249" spans="32:32" x14ac:dyDescent="0.2">
      <c r="AF28249" s="12"/>
    </row>
    <row r="28250" spans="32:32" x14ac:dyDescent="0.2">
      <c r="AF28250" s="12"/>
    </row>
    <row r="28251" spans="32:32" x14ac:dyDescent="0.2">
      <c r="AF28251" s="12"/>
    </row>
    <row r="28252" spans="32:32" x14ac:dyDescent="0.2">
      <c r="AF28252" s="12"/>
    </row>
    <row r="28253" spans="32:32" x14ac:dyDescent="0.2">
      <c r="AF28253" s="12"/>
    </row>
    <row r="28254" spans="32:32" x14ac:dyDescent="0.2">
      <c r="AF28254" s="12"/>
    </row>
    <row r="28255" spans="32:32" x14ac:dyDescent="0.2">
      <c r="AF28255" s="12"/>
    </row>
    <row r="28256" spans="32:32" x14ac:dyDescent="0.2">
      <c r="AF28256" s="12"/>
    </row>
    <row r="28257" spans="32:32" x14ac:dyDescent="0.2">
      <c r="AF28257" s="12"/>
    </row>
    <row r="28258" spans="32:32" x14ac:dyDescent="0.2">
      <c r="AF28258" s="12"/>
    </row>
    <row r="28259" spans="32:32" x14ac:dyDescent="0.2">
      <c r="AF28259" s="12"/>
    </row>
    <row r="28260" spans="32:32" x14ac:dyDescent="0.2">
      <c r="AF28260" s="12"/>
    </row>
    <row r="28261" spans="32:32" x14ac:dyDescent="0.2">
      <c r="AF28261" s="12"/>
    </row>
    <row r="28262" spans="32:32" x14ac:dyDescent="0.2">
      <c r="AF28262" s="12"/>
    </row>
    <row r="28263" spans="32:32" x14ac:dyDescent="0.2">
      <c r="AF28263" s="12"/>
    </row>
    <row r="28264" spans="32:32" x14ac:dyDescent="0.2">
      <c r="AF28264" s="12"/>
    </row>
    <row r="28265" spans="32:32" x14ac:dyDescent="0.2">
      <c r="AF28265" s="12"/>
    </row>
    <row r="28266" spans="32:32" x14ac:dyDescent="0.2">
      <c r="AF28266" s="12"/>
    </row>
    <row r="28267" spans="32:32" x14ac:dyDescent="0.2">
      <c r="AF28267" s="12"/>
    </row>
    <row r="28268" spans="32:32" x14ac:dyDescent="0.2">
      <c r="AF28268" s="12"/>
    </row>
    <row r="28269" spans="32:32" x14ac:dyDescent="0.2">
      <c r="AF28269" s="12"/>
    </row>
    <row r="28270" spans="32:32" x14ac:dyDescent="0.2">
      <c r="AF28270" s="12"/>
    </row>
    <row r="28271" spans="32:32" x14ac:dyDescent="0.2">
      <c r="AF28271" s="12"/>
    </row>
    <row r="28272" spans="32:32" x14ac:dyDescent="0.2">
      <c r="AF28272" s="12"/>
    </row>
    <row r="28273" spans="32:32" x14ac:dyDescent="0.2">
      <c r="AF28273" s="12"/>
    </row>
    <row r="28274" spans="32:32" x14ac:dyDescent="0.2">
      <c r="AF28274" s="12"/>
    </row>
    <row r="28275" spans="32:32" x14ac:dyDescent="0.2">
      <c r="AF28275" s="12"/>
    </row>
    <row r="28276" spans="32:32" x14ac:dyDescent="0.2">
      <c r="AF28276" s="12"/>
    </row>
    <row r="28277" spans="32:32" x14ac:dyDescent="0.2">
      <c r="AF28277" s="12"/>
    </row>
    <row r="28278" spans="32:32" x14ac:dyDescent="0.2">
      <c r="AF28278" s="12"/>
    </row>
    <row r="28279" spans="32:32" x14ac:dyDescent="0.2">
      <c r="AF28279" s="12"/>
    </row>
    <row r="28280" spans="32:32" x14ac:dyDescent="0.2">
      <c r="AF28280" s="12"/>
    </row>
    <row r="28281" spans="32:32" x14ac:dyDescent="0.2">
      <c r="AF28281" s="12"/>
    </row>
    <row r="28282" spans="32:32" x14ac:dyDescent="0.2">
      <c r="AF28282" s="12"/>
    </row>
    <row r="28283" spans="32:32" x14ac:dyDescent="0.2">
      <c r="AF28283" s="12"/>
    </row>
    <row r="28284" spans="32:32" x14ac:dyDescent="0.2">
      <c r="AF28284" s="12"/>
    </row>
    <row r="28285" spans="32:32" x14ac:dyDescent="0.2">
      <c r="AF28285" s="12"/>
    </row>
    <row r="28286" spans="32:32" x14ac:dyDescent="0.2">
      <c r="AF28286" s="12"/>
    </row>
    <row r="28287" spans="32:32" x14ac:dyDescent="0.2">
      <c r="AF28287" s="12"/>
    </row>
    <row r="28288" spans="32:32" x14ac:dyDescent="0.2">
      <c r="AF28288" s="12"/>
    </row>
    <row r="28289" spans="32:32" x14ac:dyDescent="0.2">
      <c r="AF28289" s="12"/>
    </row>
    <row r="28290" spans="32:32" x14ac:dyDescent="0.2">
      <c r="AF28290" s="12"/>
    </row>
    <row r="28291" spans="32:32" x14ac:dyDescent="0.2">
      <c r="AF28291" s="12"/>
    </row>
    <row r="28292" spans="32:32" x14ac:dyDescent="0.2">
      <c r="AF28292" s="12"/>
    </row>
    <row r="28293" spans="32:32" x14ac:dyDescent="0.2">
      <c r="AF28293" s="12"/>
    </row>
    <row r="28294" spans="32:32" x14ac:dyDescent="0.2">
      <c r="AF28294" s="12"/>
    </row>
    <row r="28295" spans="32:32" x14ac:dyDescent="0.2">
      <c r="AF28295" s="12"/>
    </row>
    <row r="28296" spans="32:32" x14ac:dyDescent="0.2">
      <c r="AF28296" s="12"/>
    </row>
    <row r="28297" spans="32:32" x14ac:dyDescent="0.2">
      <c r="AF28297" s="12"/>
    </row>
    <row r="28298" spans="32:32" x14ac:dyDescent="0.2">
      <c r="AF28298" s="12"/>
    </row>
    <row r="28299" spans="32:32" x14ac:dyDescent="0.2">
      <c r="AF28299" s="12"/>
    </row>
    <row r="28300" spans="32:32" x14ac:dyDescent="0.2">
      <c r="AF28300" s="12"/>
    </row>
    <row r="28301" spans="32:32" x14ac:dyDescent="0.2">
      <c r="AF28301" s="12"/>
    </row>
    <row r="28302" spans="32:32" x14ac:dyDescent="0.2">
      <c r="AF28302" s="12"/>
    </row>
    <row r="28303" spans="32:32" x14ac:dyDescent="0.2">
      <c r="AF28303" s="12"/>
    </row>
    <row r="28304" spans="32:32" x14ac:dyDescent="0.2">
      <c r="AF28304" s="12"/>
    </row>
    <row r="28305" spans="32:32" x14ac:dyDescent="0.2">
      <c r="AF28305" s="12"/>
    </row>
    <row r="28306" spans="32:32" x14ac:dyDescent="0.2">
      <c r="AF28306" s="12"/>
    </row>
    <row r="28307" spans="32:32" x14ac:dyDescent="0.2">
      <c r="AF28307" s="12"/>
    </row>
    <row r="28308" spans="32:32" x14ac:dyDescent="0.2">
      <c r="AF28308" s="12"/>
    </row>
    <row r="28309" spans="32:32" x14ac:dyDescent="0.2">
      <c r="AF28309" s="12"/>
    </row>
    <row r="28310" spans="32:32" x14ac:dyDescent="0.2">
      <c r="AF28310" s="12"/>
    </row>
    <row r="28311" spans="32:32" x14ac:dyDescent="0.2">
      <c r="AF28311" s="12"/>
    </row>
    <row r="28312" spans="32:32" x14ac:dyDescent="0.2">
      <c r="AF28312" s="12"/>
    </row>
    <row r="28313" spans="32:32" x14ac:dyDescent="0.2">
      <c r="AF28313" s="12"/>
    </row>
    <row r="28314" spans="32:32" x14ac:dyDescent="0.2">
      <c r="AF28314" s="12"/>
    </row>
    <row r="28315" spans="32:32" x14ac:dyDescent="0.2">
      <c r="AF28315" s="12"/>
    </row>
    <row r="28316" spans="32:32" x14ac:dyDescent="0.2">
      <c r="AF28316" s="12"/>
    </row>
    <row r="28317" spans="32:32" x14ac:dyDescent="0.2">
      <c r="AF28317" s="12"/>
    </row>
    <row r="28318" spans="32:32" x14ac:dyDescent="0.2">
      <c r="AF28318" s="12"/>
    </row>
    <row r="28319" spans="32:32" x14ac:dyDescent="0.2">
      <c r="AF28319" s="12"/>
    </row>
    <row r="28320" spans="32:32" x14ac:dyDescent="0.2">
      <c r="AF28320" s="12"/>
    </row>
    <row r="28321" spans="32:32" x14ac:dyDescent="0.2">
      <c r="AF28321" s="12"/>
    </row>
    <row r="28322" spans="32:32" x14ac:dyDescent="0.2">
      <c r="AF28322" s="12"/>
    </row>
    <row r="28323" spans="32:32" x14ac:dyDescent="0.2">
      <c r="AF28323" s="12"/>
    </row>
    <row r="28324" spans="32:32" x14ac:dyDescent="0.2">
      <c r="AF28324" s="12"/>
    </row>
    <row r="28325" spans="32:32" x14ac:dyDescent="0.2">
      <c r="AF28325" s="12"/>
    </row>
    <row r="28326" spans="32:32" x14ac:dyDescent="0.2">
      <c r="AF28326" s="12"/>
    </row>
    <row r="28327" spans="32:32" x14ac:dyDescent="0.2">
      <c r="AF28327" s="12"/>
    </row>
    <row r="28328" spans="32:32" x14ac:dyDescent="0.2">
      <c r="AF28328" s="12"/>
    </row>
    <row r="28329" spans="32:32" x14ac:dyDescent="0.2">
      <c r="AF28329" s="12"/>
    </row>
    <row r="28330" spans="32:32" x14ac:dyDescent="0.2">
      <c r="AF28330" s="12"/>
    </row>
    <row r="28331" spans="32:32" x14ac:dyDescent="0.2">
      <c r="AF28331" s="12"/>
    </row>
    <row r="28332" spans="32:32" x14ac:dyDescent="0.2">
      <c r="AF28332" s="12"/>
    </row>
    <row r="28333" spans="32:32" x14ac:dyDescent="0.2">
      <c r="AF28333" s="12"/>
    </row>
    <row r="28334" spans="32:32" x14ac:dyDescent="0.2">
      <c r="AF28334" s="12"/>
    </row>
    <row r="28335" spans="32:32" x14ac:dyDescent="0.2">
      <c r="AF28335" s="12"/>
    </row>
    <row r="28336" spans="32:32" x14ac:dyDescent="0.2">
      <c r="AF28336" s="12"/>
    </row>
    <row r="28337" spans="32:32" x14ac:dyDescent="0.2">
      <c r="AF28337" s="12"/>
    </row>
    <row r="28338" spans="32:32" x14ac:dyDescent="0.2">
      <c r="AF28338" s="12"/>
    </row>
    <row r="28339" spans="32:32" x14ac:dyDescent="0.2">
      <c r="AF28339" s="12"/>
    </row>
    <row r="28340" spans="32:32" x14ac:dyDescent="0.2">
      <c r="AF28340" s="12"/>
    </row>
    <row r="28341" spans="32:32" x14ac:dyDescent="0.2">
      <c r="AF28341" s="12"/>
    </row>
    <row r="28342" spans="32:32" x14ac:dyDescent="0.2">
      <c r="AF28342" s="12"/>
    </row>
    <row r="28343" spans="32:32" x14ac:dyDescent="0.2">
      <c r="AF28343" s="12"/>
    </row>
    <row r="28344" spans="32:32" x14ac:dyDescent="0.2">
      <c r="AF28344" s="12"/>
    </row>
    <row r="28345" spans="32:32" x14ac:dyDescent="0.2">
      <c r="AF28345" s="12"/>
    </row>
    <row r="28346" spans="32:32" x14ac:dyDescent="0.2">
      <c r="AF28346" s="12"/>
    </row>
    <row r="28347" spans="32:32" x14ac:dyDescent="0.2">
      <c r="AF28347" s="12"/>
    </row>
    <row r="28348" spans="32:32" x14ac:dyDescent="0.2">
      <c r="AF28348" s="12"/>
    </row>
    <row r="28349" spans="32:32" x14ac:dyDescent="0.2">
      <c r="AF28349" s="12"/>
    </row>
    <row r="28350" spans="32:32" x14ac:dyDescent="0.2">
      <c r="AF28350" s="12"/>
    </row>
    <row r="28351" spans="32:32" x14ac:dyDescent="0.2">
      <c r="AF28351" s="12"/>
    </row>
    <row r="28352" spans="32:32" x14ac:dyDescent="0.2">
      <c r="AF28352" s="12"/>
    </row>
    <row r="28353" spans="32:32" x14ac:dyDescent="0.2">
      <c r="AF28353" s="12"/>
    </row>
    <row r="28354" spans="32:32" x14ac:dyDescent="0.2">
      <c r="AF28354" s="12"/>
    </row>
    <row r="28355" spans="32:32" x14ac:dyDescent="0.2">
      <c r="AF28355" s="12"/>
    </row>
    <row r="28356" spans="32:32" x14ac:dyDescent="0.2">
      <c r="AF28356" s="12"/>
    </row>
    <row r="28357" spans="32:32" x14ac:dyDescent="0.2">
      <c r="AF28357" s="12"/>
    </row>
    <row r="28358" spans="32:32" x14ac:dyDescent="0.2">
      <c r="AF28358" s="12"/>
    </row>
    <row r="28359" spans="32:32" x14ac:dyDescent="0.2">
      <c r="AF28359" s="12"/>
    </row>
    <row r="28360" spans="32:32" x14ac:dyDescent="0.2">
      <c r="AF28360" s="12"/>
    </row>
    <row r="28361" spans="32:32" x14ac:dyDescent="0.2">
      <c r="AF28361" s="12"/>
    </row>
    <row r="28362" spans="32:32" x14ac:dyDescent="0.2">
      <c r="AF28362" s="12"/>
    </row>
    <row r="28363" spans="32:32" x14ac:dyDescent="0.2">
      <c r="AF28363" s="12"/>
    </row>
    <row r="28364" spans="32:32" x14ac:dyDescent="0.2">
      <c r="AF28364" s="12"/>
    </row>
    <row r="28365" spans="32:32" x14ac:dyDescent="0.2">
      <c r="AF28365" s="12"/>
    </row>
    <row r="28366" spans="32:32" x14ac:dyDescent="0.2">
      <c r="AF28366" s="12"/>
    </row>
    <row r="28367" spans="32:32" x14ac:dyDescent="0.2">
      <c r="AF28367" s="12"/>
    </row>
    <row r="28368" spans="32:32" x14ac:dyDescent="0.2">
      <c r="AF28368" s="12"/>
    </row>
    <row r="28369" spans="32:32" x14ac:dyDescent="0.2">
      <c r="AF28369" s="12"/>
    </row>
    <row r="28370" spans="32:32" x14ac:dyDescent="0.2">
      <c r="AF28370" s="12"/>
    </row>
    <row r="28371" spans="32:32" x14ac:dyDescent="0.2">
      <c r="AF28371" s="12"/>
    </row>
    <row r="28372" spans="32:32" x14ac:dyDescent="0.2">
      <c r="AF28372" s="12"/>
    </row>
    <row r="28373" spans="32:32" x14ac:dyDescent="0.2">
      <c r="AF28373" s="12"/>
    </row>
    <row r="28374" spans="32:32" x14ac:dyDescent="0.2">
      <c r="AF28374" s="12"/>
    </row>
    <row r="28375" spans="32:32" x14ac:dyDescent="0.2">
      <c r="AF28375" s="12"/>
    </row>
    <row r="28376" spans="32:32" x14ac:dyDescent="0.2">
      <c r="AF28376" s="12"/>
    </row>
    <row r="28377" spans="32:32" x14ac:dyDescent="0.2">
      <c r="AF28377" s="12"/>
    </row>
    <row r="28378" spans="32:32" x14ac:dyDescent="0.2">
      <c r="AF28378" s="12"/>
    </row>
    <row r="28379" spans="32:32" x14ac:dyDescent="0.2">
      <c r="AF28379" s="12"/>
    </row>
    <row r="28380" spans="32:32" x14ac:dyDescent="0.2">
      <c r="AF28380" s="12"/>
    </row>
    <row r="28381" spans="32:32" x14ac:dyDescent="0.2">
      <c r="AF28381" s="12"/>
    </row>
    <row r="28382" spans="32:32" x14ac:dyDescent="0.2">
      <c r="AF28382" s="12"/>
    </row>
    <row r="28383" spans="32:32" x14ac:dyDescent="0.2">
      <c r="AF28383" s="12"/>
    </row>
    <row r="28384" spans="32:32" x14ac:dyDescent="0.2">
      <c r="AF28384" s="12"/>
    </row>
    <row r="28385" spans="32:32" x14ac:dyDescent="0.2">
      <c r="AF28385" s="12"/>
    </row>
    <row r="28386" spans="32:32" x14ac:dyDescent="0.2">
      <c r="AF28386" s="12"/>
    </row>
    <row r="28387" spans="32:32" x14ac:dyDescent="0.2">
      <c r="AF28387" s="12"/>
    </row>
    <row r="28388" spans="32:32" x14ac:dyDescent="0.2">
      <c r="AF28388" s="12"/>
    </row>
    <row r="28389" spans="32:32" x14ac:dyDescent="0.2">
      <c r="AF28389" s="12"/>
    </row>
    <row r="28390" spans="32:32" x14ac:dyDescent="0.2">
      <c r="AF28390" s="12"/>
    </row>
    <row r="28391" spans="32:32" x14ac:dyDescent="0.2">
      <c r="AF28391" s="12"/>
    </row>
    <row r="28392" spans="32:32" x14ac:dyDescent="0.2">
      <c r="AF28392" s="12"/>
    </row>
    <row r="28393" spans="32:32" x14ac:dyDescent="0.2">
      <c r="AF28393" s="12"/>
    </row>
    <row r="28394" spans="32:32" x14ac:dyDescent="0.2">
      <c r="AF28394" s="12"/>
    </row>
    <row r="28395" spans="32:32" x14ac:dyDescent="0.2">
      <c r="AF28395" s="12"/>
    </row>
    <row r="28396" spans="32:32" x14ac:dyDescent="0.2">
      <c r="AF28396" s="12"/>
    </row>
    <row r="28397" spans="32:32" x14ac:dyDescent="0.2">
      <c r="AF28397" s="12"/>
    </row>
    <row r="28398" spans="32:32" x14ac:dyDescent="0.2">
      <c r="AF28398" s="12"/>
    </row>
    <row r="28399" spans="32:32" x14ac:dyDescent="0.2">
      <c r="AF28399" s="12"/>
    </row>
    <row r="28400" spans="32:32" x14ac:dyDescent="0.2">
      <c r="AF28400" s="12"/>
    </row>
    <row r="28401" spans="32:32" x14ac:dyDescent="0.2">
      <c r="AF28401" s="12"/>
    </row>
    <row r="28402" spans="32:32" x14ac:dyDescent="0.2">
      <c r="AF28402" s="12"/>
    </row>
    <row r="28403" spans="32:32" x14ac:dyDescent="0.2">
      <c r="AF28403" s="12"/>
    </row>
    <row r="28404" spans="32:32" x14ac:dyDescent="0.2">
      <c r="AF28404" s="12"/>
    </row>
    <row r="28405" spans="32:32" x14ac:dyDescent="0.2">
      <c r="AF28405" s="12"/>
    </row>
    <row r="28406" spans="32:32" x14ac:dyDescent="0.2">
      <c r="AF28406" s="12"/>
    </row>
    <row r="28407" spans="32:32" x14ac:dyDescent="0.2">
      <c r="AF28407" s="12"/>
    </row>
    <row r="28408" spans="32:32" x14ac:dyDescent="0.2">
      <c r="AF28408" s="12"/>
    </row>
    <row r="28409" spans="32:32" x14ac:dyDescent="0.2">
      <c r="AF28409" s="12"/>
    </row>
    <row r="28410" spans="32:32" x14ac:dyDescent="0.2">
      <c r="AF28410" s="12"/>
    </row>
    <row r="28411" spans="32:32" x14ac:dyDescent="0.2">
      <c r="AF28411" s="12"/>
    </row>
    <row r="28412" spans="32:32" x14ac:dyDescent="0.2">
      <c r="AF28412" s="12"/>
    </row>
    <row r="28413" spans="32:32" x14ac:dyDescent="0.2">
      <c r="AF28413" s="12"/>
    </row>
    <row r="28414" spans="32:32" x14ac:dyDescent="0.2">
      <c r="AF28414" s="12"/>
    </row>
    <row r="28415" spans="32:32" x14ac:dyDescent="0.2">
      <c r="AF28415" s="12"/>
    </row>
    <row r="28416" spans="32:32" x14ac:dyDescent="0.2">
      <c r="AF28416" s="12"/>
    </row>
    <row r="28417" spans="32:32" x14ac:dyDescent="0.2">
      <c r="AF28417" s="12"/>
    </row>
    <row r="28418" spans="32:32" x14ac:dyDescent="0.2">
      <c r="AF28418" s="12"/>
    </row>
    <row r="28419" spans="32:32" x14ac:dyDescent="0.2">
      <c r="AF28419" s="12"/>
    </row>
    <row r="28420" spans="32:32" x14ac:dyDescent="0.2">
      <c r="AF28420" s="12"/>
    </row>
    <row r="28421" spans="32:32" x14ac:dyDescent="0.2">
      <c r="AF28421" s="12"/>
    </row>
    <row r="28422" spans="32:32" x14ac:dyDescent="0.2">
      <c r="AF28422" s="12"/>
    </row>
    <row r="28423" spans="32:32" x14ac:dyDescent="0.2">
      <c r="AF28423" s="12"/>
    </row>
    <row r="28424" spans="32:32" x14ac:dyDescent="0.2">
      <c r="AF28424" s="12"/>
    </row>
    <row r="28425" spans="32:32" x14ac:dyDescent="0.2">
      <c r="AF28425" s="12"/>
    </row>
    <row r="28426" spans="32:32" x14ac:dyDescent="0.2">
      <c r="AF28426" s="12"/>
    </row>
    <row r="28427" spans="32:32" x14ac:dyDescent="0.2">
      <c r="AF28427" s="12"/>
    </row>
    <row r="28428" spans="32:32" x14ac:dyDescent="0.2">
      <c r="AF28428" s="12"/>
    </row>
    <row r="28429" spans="32:32" x14ac:dyDescent="0.2">
      <c r="AF28429" s="12"/>
    </row>
    <row r="28430" spans="32:32" x14ac:dyDescent="0.2">
      <c r="AF28430" s="12"/>
    </row>
    <row r="28431" spans="32:32" x14ac:dyDescent="0.2">
      <c r="AF28431" s="12"/>
    </row>
    <row r="28432" spans="32:32" x14ac:dyDescent="0.2">
      <c r="AF28432" s="12"/>
    </row>
    <row r="28433" spans="32:32" x14ac:dyDescent="0.2">
      <c r="AF28433" s="12"/>
    </row>
    <row r="28434" spans="32:32" x14ac:dyDescent="0.2">
      <c r="AF28434" s="12"/>
    </row>
    <row r="28435" spans="32:32" x14ac:dyDescent="0.2">
      <c r="AF28435" s="12"/>
    </row>
    <row r="28436" spans="32:32" x14ac:dyDescent="0.2">
      <c r="AF28436" s="12"/>
    </row>
    <row r="28437" spans="32:32" x14ac:dyDescent="0.2">
      <c r="AF28437" s="12"/>
    </row>
    <row r="28438" spans="32:32" x14ac:dyDescent="0.2">
      <c r="AF28438" s="12"/>
    </row>
    <row r="28439" spans="32:32" x14ac:dyDescent="0.2">
      <c r="AF28439" s="12"/>
    </row>
    <row r="28440" spans="32:32" x14ac:dyDescent="0.2">
      <c r="AF28440" s="12"/>
    </row>
    <row r="28441" spans="32:32" x14ac:dyDescent="0.2">
      <c r="AF28441" s="12"/>
    </row>
    <row r="28442" spans="32:32" x14ac:dyDescent="0.2">
      <c r="AF28442" s="12"/>
    </row>
    <row r="28443" spans="32:32" x14ac:dyDescent="0.2">
      <c r="AF28443" s="12"/>
    </row>
    <row r="28444" spans="32:32" x14ac:dyDescent="0.2">
      <c r="AF28444" s="12"/>
    </row>
    <row r="28445" spans="32:32" x14ac:dyDescent="0.2">
      <c r="AF28445" s="12"/>
    </row>
    <row r="28446" spans="32:32" x14ac:dyDescent="0.2">
      <c r="AF28446" s="12"/>
    </row>
    <row r="28447" spans="32:32" x14ac:dyDescent="0.2">
      <c r="AF28447" s="12"/>
    </row>
    <row r="28448" spans="32:32" x14ac:dyDescent="0.2">
      <c r="AF28448" s="12"/>
    </row>
    <row r="28449" spans="32:32" x14ac:dyDescent="0.2">
      <c r="AF28449" s="12"/>
    </row>
    <row r="28450" spans="32:32" x14ac:dyDescent="0.2">
      <c r="AF28450" s="12"/>
    </row>
    <row r="28451" spans="32:32" x14ac:dyDescent="0.2">
      <c r="AF28451" s="12"/>
    </row>
    <row r="28452" spans="32:32" x14ac:dyDescent="0.2">
      <c r="AF28452" s="12"/>
    </row>
    <row r="28453" spans="32:32" x14ac:dyDescent="0.2">
      <c r="AF28453" s="12"/>
    </row>
    <row r="28454" spans="32:32" x14ac:dyDescent="0.2">
      <c r="AF28454" s="12"/>
    </row>
    <row r="28455" spans="32:32" x14ac:dyDescent="0.2">
      <c r="AF28455" s="12"/>
    </row>
    <row r="28456" spans="32:32" x14ac:dyDescent="0.2">
      <c r="AF28456" s="12"/>
    </row>
    <row r="28457" spans="32:32" x14ac:dyDescent="0.2">
      <c r="AF28457" s="12"/>
    </row>
    <row r="28458" spans="32:32" x14ac:dyDescent="0.2">
      <c r="AF28458" s="12"/>
    </row>
    <row r="28459" spans="32:32" x14ac:dyDescent="0.2">
      <c r="AF28459" s="12"/>
    </row>
    <row r="28460" spans="32:32" x14ac:dyDescent="0.2">
      <c r="AF28460" s="12"/>
    </row>
    <row r="28461" spans="32:32" x14ac:dyDescent="0.2">
      <c r="AF28461" s="12"/>
    </row>
    <row r="28462" spans="32:32" x14ac:dyDescent="0.2">
      <c r="AF28462" s="12"/>
    </row>
    <row r="28463" spans="32:32" x14ac:dyDescent="0.2">
      <c r="AF28463" s="12"/>
    </row>
    <row r="28464" spans="32:32" x14ac:dyDescent="0.2">
      <c r="AF28464" s="12"/>
    </row>
    <row r="28465" spans="32:32" x14ac:dyDescent="0.2">
      <c r="AF28465" s="12"/>
    </row>
    <row r="28466" spans="32:32" x14ac:dyDescent="0.2">
      <c r="AF28466" s="12"/>
    </row>
    <row r="28467" spans="32:32" x14ac:dyDescent="0.2">
      <c r="AF28467" s="12"/>
    </row>
    <row r="28468" spans="32:32" x14ac:dyDescent="0.2">
      <c r="AF28468" s="12"/>
    </row>
    <row r="28469" spans="32:32" x14ac:dyDescent="0.2">
      <c r="AF28469" s="12"/>
    </row>
    <row r="28470" spans="32:32" x14ac:dyDescent="0.2">
      <c r="AF28470" s="12"/>
    </row>
    <row r="28471" spans="32:32" x14ac:dyDescent="0.2">
      <c r="AF28471" s="12"/>
    </row>
    <row r="28472" spans="32:32" x14ac:dyDescent="0.2">
      <c r="AF28472" s="12"/>
    </row>
    <row r="28473" spans="32:32" x14ac:dyDescent="0.2">
      <c r="AF28473" s="12"/>
    </row>
    <row r="28474" spans="32:32" x14ac:dyDescent="0.2">
      <c r="AF28474" s="12"/>
    </row>
    <row r="28475" spans="32:32" x14ac:dyDescent="0.2">
      <c r="AF28475" s="12"/>
    </row>
    <row r="28476" spans="32:32" x14ac:dyDescent="0.2">
      <c r="AF28476" s="12"/>
    </row>
    <row r="28477" spans="32:32" x14ac:dyDescent="0.2">
      <c r="AF28477" s="12"/>
    </row>
    <row r="28478" spans="32:32" x14ac:dyDescent="0.2">
      <c r="AF28478" s="12"/>
    </row>
    <row r="28479" spans="32:32" x14ac:dyDescent="0.2">
      <c r="AF28479" s="12"/>
    </row>
    <row r="28480" spans="32:32" x14ac:dyDescent="0.2">
      <c r="AF28480" s="12"/>
    </row>
    <row r="28481" spans="32:32" x14ac:dyDescent="0.2">
      <c r="AF28481" s="12"/>
    </row>
    <row r="28482" spans="32:32" x14ac:dyDescent="0.2">
      <c r="AF28482" s="12"/>
    </row>
    <row r="28483" spans="32:32" x14ac:dyDescent="0.2">
      <c r="AF28483" s="12"/>
    </row>
    <row r="28484" spans="32:32" x14ac:dyDescent="0.2">
      <c r="AF28484" s="12"/>
    </row>
    <row r="28485" spans="32:32" x14ac:dyDescent="0.2">
      <c r="AF28485" s="12"/>
    </row>
    <row r="28486" spans="32:32" x14ac:dyDescent="0.2">
      <c r="AF28486" s="12"/>
    </row>
    <row r="28487" spans="32:32" x14ac:dyDescent="0.2">
      <c r="AF28487" s="12"/>
    </row>
    <row r="28488" spans="32:32" x14ac:dyDescent="0.2">
      <c r="AF28488" s="12"/>
    </row>
    <row r="28489" spans="32:32" x14ac:dyDescent="0.2">
      <c r="AF28489" s="12"/>
    </row>
    <row r="28490" spans="32:32" x14ac:dyDescent="0.2">
      <c r="AF28490" s="12"/>
    </row>
    <row r="28491" spans="32:32" x14ac:dyDescent="0.2">
      <c r="AF28491" s="12"/>
    </row>
    <row r="28492" spans="32:32" x14ac:dyDescent="0.2">
      <c r="AF28492" s="12"/>
    </row>
    <row r="28493" spans="32:32" x14ac:dyDescent="0.2">
      <c r="AF28493" s="12"/>
    </row>
    <row r="28494" spans="32:32" x14ac:dyDescent="0.2">
      <c r="AF28494" s="12"/>
    </row>
    <row r="28495" spans="32:32" x14ac:dyDescent="0.2">
      <c r="AF28495" s="12"/>
    </row>
    <row r="28496" spans="32:32" x14ac:dyDescent="0.2">
      <c r="AF28496" s="12"/>
    </row>
    <row r="28497" spans="32:32" x14ac:dyDescent="0.2">
      <c r="AF28497" s="12"/>
    </row>
    <row r="28498" spans="32:32" x14ac:dyDescent="0.2">
      <c r="AF28498" s="12"/>
    </row>
    <row r="28499" spans="32:32" x14ac:dyDescent="0.2">
      <c r="AF28499" s="12"/>
    </row>
    <row r="28500" spans="32:32" x14ac:dyDescent="0.2">
      <c r="AF28500" s="12"/>
    </row>
    <row r="28501" spans="32:32" x14ac:dyDescent="0.2">
      <c r="AF28501" s="12"/>
    </row>
    <row r="28502" spans="32:32" x14ac:dyDescent="0.2">
      <c r="AF28502" s="12"/>
    </row>
    <row r="28503" spans="32:32" x14ac:dyDescent="0.2">
      <c r="AF28503" s="12"/>
    </row>
    <row r="28504" spans="32:32" x14ac:dyDescent="0.2">
      <c r="AF28504" s="12"/>
    </row>
    <row r="28505" spans="32:32" x14ac:dyDescent="0.2">
      <c r="AF28505" s="12"/>
    </row>
    <row r="28506" spans="32:32" x14ac:dyDescent="0.2">
      <c r="AF28506" s="12"/>
    </row>
    <row r="28507" spans="32:32" x14ac:dyDescent="0.2">
      <c r="AF28507" s="12"/>
    </row>
    <row r="28508" spans="32:32" x14ac:dyDescent="0.2">
      <c r="AF28508" s="12"/>
    </row>
    <row r="28509" spans="32:32" x14ac:dyDescent="0.2">
      <c r="AF28509" s="12"/>
    </row>
    <row r="28510" spans="32:32" x14ac:dyDescent="0.2">
      <c r="AF28510" s="12"/>
    </row>
    <row r="28511" spans="32:32" x14ac:dyDescent="0.2">
      <c r="AF28511" s="12"/>
    </row>
    <row r="28512" spans="32:32" x14ac:dyDescent="0.2">
      <c r="AF28512" s="12"/>
    </row>
    <row r="28513" spans="32:32" x14ac:dyDescent="0.2">
      <c r="AF28513" s="12"/>
    </row>
    <row r="28514" spans="32:32" x14ac:dyDescent="0.2">
      <c r="AF28514" s="12"/>
    </row>
    <row r="28515" spans="32:32" x14ac:dyDescent="0.2">
      <c r="AF28515" s="12"/>
    </row>
    <row r="28516" spans="32:32" x14ac:dyDescent="0.2">
      <c r="AF28516" s="12"/>
    </row>
    <row r="28517" spans="32:32" x14ac:dyDescent="0.2">
      <c r="AF28517" s="12"/>
    </row>
    <row r="28518" spans="32:32" x14ac:dyDescent="0.2">
      <c r="AF28518" s="12"/>
    </row>
    <row r="28519" spans="32:32" x14ac:dyDescent="0.2">
      <c r="AF28519" s="12"/>
    </row>
    <row r="28520" spans="32:32" x14ac:dyDescent="0.2">
      <c r="AF28520" s="12"/>
    </row>
    <row r="28521" spans="32:32" x14ac:dyDescent="0.2">
      <c r="AF28521" s="12"/>
    </row>
    <row r="28522" spans="32:32" x14ac:dyDescent="0.2">
      <c r="AF28522" s="12"/>
    </row>
    <row r="28523" spans="32:32" x14ac:dyDescent="0.2">
      <c r="AF28523" s="12"/>
    </row>
    <row r="28524" spans="32:32" x14ac:dyDescent="0.2">
      <c r="AF28524" s="12"/>
    </row>
    <row r="28525" spans="32:32" x14ac:dyDescent="0.2">
      <c r="AF28525" s="12"/>
    </row>
    <row r="28526" spans="32:32" x14ac:dyDescent="0.2">
      <c r="AF28526" s="12"/>
    </row>
    <row r="28527" spans="32:32" x14ac:dyDescent="0.2">
      <c r="AF28527" s="12"/>
    </row>
    <row r="28528" spans="32:32" x14ac:dyDescent="0.2">
      <c r="AF28528" s="12"/>
    </row>
    <row r="28529" spans="32:32" x14ac:dyDescent="0.2">
      <c r="AF28529" s="12"/>
    </row>
    <row r="28530" spans="32:32" x14ac:dyDescent="0.2">
      <c r="AF28530" s="12"/>
    </row>
    <row r="28531" spans="32:32" x14ac:dyDescent="0.2">
      <c r="AF28531" s="12"/>
    </row>
    <row r="28532" spans="32:32" x14ac:dyDescent="0.2">
      <c r="AF28532" s="12"/>
    </row>
    <row r="28533" spans="32:32" x14ac:dyDescent="0.2">
      <c r="AF28533" s="12"/>
    </row>
    <row r="28534" spans="32:32" x14ac:dyDescent="0.2">
      <c r="AF28534" s="12"/>
    </row>
    <row r="28535" spans="32:32" x14ac:dyDescent="0.2">
      <c r="AF28535" s="12"/>
    </row>
    <row r="28536" spans="32:32" x14ac:dyDescent="0.2">
      <c r="AF28536" s="12"/>
    </row>
    <row r="28537" spans="32:32" x14ac:dyDescent="0.2">
      <c r="AF28537" s="12"/>
    </row>
    <row r="28538" spans="32:32" x14ac:dyDescent="0.2">
      <c r="AF28538" s="12"/>
    </row>
    <row r="28539" spans="32:32" x14ac:dyDescent="0.2">
      <c r="AF28539" s="12"/>
    </row>
    <row r="28540" spans="32:32" x14ac:dyDescent="0.2">
      <c r="AF28540" s="12"/>
    </row>
    <row r="28541" spans="32:32" x14ac:dyDescent="0.2">
      <c r="AF28541" s="12"/>
    </row>
    <row r="28542" spans="32:32" x14ac:dyDescent="0.2">
      <c r="AF28542" s="12"/>
    </row>
    <row r="28543" spans="32:32" x14ac:dyDescent="0.2">
      <c r="AF28543" s="12"/>
    </row>
    <row r="28544" spans="32:32" x14ac:dyDescent="0.2">
      <c r="AF28544" s="12"/>
    </row>
    <row r="28545" spans="32:32" x14ac:dyDescent="0.2">
      <c r="AF28545" s="12"/>
    </row>
    <row r="28546" spans="32:32" x14ac:dyDescent="0.2">
      <c r="AF28546" s="12"/>
    </row>
    <row r="28547" spans="32:32" x14ac:dyDescent="0.2">
      <c r="AF28547" s="12"/>
    </row>
    <row r="28548" spans="32:32" x14ac:dyDescent="0.2">
      <c r="AF28548" s="12"/>
    </row>
    <row r="28549" spans="32:32" x14ac:dyDescent="0.2">
      <c r="AF28549" s="12"/>
    </row>
    <row r="28550" spans="32:32" x14ac:dyDescent="0.2">
      <c r="AF28550" s="12"/>
    </row>
    <row r="28551" spans="32:32" x14ac:dyDescent="0.2">
      <c r="AF28551" s="12"/>
    </row>
    <row r="28552" spans="32:32" x14ac:dyDescent="0.2">
      <c r="AF28552" s="12"/>
    </row>
    <row r="28553" spans="32:32" x14ac:dyDescent="0.2">
      <c r="AF28553" s="12"/>
    </row>
    <row r="28554" spans="32:32" x14ac:dyDescent="0.2">
      <c r="AF28554" s="12"/>
    </row>
    <row r="28555" spans="32:32" x14ac:dyDescent="0.2">
      <c r="AF28555" s="12"/>
    </row>
    <row r="28556" spans="32:32" x14ac:dyDescent="0.2">
      <c r="AF28556" s="12"/>
    </row>
    <row r="28557" spans="32:32" x14ac:dyDescent="0.2">
      <c r="AF28557" s="12"/>
    </row>
    <row r="28558" spans="32:32" x14ac:dyDescent="0.2">
      <c r="AF28558" s="12"/>
    </row>
    <row r="28559" spans="32:32" x14ac:dyDescent="0.2">
      <c r="AF28559" s="12"/>
    </row>
    <row r="28560" spans="32:32" x14ac:dyDescent="0.2">
      <c r="AF28560" s="12"/>
    </row>
    <row r="28561" spans="32:32" x14ac:dyDescent="0.2">
      <c r="AF28561" s="12"/>
    </row>
    <row r="28562" spans="32:32" x14ac:dyDescent="0.2">
      <c r="AF28562" s="12"/>
    </row>
    <row r="28563" spans="32:32" x14ac:dyDescent="0.2">
      <c r="AF28563" s="12"/>
    </row>
    <row r="28564" spans="32:32" x14ac:dyDescent="0.2">
      <c r="AF28564" s="12"/>
    </row>
    <row r="28565" spans="32:32" x14ac:dyDescent="0.2">
      <c r="AF28565" s="12"/>
    </row>
    <row r="28566" spans="32:32" x14ac:dyDescent="0.2">
      <c r="AF28566" s="12"/>
    </row>
    <row r="28567" spans="32:32" x14ac:dyDescent="0.2">
      <c r="AF28567" s="12"/>
    </row>
    <row r="28568" spans="32:32" x14ac:dyDescent="0.2">
      <c r="AF28568" s="12"/>
    </row>
    <row r="28569" spans="32:32" x14ac:dyDescent="0.2">
      <c r="AF28569" s="12"/>
    </row>
    <row r="28570" spans="32:32" x14ac:dyDescent="0.2">
      <c r="AF28570" s="12"/>
    </row>
    <row r="28571" spans="32:32" x14ac:dyDescent="0.2">
      <c r="AF28571" s="12"/>
    </row>
    <row r="28572" spans="32:32" x14ac:dyDescent="0.2">
      <c r="AF28572" s="12"/>
    </row>
    <row r="28573" spans="32:32" x14ac:dyDescent="0.2">
      <c r="AF28573" s="12"/>
    </row>
    <row r="28574" spans="32:32" x14ac:dyDescent="0.2">
      <c r="AF28574" s="12"/>
    </row>
    <row r="28575" spans="32:32" x14ac:dyDescent="0.2">
      <c r="AF28575" s="12"/>
    </row>
    <row r="28576" spans="32:32" x14ac:dyDescent="0.2">
      <c r="AF28576" s="12"/>
    </row>
    <row r="28577" spans="32:32" x14ac:dyDescent="0.2">
      <c r="AF28577" s="12"/>
    </row>
    <row r="28578" spans="32:32" x14ac:dyDescent="0.2">
      <c r="AF28578" s="12"/>
    </row>
    <row r="28579" spans="32:32" x14ac:dyDescent="0.2">
      <c r="AF28579" s="12"/>
    </row>
    <row r="28580" spans="32:32" x14ac:dyDescent="0.2">
      <c r="AF28580" s="12"/>
    </row>
    <row r="28581" spans="32:32" x14ac:dyDescent="0.2">
      <c r="AF28581" s="12"/>
    </row>
    <row r="28582" spans="32:32" x14ac:dyDescent="0.2">
      <c r="AF28582" s="12"/>
    </row>
    <row r="28583" spans="32:32" x14ac:dyDescent="0.2">
      <c r="AF28583" s="12"/>
    </row>
    <row r="28584" spans="32:32" x14ac:dyDescent="0.2">
      <c r="AF28584" s="12"/>
    </row>
    <row r="28585" spans="32:32" x14ac:dyDescent="0.2">
      <c r="AF28585" s="12"/>
    </row>
    <row r="28586" spans="32:32" x14ac:dyDescent="0.2">
      <c r="AF28586" s="12"/>
    </row>
    <row r="28587" spans="32:32" x14ac:dyDescent="0.2">
      <c r="AF28587" s="12"/>
    </row>
    <row r="28588" spans="32:32" x14ac:dyDescent="0.2">
      <c r="AF28588" s="12"/>
    </row>
    <row r="28589" spans="32:32" x14ac:dyDescent="0.2">
      <c r="AF28589" s="12"/>
    </row>
    <row r="28590" spans="32:32" x14ac:dyDescent="0.2">
      <c r="AF28590" s="12"/>
    </row>
    <row r="28591" spans="32:32" x14ac:dyDescent="0.2">
      <c r="AF28591" s="12"/>
    </row>
    <row r="28592" spans="32:32" x14ac:dyDescent="0.2">
      <c r="AF28592" s="12"/>
    </row>
    <row r="28593" spans="32:32" x14ac:dyDescent="0.2">
      <c r="AF28593" s="12"/>
    </row>
    <row r="28594" spans="32:32" x14ac:dyDescent="0.2">
      <c r="AF28594" s="12"/>
    </row>
    <row r="28595" spans="32:32" x14ac:dyDescent="0.2">
      <c r="AF28595" s="12"/>
    </row>
    <row r="28596" spans="32:32" x14ac:dyDescent="0.2">
      <c r="AF28596" s="12"/>
    </row>
    <row r="28597" spans="32:32" x14ac:dyDescent="0.2">
      <c r="AF28597" s="12"/>
    </row>
    <row r="28598" spans="32:32" x14ac:dyDescent="0.2">
      <c r="AF28598" s="12"/>
    </row>
    <row r="28599" spans="32:32" x14ac:dyDescent="0.2">
      <c r="AF28599" s="12"/>
    </row>
    <row r="28600" spans="32:32" x14ac:dyDescent="0.2">
      <c r="AF28600" s="12"/>
    </row>
    <row r="28601" spans="32:32" x14ac:dyDescent="0.2">
      <c r="AF28601" s="12"/>
    </row>
    <row r="28602" spans="32:32" x14ac:dyDescent="0.2">
      <c r="AF28602" s="12"/>
    </row>
    <row r="28603" spans="32:32" x14ac:dyDescent="0.2">
      <c r="AF28603" s="12"/>
    </row>
    <row r="28604" spans="32:32" x14ac:dyDescent="0.2">
      <c r="AF28604" s="12"/>
    </row>
    <row r="28605" spans="32:32" x14ac:dyDescent="0.2">
      <c r="AF28605" s="12"/>
    </row>
    <row r="28606" spans="32:32" x14ac:dyDescent="0.2">
      <c r="AF28606" s="12"/>
    </row>
    <row r="28607" spans="32:32" x14ac:dyDescent="0.2">
      <c r="AF28607" s="12"/>
    </row>
    <row r="28608" spans="32:32" x14ac:dyDescent="0.2">
      <c r="AF28608" s="12"/>
    </row>
    <row r="28609" spans="32:32" x14ac:dyDescent="0.2">
      <c r="AF28609" s="12"/>
    </row>
    <row r="28610" spans="32:32" x14ac:dyDescent="0.2">
      <c r="AF28610" s="12"/>
    </row>
    <row r="28611" spans="32:32" x14ac:dyDescent="0.2">
      <c r="AF28611" s="12"/>
    </row>
    <row r="28612" spans="32:32" x14ac:dyDescent="0.2">
      <c r="AF28612" s="12"/>
    </row>
    <row r="28613" spans="32:32" x14ac:dyDescent="0.2">
      <c r="AF28613" s="12"/>
    </row>
    <row r="28614" spans="32:32" x14ac:dyDescent="0.2">
      <c r="AF28614" s="12"/>
    </row>
    <row r="28615" spans="32:32" x14ac:dyDescent="0.2">
      <c r="AF28615" s="12"/>
    </row>
    <row r="28616" spans="32:32" x14ac:dyDescent="0.2">
      <c r="AF28616" s="12"/>
    </row>
    <row r="28617" spans="32:32" x14ac:dyDescent="0.2">
      <c r="AF28617" s="12"/>
    </row>
    <row r="28618" spans="32:32" x14ac:dyDescent="0.2">
      <c r="AF28618" s="12"/>
    </row>
    <row r="28619" spans="32:32" x14ac:dyDescent="0.2">
      <c r="AF28619" s="12"/>
    </row>
    <row r="28620" spans="32:32" x14ac:dyDescent="0.2">
      <c r="AF28620" s="12"/>
    </row>
    <row r="28621" spans="32:32" x14ac:dyDescent="0.2">
      <c r="AF28621" s="12"/>
    </row>
    <row r="28622" spans="32:32" x14ac:dyDescent="0.2">
      <c r="AF28622" s="12"/>
    </row>
    <row r="28623" spans="32:32" x14ac:dyDescent="0.2">
      <c r="AF28623" s="12"/>
    </row>
    <row r="28624" spans="32:32" x14ac:dyDescent="0.2">
      <c r="AF28624" s="12"/>
    </row>
    <row r="28625" spans="32:32" x14ac:dyDescent="0.2">
      <c r="AF28625" s="12"/>
    </row>
    <row r="28626" spans="32:32" x14ac:dyDescent="0.2">
      <c r="AF28626" s="12"/>
    </row>
    <row r="28627" spans="32:32" x14ac:dyDescent="0.2">
      <c r="AF28627" s="12"/>
    </row>
    <row r="28628" spans="32:32" x14ac:dyDescent="0.2">
      <c r="AF28628" s="12"/>
    </row>
    <row r="28629" spans="32:32" x14ac:dyDescent="0.2">
      <c r="AF28629" s="12"/>
    </row>
    <row r="28630" spans="32:32" x14ac:dyDescent="0.2">
      <c r="AF28630" s="12"/>
    </row>
    <row r="28631" spans="32:32" x14ac:dyDescent="0.2">
      <c r="AF28631" s="12"/>
    </row>
    <row r="28632" spans="32:32" x14ac:dyDescent="0.2">
      <c r="AF28632" s="12"/>
    </row>
    <row r="28633" spans="32:32" x14ac:dyDescent="0.2">
      <c r="AF28633" s="12"/>
    </row>
    <row r="28634" spans="32:32" x14ac:dyDescent="0.2">
      <c r="AF28634" s="12"/>
    </row>
    <row r="28635" spans="32:32" x14ac:dyDescent="0.2">
      <c r="AF28635" s="12"/>
    </row>
    <row r="28636" spans="32:32" x14ac:dyDescent="0.2">
      <c r="AF28636" s="12"/>
    </row>
    <row r="28637" spans="32:32" x14ac:dyDescent="0.2">
      <c r="AF28637" s="12"/>
    </row>
    <row r="28638" spans="32:32" x14ac:dyDescent="0.2">
      <c r="AF28638" s="12"/>
    </row>
    <row r="28639" spans="32:32" x14ac:dyDescent="0.2">
      <c r="AF28639" s="12"/>
    </row>
    <row r="28640" spans="32:32" x14ac:dyDescent="0.2">
      <c r="AF28640" s="12"/>
    </row>
    <row r="28641" spans="32:32" x14ac:dyDescent="0.2">
      <c r="AF28641" s="12"/>
    </row>
    <row r="28642" spans="32:32" x14ac:dyDescent="0.2">
      <c r="AF28642" s="12"/>
    </row>
    <row r="28643" spans="32:32" x14ac:dyDescent="0.2">
      <c r="AF28643" s="12"/>
    </row>
    <row r="28644" spans="32:32" x14ac:dyDescent="0.2">
      <c r="AF28644" s="12"/>
    </row>
    <row r="28645" spans="32:32" x14ac:dyDescent="0.2">
      <c r="AF28645" s="12"/>
    </row>
    <row r="28646" spans="32:32" x14ac:dyDescent="0.2">
      <c r="AF28646" s="12"/>
    </row>
    <row r="28647" spans="32:32" x14ac:dyDescent="0.2">
      <c r="AF28647" s="12"/>
    </row>
    <row r="28648" spans="32:32" x14ac:dyDescent="0.2">
      <c r="AF28648" s="12"/>
    </row>
    <row r="28649" spans="32:32" x14ac:dyDescent="0.2">
      <c r="AF28649" s="12"/>
    </row>
    <row r="28650" spans="32:32" x14ac:dyDescent="0.2">
      <c r="AF28650" s="12"/>
    </row>
    <row r="28651" spans="32:32" x14ac:dyDescent="0.2">
      <c r="AF28651" s="12"/>
    </row>
    <row r="28652" spans="32:32" x14ac:dyDescent="0.2">
      <c r="AF28652" s="12"/>
    </row>
    <row r="28653" spans="32:32" x14ac:dyDescent="0.2">
      <c r="AF28653" s="12"/>
    </row>
    <row r="28654" spans="32:32" x14ac:dyDescent="0.2">
      <c r="AF28654" s="12"/>
    </row>
    <row r="28655" spans="32:32" x14ac:dyDescent="0.2">
      <c r="AF28655" s="12"/>
    </row>
    <row r="28656" spans="32:32" x14ac:dyDescent="0.2">
      <c r="AF28656" s="12"/>
    </row>
    <row r="28657" spans="32:32" x14ac:dyDescent="0.2">
      <c r="AF28657" s="12"/>
    </row>
    <row r="28658" spans="32:32" x14ac:dyDescent="0.2">
      <c r="AF28658" s="12"/>
    </row>
    <row r="28659" spans="32:32" x14ac:dyDescent="0.2">
      <c r="AF28659" s="12"/>
    </row>
    <row r="28660" spans="32:32" x14ac:dyDescent="0.2">
      <c r="AF28660" s="12"/>
    </row>
    <row r="28661" spans="32:32" x14ac:dyDescent="0.2">
      <c r="AF28661" s="12"/>
    </row>
    <row r="28662" spans="32:32" x14ac:dyDescent="0.2">
      <c r="AF28662" s="12"/>
    </row>
    <row r="28663" spans="32:32" x14ac:dyDescent="0.2">
      <c r="AF28663" s="12"/>
    </row>
    <row r="28664" spans="32:32" x14ac:dyDescent="0.2">
      <c r="AF28664" s="12"/>
    </row>
    <row r="28665" spans="32:32" x14ac:dyDescent="0.2">
      <c r="AF28665" s="12"/>
    </row>
    <row r="28666" spans="32:32" x14ac:dyDescent="0.2">
      <c r="AF28666" s="12"/>
    </row>
    <row r="28667" spans="32:32" x14ac:dyDescent="0.2">
      <c r="AF28667" s="12"/>
    </row>
    <row r="28668" spans="32:32" x14ac:dyDescent="0.2">
      <c r="AF28668" s="12"/>
    </row>
    <row r="28669" spans="32:32" x14ac:dyDescent="0.2">
      <c r="AF28669" s="12"/>
    </row>
    <row r="28670" spans="32:32" x14ac:dyDescent="0.2">
      <c r="AF28670" s="12"/>
    </row>
    <row r="28671" spans="32:32" x14ac:dyDescent="0.2">
      <c r="AF28671" s="12"/>
    </row>
    <row r="28672" spans="32:32" x14ac:dyDescent="0.2">
      <c r="AF28672" s="12"/>
    </row>
    <row r="28673" spans="32:32" x14ac:dyDescent="0.2">
      <c r="AF28673" s="12"/>
    </row>
    <row r="28674" spans="32:32" x14ac:dyDescent="0.2">
      <c r="AF28674" s="12"/>
    </row>
    <row r="28675" spans="32:32" x14ac:dyDescent="0.2">
      <c r="AF28675" s="12"/>
    </row>
    <row r="28676" spans="32:32" x14ac:dyDescent="0.2">
      <c r="AF28676" s="12"/>
    </row>
    <row r="28677" spans="32:32" x14ac:dyDescent="0.2">
      <c r="AF28677" s="12"/>
    </row>
    <row r="28678" spans="32:32" x14ac:dyDescent="0.2">
      <c r="AF28678" s="12"/>
    </row>
    <row r="28679" spans="32:32" x14ac:dyDescent="0.2">
      <c r="AF28679" s="12"/>
    </row>
    <row r="28680" spans="32:32" x14ac:dyDescent="0.2">
      <c r="AF28680" s="12"/>
    </row>
    <row r="28681" spans="32:32" x14ac:dyDescent="0.2">
      <c r="AF28681" s="12"/>
    </row>
    <row r="28682" spans="32:32" x14ac:dyDescent="0.2">
      <c r="AF28682" s="12"/>
    </row>
    <row r="28683" spans="32:32" x14ac:dyDescent="0.2">
      <c r="AF28683" s="12"/>
    </row>
    <row r="28684" spans="32:32" x14ac:dyDescent="0.2">
      <c r="AF28684" s="12"/>
    </row>
    <row r="28685" spans="32:32" x14ac:dyDescent="0.2">
      <c r="AF28685" s="12"/>
    </row>
    <row r="28686" spans="32:32" x14ac:dyDescent="0.2">
      <c r="AF28686" s="12"/>
    </row>
    <row r="28687" spans="32:32" x14ac:dyDescent="0.2">
      <c r="AF28687" s="12"/>
    </row>
    <row r="28688" spans="32:32" x14ac:dyDescent="0.2">
      <c r="AF28688" s="12"/>
    </row>
    <row r="28689" spans="32:32" x14ac:dyDescent="0.2">
      <c r="AF28689" s="12"/>
    </row>
    <row r="28690" spans="32:32" x14ac:dyDescent="0.2">
      <c r="AF28690" s="12"/>
    </row>
    <row r="28691" spans="32:32" x14ac:dyDescent="0.2">
      <c r="AF28691" s="12"/>
    </row>
    <row r="28692" spans="32:32" x14ac:dyDescent="0.2">
      <c r="AF28692" s="12"/>
    </row>
    <row r="28693" spans="32:32" x14ac:dyDescent="0.2">
      <c r="AF28693" s="12"/>
    </row>
    <row r="28694" spans="32:32" x14ac:dyDescent="0.2">
      <c r="AF28694" s="12"/>
    </row>
    <row r="28695" spans="32:32" x14ac:dyDescent="0.2">
      <c r="AF28695" s="12"/>
    </row>
    <row r="28696" spans="32:32" x14ac:dyDescent="0.2">
      <c r="AF28696" s="12"/>
    </row>
    <row r="28697" spans="32:32" x14ac:dyDescent="0.2">
      <c r="AF28697" s="12"/>
    </row>
    <row r="28698" spans="32:32" x14ac:dyDescent="0.2">
      <c r="AF28698" s="12"/>
    </row>
    <row r="28699" spans="32:32" x14ac:dyDescent="0.2">
      <c r="AF28699" s="12"/>
    </row>
    <row r="28700" spans="32:32" x14ac:dyDescent="0.2">
      <c r="AF28700" s="12"/>
    </row>
    <row r="28701" spans="32:32" x14ac:dyDescent="0.2">
      <c r="AF28701" s="12"/>
    </row>
    <row r="28702" spans="32:32" x14ac:dyDescent="0.2">
      <c r="AF28702" s="12"/>
    </row>
    <row r="28703" spans="32:32" x14ac:dyDescent="0.2">
      <c r="AF28703" s="12"/>
    </row>
    <row r="28704" spans="32:32" x14ac:dyDescent="0.2">
      <c r="AF28704" s="12"/>
    </row>
    <row r="28705" spans="32:32" x14ac:dyDescent="0.2">
      <c r="AF28705" s="12"/>
    </row>
    <row r="28706" spans="32:32" x14ac:dyDescent="0.2">
      <c r="AF28706" s="12"/>
    </row>
    <row r="28707" spans="32:32" x14ac:dyDescent="0.2">
      <c r="AF28707" s="12"/>
    </row>
    <row r="28708" spans="32:32" x14ac:dyDescent="0.2">
      <c r="AF28708" s="12"/>
    </row>
    <row r="28709" spans="32:32" x14ac:dyDescent="0.2">
      <c r="AF28709" s="12"/>
    </row>
    <row r="28710" spans="32:32" x14ac:dyDescent="0.2">
      <c r="AF28710" s="12"/>
    </row>
    <row r="28711" spans="32:32" x14ac:dyDescent="0.2">
      <c r="AF28711" s="12"/>
    </row>
    <row r="28712" spans="32:32" x14ac:dyDescent="0.2">
      <c r="AF28712" s="12"/>
    </row>
    <row r="28713" spans="32:32" x14ac:dyDescent="0.2">
      <c r="AF28713" s="12"/>
    </row>
    <row r="28714" spans="32:32" x14ac:dyDescent="0.2">
      <c r="AF28714" s="12"/>
    </row>
    <row r="28715" spans="32:32" x14ac:dyDescent="0.2">
      <c r="AF28715" s="12"/>
    </row>
    <row r="28716" spans="32:32" x14ac:dyDescent="0.2">
      <c r="AF28716" s="12"/>
    </row>
    <row r="28717" spans="32:32" x14ac:dyDescent="0.2">
      <c r="AF28717" s="12"/>
    </row>
    <row r="28718" spans="32:32" x14ac:dyDescent="0.2">
      <c r="AF28718" s="12"/>
    </row>
    <row r="28719" spans="32:32" x14ac:dyDescent="0.2">
      <c r="AF28719" s="12"/>
    </row>
    <row r="28720" spans="32:32" x14ac:dyDescent="0.2">
      <c r="AF28720" s="12"/>
    </row>
    <row r="28721" spans="32:32" x14ac:dyDescent="0.2">
      <c r="AF28721" s="12"/>
    </row>
    <row r="28722" spans="32:32" x14ac:dyDescent="0.2">
      <c r="AF28722" s="12"/>
    </row>
    <row r="28723" spans="32:32" x14ac:dyDescent="0.2">
      <c r="AF28723" s="12"/>
    </row>
    <row r="28724" spans="32:32" x14ac:dyDescent="0.2">
      <c r="AF28724" s="12"/>
    </row>
    <row r="28725" spans="32:32" x14ac:dyDescent="0.2">
      <c r="AF28725" s="12"/>
    </row>
    <row r="28726" spans="32:32" x14ac:dyDescent="0.2">
      <c r="AF28726" s="12"/>
    </row>
    <row r="28727" spans="32:32" x14ac:dyDescent="0.2">
      <c r="AF28727" s="12"/>
    </row>
    <row r="28728" spans="32:32" x14ac:dyDescent="0.2">
      <c r="AF28728" s="12"/>
    </row>
    <row r="28729" spans="32:32" x14ac:dyDescent="0.2">
      <c r="AF28729" s="12"/>
    </row>
    <row r="28730" spans="32:32" x14ac:dyDescent="0.2">
      <c r="AF28730" s="12"/>
    </row>
    <row r="28731" spans="32:32" x14ac:dyDescent="0.2">
      <c r="AF28731" s="12"/>
    </row>
    <row r="28732" spans="32:32" x14ac:dyDescent="0.2">
      <c r="AF28732" s="12"/>
    </row>
    <row r="28733" spans="32:32" x14ac:dyDescent="0.2">
      <c r="AF28733" s="12"/>
    </row>
    <row r="28734" spans="32:32" x14ac:dyDescent="0.2">
      <c r="AF28734" s="12"/>
    </row>
    <row r="28735" spans="32:32" x14ac:dyDescent="0.2">
      <c r="AF28735" s="12"/>
    </row>
    <row r="28736" spans="32:32" x14ac:dyDescent="0.2">
      <c r="AF28736" s="12"/>
    </row>
    <row r="28737" spans="32:32" x14ac:dyDescent="0.2">
      <c r="AF28737" s="12"/>
    </row>
    <row r="28738" spans="32:32" x14ac:dyDescent="0.2">
      <c r="AF28738" s="12"/>
    </row>
    <row r="28739" spans="32:32" x14ac:dyDescent="0.2">
      <c r="AF28739" s="12"/>
    </row>
    <row r="28740" spans="32:32" x14ac:dyDescent="0.2">
      <c r="AF28740" s="12"/>
    </row>
    <row r="28741" spans="32:32" x14ac:dyDescent="0.2">
      <c r="AF28741" s="12"/>
    </row>
    <row r="28742" spans="32:32" x14ac:dyDescent="0.2">
      <c r="AF28742" s="12"/>
    </row>
    <row r="28743" spans="32:32" x14ac:dyDescent="0.2">
      <c r="AF28743" s="12"/>
    </row>
    <row r="28744" spans="32:32" x14ac:dyDescent="0.2">
      <c r="AF28744" s="12"/>
    </row>
    <row r="28745" spans="32:32" x14ac:dyDescent="0.2">
      <c r="AF28745" s="12"/>
    </row>
    <row r="28746" spans="32:32" x14ac:dyDescent="0.2">
      <c r="AF28746" s="12"/>
    </row>
    <row r="28747" spans="32:32" x14ac:dyDescent="0.2">
      <c r="AF28747" s="12"/>
    </row>
    <row r="28748" spans="32:32" x14ac:dyDescent="0.2">
      <c r="AF28748" s="12"/>
    </row>
    <row r="28749" spans="32:32" x14ac:dyDescent="0.2">
      <c r="AF28749" s="12"/>
    </row>
    <row r="28750" spans="32:32" x14ac:dyDescent="0.2">
      <c r="AF28750" s="12"/>
    </row>
    <row r="28751" spans="32:32" x14ac:dyDescent="0.2">
      <c r="AF28751" s="12"/>
    </row>
    <row r="28752" spans="32:32" x14ac:dyDescent="0.2">
      <c r="AF28752" s="12"/>
    </row>
    <row r="28753" spans="32:32" x14ac:dyDescent="0.2">
      <c r="AF28753" s="12"/>
    </row>
    <row r="28754" spans="32:32" x14ac:dyDescent="0.2">
      <c r="AF28754" s="12"/>
    </row>
    <row r="28755" spans="32:32" x14ac:dyDescent="0.2">
      <c r="AF28755" s="12"/>
    </row>
    <row r="28756" spans="32:32" x14ac:dyDescent="0.2">
      <c r="AF28756" s="12"/>
    </row>
    <row r="28757" spans="32:32" x14ac:dyDescent="0.2">
      <c r="AF28757" s="12"/>
    </row>
    <row r="28758" spans="32:32" x14ac:dyDescent="0.2">
      <c r="AF28758" s="12"/>
    </row>
    <row r="28759" spans="32:32" x14ac:dyDescent="0.2">
      <c r="AF28759" s="12"/>
    </row>
    <row r="28760" spans="32:32" x14ac:dyDescent="0.2">
      <c r="AF28760" s="12"/>
    </row>
    <row r="28761" spans="32:32" x14ac:dyDescent="0.2">
      <c r="AF28761" s="12"/>
    </row>
    <row r="28762" spans="32:32" x14ac:dyDescent="0.2">
      <c r="AF28762" s="12"/>
    </row>
    <row r="28763" spans="32:32" x14ac:dyDescent="0.2">
      <c r="AF28763" s="12"/>
    </row>
    <row r="28764" spans="32:32" x14ac:dyDescent="0.2">
      <c r="AF28764" s="12"/>
    </row>
    <row r="28765" spans="32:32" x14ac:dyDescent="0.2">
      <c r="AF28765" s="12"/>
    </row>
    <row r="28766" spans="32:32" x14ac:dyDescent="0.2">
      <c r="AF28766" s="12"/>
    </row>
    <row r="28767" spans="32:32" x14ac:dyDescent="0.2">
      <c r="AF28767" s="12"/>
    </row>
    <row r="28768" spans="32:32" x14ac:dyDescent="0.2">
      <c r="AF28768" s="12"/>
    </row>
    <row r="28769" spans="32:32" x14ac:dyDescent="0.2">
      <c r="AF28769" s="12"/>
    </row>
    <row r="28770" spans="32:32" x14ac:dyDescent="0.2">
      <c r="AF28770" s="12"/>
    </row>
    <row r="28771" spans="32:32" x14ac:dyDescent="0.2">
      <c r="AF28771" s="12"/>
    </row>
    <row r="28772" spans="32:32" x14ac:dyDescent="0.2">
      <c r="AF28772" s="12"/>
    </row>
    <row r="28773" spans="32:32" x14ac:dyDescent="0.2">
      <c r="AF28773" s="12"/>
    </row>
    <row r="28774" spans="32:32" x14ac:dyDescent="0.2">
      <c r="AF28774" s="12"/>
    </row>
    <row r="28775" spans="32:32" x14ac:dyDescent="0.2">
      <c r="AF28775" s="12"/>
    </row>
    <row r="28776" spans="32:32" x14ac:dyDescent="0.2">
      <c r="AF28776" s="12"/>
    </row>
    <row r="28777" spans="32:32" x14ac:dyDescent="0.2">
      <c r="AF28777" s="12"/>
    </row>
    <row r="28778" spans="32:32" x14ac:dyDescent="0.2">
      <c r="AF28778" s="12"/>
    </row>
    <row r="28779" spans="32:32" x14ac:dyDescent="0.2">
      <c r="AF28779" s="12"/>
    </row>
    <row r="28780" spans="32:32" x14ac:dyDescent="0.2">
      <c r="AF28780" s="12"/>
    </row>
    <row r="28781" spans="32:32" x14ac:dyDescent="0.2">
      <c r="AF28781" s="12"/>
    </row>
    <row r="28782" spans="32:32" x14ac:dyDescent="0.2">
      <c r="AF28782" s="12"/>
    </row>
    <row r="28783" spans="32:32" x14ac:dyDescent="0.2">
      <c r="AF28783" s="12"/>
    </row>
    <row r="28784" spans="32:32" x14ac:dyDescent="0.2">
      <c r="AF28784" s="12"/>
    </row>
    <row r="28785" spans="32:32" x14ac:dyDescent="0.2">
      <c r="AF28785" s="12"/>
    </row>
    <row r="28786" spans="32:32" x14ac:dyDescent="0.2">
      <c r="AF28786" s="12"/>
    </row>
    <row r="28787" spans="32:32" x14ac:dyDescent="0.2">
      <c r="AF28787" s="12"/>
    </row>
    <row r="28788" spans="32:32" x14ac:dyDescent="0.2">
      <c r="AF28788" s="12"/>
    </row>
    <row r="28789" spans="32:32" x14ac:dyDescent="0.2">
      <c r="AF28789" s="12"/>
    </row>
    <row r="28790" spans="32:32" x14ac:dyDescent="0.2">
      <c r="AF28790" s="12"/>
    </row>
    <row r="28791" spans="32:32" x14ac:dyDescent="0.2">
      <c r="AF28791" s="12"/>
    </row>
    <row r="28792" spans="32:32" x14ac:dyDescent="0.2">
      <c r="AF28792" s="12"/>
    </row>
    <row r="28793" spans="32:32" x14ac:dyDescent="0.2">
      <c r="AF28793" s="12"/>
    </row>
    <row r="28794" spans="32:32" x14ac:dyDescent="0.2">
      <c r="AF28794" s="12"/>
    </row>
    <row r="28795" spans="32:32" x14ac:dyDescent="0.2">
      <c r="AF28795" s="12"/>
    </row>
    <row r="28796" spans="32:32" x14ac:dyDescent="0.2">
      <c r="AF28796" s="12"/>
    </row>
    <row r="28797" spans="32:32" x14ac:dyDescent="0.2">
      <c r="AF28797" s="12"/>
    </row>
    <row r="28798" spans="32:32" x14ac:dyDescent="0.2">
      <c r="AF28798" s="12"/>
    </row>
    <row r="28799" spans="32:32" x14ac:dyDescent="0.2">
      <c r="AF28799" s="12"/>
    </row>
    <row r="28800" spans="32:32" x14ac:dyDescent="0.2">
      <c r="AF28800" s="12"/>
    </row>
    <row r="28801" spans="32:32" x14ac:dyDescent="0.2">
      <c r="AF28801" s="12"/>
    </row>
    <row r="28802" spans="32:32" x14ac:dyDescent="0.2">
      <c r="AF28802" s="12"/>
    </row>
    <row r="28803" spans="32:32" x14ac:dyDescent="0.2">
      <c r="AF28803" s="12"/>
    </row>
    <row r="28804" spans="32:32" x14ac:dyDescent="0.2">
      <c r="AF28804" s="12"/>
    </row>
    <row r="28805" spans="32:32" x14ac:dyDescent="0.2">
      <c r="AF28805" s="12"/>
    </row>
    <row r="28806" spans="32:32" x14ac:dyDescent="0.2">
      <c r="AF28806" s="12"/>
    </row>
    <row r="28807" spans="32:32" x14ac:dyDescent="0.2">
      <c r="AF28807" s="12"/>
    </row>
    <row r="28808" spans="32:32" x14ac:dyDescent="0.2">
      <c r="AF28808" s="12"/>
    </row>
    <row r="28809" spans="32:32" x14ac:dyDescent="0.2">
      <c r="AF28809" s="12"/>
    </row>
    <row r="28810" spans="32:32" x14ac:dyDescent="0.2">
      <c r="AF28810" s="12"/>
    </row>
    <row r="28811" spans="32:32" x14ac:dyDescent="0.2">
      <c r="AF28811" s="12"/>
    </row>
    <row r="28812" spans="32:32" x14ac:dyDescent="0.2">
      <c r="AF28812" s="12"/>
    </row>
    <row r="28813" spans="32:32" x14ac:dyDescent="0.2">
      <c r="AF28813" s="12"/>
    </row>
    <row r="28814" spans="32:32" x14ac:dyDescent="0.2">
      <c r="AF28814" s="12"/>
    </row>
    <row r="28815" spans="32:32" x14ac:dyDescent="0.2">
      <c r="AF28815" s="12"/>
    </row>
    <row r="28816" spans="32:32" x14ac:dyDescent="0.2">
      <c r="AF28816" s="12"/>
    </row>
    <row r="28817" spans="32:32" x14ac:dyDescent="0.2">
      <c r="AF28817" s="12"/>
    </row>
    <row r="28818" spans="32:32" x14ac:dyDescent="0.2">
      <c r="AF28818" s="12"/>
    </row>
    <row r="28819" spans="32:32" x14ac:dyDescent="0.2">
      <c r="AF28819" s="12"/>
    </row>
    <row r="28820" spans="32:32" x14ac:dyDescent="0.2">
      <c r="AF28820" s="12"/>
    </row>
    <row r="28821" spans="32:32" x14ac:dyDescent="0.2">
      <c r="AF28821" s="12"/>
    </row>
    <row r="28822" spans="32:32" x14ac:dyDescent="0.2">
      <c r="AF28822" s="12"/>
    </row>
    <row r="28823" spans="32:32" x14ac:dyDescent="0.2">
      <c r="AF28823" s="12"/>
    </row>
    <row r="28824" spans="32:32" x14ac:dyDescent="0.2">
      <c r="AF28824" s="12"/>
    </row>
    <row r="28825" spans="32:32" x14ac:dyDescent="0.2">
      <c r="AF28825" s="12"/>
    </row>
    <row r="28826" spans="32:32" x14ac:dyDescent="0.2">
      <c r="AF28826" s="12"/>
    </row>
    <row r="28827" spans="32:32" x14ac:dyDescent="0.2">
      <c r="AF28827" s="12"/>
    </row>
    <row r="28828" spans="32:32" x14ac:dyDescent="0.2">
      <c r="AF28828" s="12"/>
    </row>
    <row r="28829" spans="32:32" x14ac:dyDescent="0.2">
      <c r="AF28829" s="12"/>
    </row>
    <row r="28830" spans="32:32" x14ac:dyDescent="0.2">
      <c r="AF28830" s="12"/>
    </row>
    <row r="28831" spans="32:32" x14ac:dyDescent="0.2">
      <c r="AF28831" s="12"/>
    </row>
    <row r="28832" spans="32:32" x14ac:dyDescent="0.2">
      <c r="AF28832" s="12"/>
    </row>
    <row r="28833" spans="32:32" x14ac:dyDescent="0.2">
      <c r="AF28833" s="12"/>
    </row>
    <row r="28834" spans="32:32" x14ac:dyDescent="0.2">
      <c r="AF28834" s="12"/>
    </row>
    <row r="28835" spans="32:32" x14ac:dyDescent="0.2">
      <c r="AF28835" s="12"/>
    </row>
    <row r="28836" spans="32:32" x14ac:dyDescent="0.2">
      <c r="AF28836" s="12"/>
    </row>
    <row r="28837" spans="32:32" x14ac:dyDescent="0.2">
      <c r="AF28837" s="12"/>
    </row>
    <row r="28838" spans="32:32" x14ac:dyDescent="0.2">
      <c r="AF28838" s="12"/>
    </row>
    <row r="28839" spans="32:32" x14ac:dyDescent="0.2">
      <c r="AF28839" s="12"/>
    </row>
    <row r="28840" spans="32:32" x14ac:dyDescent="0.2">
      <c r="AF28840" s="12"/>
    </row>
    <row r="28841" spans="32:32" x14ac:dyDescent="0.2">
      <c r="AF28841" s="12"/>
    </row>
    <row r="28842" spans="32:32" x14ac:dyDescent="0.2">
      <c r="AF28842" s="12"/>
    </row>
    <row r="28843" spans="32:32" x14ac:dyDescent="0.2">
      <c r="AF28843" s="12"/>
    </row>
    <row r="28844" spans="32:32" x14ac:dyDescent="0.2">
      <c r="AF28844" s="12"/>
    </row>
    <row r="28845" spans="32:32" x14ac:dyDescent="0.2">
      <c r="AF28845" s="12"/>
    </row>
    <row r="28846" spans="32:32" x14ac:dyDescent="0.2">
      <c r="AF28846" s="12"/>
    </row>
    <row r="28847" spans="32:32" x14ac:dyDescent="0.2">
      <c r="AF28847" s="12"/>
    </row>
    <row r="28848" spans="32:32" x14ac:dyDescent="0.2">
      <c r="AF28848" s="12"/>
    </row>
    <row r="28849" spans="32:32" x14ac:dyDescent="0.2">
      <c r="AF28849" s="12"/>
    </row>
    <row r="28850" spans="32:32" x14ac:dyDescent="0.2">
      <c r="AF28850" s="12"/>
    </row>
    <row r="28851" spans="32:32" x14ac:dyDescent="0.2">
      <c r="AF28851" s="12"/>
    </row>
    <row r="28852" spans="32:32" x14ac:dyDescent="0.2">
      <c r="AF28852" s="12"/>
    </row>
    <row r="28853" spans="32:32" x14ac:dyDescent="0.2">
      <c r="AF28853" s="12"/>
    </row>
    <row r="28854" spans="32:32" x14ac:dyDescent="0.2">
      <c r="AF28854" s="12"/>
    </row>
    <row r="28855" spans="32:32" x14ac:dyDescent="0.2">
      <c r="AF28855" s="12"/>
    </row>
    <row r="28856" spans="32:32" x14ac:dyDescent="0.2">
      <c r="AF28856" s="12"/>
    </row>
    <row r="28857" spans="32:32" x14ac:dyDescent="0.2">
      <c r="AF28857" s="12"/>
    </row>
    <row r="28858" spans="32:32" x14ac:dyDescent="0.2">
      <c r="AF28858" s="12"/>
    </row>
    <row r="28859" spans="32:32" x14ac:dyDescent="0.2">
      <c r="AF28859" s="12"/>
    </row>
    <row r="28860" spans="32:32" x14ac:dyDescent="0.2">
      <c r="AF28860" s="12"/>
    </row>
    <row r="28861" spans="32:32" x14ac:dyDescent="0.2">
      <c r="AF28861" s="12"/>
    </row>
    <row r="28862" spans="32:32" x14ac:dyDescent="0.2">
      <c r="AF28862" s="12"/>
    </row>
    <row r="28863" spans="32:32" x14ac:dyDescent="0.2">
      <c r="AF28863" s="12"/>
    </row>
    <row r="28864" spans="32:32" x14ac:dyDescent="0.2">
      <c r="AF28864" s="12"/>
    </row>
    <row r="28865" spans="32:32" x14ac:dyDescent="0.2">
      <c r="AF28865" s="12"/>
    </row>
    <row r="28866" spans="32:32" x14ac:dyDescent="0.2">
      <c r="AF28866" s="12"/>
    </row>
    <row r="28867" spans="32:32" x14ac:dyDescent="0.2">
      <c r="AF28867" s="12"/>
    </row>
    <row r="28868" spans="32:32" x14ac:dyDescent="0.2">
      <c r="AF28868" s="12"/>
    </row>
    <row r="28869" spans="32:32" x14ac:dyDescent="0.2">
      <c r="AF28869" s="12"/>
    </row>
    <row r="28870" spans="32:32" x14ac:dyDescent="0.2">
      <c r="AF28870" s="12"/>
    </row>
    <row r="28871" spans="32:32" x14ac:dyDescent="0.2">
      <c r="AF28871" s="12"/>
    </row>
    <row r="28872" spans="32:32" x14ac:dyDescent="0.2">
      <c r="AF28872" s="12"/>
    </row>
    <row r="28873" spans="32:32" x14ac:dyDescent="0.2">
      <c r="AF28873" s="12"/>
    </row>
    <row r="28874" spans="32:32" x14ac:dyDescent="0.2">
      <c r="AF28874" s="12"/>
    </row>
    <row r="28875" spans="32:32" x14ac:dyDescent="0.2">
      <c r="AF28875" s="12"/>
    </row>
    <row r="28876" spans="32:32" x14ac:dyDescent="0.2">
      <c r="AF28876" s="12"/>
    </row>
    <row r="28877" spans="32:32" x14ac:dyDescent="0.2">
      <c r="AF28877" s="12"/>
    </row>
    <row r="28878" spans="32:32" x14ac:dyDescent="0.2">
      <c r="AF28878" s="12"/>
    </row>
    <row r="28879" spans="32:32" x14ac:dyDescent="0.2">
      <c r="AF28879" s="12"/>
    </row>
    <row r="28880" spans="32:32" x14ac:dyDescent="0.2">
      <c r="AF28880" s="12"/>
    </row>
    <row r="28881" spans="32:32" x14ac:dyDescent="0.2">
      <c r="AF28881" s="12"/>
    </row>
    <row r="28882" spans="32:32" x14ac:dyDescent="0.2">
      <c r="AF28882" s="12"/>
    </row>
    <row r="28883" spans="32:32" x14ac:dyDescent="0.2">
      <c r="AF28883" s="12"/>
    </row>
    <row r="28884" spans="32:32" x14ac:dyDescent="0.2">
      <c r="AF28884" s="12"/>
    </row>
    <row r="28885" spans="32:32" x14ac:dyDescent="0.2">
      <c r="AF28885" s="12"/>
    </row>
    <row r="28886" spans="32:32" x14ac:dyDescent="0.2">
      <c r="AF28886" s="12"/>
    </row>
    <row r="28887" spans="32:32" x14ac:dyDescent="0.2">
      <c r="AF28887" s="12"/>
    </row>
    <row r="28888" spans="32:32" x14ac:dyDescent="0.2">
      <c r="AF28888" s="12"/>
    </row>
    <row r="28889" spans="32:32" x14ac:dyDescent="0.2">
      <c r="AF28889" s="12"/>
    </row>
    <row r="28890" spans="32:32" x14ac:dyDescent="0.2">
      <c r="AF28890" s="12"/>
    </row>
    <row r="28891" spans="32:32" x14ac:dyDescent="0.2">
      <c r="AF28891" s="12"/>
    </row>
    <row r="28892" spans="32:32" x14ac:dyDescent="0.2">
      <c r="AF28892" s="12"/>
    </row>
    <row r="28893" spans="32:32" x14ac:dyDescent="0.2">
      <c r="AF28893" s="12"/>
    </row>
    <row r="28894" spans="32:32" x14ac:dyDescent="0.2">
      <c r="AF28894" s="12"/>
    </row>
    <row r="28895" spans="32:32" x14ac:dyDescent="0.2">
      <c r="AF28895" s="12"/>
    </row>
    <row r="28896" spans="32:32" x14ac:dyDescent="0.2">
      <c r="AF28896" s="12"/>
    </row>
    <row r="28897" spans="32:32" x14ac:dyDescent="0.2">
      <c r="AF28897" s="12"/>
    </row>
    <row r="28898" spans="32:32" x14ac:dyDescent="0.2">
      <c r="AF28898" s="12"/>
    </row>
    <row r="28899" spans="32:32" x14ac:dyDescent="0.2">
      <c r="AF28899" s="12"/>
    </row>
    <row r="28900" spans="32:32" x14ac:dyDescent="0.2">
      <c r="AF28900" s="12"/>
    </row>
    <row r="28901" spans="32:32" x14ac:dyDescent="0.2">
      <c r="AF28901" s="12"/>
    </row>
    <row r="28902" spans="32:32" x14ac:dyDescent="0.2">
      <c r="AF28902" s="12"/>
    </row>
    <row r="28903" spans="32:32" x14ac:dyDescent="0.2">
      <c r="AF28903" s="12"/>
    </row>
    <row r="28904" spans="32:32" x14ac:dyDescent="0.2">
      <c r="AF28904" s="12"/>
    </row>
    <row r="28905" spans="32:32" x14ac:dyDescent="0.2">
      <c r="AF28905" s="12"/>
    </row>
    <row r="28906" spans="32:32" x14ac:dyDescent="0.2">
      <c r="AF28906" s="12"/>
    </row>
    <row r="28907" spans="32:32" x14ac:dyDescent="0.2">
      <c r="AF28907" s="12"/>
    </row>
    <row r="28908" spans="32:32" x14ac:dyDescent="0.2">
      <c r="AF28908" s="12"/>
    </row>
    <row r="28909" spans="32:32" x14ac:dyDescent="0.2">
      <c r="AF28909" s="12"/>
    </row>
    <row r="28910" spans="32:32" x14ac:dyDescent="0.2">
      <c r="AF28910" s="12"/>
    </row>
    <row r="28911" spans="32:32" x14ac:dyDescent="0.2">
      <c r="AF28911" s="12"/>
    </row>
    <row r="28912" spans="32:32" x14ac:dyDescent="0.2">
      <c r="AF28912" s="12"/>
    </row>
    <row r="28913" spans="32:32" x14ac:dyDescent="0.2">
      <c r="AF28913" s="12"/>
    </row>
    <row r="28914" spans="32:32" x14ac:dyDescent="0.2">
      <c r="AF28914" s="12"/>
    </row>
    <row r="28915" spans="32:32" x14ac:dyDescent="0.2">
      <c r="AF28915" s="12"/>
    </row>
    <row r="28916" spans="32:32" x14ac:dyDescent="0.2">
      <c r="AF28916" s="12"/>
    </row>
    <row r="28917" spans="32:32" x14ac:dyDescent="0.2">
      <c r="AF28917" s="12"/>
    </row>
    <row r="28918" spans="32:32" x14ac:dyDescent="0.2">
      <c r="AF28918" s="12"/>
    </row>
    <row r="28919" spans="32:32" x14ac:dyDescent="0.2">
      <c r="AF28919" s="12"/>
    </row>
    <row r="28920" spans="32:32" x14ac:dyDescent="0.2">
      <c r="AF28920" s="12"/>
    </row>
    <row r="28921" spans="32:32" x14ac:dyDescent="0.2">
      <c r="AF28921" s="12"/>
    </row>
    <row r="28922" spans="32:32" x14ac:dyDescent="0.2">
      <c r="AF28922" s="12"/>
    </row>
    <row r="28923" spans="32:32" x14ac:dyDescent="0.2">
      <c r="AF28923" s="12"/>
    </row>
    <row r="28924" spans="32:32" x14ac:dyDescent="0.2">
      <c r="AF28924" s="12"/>
    </row>
    <row r="28925" spans="32:32" x14ac:dyDescent="0.2">
      <c r="AF28925" s="12"/>
    </row>
    <row r="28926" spans="32:32" x14ac:dyDescent="0.2">
      <c r="AF28926" s="12"/>
    </row>
    <row r="28927" spans="32:32" x14ac:dyDescent="0.2">
      <c r="AF28927" s="12"/>
    </row>
    <row r="28928" spans="32:32" x14ac:dyDescent="0.2">
      <c r="AF28928" s="12"/>
    </row>
    <row r="28929" spans="32:32" x14ac:dyDescent="0.2">
      <c r="AF28929" s="12"/>
    </row>
    <row r="28930" spans="32:32" x14ac:dyDescent="0.2">
      <c r="AF28930" s="12"/>
    </row>
    <row r="28931" spans="32:32" x14ac:dyDescent="0.2">
      <c r="AF28931" s="12"/>
    </row>
    <row r="28932" spans="32:32" x14ac:dyDescent="0.2">
      <c r="AF28932" s="12"/>
    </row>
    <row r="28933" spans="32:32" x14ac:dyDescent="0.2">
      <c r="AF28933" s="12"/>
    </row>
    <row r="28934" spans="32:32" x14ac:dyDescent="0.2">
      <c r="AF28934" s="12"/>
    </row>
    <row r="28935" spans="32:32" x14ac:dyDescent="0.2">
      <c r="AF28935" s="12"/>
    </row>
    <row r="28936" spans="32:32" x14ac:dyDescent="0.2">
      <c r="AF28936" s="12"/>
    </row>
    <row r="28937" spans="32:32" x14ac:dyDescent="0.2">
      <c r="AF28937" s="12"/>
    </row>
    <row r="28938" spans="32:32" x14ac:dyDescent="0.2">
      <c r="AF28938" s="12"/>
    </row>
    <row r="28939" spans="32:32" x14ac:dyDescent="0.2">
      <c r="AF28939" s="12"/>
    </row>
    <row r="28940" spans="32:32" x14ac:dyDescent="0.2">
      <c r="AF28940" s="12"/>
    </row>
    <row r="28941" spans="32:32" x14ac:dyDescent="0.2">
      <c r="AF28941" s="12"/>
    </row>
    <row r="28942" spans="32:32" x14ac:dyDescent="0.2">
      <c r="AF28942" s="12"/>
    </row>
    <row r="28943" spans="32:32" x14ac:dyDescent="0.2">
      <c r="AF28943" s="12"/>
    </row>
    <row r="28944" spans="32:32" x14ac:dyDescent="0.2">
      <c r="AF28944" s="12"/>
    </row>
    <row r="28945" spans="32:32" x14ac:dyDescent="0.2">
      <c r="AF28945" s="12"/>
    </row>
    <row r="28946" spans="32:32" x14ac:dyDescent="0.2">
      <c r="AF28946" s="12"/>
    </row>
    <row r="28947" spans="32:32" x14ac:dyDescent="0.2">
      <c r="AF28947" s="12"/>
    </row>
    <row r="28948" spans="32:32" x14ac:dyDescent="0.2">
      <c r="AF28948" s="12"/>
    </row>
    <row r="28949" spans="32:32" x14ac:dyDescent="0.2">
      <c r="AF28949" s="12"/>
    </row>
    <row r="28950" spans="32:32" x14ac:dyDescent="0.2">
      <c r="AF28950" s="12"/>
    </row>
    <row r="28951" spans="32:32" x14ac:dyDescent="0.2">
      <c r="AF28951" s="12"/>
    </row>
    <row r="28952" spans="32:32" x14ac:dyDescent="0.2">
      <c r="AF28952" s="12"/>
    </row>
    <row r="28953" spans="32:32" x14ac:dyDescent="0.2">
      <c r="AF28953" s="12"/>
    </row>
    <row r="28954" spans="32:32" x14ac:dyDescent="0.2">
      <c r="AF28954" s="12"/>
    </row>
    <row r="28955" spans="32:32" x14ac:dyDescent="0.2">
      <c r="AF28955" s="12"/>
    </row>
    <row r="28956" spans="32:32" x14ac:dyDescent="0.2">
      <c r="AF28956" s="12"/>
    </row>
    <row r="28957" spans="32:32" x14ac:dyDescent="0.2">
      <c r="AF28957" s="12"/>
    </row>
    <row r="28958" spans="32:32" x14ac:dyDescent="0.2">
      <c r="AF28958" s="12"/>
    </row>
    <row r="28959" spans="32:32" x14ac:dyDescent="0.2">
      <c r="AF28959" s="12"/>
    </row>
    <row r="28960" spans="32:32" x14ac:dyDescent="0.2">
      <c r="AF28960" s="12"/>
    </row>
    <row r="28961" spans="32:32" x14ac:dyDescent="0.2">
      <c r="AF28961" s="12"/>
    </row>
    <row r="28962" spans="32:32" x14ac:dyDescent="0.2">
      <c r="AF28962" s="12"/>
    </row>
    <row r="28963" spans="32:32" x14ac:dyDescent="0.2">
      <c r="AF28963" s="12"/>
    </row>
    <row r="28964" spans="32:32" x14ac:dyDescent="0.2">
      <c r="AF28964" s="12"/>
    </row>
    <row r="28965" spans="32:32" x14ac:dyDescent="0.2">
      <c r="AF28965" s="12"/>
    </row>
    <row r="28966" spans="32:32" x14ac:dyDescent="0.2">
      <c r="AF28966" s="12"/>
    </row>
    <row r="28967" spans="32:32" x14ac:dyDescent="0.2">
      <c r="AF28967" s="12"/>
    </row>
    <row r="28968" spans="32:32" x14ac:dyDescent="0.2">
      <c r="AF28968" s="12"/>
    </row>
    <row r="28969" spans="32:32" x14ac:dyDescent="0.2">
      <c r="AF28969" s="12"/>
    </row>
    <row r="28970" spans="32:32" x14ac:dyDescent="0.2">
      <c r="AF28970" s="12"/>
    </row>
    <row r="28971" spans="32:32" x14ac:dyDescent="0.2">
      <c r="AF28971" s="12"/>
    </row>
    <row r="28972" spans="32:32" x14ac:dyDescent="0.2">
      <c r="AF28972" s="12"/>
    </row>
    <row r="28973" spans="32:32" x14ac:dyDescent="0.2">
      <c r="AF28973" s="12"/>
    </row>
    <row r="28974" spans="32:32" x14ac:dyDescent="0.2">
      <c r="AF28974" s="12"/>
    </row>
    <row r="28975" spans="32:32" x14ac:dyDescent="0.2">
      <c r="AF28975" s="12"/>
    </row>
    <row r="28976" spans="32:32" x14ac:dyDescent="0.2">
      <c r="AF28976" s="12"/>
    </row>
    <row r="28977" spans="32:32" x14ac:dyDescent="0.2">
      <c r="AF28977" s="12"/>
    </row>
    <row r="28978" spans="32:32" x14ac:dyDescent="0.2">
      <c r="AF28978" s="12"/>
    </row>
    <row r="28979" spans="32:32" x14ac:dyDescent="0.2">
      <c r="AF28979" s="12"/>
    </row>
    <row r="28980" spans="32:32" x14ac:dyDescent="0.2">
      <c r="AF28980" s="12"/>
    </row>
    <row r="28981" spans="32:32" x14ac:dyDescent="0.2">
      <c r="AF28981" s="12"/>
    </row>
    <row r="28982" spans="32:32" x14ac:dyDescent="0.2">
      <c r="AF28982" s="12"/>
    </row>
    <row r="28983" spans="32:32" x14ac:dyDescent="0.2">
      <c r="AF28983" s="12"/>
    </row>
    <row r="28984" spans="32:32" x14ac:dyDescent="0.2">
      <c r="AF28984" s="12"/>
    </row>
    <row r="28985" spans="32:32" x14ac:dyDescent="0.2">
      <c r="AF28985" s="12"/>
    </row>
    <row r="28986" spans="32:32" x14ac:dyDescent="0.2">
      <c r="AF28986" s="12"/>
    </row>
    <row r="28987" spans="32:32" x14ac:dyDescent="0.2">
      <c r="AF28987" s="12"/>
    </row>
    <row r="28988" spans="32:32" x14ac:dyDescent="0.2">
      <c r="AF28988" s="12"/>
    </row>
    <row r="28989" spans="32:32" x14ac:dyDescent="0.2">
      <c r="AF28989" s="12"/>
    </row>
    <row r="28990" spans="32:32" x14ac:dyDescent="0.2">
      <c r="AF28990" s="12"/>
    </row>
    <row r="28991" spans="32:32" x14ac:dyDescent="0.2">
      <c r="AF28991" s="12"/>
    </row>
    <row r="28992" spans="32:32" x14ac:dyDescent="0.2">
      <c r="AF28992" s="12"/>
    </row>
    <row r="28993" spans="32:32" x14ac:dyDescent="0.2">
      <c r="AF28993" s="12"/>
    </row>
    <row r="28994" spans="32:32" x14ac:dyDescent="0.2">
      <c r="AF28994" s="12"/>
    </row>
    <row r="28995" spans="32:32" x14ac:dyDescent="0.2">
      <c r="AF28995" s="12"/>
    </row>
    <row r="28996" spans="32:32" x14ac:dyDescent="0.2">
      <c r="AF28996" s="12"/>
    </row>
    <row r="28997" spans="32:32" x14ac:dyDescent="0.2">
      <c r="AF28997" s="12"/>
    </row>
    <row r="28998" spans="32:32" x14ac:dyDescent="0.2">
      <c r="AF28998" s="12"/>
    </row>
    <row r="28999" spans="32:32" x14ac:dyDescent="0.2">
      <c r="AF28999" s="12"/>
    </row>
    <row r="29000" spans="32:32" x14ac:dyDescent="0.2">
      <c r="AF29000" s="12"/>
    </row>
    <row r="29001" spans="32:32" x14ac:dyDescent="0.2">
      <c r="AF29001" s="12"/>
    </row>
    <row r="29002" spans="32:32" x14ac:dyDescent="0.2">
      <c r="AF29002" s="12"/>
    </row>
    <row r="29003" spans="32:32" x14ac:dyDescent="0.2">
      <c r="AF29003" s="12"/>
    </row>
    <row r="29004" spans="32:32" x14ac:dyDescent="0.2">
      <c r="AF29004" s="12"/>
    </row>
    <row r="29005" spans="32:32" x14ac:dyDescent="0.2">
      <c r="AF29005" s="12"/>
    </row>
    <row r="29006" spans="32:32" x14ac:dyDescent="0.2">
      <c r="AF29006" s="12"/>
    </row>
    <row r="29007" spans="32:32" x14ac:dyDescent="0.2">
      <c r="AF29007" s="12"/>
    </row>
    <row r="29008" spans="32:32" x14ac:dyDescent="0.2">
      <c r="AF29008" s="12"/>
    </row>
    <row r="29009" spans="32:32" x14ac:dyDescent="0.2">
      <c r="AF29009" s="12"/>
    </row>
    <row r="29010" spans="32:32" x14ac:dyDescent="0.2">
      <c r="AF29010" s="12"/>
    </row>
    <row r="29011" spans="32:32" x14ac:dyDescent="0.2">
      <c r="AF29011" s="12"/>
    </row>
    <row r="29012" spans="32:32" x14ac:dyDescent="0.2">
      <c r="AF29012" s="12"/>
    </row>
    <row r="29013" spans="32:32" x14ac:dyDescent="0.2">
      <c r="AF29013" s="12"/>
    </row>
    <row r="29014" spans="32:32" x14ac:dyDescent="0.2">
      <c r="AF29014" s="12"/>
    </row>
    <row r="29015" spans="32:32" x14ac:dyDescent="0.2">
      <c r="AF29015" s="12"/>
    </row>
    <row r="29016" spans="32:32" x14ac:dyDescent="0.2">
      <c r="AF29016" s="12"/>
    </row>
    <row r="29017" spans="32:32" x14ac:dyDescent="0.2">
      <c r="AF29017" s="12"/>
    </row>
    <row r="29018" spans="32:32" x14ac:dyDescent="0.2">
      <c r="AF29018" s="12"/>
    </row>
    <row r="29019" spans="32:32" x14ac:dyDescent="0.2">
      <c r="AF29019" s="12"/>
    </row>
    <row r="29020" spans="32:32" x14ac:dyDescent="0.2">
      <c r="AF29020" s="12"/>
    </row>
    <row r="29021" spans="32:32" x14ac:dyDescent="0.2">
      <c r="AF29021" s="12"/>
    </row>
    <row r="29022" spans="32:32" x14ac:dyDescent="0.2">
      <c r="AF29022" s="12"/>
    </row>
    <row r="29023" spans="32:32" x14ac:dyDescent="0.2">
      <c r="AF29023" s="12"/>
    </row>
    <row r="29024" spans="32:32" x14ac:dyDescent="0.2">
      <c r="AF29024" s="12"/>
    </row>
    <row r="29025" spans="32:32" x14ac:dyDescent="0.2">
      <c r="AF29025" s="12"/>
    </row>
    <row r="29026" spans="32:32" x14ac:dyDescent="0.2">
      <c r="AF29026" s="12"/>
    </row>
    <row r="29027" spans="32:32" x14ac:dyDescent="0.2">
      <c r="AF29027" s="12"/>
    </row>
    <row r="29028" spans="32:32" x14ac:dyDescent="0.2">
      <c r="AF29028" s="12"/>
    </row>
    <row r="29029" spans="32:32" x14ac:dyDescent="0.2">
      <c r="AF29029" s="12"/>
    </row>
    <row r="29030" spans="32:32" x14ac:dyDescent="0.2">
      <c r="AF29030" s="12"/>
    </row>
    <row r="29031" spans="32:32" x14ac:dyDescent="0.2">
      <c r="AF29031" s="12"/>
    </row>
    <row r="29032" spans="32:32" x14ac:dyDescent="0.2">
      <c r="AF29032" s="12"/>
    </row>
    <row r="29033" spans="32:32" x14ac:dyDescent="0.2">
      <c r="AF29033" s="12"/>
    </row>
    <row r="29034" spans="32:32" x14ac:dyDescent="0.2">
      <c r="AF29034" s="12"/>
    </row>
    <row r="29035" spans="32:32" x14ac:dyDescent="0.2">
      <c r="AF29035" s="12"/>
    </row>
    <row r="29036" spans="32:32" x14ac:dyDescent="0.2">
      <c r="AF29036" s="12"/>
    </row>
    <row r="29037" spans="32:32" x14ac:dyDescent="0.2">
      <c r="AF29037" s="12"/>
    </row>
    <row r="29038" spans="32:32" x14ac:dyDescent="0.2">
      <c r="AF29038" s="12"/>
    </row>
    <row r="29039" spans="32:32" x14ac:dyDescent="0.2">
      <c r="AF29039" s="12"/>
    </row>
    <row r="29040" spans="32:32" x14ac:dyDescent="0.2">
      <c r="AF29040" s="12"/>
    </row>
    <row r="29041" spans="32:32" x14ac:dyDescent="0.2">
      <c r="AF29041" s="12"/>
    </row>
    <row r="29042" spans="32:32" x14ac:dyDescent="0.2">
      <c r="AF29042" s="12"/>
    </row>
    <row r="29043" spans="32:32" x14ac:dyDescent="0.2">
      <c r="AF29043" s="12"/>
    </row>
    <row r="29044" spans="32:32" x14ac:dyDescent="0.2">
      <c r="AF29044" s="12"/>
    </row>
    <row r="29045" spans="32:32" x14ac:dyDescent="0.2">
      <c r="AF29045" s="12"/>
    </row>
    <row r="29046" spans="32:32" x14ac:dyDescent="0.2">
      <c r="AF29046" s="12"/>
    </row>
    <row r="29047" spans="32:32" x14ac:dyDescent="0.2">
      <c r="AF29047" s="12"/>
    </row>
    <row r="29048" spans="32:32" x14ac:dyDescent="0.2">
      <c r="AF29048" s="12"/>
    </row>
    <row r="29049" spans="32:32" x14ac:dyDescent="0.2">
      <c r="AF29049" s="12"/>
    </row>
    <row r="29050" spans="32:32" x14ac:dyDescent="0.2">
      <c r="AF29050" s="12"/>
    </row>
    <row r="29051" spans="32:32" x14ac:dyDescent="0.2">
      <c r="AF29051" s="12"/>
    </row>
    <row r="29052" spans="32:32" x14ac:dyDescent="0.2">
      <c r="AF29052" s="12"/>
    </row>
    <row r="29053" spans="32:32" x14ac:dyDescent="0.2">
      <c r="AF29053" s="12"/>
    </row>
    <row r="29054" spans="32:32" x14ac:dyDescent="0.2">
      <c r="AF29054" s="12"/>
    </row>
    <row r="29055" spans="32:32" x14ac:dyDescent="0.2">
      <c r="AF29055" s="12"/>
    </row>
    <row r="29056" spans="32:32" x14ac:dyDescent="0.2">
      <c r="AF29056" s="12"/>
    </row>
    <row r="29057" spans="32:32" x14ac:dyDescent="0.2">
      <c r="AF29057" s="12"/>
    </row>
    <row r="29058" spans="32:32" x14ac:dyDescent="0.2">
      <c r="AF29058" s="12"/>
    </row>
    <row r="29059" spans="32:32" x14ac:dyDescent="0.2">
      <c r="AF29059" s="12"/>
    </row>
    <row r="29060" spans="32:32" x14ac:dyDescent="0.2">
      <c r="AF29060" s="12"/>
    </row>
    <row r="29061" spans="32:32" x14ac:dyDescent="0.2">
      <c r="AF29061" s="12"/>
    </row>
    <row r="29062" spans="32:32" x14ac:dyDescent="0.2">
      <c r="AF29062" s="12"/>
    </row>
    <row r="29063" spans="32:32" x14ac:dyDescent="0.2">
      <c r="AF29063" s="12"/>
    </row>
    <row r="29064" spans="32:32" x14ac:dyDescent="0.2">
      <c r="AF29064" s="12"/>
    </row>
    <row r="29065" spans="32:32" x14ac:dyDescent="0.2">
      <c r="AF29065" s="12"/>
    </row>
    <row r="29066" spans="32:32" x14ac:dyDescent="0.2">
      <c r="AF29066" s="12"/>
    </row>
    <row r="29067" spans="32:32" x14ac:dyDescent="0.2">
      <c r="AF29067" s="12"/>
    </row>
    <row r="29068" spans="32:32" x14ac:dyDescent="0.2">
      <c r="AF29068" s="12"/>
    </row>
    <row r="29069" spans="32:32" x14ac:dyDescent="0.2">
      <c r="AF29069" s="12"/>
    </row>
    <row r="29070" spans="32:32" x14ac:dyDescent="0.2">
      <c r="AF29070" s="12"/>
    </row>
    <row r="29071" spans="32:32" x14ac:dyDescent="0.2">
      <c r="AF29071" s="12"/>
    </row>
    <row r="29072" spans="32:32" x14ac:dyDescent="0.2">
      <c r="AF29072" s="12"/>
    </row>
    <row r="29073" spans="32:32" x14ac:dyDescent="0.2">
      <c r="AF29073" s="12"/>
    </row>
    <row r="29074" spans="32:32" x14ac:dyDescent="0.2">
      <c r="AF29074" s="12"/>
    </row>
    <row r="29075" spans="32:32" x14ac:dyDescent="0.2">
      <c r="AF29075" s="12"/>
    </row>
    <row r="29076" spans="32:32" x14ac:dyDescent="0.2">
      <c r="AF29076" s="12"/>
    </row>
    <row r="29077" spans="32:32" x14ac:dyDescent="0.2">
      <c r="AF29077" s="12"/>
    </row>
    <row r="29078" spans="32:32" x14ac:dyDescent="0.2">
      <c r="AF29078" s="12"/>
    </row>
    <row r="29079" spans="32:32" x14ac:dyDescent="0.2">
      <c r="AF29079" s="12"/>
    </row>
    <row r="29080" spans="32:32" x14ac:dyDescent="0.2">
      <c r="AF29080" s="12"/>
    </row>
    <row r="29081" spans="32:32" x14ac:dyDescent="0.2">
      <c r="AF29081" s="12"/>
    </row>
    <row r="29082" spans="32:32" x14ac:dyDescent="0.2">
      <c r="AF29082" s="12"/>
    </row>
    <row r="29083" spans="32:32" x14ac:dyDescent="0.2">
      <c r="AF29083" s="12"/>
    </row>
    <row r="29084" spans="32:32" x14ac:dyDescent="0.2">
      <c r="AF29084" s="12"/>
    </row>
    <row r="29085" spans="32:32" x14ac:dyDescent="0.2">
      <c r="AF29085" s="12"/>
    </row>
    <row r="29086" spans="32:32" x14ac:dyDescent="0.2">
      <c r="AF29086" s="12"/>
    </row>
    <row r="29087" spans="32:32" x14ac:dyDescent="0.2">
      <c r="AF29087" s="12"/>
    </row>
    <row r="29088" spans="32:32" x14ac:dyDescent="0.2">
      <c r="AF29088" s="12"/>
    </row>
    <row r="29089" spans="32:32" x14ac:dyDescent="0.2">
      <c r="AF29089" s="12"/>
    </row>
    <row r="29090" spans="32:32" x14ac:dyDescent="0.2">
      <c r="AF29090" s="12"/>
    </row>
    <row r="29091" spans="32:32" x14ac:dyDescent="0.2">
      <c r="AF29091" s="12"/>
    </row>
    <row r="29092" spans="32:32" x14ac:dyDescent="0.2">
      <c r="AF29092" s="12"/>
    </row>
    <row r="29093" spans="32:32" x14ac:dyDescent="0.2">
      <c r="AF29093" s="12"/>
    </row>
    <row r="29094" spans="32:32" x14ac:dyDescent="0.2">
      <c r="AF29094" s="12"/>
    </row>
    <row r="29095" spans="32:32" x14ac:dyDescent="0.2">
      <c r="AF29095" s="12"/>
    </row>
    <row r="29096" spans="32:32" x14ac:dyDescent="0.2">
      <c r="AF29096" s="12"/>
    </row>
    <row r="29097" spans="32:32" x14ac:dyDescent="0.2">
      <c r="AF29097" s="12"/>
    </row>
    <row r="29098" spans="32:32" x14ac:dyDescent="0.2">
      <c r="AF29098" s="12"/>
    </row>
    <row r="29099" spans="32:32" x14ac:dyDescent="0.2">
      <c r="AF29099" s="12"/>
    </row>
    <row r="29100" spans="32:32" x14ac:dyDescent="0.2">
      <c r="AF29100" s="12"/>
    </row>
    <row r="29101" spans="32:32" x14ac:dyDescent="0.2">
      <c r="AF29101" s="12"/>
    </row>
    <row r="29102" spans="32:32" x14ac:dyDescent="0.2">
      <c r="AF29102" s="12"/>
    </row>
    <row r="29103" spans="32:32" x14ac:dyDescent="0.2">
      <c r="AF29103" s="12"/>
    </row>
    <row r="29104" spans="32:32" x14ac:dyDescent="0.2">
      <c r="AF29104" s="12"/>
    </row>
    <row r="29105" spans="32:32" x14ac:dyDescent="0.2">
      <c r="AF29105" s="12"/>
    </row>
    <row r="29106" spans="32:32" x14ac:dyDescent="0.2">
      <c r="AF29106" s="12"/>
    </row>
    <row r="29107" spans="32:32" x14ac:dyDescent="0.2">
      <c r="AF29107" s="12"/>
    </row>
    <row r="29108" spans="32:32" x14ac:dyDescent="0.2">
      <c r="AF29108" s="12"/>
    </row>
    <row r="29109" spans="32:32" x14ac:dyDescent="0.2">
      <c r="AF29109" s="12"/>
    </row>
    <row r="29110" spans="32:32" x14ac:dyDescent="0.2">
      <c r="AF29110" s="12"/>
    </row>
    <row r="29111" spans="32:32" x14ac:dyDescent="0.2">
      <c r="AF29111" s="12"/>
    </row>
    <row r="29112" spans="32:32" x14ac:dyDescent="0.2">
      <c r="AF29112" s="12"/>
    </row>
    <row r="29113" spans="32:32" x14ac:dyDescent="0.2">
      <c r="AF29113" s="12"/>
    </row>
    <row r="29114" spans="32:32" x14ac:dyDescent="0.2">
      <c r="AF29114" s="12"/>
    </row>
    <row r="29115" spans="32:32" x14ac:dyDescent="0.2">
      <c r="AF29115" s="12"/>
    </row>
    <row r="29116" spans="32:32" x14ac:dyDescent="0.2">
      <c r="AF29116" s="12"/>
    </row>
    <row r="29117" spans="32:32" x14ac:dyDescent="0.2">
      <c r="AF29117" s="12"/>
    </row>
    <row r="29118" spans="32:32" x14ac:dyDescent="0.2">
      <c r="AF29118" s="12"/>
    </row>
    <row r="29119" spans="32:32" x14ac:dyDescent="0.2">
      <c r="AF29119" s="12"/>
    </row>
    <row r="29120" spans="32:32" x14ac:dyDescent="0.2">
      <c r="AF29120" s="12"/>
    </row>
    <row r="29121" spans="32:32" x14ac:dyDescent="0.2">
      <c r="AF29121" s="12"/>
    </row>
    <row r="29122" spans="32:32" x14ac:dyDescent="0.2">
      <c r="AF29122" s="12"/>
    </row>
    <row r="29123" spans="32:32" x14ac:dyDescent="0.2">
      <c r="AF29123" s="12"/>
    </row>
    <row r="29124" spans="32:32" x14ac:dyDescent="0.2">
      <c r="AF29124" s="12"/>
    </row>
    <row r="29125" spans="32:32" x14ac:dyDescent="0.2">
      <c r="AF29125" s="12"/>
    </row>
    <row r="29126" spans="32:32" x14ac:dyDescent="0.2">
      <c r="AF29126" s="12"/>
    </row>
    <row r="29127" spans="32:32" x14ac:dyDescent="0.2">
      <c r="AF29127" s="12"/>
    </row>
    <row r="29128" spans="32:32" x14ac:dyDescent="0.2">
      <c r="AF29128" s="12"/>
    </row>
    <row r="29129" spans="32:32" x14ac:dyDescent="0.2">
      <c r="AF29129" s="12"/>
    </row>
    <row r="29130" spans="32:32" x14ac:dyDescent="0.2">
      <c r="AF29130" s="12"/>
    </row>
    <row r="29131" spans="32:32" x14ac:dyDescent="0.2">
      <c r="AF29131" s="12"/>
    </row>
    <row r="29132" spans="32:32" x14ac:dyDescent="0.2">
      <c r="AF29132" s="12"/>
    </row>
    <row r="29133" spans="32:32" x14ac:dyDescent="0.2">
      <c r="AF29133" s="12"/>
    </row>
    <row r="29134" spans="32:32" x14ac:dyDescent="0.2">
      <c r="AF29134" s="12"/>
    </row>
    <row r="29135" spans="32:32" x14ac:dyDescent="0.2">
      <c r="AF29135" s="12"/>
    </row>
    <row r="29136" spans="32:32" x14ac:dyDescent="0.2">
      <c r="AF29136" s="12"/>
    </row>
    <row r="29137" spans="32:32" x14ac:dyDescent="0.2">
      <c r="AF29137" s="12"/>
    </row>
    <row r="29138" spans="32:32" x14ac:dyDescent="0.2">
      <c r="AF29138" s="12"/>
    </row>
    <row r="29139" spans="32:32" x14ac:dyDescent="0.2">
      <c r="AF29139" s="12"/>
    </row>
    <row r="29140" spans="32:32" x14ac:dyDescent="0.2">
      <c r="AF29140" s="12"/>
    </row>
    <row r="29141" spans="32:32" x14ac:dyDescent="0.2">
      <c r="AF29141" s="12"/>
    </row>
    <row r="29142" spans="32:32" x14ac:dyDescent="0.2">
      <c r="AF29142" s="12"/>
    </row>
    <row r="29143" spans="32:32" x14ac:dyDescent="0.2">
      <c r="AF29143" s="12"/>
    </row>
    <row r="29144" spans="32:32" x14ac:dyDescent="0.2">
      <c r="AF29144" s="12"/>
    </row>
    <row r="29145" spans="32:32" x14ac:dyDescent="0.2">
      <c r="AF29145" s="12"/>
    </row>
    <row r="29146" spans="32:32" x14ac:dyDescent="0.2">
      <c r="AF29146" s="12"/>
    </row>
    <row r="29147" spans="32:32" x14ac:dyDescent="0.2">
      <c r="AF29147" s="12"/>
    </row>
    <row r="29148" spans="32:32" x14ac:dyDescent="0.2">
      <c r="AF29148" s="12"/>
    </row>
    <row r="29149" spans="32:32" x14ac:dyDescent="0.2">
      <c r="AF29149" s="12"/>
    </row>
    <row r="29150" spans="32:32" x14ac:dyDescent="0.2">
      <c r="AF29150" s="12"/>
    </row>
    <row r="29151" spans="32:32" x14ac:dyDescent="0.2">
      <c r="AF29151" s="12"/>
    </row>
    <row r="29152" spans="32:32" x14ac:dyDescent="0.2">
      <c r="AF29152" s="12"/>
    </row>
    <row r="29153" spans="32:32" x14ac:dyDescent="0.2">
      <c r="AF29153" s="12"/>
    </row>
    <row r="29154" spans="32:32" x14ac:dyDescent="0.2">
      <c r="AF29154" s="12"/>
    </row>
    <row r="29155" spans="32:32" x14ac:dyDescent="0.2">
      <c r="AF29155" s="12"/>
    </row>
    <row r="29156" spans="32:32" x14ac:dyDescent="0.2">
      <c r="AF29156" s="12"/>
    </row>
    <row r="29157" spans="32:32" x14ac:dyDescent="0.2">
      <c r="AF29157" s="12"/>
    </row>
    <row r="29158" spans="32:32" x14ac:dyDescent="0.2">
      <c r="AF29158" s="12"/>
    </row>
    <row r="29159" spans="32:32" x14ac:dyDescent="0.2">
      <c r="AF29159" s="12"/>
    </row>
    <row r="29160" spans="32:32" x14ac:dyDescent="0.2">
      <c r="AF29160" s="12"/>
    </row>
    <row r="29161" spans="32:32" x14ac:dyDescent="0.2">
      <c r="AF29161" s="12"/>
    </row>
    <row r="29162" spans="32:32" x14ac:dyDescent="0.2">
      <c r="AF29162" s="12"/>
    </row>
    <row r="29163" spans="32:32" x14ac:dyDescent="0.2">
      <c r="AF29163" s="12"/>
    </row>
    <row r="29164" spans="32:32" x14ac:dyDescent="0.2">
      <c r="AF29164" s="12"/>
    </row>
    <row r="29165" spans="32:32" x14ac:dyDescent="0.2">
      <c r="AF29165" s="12"/>
    </row>
    <row r="29166" spans="32:32" x14ac:dyDescent="0.2">
      <c r="AF29166" s="12"/>
    </row>
    <row r="29167" spans="32:32" x14ac:dyDescent="0.2">
      <c r="AF29167" s="12"/>
    </row>
    <row r="29168" spans="32:32" x14ac:dyDescent="0.2">
      <c r="AF29168" s="12"/>
    </row>
    <row r="29169" spans="32:32" x14ac:dyDescent="0.2">
      <c r="AF29169" s="12"/>
    </row>
    <row r="29170" spans="32:32" x14ac:dyDescent="0.2">
      <c r="AF29170" s="12"/>
    </row>
    <row r="29171" spans="32:32" x14ac:dyDescent="0.2">
      <c r="AF29171" s="12"/>
    </row>
    <row r="29172" spans="32:32" x14ac:dyDescent="0.2">
      <c r="AF29172" s="12"/>
    </row>
    <row r="29173" spans="32:32" x14ac:dyDescent="0.2">
      <c r="AF29173" s="12"/>
    </row>
    <row r="29174" spans="32:32" x14ac:dyDescent="0.2">
      <c r="AF29174" s="12"/>
    </row>
    <row r="29175" spans="32:32" x14ac:dyDescent="0.2">
      <c r="AF29175" s="12"/>
    </row>
    <row r="29176" spans="32:32" x14ac:dyDescent="0.2">
      <c r="AF29176" s="12"/>
    </row>
    <row r="29177" spans="32:32" x14ac:dyDescent="0.2">
      <c r="AF29177" s="12"/>
    </row>
    <row r="29178" spans="32:32" x14ac:dyDescent="0.2">
      <c r="AF29178" s="12"/>
    </row>
    <row r="29179" spans="32:32" x14ac:dyDescent="0.2">
      <c r="AF29179" s="12"/>
    </row>
    <row r="29180" spans="32:32" x14ac:dyDescent="0.2">
      <c r="AF29180" s="12"/>
    </row>
    <row r="29181" spans="32:32" x14ac:dyDescent="0.2">
      <c r="AF29181" s="12"/>
    </row>
    <row r="29182" spans="32:32" x14ac:dyDescent="0.2">
      <c r="AF29182" s="12"/>
    </row>
    <row r="29183" spans="32:32" x14ac:dyDescent="0.2">
      <c r="AF29183" s="12"/>
    </row>
    <row r="29184" spans="32:32" x14ac:dyDescent="0.2">
      <c r="AF29184" s="12"/>
    </row>
    <row r="29185" spans="32:32" x14ac:dyDescent="0.2">
      <c r="AF29185" s="12"/>
    </row>
    <row r="29186" spans="32:32" x14ac:dyDescent="0.2">
      <c r="AF29186" s="12"/>
    </row>
    <row r="29187" spans="32:32" x14ac:dyDescent="0.2">
      <c r="AF29187" s="12"/>
    </row>
    <row r="29188" spans="32:32" x14ac:dyDescent="0.2">
      <c r="AF29188" s="12"/>
    </row>
    <row r="29189" spans="32:32" x14ac:dyDescent="0.2">
      <c r="AF29189" s="12"/>
    </row>
    <row r="29190" spans="32:32" x14ac:dyDescent="0.2">
      <c r="AF29190" s="12"/>
    </row>
    <row r="29191" spans="32:32" x14ac:dyDescent="0.2">
      <c r="AF29191" s="12"/>
    </row>
    <row r="29192" spans="32:32" x14ac:dyDescent="0.2">
      <c r="AF29192" s="12"/>
    </row>
    <row r="29193" spans="32:32" x14ac:dyDescent="0.2">
      <c r="AF29193" s="12"/>
    </row>
    <row r="29194" spans="32:32" x14ac:dyDescent="0.2">
      <c r="AF29194" s="12"/>
    </row>
    <row r="29195" spans="32:32" x14ac:dyDescent="0.2">
      <c r="AF29195" s="12"/>
    </row>
    <row r="29196" spans="32:32" x14ac:dyDescent="0.2">
      <c r="AF29196" s="12"/>
    </row>
    <row r="29197" spans="32:32" x14ac:dyDescent="0.2">
      <c r="AF29197" s="12"/>
    </row>
    <row r="29198" spans="32:32" x14ac:dyDescent="0.2">
      <c r="AF29198" s="12"/>
    </row>
    <row r="29199" spans="32:32" x14ac:dyDescent="0.2">
      <c r="AF29199" s="12"/>
    </row>
    <row r="29200" spans="32:32" x14ac:dyDescent="0.2">
      <c r="AF29200" s="12"/>
    </row>
    <row r="29201" spans="32:32" x14ac:dyDescent="0.2">
      <c r="AF29201" s="12"/>
    </row>
    <row r="29202" spans="32:32" x14ac:dyDescent="0.2">
      <c r="AF29202" s="12"/>
    </row>
    <row r="29203" spans="32:32" x14ac:dyDescent="0.2">
      <c r="AF29203" s="12"/>
    </row>
    <row r="29204" spans="32:32" x14ac:dyDescent="0.2">
      <c r="AF29204" s="12"/>
    </row>
    <row r="29205" spans="32:32" x14ac:dyDescent="0.2">
      <c r="AF29205" s="12"/>
    </row>
    <row r="29206" spans="32:32" x14ac:dyDescent="0.2">
      <c r="AF29206" s="12"/>
    </row>
    <row r="29207" spans="32:32" x14ac:dyDescent="0.2">
      <c r="AF29207" s="12"/>
    </row>
    <row r="29208" spans="32:32" x14ac:dyDescent="0.2">
      <c r="AF29208" s="12"/>
    </row>
    <row r="29209" spans="32:32" x14ac:dyDescent="0.2">
      <c r="AF29209" s="12"/>
    </row>
    <row r="29210" spans="32:32" x14ac:dyDescent="0.2">
      <c r="AF29210" s="12"/>
    </row>
    <row r="29211" spans="32:32" x14ac:dyDescent="0.2">
      <c r="AF29211" s="12"/>
    </row>
    <row r="29212" spans="32:32" x14ac:dyDescent="0.2">
      <c r="AF29212" s="12"/>
    </row>
    <row r="29213" spans="32:32" x14ac:dyDescent="0.2">
      <c r="AF29213" s="12"/>
    </row>
    <row r="29214" spans="32:32" x14ac:dyDescent="0.2">
      <c r="AF29214" s="12"/>
    </row>
    <row r="29215" spans="32:32" x14ac:dyDescent="0.2">
      <c r="AF29215" s="12"/>
    </row>
    <row r="29216" spans="32:32" x14ac:dyDescent="0.2">
      <c r="AF29216" s="12"/>
    </row>
    <row r="29217" spans="32:32" x14ac:dyDescent="0.2">
      <c r="AF29217" s="12"/>
    </row>
    <row r="29218" spans="32:32" x14ac:dyDescent="0.2">
      <c r="AF29218" s="12"/>
    </row>
    <row r="29219" spans="32:32" x14ac:dyDescent="0.2">
      <c r="AF29219" s="12"/>
    </row>
    <row r="29220" spans="32:32" x14ac:dyDescent="0.2">
      <c r="AF29220" s="12"/>
    </row>
    <row r="29221" spans="32:32" x14ac:dyDescent="0.2">
      <c r="AF29221" s="12"/>
    </row>
    <row r="29222" spans="32:32" x14ac:dyDescent="0.2">
      <c r="AF29222" s="12"/>
    </row>
    <row r="29223" spans="32:32" x14ac:dyDescent="0.2">
      <c r="AF29223" s="12"/>
    </row>
    <row r="29224" spans="32:32" x14ac:dyDescent="0.2">
      <c r="AF29224" s="12"/>
    </row>
    <row r="29225" spans="32:32" x14ac:dyDescent="0.2">
      <c r="AF29225" s="12"/>
    </row>
    <row r="29226" spans="32:32" x14ac:dyDescent="0.2">
      <c r="AF29226" s="12"/>
    </row>
    <row r="29227" spans="32:32" x14ac:dyDescent="0.2">
      <c r="AF29227" s="12"/>
    </row>
    <row r="29228" spans="32:32" x14ac:dyDescent="0.2">
      <c r="AF29228" s="12"/>
    </row>
    <row r="29229" spans="32:32" x14ac:dyDescent="0.2">
      <c r="AF29229" s="12"/>
    </row>
    <row r="29230" spans="32:32" x14ac:dyDescent="0.2">
      <c r="AF29230" s="12"/>
    </row>
    <row r="29231" spans="32:32" x14ac:dyDescent="0.2">
      <c r="AF29231" s="12"/>
    </row>
    <row r="29232" spans="32:32" x14ac:dyDescent="0.2">
      <c r="AF29232" s="12"/>
    </row>
    <row r="29233" spans="32:32" x14ac:dyDescent="0.2">
      <c r="AF29233" s="12"/>
    </row>
    <row r="29234" spans="32:32" x14ac:dyDescent="0.2">
      <c r="AF29234" s="12"/>
    </row>
    <row r="29235" spans="32:32" x14ac:dyDescent="0.2">
      <c r="AF29235" s="12"/>
    </row>
    <row r="29236" spans="32:32" x14ac:dyDescent="0.2">
      <c r="AF29236" s="12"/>
    </row>
    <row r="29237" spans="32:32" x14ac:dyDescent="0.2">
      <c r="AF29237" s="12"/>
    </row>
    <row r="29238" spans="32:32" x14ac:dyDescent="0.2">
      <c r="AF29238" s="12"/>
    </row>
    <row r="29239" spans="32:32" x14ac:dyDescent="0.2">
      <c r="AF29239" s="12"/>
    </row>
    <row r="29240" spans="32:32" x14ac:dyDescent="0.2">
      <c r="AF29240" s="12"/>
    </row>
    <row r="29241" spans="32:32" x14ac:dyDescent="0.2">
      <c r="AF29241" s="12"/>
    </row>
    <row r="29242" spans="32:32" x14ac:dyDescent="0.2">
      <c r="AF29242" s="12"/>
    </row>
    <row r="29243" spans="32:32" x14ac:dyDescent="0.2">
      <c r="AF29243" s="12"/>
    </row>
    <row r="29244" spans="32:32" x14ac:dyDescent="0.2">
      <c r="AF29244" s="12"/>
    </row>
    <row r="29245" spans="32:32" x14ac:dyDescent="0.2">
      <c r="AF29245" s="12"/>
    </row>
    <row r="29246" spans="32:32" x14ac:dyDescent="0.2">
      <c r="AF29246" s="12"/>
    </row>
    <row r="29247" spans="32:32" x14ac:dyDescent="0.2">
      <c r="AF29247" s="12"/>
    </row>
    <row r="29248" spans="32:32" x14ac:dyDescent="0.2">
      <c r="AF29248" s="12"/>
    </row>
    <row r="29249" spans="32:32" x14ac:dyDescent="0.2">
      <c r="AF29249" s="12"/>
    </row>
    <row r="29250" spans="32:32" x14ac:dyDescent="0.2">
      <c r="AF29250" s="12"/>
    </row>
    <row r="29251" spans="32:32" x14ac:dyDescent="0.2">
      <c r="AF29251" s="12"/>
    </row>
    <row r="29252" spans="32:32" x14ac:dyDescent="0.2">
      <c r="AF29252" s="12"/>
    </row>
    <row r="29253" spans="32:32" x14ac:dyDescent="0.2">
      <c r="AF29253" s="12"/>
    </row>
    <row r="29254" spans="32:32" x14ac:dyDescent="0.2">
      <c r="AF29254" s="12"/>
    </row>
    <row r="29255" spans="32:32" x14ac:dyDescent="0.2">
      <c r="AF29255" s="12"/>
    </row>
    <row r="29256" spans="32:32" x14ac:dyDescent="0.2">
      <c r="AF29256" s="12"/>
    </row>
    <row r="29257" spans="32:32" x14ac:dyDescent="0.2">
      <c r="AF29257" s="12"/>
    </row>
    <row r="29258" spans="32:32" x14ac:dyDescent="0.2">
      <c r="AF29258" s="12"/>
    </row>
    <row r="29259" spans="32:32" x14ac:dyDescent="0.2">
      <c r="AF29259" s="12"/>
    </row>
    <row r="29260" spans="32:32" x14ac:dyDescent="0.2">
      <c r="AF29260" s="12"/>
    </row>
    <row r="29261" spans="32:32" x14ac:dyDescent="0.2">
      <c r="AF29261" s="12"/>
    </row>
    <row r="29262" spans="32:32" x14ac:dyDescent="0.2">
      <c r="AF29262" s="12"/>
    </row>
    <row r="29263" spans="32:32" x14ac:dyDescent="0.2">
      <c r="AF29263" s="12"/>
    </row>
    <row r="29264" spans="32:32" x14ac:dyDescent="0.2">
      <c r="AF29264" s="12"/>
    </row>
    <row r="29265" spans="32:32" x14ac:dyDescent="0.2">
      <c r="AF29265" s="12"/>
    </row>
    <row r="29266" spans="32:32" x14ac:dyDescent="0.2">
      <c r="AF29266" s="12"/>
    </row>
    <row r="29267" spans="32:32" x14ac:dyDescent="0.2">
      <c r="AF29267" s="12"/>
    </row>
    <row r="29268" spans="32:32" x14ac:dyDescent="0.2">
      <c r="AF29268" s="12"/>
    </row>
    <row r="29269" spans="32:32" x14ac:dyDescent="0.2">
      <c r="AF29269" s="12"/>
    </row>
    <row r="29270" spans="32:32" x14ac:dyDescent="0.2">
      <c r="AF29270" s="12"/>
    </row>
    <row r="29271" spans="32:32" x14ac:dyDescent="0.2">
      <c r="AF29271" s="12"/>
    </row>
    <row r="29272" spans="32:32" x14ac:dyDescent="0.2">
      <c r="AF29272" s="12"/>
    </row>
    <row r="29273" spans="32:32" x14ac:dyDescent="0.2">
      <c r="AF29273" s="12"/>
    </row>
    <row r="29274" spans="32:32" x14ac:dyDescent="0.2">
      <c r="AF29274" s="12"/>
    </row>
    <row r="29275" spans="32:32" x14ac:dyDescent="0.2">
      <c r="AF29275" s="12"/>
    </row>
    <row r="29276" spans="32:32" x14ac:dyDescent="0.2">
      <c r="AF29276" s="12"/>
    </row>
    <row r="29277" spans="32:32" x14ac:dyDescent="0.2">
      <c r="AF29277" s="12"/>
    </row>
    <row r="29278" spans="32:32" x14ac:dyDescent="0.2">
      <c r="AF29278" s="12"/>
    </row>
    <row r="29279" spans="32:32" x14ac:dyDescent="0.2">
      <c r="AF29279" s="12"/>
    </row>
    <row r="29280" spans="32:32" x14ac:dyDescent="0.2">
      <c r="AF29280" s="12"/>
    </row>
    <row r="29281" spans="32:32" x14ac:dyDescent="0.2">
      <c r="AF29281" s="12"/>
    </row>
    <row r="29282" spans="32:32" x14ac:dyDescent="0.2">
      <c r="AF29282" s="12"/>
    </row>
    <row r="29283" spans="32:32" x14ac:dyDescent="0.2">
      <c r="AF29283" s="12"/>
    </row>
    <row r="29284" spans="32:32" x14ac:dyDescent="0.2">
      <c r="AF29284" s="12"/>
    </row>
    <row r="29285" spans="32:32" x14ac:dyDescent="0.2">
      <c r="AF29285" s="12"/>
    </row>
    <row r="29286" spans="32:32" x14ac:dyDescent="0.2">
      <c r="AF29286" s="12"/>
    </row>
    <row r="29287" spans="32:32" x14ac:dyDescent="0.2">
      <c r="AF29287" s="12"/>
    </row>
    <row r="29288" spans="32:32" x14ac:dyDescent="0.2">
      <c r="AF29288" s="12"/>
    </row>
    <row r="29289" spans="32:32" x14ac:dyDescent="0.2">
      <c r="AF29289" s="12"/>
    </row>
    <row r="29290" spans="32:32" x14ac:dyDescent="0.2">
      <c r="AF29290" s="12"/>
    </row>
    <row r="29291" spans="32:32" x14ac:dyDescent="0.2">
      <c r="AF29291" s="12"/>
    </row>
    <row r="29292" spans="32:32" x14ac:dyDescent="0.2">
      <c r="AF29292" s="12"/>
    </row>
    <row r="29293" spans="32:32" x14ac:dyDescent="0.2">
      <c r="AF29293" s="12"/>
    </row>
    <row r="29294" spans="32:32" x14ac:dyDescent="0.2">
      <c r="AF29294" s="12"/>
    </row>
    <row r="29295" spans="32:32" x14ac:dyDescent="0.2">
      <c r="AF29295" s="12"/>
    </row>
    <row r="29296" spans="32:32" x14ac:dyDescent="0.2">
      <c r="AF29296" s="12"/>
    </row>
    <row r="29297" spans="32:32" x14ac:dyDescent="0.2">
      <c r="AF29297" s="12"/>
    </row>
    <row r="29298" spans="32:32" x14ac:dyDescent="0.2">
      <c r="AF29298" s="12"/>
    </row>
    <row r="29299" spans="32:32" x14ac:dyDescent="0.2">
      <c r="AF29299" s="12"/>
    </row>
    <row r="29300" spans="32:32" x14ac:dyDescent="0.2">
      <c r="AF29300" s="12"/>
    </row>
    <row r="29301" spans="32:32" x14ac:dyDescent="0.2">
      <c r="AF29301" s="12"/>
    </row>
    <row r="29302" spans="32:32" x14ac:dyDescent="0.2">
      <c r="AF29302" s="12"/>
    </row>
    <row r="29303" spans="32:32" x14ac:dyDescent="0.2">
      <c r="AF29303" s="12"/>
    </row>
    <row r="29304" spans="32:32" x14ac:dyDescent="0.2">
      <c r="AF29304" s="12"/>
    </row>
    <row r="29305" spans="32:32" x14ac:dyDescent="0.2">
      <c r="AF29305" s="12"/>
    </row>
    <row r="29306" spans="32:32" x14ac:dyDescent="0.2">
      <c r="AF29306" s="12"/>
    </row>
    <row r="29307" spans="32:32" x14ac:dyDescent="0.2">
      <c r="AF29307" s="12"/>
    </row>
    <row r="29308" spans="32:32" x14ac:dyDescent="0.2">
      <c r="AF29308" s="12"/>
    </row>
    <row r="29309" spans="32:32" x14ac:dyDescent="0.2">
      <c r="AF29309" s="12"/>
    </row>
    <row r="29310" spans="32:32" x14ac:dyDescent="0.2">
      <c r="AF29310" s="12"/>
    </row>
    <row r="29311" spans="32:32" x14ac:dyDescent="0.2">
      <c r="AF29311" s="12"/>
    </row>
    <row r="29312" spans="32:32" x14ac:dyDescent="0.2">
      <c r="AF29312" s="12"/>
    </row>
    <row r="29313" spans="32:32" x14ac:dyDescent="0.2">
      <c r="AF29313" s="12"/>
    </row>
    <row r="29314" spans="32:32" x14ac:dyDescent="0.2">
      <c r="AF29314" s="12"/>
    </row>
    <row r="29315" spans="32:32" x14ac:dyDescent="0.2">
      <c r="AF29315" s="12"/>
    </row>
    <row r="29316" spans="32:32" x14ac:dyDescent="0.2">
      <c r="AF29316" s="12"/>
    </row>
    <row r="29317" spans="32:32" x14ac:dyDescent="0.2">
      <c r="AF29317" s="12"/>
    </row>
    <row r="29318" spans="32:32" x14ac:dyDescent="0.2">
      <c r="AF29318" s="12"/>
    </row>
    <row r="29319" spans="32:32" x14ac:dyDescent="0.2">
      <c r="AF29319" s="12"/>
    </row>
    <row r="29320" spans="32:32" x14ac:dyDescent="0.2">
      <c r="AF29320" s="12"/>
    </row>
    <row r="29321" spans="32:32" x14ac:dyDescent="0.2">
      <c r="AF29321" s="12"/>
    </row>
    <row r="29322" spans="32:32" x14ac:dyDescent="0.2">
      <c r="AF29322" s="12"/>
    </row>
    <row r="29323" spans="32:32" x14ac:dyDescent="0.2">
      <c r="AF29323" s="12"/>
    </row>
    <row r="29324" spans="32:32" x14ac:dyDescent="0.2">
      <c r="AF29324" s="12"/>
    </row>
    <row r="29325" spans="32:32" x14ac:dyDescent="0.2">
      <c r="AF29325" s="12"/>
    </row>
    <row r="29326" spans="32:32" x14ac:dyDescent="0.2">
      <c r="AF29326" s="12"/>
    </row>
    <row r="29327" spans="32:32" x14ac:dyDescent="0.2">
      <c r="AF29327" s="12"/>
    </row>
    <row r="29328" spans="32:32" x14ac:dyDescent="0.2">
      <c r="AF29328" s="12"/>
    </row>
    <row r="29329" spans="32:32" x14ac:dyDescent="0.2">
      <c r="AF29329" s="12"/>
    </row>
    <row r="29330" spans="32:32" x14ac:dyDescent="0.2">
      <c r="AF29330" s="12"/>
    </row>
    <row r="29331" spans="32:32" x14ac:dyDescent="0.2">
      <c r="AF29331" s="12"/>
    </row>
    <row r="29332" spans="32:32" x14ac:dyDescent="0.2">
      <c r="AF29332" s="12"/>
    </row>
    <row r="29333" spans="32:32" x14ac:dyDescent="0.2">
      <c r="AF29333" s="12"/>
    </row>
    <row r="29334" spans="32:32" x14ac:dyDescent="0.2">
      <c r="AF29334" s="12"/>
    </row>
    <row r="29335" spans="32:32" x14ac:dyDescent="0.2">
      <c r="AF29335" s="12"/>
    </row>
    <row r="29336" spans="32:32" x14ac:dyDescent="0.2">
      <c r="AF29336" s="12"/>
    </row>
    <row r="29337" spans="32:32" x14ac:dyDescent="0.2">
      <c r="AF29337" s="12"/>
    </row>
    <row r="29338" spans="32:32" x14ac:dyDescent="0.2">
      <c r="AF29338" s="12"/>
    </row>
    <row r="29339" spans="32:32" x14ac:dyDescent="0.2">
      <c r="AF29339" s="12"/>
    </row>
    <row r="29340" spans="32:32" x14ac:dyDescent="0.2">
      <c r="AF29340" s="12"/>
    </row>
    <row r="29341" spans="32:32" x14ac:dyDescent="0.2">
      <c r="AF29341" s="12"/>
    </row>
    <row r="29342" spans="32:32" x14ac:dyDescent="0.2">
      <c r="AF29342" s="12"/>
    </row>
    <row r="29343" spans="32:32" x14ac:dyDescent="0.2">
      <c r="AF29343" s="12"/>
    </row>
    <row r="29344" spans="32:32" x14ac:dyDescent="0.2">
      <c r="AF29344" s="12"/>
    </row>
    <row r="29345" spans="32:32" x14ac:dyDescent="0.2">
      <c r="AF29345" s="12"/>
    </row>
    <row r="29346" spans="32:32" x14ac:dyDescent="0.2">
      <c r="AF29346" s="12"/>
    </row>
    <row r="29347" spans="32:32" x14ac:dyDescent="0.2">
      <c r="AF29347" s="12"/>
    </row>
    <row r="29348" spans="32:32" x14ac:dyDescent="0.2">
      <c r="AF29348" s="12"/>
    </row>
    <row r="29349" spans="32:32" x14ac:dyDescent="0.2">
      <c r="AF29349" s="12"/>
    </row>
    <row r="29350" spans="32:32" x14ac:dyDescent="0.2">
      <c r="AF29350" s="12"/>
    </row>
    <row r="29351" spans="32:32" x14ac:dyDescent="0.2">
      <c r="AF29351" s="12"/>
    </row>
    <row r="29352" spans="32:32" x14ac:dyDescent="0.2">
      <c r="AF29352" s="12"/>
    </row>
    <row r="29353" spans="32:32" x14ac:dyDescent="0.2">
      <c r="AF29353" s="12"/>
    </row>
    <row r="29354" spans="32:32" x14ac:dyDescent="0.2">
      <c r="AF29354" s="12"/>
    </row>
    <row r="29355" spans="32:32" x14ac:dyDescent="0.2">
      <c r="AF29355" s="12"/>
    </row>
    <row r="29356" spans="32:32" x14ac:dyDescent="0.2">
      <c r="AF29356" s="12"/>
    </row>
    <row r="29357" spans="32:32" x14ac:dyDescent="0.2">
      <c r="AF29357" s="12"/>
    </row>
    <row r="29358" spans="32:32" x14ac:dyDescent="0.2">
      <c r="AF29358" s="12"/>
    </row>
    <row r="29359" spans="32:32" x14ac:dyDescent="0.2">
      <c r="AF29359" s="12"/>
    </row>
    <row r="29360" spans="32:32" x14ac:dyDescent="0.2">
      <c r="AF29360" s="12"/>
    </row>
    <row r="29361" spans="32:32" x14ac:dyDescent="0.2">
      <c r="AF29361" s="12"/>
    </row>
    <row r="29362" spans="32:32" x14ac:dyDescent="0.2">
      <c r="AF29362" s="12"/>
    </row>
    <row r="29363" spans="32:32" x14ac:dyDescent="0.2">
      <c r="AF29363" s="12"/>
    </row>
    <row r="29364" spans="32:32" x14ac:dyDescent="0.2">
      <c r="AF29364" s="12"/>
    </row>
    <row r="29365" spans="32:32" x14ac:dyDescent="0.2">
      <c r="AF29365" s="12"/>
    </row>
    <row r="29366" spans="32:32" x14ac:dyDescent="0.2">
      <c r="AF29366" s="12"/>
    </row>
    <row r="29367" spans="32:32" x14ac:dyDescent="0.2">
      <c r="AF29367" s="12"/>
    </row>
    <row r="29368" spans="32:32" x14ac:dyDescent="0.2">
      <c r="AF29368" s="12"/>
    </row>
    <row r="29369" spans="32:32" x14ac:dyDescent="0.2">
      <c r="AF29369" s="12"/>
    </row>
    <row r="29370" spans="32:32" x14ac:dyDescent="0.2">
      <c r="AF29370" s="12"/>
    </row>
    <row r="29371" spans="32:32" x14ac:dyDescent="0.2">
      <c r="AF29371" s="12"/>
    </row>
    <row r="29372" spans="32:32" x14ac:dyDescent="0.2">
      <c r="AF29372" s="12"/>
    </row>
    <row r="29373" spans="32:32" x14ac:dyDescent="0.2">
      <c r="AF29373" s="12"/>
    </row>
    <row r="29374" spans="32:32" x14ac:dyDescent="0.2">
      <c r="AF29374" s="12"/>
    </row>
    <row r="29375" spans="32:32" x14ac:dyDescent="0.2">
      <c r="AF29375" s="12"/>
    </row>
    <row r="29376" spans="32:32" x14ac:dyDescent="0.2">
      <c r="AF29376" s="12"/>
    </row>
    <row r="29377" spans="32:32" x14ac:dyDescent="0.2">
      <c r="AF29377" s="12"/>
    </row>
    <row r="29378" spans="32:32" x14ac:dyDescent="0.2">
      <c r="AF29378" s="12"/>
    </row>
    <row r="29379" spans="32:32" x14ac:dyDescent="0.2">
      <c r="AF29379" s="12"/>
    </row>
    <row r="29380" spans="32:32" x14ac:dyDescent="0.2">
      <c r="AF29380" s="12"/>
    </row>
    <row r="29381" spans="32:32" x14ac:dyDescent="0.2">
      <c r="AF29381" s="12"/>
    </row>
    <row r="29382" spans="32:32" x14ac:dyDescent="0.2">
      <c r="AF29382" s="12"/>
    </row>
    <row r="29383" spans="32:32" x14ac:dyDescent="0.2">
      <c r="AF29383" s="12"/>
    </row>
    <row r="29384" spans="32:32" x14ac:dyDescent="0.2">
      <c r="AF29384" s="12"/>
    </row>
    <row r="29385" spans="32:32" x14ac:dyDescent="0.2">
      <c r="AF29385" s="12"/>
    </row>
    <row r="29386" spans="32:32" x14ac:dyDescent="0.2">
      <c r="AF29386" s="12"/>
    </row>
    <row r="29387" spans="32:32" x14ac:dyDescent="0.2">
      <c r="AF29387" s="12"/>
    </row>
    <row r="29388" spans="32:32" x14ac:dyDescent="0.2">
      <c r="AF29388" s="12"/>
    </row>
    <row r="29389" spans="32:32" x14ac:dyDescent="0.2">
      <c r="AF29389" s="12"/>
    </row>
    <row r="29390" spans="32:32" x14ac:dyDescent="0.2">
      <c r="AF29390" s="12"/>
    </row>
    <row r="29391" spans="32:32" x14ac:dyDescent="0.2">
      <c r="AF29391" s="12"/>
    </row>
    <row r="29392" spans="32:32" x14ac:dyDescent="0.2">
      <c r="AF29392" s="12"/>
    </row>
    <row r="29393" spans="32:32" x14ac:dyDescent="0.2">
      <c r="AF29393" s="12"/>
    </row>
    <row r="29394" spans="32:32" x14ac:dyDescent="0.2">
      <c r="AF29394" s="12"/>
    </row>
    <row r="29395" spans="32:32" x14ac:dyDescent="0.2">
      <c r="AF29395" s="12"/>
    </row>
    <row r="29396" spans="32:32" x14ac:dyDescent="0.2">
      <c r="AF29396" s="12"/>
    </row>
    <row r="29397" spans="32:32" x14ac:dyDescent="0.2">
      <c r="AF29397" s="12"/>
    </row>
    <row r="29398" spans="32:32" x14ac:dyDescent="0.2">
      <c r="AF29398" s="12"/>
    </row>
    <row r="29399" spans="32:32" x14ac:dyDescent="0.2">
      <c r="AF29399" s="12"/>
    </row>
    <row r="29400" spans="32:32" x14ac:dyDescent="0.2">
      <c r="AF29400" s="12"/>
    </row>
    <row r="29401" spans="32:32" x14ac:dyDescent="0.2">
      <c r="AF29401" s="12"/>
    </row>
    <row r="29402" spans="32:32" x14ac:dyDescent="0.2">
      <c r="AF29402" s="12"/>
    </row>
    <row r="29403" spans="32:32" x14ac:dyDescent="0.2">
      <c r="AF29403" s="12"/>
    </row>
    <row r="29404" spans="32:32" x14ac:dyDescent="0.2">
      <c r="AF29404" s="12"/>
    </row>
    <row r="29405" spans="32:32" x14ac:dyDescent="0.2">
      <c r="AF29405" s="12"/>
    </row>
    <row r="29406" spans="32:32" x14ac:dyDescent="0.2">
      <c r="AF29406" s="12"/>
    </row>
    <row r="29407" spans="32:32" x14ac:dyDescent="0.2">
      <c r="AF29407" s="12"/>
    </row>
    <row r="29408" spans="32:32" x14ac:dyDescent="0.2">
      <c r="AF29408" s="12"/>
    </row>
    <row r="29409" spans="32:32" x14ac:dyDescent="0.2">
      <c r="AF29409" s="12"/>
    </row>
    <row r="29410" spans="32:32" x14ac:dyDescent="0.2">
      <c r="AF29410" s="12"/>
    </row>
    <row r="29411" spans="32:32" x14ac:dyDescent="0.2">
      <c r="AF29411" s="12"/>
    </row>
    <row r="29412" spans="32:32" x14ac:dyDescent="0.2">
      <c r="AF29412" s="12"/>
    </row>
    <row r="29413" spans="32:32" x14ac:dyDescent="0.2">
      <c r="AF29413" s="12"/>
    </row>
    <row r="29414" spans="32:32" x14ac:dyDescent="0.2">
      <c r="AF29414" s="12"/>
    </row>
    <row r="29415" spans="32:32" x14ac:dyDescent="0.2">
      <c r="AF29415" s="12"/>
    </row>
    <row r="29416" spans="32:32" x14ac:dyDescent="0.2">
      <c r="AF29416" s="12"/>
    </row>
    <row r="29417" spans="32:32" x14ac:dyDescent="0.2">
      <c r="AF29417" s="12"/>
    </row>
    <row r="29418" spans="32:32" x14ac:dyDescent="0.2">
      <c r="AF29418" s="12"/>
    </row>
    <row r="29419" spans="32:32" x14ac:dyDescent="0.2">
      <c r="AF29419" s="12"/>
    </row>
    <row r="29420" spans="32:32" x14ac:dyDescent="0.2">
      <c r="AF29420" s="12"/>
    </row>
    <row r="29421" spans="32:32" x14ac:dyDescent="0.2">
      <c r="AF29421" s="12"/>
    </row>
    <row r="29422" spans="32:32" x14ac:dyDescent="0.2">
      <c r="AF29422" s="12"/>
    </row>
    <row r="29423" spans="32:32" x14ac:dyDescent="0.2">
      <c r="AF29423" s="12"/>
    </row>
    <row r="29424" spans="32:32" x14ac:dyDescent="0.2">
      <c r="AF29424" s="12"/>
    </row>
    <row r="29425" spans="32:32" x14ac:dyDescent="0.2">
      <c r="AF29425" s="12"/>
    </row>
    <row r="29426" spans="32:32" x14ac:dyDescent="0.2">
      <c r="AF29426" s="12"/>
    </row>
    <row r="29427" spans="32:32" x14ac:dyDescent="0.2">
      <c r="AF29427" s="12"/>
    </row>
    <row r="29428" spans="32:32" x14ac:dyDescent="0.2">
      <c r="AF29428" s="12"/>
    </row>
    <row r="29429" spans="32:32" x14ac:dyDescent="0.2">
      <c r="AF29429" s="12"/>
    </row>
    <row r="29430" spans="32:32" x14ac:dyDescent="0.2">
      <c r="AF29430" s="12"/>
    </row>
    <row r="29431" spans="32:32" x14ac:dyDescent="0.2">
      <c r="AF29431" s="12"/>
    </row>
    <row r="29432" spans="32:32" x14ac:dyDescent="0.2">
      <c r="AF29432" s="12"/>
    </row>
    <row r="29433" spans="32:32" x14ac:dyDescent="0.2">
      <c r="AF29433" s="12"/>
    </row>
    <row r="29434" spans="32:32" x14ac:dyDescent="0.2">
      <c r="AF29434" s="12"/>
    </row>
    <row r="29435" spans="32:32" x14ac:dyDescent="0.2">
      <c r="AF29435" s="12"/>
    </row>
    <row r="29436" spans="32:32" x14ac:dyDescent="0.2">
      <c r="AF29436" s="12"/>
    </row>
    <row r="29437" spans="32:32" x14ac:dyDescent="0.2">
      <c r="AF29437" s="12"/>
    </row>
    <row r="29438" spans="32:32" x14ac:dyDescent="0.2">
      <c r="AF29438" s="12"/>
    </row>
    <row r="29439" spans="32:32" x14ac:dyDescent="0.2">
      <c r="AF29439" s="12"/>
    </row>
    <row r="29440" spans="32:32" x14ac:dyDescent="0.2">
      <c r="AF29440" s="12"/>
    </row>
    <row r="29441" spans="32:32" x14ac:dyDescent="0.2">
      <c r="AF29441" s="12"/>
    </row>
    <row r="29442" spans="32:32" x14ac:dyDescent="0.2">
      <c r="AF29442" s="12"/>
    </row>
    <row r="29443" spans="32:32" x14ac:dyDescent="0.2">
      <c r="AF29443" s="12"/>
    </row>
    <row r="29444" spans="32:32" x14ac:dyDescent="0.2">
      <c r="AF29444" s="12"/>
    </row>
    <row r="29445" spans="32:32" x14ac:dyDescent="0.2">
      <c r="AF29445" s="12"/>
    </row>
    <row r="29446" spans="32:32" x14ac:dyDescent="0.2">
      <c r="AF29446" s="12"/>
    </row>
    <row r="29447" spans="32:32" x14ac:dyDescent="0.2">
      <c r="AF29447" s="12"/>
    </row>
    <row r="29448" spans="32:32" x14ac:dyDescent="0.2">
      <c r="AF29448" s="12"/>
    </row>
    <row r="29449" spans="32:32" x14ac:dyDescent="0.2">
      <c r="AF29449" s="12"/>
    </row>
    <row r="29450" spans="32:32" x14ac:dyDescent="0.2">
      <c r="AF29450" s="12"/>
    </row>
    <row r="29451" spans="32:32" x14ac:dyDescent="0.2">
      <c r="AF29451" s="12"/>
    </row>
    <row r="29452" spans="32:32" x14ac:dyDescent="0.2">
      <c r="AF29452" s="12"/>
    </row>
    <row r="29453" spans="32:32" x14ac:dyDescent="0.2">
      <c r="AF29453" s="12"/>
    </row>
    <row r="29454" spans="32:32" x14ac:dyDescent="0.2">
      <c r="AF29454" s="12"/>
    </row>
    <row r="29455" spans="32:32" x14ac:dyDescent="0.2">
      <c r="AF29455" s="12"/>
    </row>
    <row r="29456" spans="32:32" x14ac:dyDescent="0.2">
      <c r="AF29456" s="12"/>
    </row>
    <row r="29457" spans="32:32" x14ac:dyDescent="0.2">
      <c r="AF29457" s="12"/>
    </row>
    <row r="29458" spans="32:32" x14ac:dyDescent="0.2">
      <c r="AF29458" s="12"/>
    </row>
    <row r="29459" spans="32:32" x14ac:dyDescent="0.2">
      <c r="AF29459" s="12"/>
    </row>
    <row r="29460" spans="32:32" x14ac:dyDescent="0.2">
      <c r="AF29460" s="12"/>
    </row>
    <row r="29461" spans="32:32" x14ac:dyDescent="0.2">
      <c r="AF29461" s="12"/>
    </row>
    <row r="29462" spans="32:32" x14ac:dyDescent="0.2">
      <c r="AF29462" s="12"/>
    </row>
    <row r="29463" spans="32:32" x14ac:dyDescent="0.2">
      <c r="AF29463" s="12"/>
    </row>
    <row r="29464" spans="32:32" x14ac:dyDescent="0.2">
      <c r="AF29464" s="12"/>
    </row>
    <row r="29465" spans="32:32" x14ac:dyDescent="0.2">
      <c r="AF29465" s="12"/>
    </row>
    <row r="29466" spans="32:32" x14ac:dyDescent="0.2">
      <c r="AF29466" s="12"/>
    </row>
    <row r="29467" spans="32:32" x14ac:dyDescent="0.2">
      <c r="AF29467" s="12"/>
    </row>
    <row r="29468" spans="32:32" x14ac:dyDescent="0.2">
      <c r="AF29468" s="12"/>
    </row>
    <row r="29469" spans="32:32" x14ac:dyDescent="0.2">
      <c r="AF29469" s="12"/>
    </row>
    <row r="29470" spans="32:32" x14ac:dyDescent="0.2">
      <c r="AF29470" s="12"/>
    </row>
    <row r="29471" spans="32:32" x14ac:dyDescent="0.2">
      <c r="AF29471" s="12"/>
    </row>
    <row r="29472" spans="32:32" x14ac:dyDescent="0.2">
      <c r="AF29472" s="12"/>
    </row>
    <row r="29473" spans="32:32" x14ac:dyDescent="0.2">
      <c r="AF29473" s="12"/>
    </row>
    <row r="29474" spans="32:32" x14ac:dyDescent="0.2">
      <c r="AF29474" s="12"/>
    </row>
    <row r="29475" spans="32:32" x14ac:dyDescent="0.2">
      <c r="AF29475" s="12"/>
    </row>
    <row r="29476" spans="32:32" x14ac:dyDescent="0.2">
      <c r="AF29476" s="12"/>
    </row>
    <row r="29477" spans="32:32" x14ac:dyDescent="0.2">
      <c r="AF29477" s="12"/>
    </row>
    <row r="29478" spans="32:32" x14ac:dyDescent="0.2">
      <c r="AF29478" s="12"/>
    </row>
    <row r="29479" spans="32:32" x14ac:dyDescent="0.2">
      <c r="AF29479" s="12"/>
    </row>
    <row r="29480" spans="32:32" x14ac:dyDescent="0.2">
      <c r="AF29480" s="12"/>
    </row>
    <row r="29481" spans="32:32" x14ac:dyDescent="0.2">
      <c r="AF29481" s="12"/>
    </row>
    <row r="29482" spans="32:32" x14ac:dyDescent="0.2">
      <c r="AF29482" s="12"/>
    </row>
    <row r="29483" spans="32:32" x14ac:dyDescent="0.2">
      <c r="AF29483" s="12"/>
    </row>
    <row r="29484" spans="32:32" x14ac:dyDescent="0.2">
      <c r="AF29484" s="12"/>
    </row>
    <row r="29485" spans="32:32" x14ac:dyDescent="0.2">
      <c r="AF29485" s="12"/>
    </row>
    <row r="29486" spans="32:32" x14ac:dyDescent="0.2">
      <c r="AF29486" s="12"/>
    </row>
    <row r="29487" spans="32:32" x14ac:dyDescent="0.2">
      <c r="AF29487" s="12"/>
    </row>
    <row r="29488" spans="32:32" x14ac:dyDescent="0.2">
      <c r="AF29488" s="12"/>
    </row>
    <row r="29489" spans="32:32" x14ac:dyDescent="0.2">
      <c r="AF29489" s="12"/>
    </row>
    <row r="29490" spans="32:32" x14ac:dyDescent="0.2">
      <c r="AF29490" s="12"/>
    </row>
    <row r="29491" spans="32:32" x14ac:dyDescent="0.2">
      <c r="AF29491" s="12"/>
    </row>
    <row r="29492" spans="32:32" x14ac:dyDescent="0.2">
      <c r="AF29492" s="12"/>
    </row>
    <row r="29493" spans="32:32" x14ac:dyDescent="0.2">
      <c r="AF29493" s="12"/>
    </row>
    <row r="29494" spans="32:32" x14ac:dyDescent="0.2">
      <c r="AF29494" s="12"/>
    </row>
    <row r="29495" spans="32:32" x14ac:dyDescent="0.2">
      <c r="AF29495" s="12"/>
    </row>
    <row r="29496" spans="32:32" x14ac:dyDescent="0.2">
      <c r="AF29496" s="12"/>
    </row>
    <row r="29497" spans="32:32" x14ac:dyDescent="0.2">
      <c r="AF29497" s="12"/>
    </row>
    <row r="29498" spans="32:32" x14ac:dyDescent="0.2">
      <c r="AF29498" s="12"/>
    </row>
    <row r="29499" spans="32:32" x14ac:dyDescent="0.2">
      <c r="AF29499" s="12"/>
    </row>
    <row r="29500" spans="32:32" x14ac:dyDescent="0.2">
      <c r="AF29500" s="12"/>
    </row>
    <row r="29501" spans="32:32" x14ac:dyDescent="0.2">
      <c r="AF29501" s="12"/>
    </row>
    <row r="29502" spans="32:32" x14ac:dyDescent="0.2">
      <c r="AF29502" s="12"/>
    </row>
    <row r="29503" spans="32:32" x14ac:dyDescent="0.2">
      <c r="AF29503" s="12"/>
    </row>
    <row r="29504" spans="32:32" x14ac:dyDescent="0.2">
      <c r="AF29504" s="12"/>
    </row>
    <row r="29505" spans="32:32" x14ac:dyDescent="0.2">
      <c r="AF29505" s="12"/>
    </row>
    <row r="29506" spans="32:32" x14ac:dyDescent="0.2">
      <c r="AF29506" s="12"/>
    </row>
    <row r="29507" spans="32:32" x14ac:dyDescent="0.2">
      <c r="AF29507" s="12"/>
    </row>
    <row r="29508" spans="32:32" x14ac:dyDescent="0.2">
      <c r="AF29508" s="12"/>
    </row>
    <row r="29509" spans="32:32" x14ac:dyDescent="0.2">
      <c r="AF29509" s="12"/>
    </row>
    <row r="29510" spans="32:32" x14ac:dyDescent="0.2">
      <c r="AF29510" s="12"/>
    </row>
    <row r="29511" spans="32:32" x14ac:dyDescent="0.2">
      <c r="AF29511" s="12"/>
    </row>
    <row r="29512" spans="32:32" x14ac:dyDescent="0.2">
      <c r="AF29512" s="12"/>
    </row>
    <row r="29513" spans="32:32" x14ac:dyDescent="0.2">
      <c r="AF29513" s="12"/>
    </row>
    <row r="29514" spans="32:32" x14ac:dyDescent="0.2">
      <c r="AF29514" s="12"/>
    </row>
    <row r="29515" spans="32:32" x14ac:dyDescent="0.2">
      <c r="AF29515" s="12"/>
    </row>
    <row r="29516" spans="32:32" x14ac:dyDescent="0.2">
      <c r="AF29516" s="12"/>
    </row>
    <row r="29517" spans="32:32" x14ac:dyDescent="0.2">
      <c r="AF29517" s="12"/>
    </row>
    <row r="29518" spans="32:32" x14ac:dyDescent="0.2">
      <c r="AF29518" s="12"/>
    </row>
    <row r="29519" spans="32:32" x14ac:dyDescent="0.2">
      <c r="AF29519" s="12"/>
    </row>
    <row r="29520" spans="32:32" x14ac:dyDescent="0.2">
      <c r="AF29520" s="12"/>
    </row>
    <row r="29521" spans="32:32" x14ac:dyDescent="0.2">
      <c r="AF29521" s="12"/>
    </row>
    <row r="29522" spans="32:32" x14ac:dyDescent="0.2">
      <c r="AF29522" s="12"/>
    </row>
    <row r="29523" spans="32:32" x14ac:dyDescent="0.2">
      <c r="AF29523" s="12"/>
    </row>
    <row r="29524" spans="32:32" x14ac:dyDescent="0.2">
      <c r="AF29524" s="12"/>
    </row>
    <row r="29525" spans="32:32" x14ac:dyDescent="0.2">
      <c r="AF29525" s="12"/>
    </row>
    <row r="29526" spans="32:32" x14ac:dyDescent="0.2">
      <c r="AF29526" s="12"/>
    </row>
    <row r="29527" spans="32:32" x14ac:dyDescent="0.2">
      <c r="AF29527" s="12"/>
    </row>
    <row r="29528" spans="32:32" x14ac:dyDescent="0.2">
      <c r="AF29528" s="12"/>
    </row>
    <row r="29529" spans="32:32" x14ac:dyDescent="0.2">
      <c r="AF29529" s="12"/>
    </row>
    <row r="29530" spans="32:32" x14ac:dyDescent="0.2">
      <c r="AF29530" s="12"/>
    </row>
    <row r="29531" spans="32:32" x14ac:dyDescent="0.2">
      <c r="AF29531" s="12"/>
    </row>
    <row r="29532" spans="32:32" x14ac:dyDescent="0.2">
      <c r="AF29532" s="12"/>
    </row>
    <row r="29533" spans="32:32" x14ac:dyDescent="0.2">
      <c r="AF29533" s="12"/>
    </row>
    <row r="29534" spans="32:32" x14ac:dyDescent="0.2">
      <c r="AF29534" s="12"/>
    </row>
    <row r="29535" spans="32:32" x14ac:dyDescent="0.2">
      <c r="AF29535" s="12"/>
    </row>
    <row r="29536" spans="32:32" x14ac:dyDescent="0.2">
      <c r="AF29536" s="12"/>
    </row>
    <row r="29537" spans="32:32" x14ac:dyDescent="0.2">
      <c r="AF29537" s="12"/>
    </row>
    <row r="29538" spans="32:32" x14ac:dyDescent="0.2">
      <c r="AF29538" s="12"/>
    </row>
    <row r="29539" spans="32:32" x14ac:dyDescent="0.2">
      <c r="AF29539" s="12"/>
    </row>
    <row r="29540" spans="32:32" x14ac:dyDescent="0.2">
      <c r="AF29540" s="12"/>
    </row>
    <row r="29541" spans="32:32" x14ac:dyDescent="0.2">
      <c r="AF29541" s="12"/>
    </row>
    <row r="29542" spans="32:32" x14ac:dyDescent="0.2">
      <c r="AF29542" s="12"/>
    </row>
    <row r="29543" spans="32:32" x14ac:dyDescent="0.2">
      <c r="AF29543" s="12"/>
    </row>
    <row r="29544" spans="32:32" x14ac:dyDescent="0.2">
      <c r="AF29544" s="12"/>
    </row>
    <row r="29545" spans="32:32" x14ac:dyDescent="0.2">
      <c r="AF29545" s="12"/>
    </row>
    <row r="29546" spans="32:32" x14ac:dyDescent="0.2">
      <c r="AF29546" s="12"/>
    </row>
    <row r="29547" spans="32:32" x14ac:dyDescent="0.2">
      <c r="AF29547" s="12"/>
    </row>
    <row r="29548" spans="32:32" x14ac:dyDescent="0.2">
      <c r="AF29548" s="12"/>
    </row>
    <row r="29549" spans="32:32" x14ac:dyDescent="0.2">
      <c r="AF29549" s="12"/>
    </row>
    <row r="29550" spans="32:32" x14ac:dyDescent="0.2">
      <c r="AF29550" s="12"/>
    </row>
    <row r="29551" spans="32:32" x14ac:dyDescent="0.2">
      <c r="AF29551" s="12"/>
    </row>
    <row r="29552" spans="32:32" x14ac:dyDescent="0.2">
      <c r="AF29552" s="12"/>
    </row>
    <row r="29553" spans="32:32" x14ac:dyDescent="0.2">
      <c r="AF29553" s="12"/>
    </row>
    <row r="29554" spans="32:32" x14ac:dyDescent="0.2">
      <c r="AF29554" s="12"/>
    </row>
    <row r="29555" spans="32:32" x14ac:dyDescent="0.2">
      <c r="AF29555" s="12"/>
    </row>
    <row r="29556" spans="32:32" x14ac:dyDescent="0.2">
      <c r="AF29556" s="12"/>
    </row>
    <row r="29557" spans="32:32" x14ac:dyDescent="0.2">
      <c r="AF29557" s="12"/>
    </row>
    <row r="29558" spans="32:32" x14ac:dyDescent="0.2">
      <c r="AF29558" s="12"/>
    </row>
    <row r="29559" spans="32:32" x14ac:dyDescent="0.2">
      <c r="AF29559" s="12"/>
    </row>
    <row r="29560" spans="32:32" x14ac:dyDescent="0.2">
      <c r="AF29560" s="12"/>
    </row>
    <row r="29561" spans="32:32" x14ac:dyDescent="0.2">
      <c r="AF29561" s="12"/>
    </row>
    <row r="29562" spans="32:32" x14ac:dyDescent="0.2">
      <c r="AF29562" s="12"/>
    </row>
    <row r="29563" spans="32:32" x14ac:dyDescent="0.2">
      <c r="AF29563" s="12"/>
    </row>
    <row r="29564" spans="32:32" x14ac:dyDescent="0.2">
      <c r="AF29564" s="12"/>
    </row>
    <row r="29565" spans="32:32" x14ac:dyDescent="0.2">
      <c r="AF29565" s="12"/>
    </row>
    <row r="29566" spans="32:32" x14ac:dyDescent="0.2">
      <c r="AF29566" s="12"/>
    </row>
    <row r="29567" spans="32:32" x14ac:dyDescent="0.2">
      <c r="AF29567" s="12"/>
    </row>
    <row r="29568" spans="32:32" x14ac:dyDescent="0.2">
      <c r="AF29568" s="12"/>
    </row>
    <row r="29569" spans="32:32" x14ac:dyDescent="0.2">
      <c r="AF29569" s="12"/>
    </row>
    <row r="29570" spans="32:32" x14ac:dyDescent="0.2">
      <c r="AF29570" s="12"/>
    </row>
    <row r="29571" spans="32:32" x14ac:dyDescent="0.2">
      <c r="AF29571" s="12"/>
    </row>
    <row r="29572" spans="32:32" x14ac:dyDescent="0.2">
      <c r="AF29572" s="12"/>
    </row>
    <row r="29573" spans="32:32" x14ac:dyDescent="0.2">
      <c r="AF29573" s="12"/>
    </row>
    <row r="29574" spans="32:32" x14ac:dyDescent="0.2">
      <c r="AF29574" s="12"/>
    </row>
    <row r="29575" spans="32:32" x14ac:dyDescent="0.2">
      <c r="AF29575" s="12"/>
    </row>
    <row r="29576" spans="32:32" x14ac:dyDescent="0.2">
      <c r="AF29576" s="12"/>
    </row>
    <row r="29577" spans="32:32" x14ac:dyDescent="0.2">
      <c r="AF29577" s="12"/>
    </row>
    <row r="29578" spans="32:32" x14ac:dyDescent="0.2">
      <c r="AF29578" s="12"/>
    </row>
    <row r="29579" spans="32:32" x14ac:dyDescent="0.2">
      <c r="AF29579" s="12"/>
    </row>
    <row r="29580" spans="32:32" x14ac:dyDescent="0.2">
      <c r="AF29580" s="12"/>
    </row>
    <row r="29581" spans="32:32" x14ac:dyDescent="0.2">
      <c r="AF29581" s="12"/>
    </row>
    <row r="29582" spans="32:32" x14ac:dyDescent="0.2">
      <c r="AF29582" s="12"/>
    </row>
    <row r="29583" spans="32:32" x14ac:dyDescent="0.2">
      <c r="AF29583" s="12"/>
    </row>
    <row r="29584" spans="32:32" x14ac:dyDescent="0.2">
      <c r="AF29584" s="12"/>
    </row>
    <row r="29585" spans="32:32" x14ac:dyDescent="0.2">
      <c r="AF29585" s="12"/>
    </row>
    <row r="29586" spans="32:32" x14ac:dyDescent="0.2">
      <c r="AF29586" s="12"/>
    </row>
    <row r="29587" spans="32:32" x14ac:dyDescent="0.2">
      <c r="AF29587" s="12"/>
    </row>
    <row r="29588" spans="32:32" x14ac:dyDescent="0.2">
      <c r="AF29588" s="12"/>
    </row>
    <row r="29589" spans="32:32" x14ac:dyDescent="0.2">
      <c r="AF29589" s="12"/>
    </row>
    <row r="29590" spans="32:32" x14ac:dyDescent="0.2">
      <c r="AF29590" s="12"/>
    </row>
    <row r="29591" spans="32:32" x14ac:dyDescent="0.2">
      <c r="AF29591" s="12"/>
    </row>
    <row r="29592" spans="32:32" x14ac:dyDescent="0.2">
      <c r="AF29592" s="12"/>
    </row>
    <row r="29593" spans="32:32" x14ac:dyDescent="0.2">
      <c r="AF29593" s="12"/>
    </row>
    <row r="29594" spans="32:32" x14ac:dyDescent="0.2">
      <c r="AF29594" s="12"/>
    </row>
    <row r="29595" spans="32:32" x14ac:dyDescent="0.2">
      <c r="AF29595" s="12"/>
    </row>
    <row r="29596" spans="32:32" x14ac:dyDescent="0.2">
      <c r="AF29596" s="12"/>
    </row>
    <row r="29597" spans="32:32" x14ac:dyDescent="0.2">
      <c r="AF29597" s="12"/>
    </row>
    <row r="29598" spans="32:32" x14ac:dyDescent="0.2">
      <c r="AF29598" s="12"/>
    </row>
    <row r="29599" spans="32:32" x14ac:dyDescent="0.2">
      <c r="AF29599" s="12"/>
    </row>
    <row r="29600" spans="32:32" x14ac:dyDescent="0.2">
      <c r="AF29600" s="12"/>
    </row>
    <row r="29601" spans="32:32" x14ac:dyDescent="0.2">
      <c r="AF29601" s="12"/>
    </row>
    <row r="29602" spans="32:32" x14ac:dyDescent="0.2">
      <c r="AF29602" s="12"/>
    </row>
    <row r="29603" spans="32:32" x14ac:dyDescent="0.2">
      <c r="AF29603" s="12"/>
    </row>
    <row r="29604" spans="32:32" x14ac:dyDescent="0.2">
      <c r="AF29604" s="12"/>
    </row>
    <row r="29605" spans="32:32" x14ac:dyDescent="0.2">
      <c r="AF29605" s="12"/>
    </row>
    <row r="29606" spans="32:32" x14ac:dyDescent="0.2">
      <c r="AF29606" s="12"/>
    </row>
    <row r="29607" spans="32:32" x14ac:dyDescent="0.2">
      <c r="AF29607" s="12"/>
    </row>
    <row r="29608" spans="32:32" x14ac:dyDescent="0.2">
      <c r="AF29608" s="12"/>
    </row>
    <row r="29609" spans="32:32" x14ac:dyDescent="0.2">
      <c r="AF29609" s="12"/>
    </row>
    <row r="29610" spans="32:32" x14ac:dyDescent="0.2">
      <c r="AF29610" s="12"/>
    </row>
    <row r="29611" spans="32:32" x14ac:dyDescent="0.2">
      <c r="AF29611" s="12"/>
    </row>
    <row r="29612" spans="32:32" x14ac:dyDescent="0.2">
      <c r="AF29612" s="12"/>
    </row>
    <row r="29613" spans="32:32" x14ac:dyDescent="0.2">
      <c r="AF29613" s="12"/>
    </row>
    <row r="29614" spans="32:32" x14ac:dyDescent="0.2">
      <c r="AF29614" s="12"/>
    </row>
    <row r="29615" spans="32:32" x14ac:dyDescent="0.2">
      <c r="AF29615" s="12"/>
    </row>
    <row r="29616" spans="32:32" x14ac:dyDescent="0.2">
      <c r="AF29616" s="12"/>
    </row>
    <row r="29617" spans="32:32" x14ac:dyDescent="0.2">
      <c r="AF29617" s="12"/>
    </row>
    <row r="29618" spans="32:32" x14ac:dyDescent="0.2">
      <c r="AF29618" s="12"/>
    </row>
    <row r="29619" spans="32:32" x14ac:dyDescent="0.2">
      <c r="AF29619" s="12"/>
    </row>
    <row r="29620" spans="32:32" x14ac:dyDescent="0.2">
      <c r="AF29620" s="12"/>
    </row>
    <row r="29621" spans="32:32" x14ac:dyDescent="0.2">
      <c r="AF29621" s="12"/>
    </row>
    <row r="29622" spans="32:32" x14ac:dyDescent="0.2">
      <c r="AF29622" s="12"/>
    </row>
    <row r="29623" spans="32:32" x14ac:dyDescent="0.2">
      <c r="AF29623" s="12"/>
    </row>
    <row r="29624" spans="32:32" x14ac:dyDescent="0.2">
      <c r="AF29624" s="12"/>
    </row>
    <row r="29625" spans="32:32" x14ac:dyDescent="0.2">
      <c r="AF29625" s="12"/>
    </row>
    <row r="29626" spans="32:32" x14ac:dyDescent="0.2">
      <c r="AF29626" s="12"/>
    </row>
    <row r="29627" spans="32:32" x14ac:dyDescent="0.2">
      <c r="AF29627" s="12"/>
    </row>
    <row r="29628" spans="32:32" x14ac:dyDescent="0.2">
      <c r="AF29628" s="12"/>
    </row>
    <row r="29629" spans="32:32" x14ac:dyDescent="0.2">
      <c r="AF29629" s="12"/>
    </row>
    <row r="29630" spans="32:32" x14ac:dyDescent="0.2">
      <c r="AF29630" s="12"/>
    </row>
    <row r="29631" spans="32:32" x14ac:dyDescent="0.2">
      <c r="AF29631" s="12"/>
    </row>
    <row r="29632" spans="32:32" x14ac:dyDescent="0.2">
      <c r="AF29632" s="12"/>
    </row>
    <row r="29633" spans="32:32" x14ac:dyDescent="0.2">
      <c r="AF29633" s="12"/>
    </row>
    <row r="29634" spans="32:32" x14ac:dyDescent="0.2">
      <c r="AF29634" s="12"/>
    </row>
    <row r="29635" spans="32:32" x14ac:dyDescent="0.2">
      <c r="AF29635" s="12"/>
    </row>
    <row r="29636" spans="32:32" x14ac:dyDescent="0.2">
      <c r="AF29636" s="12"/>
    </row>
    <row r="29637" spans="32:32" x14ac:dyDescent="0.2">
      <c r="AF29637" s="12"/>
    </row>
    <row r="29638" spans="32:32" x14ac:dyDescent="0.2">
      <c r="AF29638" s="12"/>
    </row>
    <row r="29639" spans="32:32" x14ac:dyDescent="0.2">
      <c r="AF29639" s="12"/>
    </row>
    <row r="29640" spans="32:32" x14ac:dyDescent="0.2">
      <c r="AF29640" s="12"/>
    </row>
    <row r="29641" spans="32:32" x14ac:dyDescent="0.2">
      <c r="AF29641" s="12"/>
    </row>
    <row r="29642" spans="32:32" x14ac:dyDescent="0.2">
      <c r="AF29642" s="12"/>
    </row>
    <row r="29643" spans="32:32" x14ac:dyDescent="0.2">
      <c r="AF29643" s="12"/>
    </row>
    <row r="29644" spans="32:32" x14ac:dyDescent="0.2">
      <c r="AF29644" s="12"/>
    </row>
    <row r="29645" spans="32:32" x14ac:dyDescent="0.2">
      <c r="AF29645" s="12"/>
    </row>
    <row r="29646" spans="32:32" x14ac:dyDescent="0.2">
      <c r="AF29646" s="12"/>
    </row>
    <row r="29647" spans="32:32" x14ac:dyDescent="0.2">
      <c r="AF29647" s="12"/>
    </row>
    <row r="29648" spans="32:32" x14ac:dyDescent="0.2">
      <c r="AF29648" s="12"/>
    </row>
    <row r="29649" spans="32:32" x14ac:dyDescent="0.2">
      <c r="AF29649" s="12"/>
    </row>
    <row r="29650" spans="32:32" x14ac:dyDescent="0.2">
      <c r="AF29650" s="12"/>
    </row>
    <row r="29651" spans="32:32" x14ac:dyDescent="0.2">
      <c r="AF29651" s="12"/>
    </row>
    <row r="29652" spans="32:32" x14ac:dyDescent="0.2">
      <c r="AF29652" s="12"/>
    </row>
    <row r="29653" spans="32:32" x14ac:dyDescent="0.2">
      <c r="AF29653" s="12"/>
    </row>
    <row r="29654" spans="32:32" x14ac:dyDescent="0.2">
      <c r="AF29654" s="12"/>
    </row>
    <row r="29655" spans="32:32" x14ac:dyDescent="0.2">
      <c r="AF29655" s="12"/>
    </row>
    <row r="29656" spans="32:32" x14ac:dyDescent="0.2">
      <c r="AF29656" s="12"/>
    </row>
    <row r="29657" spans="32:32" x14ac:dyDescent="0.2">
      <c r="AF29657" s="12"/>
    </row>
    <row r="29658" spans="32:32" x14ac:dyDescent="0.2">
      <c r="AF29658" s="12"/>
    </row>
    <row r="29659" spans="32:32" x14ac:dyDescent="0.2">
      <c r="AF29659" s="12"/>
    </row>
    <row r="29660" spans="32:32" x14ac:dyDescent="0.2">
      <c r="AF29660" s="12"/>
    </row>
    <row r="29661" spans="32:32" x14ac:dyDescent="0.2">
      <c r="AF29661" s="12"/>
    </row>
    <row r="29662" spans="32:32" x14ac:dyDescent="0.2">
      <c r="AF29662" s="12"/>
    </row>
    <row r="29663" spans="32:32" x14ac:dyDescent="0.2">
      <c r="AF29663" s="12"/>
    </row>
    <row r="29664" spans="32:32" x14ac:dyDescent="0.2">
      <c r="AF29664" s="12"/>
    </row>
    <row r="29665" spans="32:32" x14ac:dyDescent="0.2">
      <c r="AF29665" s="12"/>
    </row>
    <row r="29666" spans="32:32" x14ac:dyDescent="0.2">
      <c r="AF29666" s="12"/>
    </row>
    <row r="29667" spans="32:32" x14ac:dyDescent="0.2">
      <c r="AF29667" s="12"/>
    </row>
    <row r="29668" spans="32:32" x14ac:dyDescent="0.2">
      <c r="AF29668" s="12"/>
    </row>
    <row r="29669" spans="32:32" x14ac:dyDescent="0.2">
      <c r="AF29669" s="12"/>
    </row>
    <row r="29670" spans="32:32" x14ac:dyDescent="0.2">
      <c r="AF29670" s="12"/>
    </row>
    <row r="29671" spans="32:32" x14ac:dyDescent="0.2">
      <c r="AF29671" s="12"/>
    </row>
    <row r="29672" spans="32:32" x14ac:dyDescent="0.2">
      <c r="AF29672" s="12"/>
    </row>
    <row r="29673" spans="32:32" x14ac:dyDescent="0.2">
      <c r="AF29673" s="12"/>
    </row>
    <row r="29674" spans="32:32" x14ac:dyDescent="0.2">
      <c r="AF29674" s="12"/>
    </row>
    <row r="29675" spans="32:32" x14ac:dyDescent="0.2">
      <c r="AF29675" s="12"/>
    </row>
    <row r="29676" spans="32:32" x14ac:dyDescent="0.2">
      <c r="AF29676" s="12"/>
    </row>
    <row r="29677" spans="32:32" x14ac:dyDescent="0.2">
      <c r="AF29677" s="12"/>
    </row>
    <row r="29678" spans="32:32" x14ac:dyDescent="0.2">
      <c r="AF29678" s="12"/>
    </row>
    <row r="29679" spans="32:32" x14ac:dyDescent="0.2">
      <c r="AF29679" s="12"/>
    </row>
    <row r="29680" spans="32:32" x14ac:dyDescent="0.2">
      <c r="AF29680" s="12"/>
    </row>
    <row r="29681" spans="32:32" x14ac:dyDescent="0.2">
      <c r="AF29681" s="12"/>
    </row>
    <row r="29682" spans="32:32" x14ac:dyDescent="0.2">
      <c r="AF29682" s="12"/>
    </row>
    <row r="29683" spans="32:32" x14ac:dyDescent="0.2">
      <c r="AF29683" s="12"/>
    </row>
    <row r="29684" spans="32:32" x14ac:dyDescent="0.2">
      <c r="AF29684" s="12"/>
    </row>
    <row r="29685" spans="32:32" x14ac:dyDescent="0.2">
      <c r="AF29685" s="12"/>
    </row>
    <row r="29686" spans="32:32" x14ac:dyDescent="0.2">
      <c r="AF29686" s="12"/>
    </row>
    <row r="29687" spans="32:32" x14ac:dyDescent="0.2">
      <c r="AF29687" s="12"/>
    </row>
    <row r="29688" spans="32:32" x14ac:dyDescent="0.2">
      <c r="AF29688" s="12"/>
    </row>
    <row r="29689" spans="32:32" x14ac:dyDescent="0.2">
      <c r="AF29689" s="12"/>
    </row>
    <row r="29690" spans="32:32" x14ac:dyDescent="0.2">
      <c r="AF29690" s="12"/>
    </row>
    <row r="29691" spans="32:32" x14ac:dyDescent="0.2">
      <c r="AF29691" s="12"/>
    </row>
    <row r="29692" spans="32:32" x14ac:dyDescent="0.2">
      <c r="AF29692" s="12"/>
    </row>
    <row r="29693" spans="32:32" x14ac:dyDescent="0.2">
      <c r="AF29693" s="12"/>
    </row>
    <row r="29694" spans="32:32" x14ac:dyDescent="0.2">
      <c r="AF29694" s="12"/>
    </row>
    <row r="29695" spans="32:32" x14ac:dyDescent="0.2">
      <c r="AF29695" s="12"/>
    </row>
    <row r="29696" spans="32:32" x14ac:dyDescent="0.2">
      <c r="AF29696" s="12"/>
    </row>
    <row r="29697" spans="32:32" x14ac:dyDescent="0.2">
      <c r="AF29697" s="12"/>
    </row>
    <row r="29698" spans="32:32" x14ac:dyDescent="0.2">
      <c r="AF29698" s="12"/>
    </row>
    <row r="29699" spans="32:32" x14ac:dyDescent="0.2">
      <c r="AF29699" s="12"/>
    </row>
    <row r="29700" spans="32:32" x14ac:dyDescent="0.2">
      <c r="AF29700" s="12"/>
    </row>
    <row r="29701" spans="32:32" x14ac:dyDescent="0.2">
      <c r="AF29701" s="12"/>
    </row>
    <row r="29702" spans="32:32" x14ac:dyDescent="0.2">
      <c r="AF29702" s="12"/>
    </row>
    <row r="29703" spans="32:32" x14ac:dyDescent="0.2">
      <c r="AF29703" s="12"/>
    </row>
    <row r="29704" spans="32:32" x14ac:dyDescent="0.2">
      <c r="AF29704" s="12"/>
    </row>
    <row r="29705" spans="32:32" x14ac:dyDescent="0.2">
      <c r="AF29705" s="12"/>
    </row>
    <row r="29706" spans="32:32" x14ac:dyDescent="0.2">
      <c r="AF29706" s="12"/>
    </row>
    <row r="29707" spans="32:32" x14ac:dyDescent="0.2">
      <c r="AF29707" s="12"/>
    </row>
    <row r="29708" spans="32:32" x14ac:dyDescent="0.2">
      <c r="AF29708" s="12"/>
    </row>
    <row r="29709" spans="32:32" x14ac:dyDescent="0.2">
      <c r="AF29709" s="12"/>
    </row>
    <row r="29710" spans="32:32" x14ac:dyDescent="0.2">
      <c r="AF29710" s="12"/>
    </row>
    <row r="29711" spans="32:32" x14ac:dyDescent="0.2">
      <c r="AF29711" s="12"/>
    </row>
    <row r="29712" spans="32:32" x14ac:dyDescent="0.2">
      <c r="AF29712" s="12"/>
    </row>
    <row r="29713" spans="32:32" x14ac:dyDescent="0.2">
      <c r="AF29713" s="12"/>
    </row>
    <row r="29714" spans="32:32" x14ac:dyDescent="0.2">
      <c r="AF29714" s="12"/>
    </row>
    <row r="29715" spans="32:32" x14ac:dyDescent="0.2">
      <c r="AF29715" s="12"/>
    </row>
    <row r="29716" spans="32:32" x14ac:dyDescent="0.2">
      <c r="AF29716" s="12"/>
    </row>
    <row r="29717" spans="32:32" x14ac:dyDescent="0.2">
      <c r="AF29717" s="12"/>
    </row>
    <row r="29718" spans="32:32" x14ac:dyDescent="0.2">
      <c r="AF29718" s="12"/>
    </row>
    <row r="29719" spans="32:32" x14ac:dyDescent="0.2">
      <c r="AF29719" s="12"/>
    </row>
    <row r="29720" spans="32:32" x14ac:dyDescent="0.2">
      <c r="AF29720" s="12"/>
    </row>
    <row r="29721" spans="32:32" x14ac:dyDescent="0.2">
      <c r="AF29721" s="12"/>
    </row>
    <row r="29722" spans="32:32" x14ac:dyDescent="0.2">
      <c r="AF29722" s="12"/>
    </row>
    <row r="29723" spans="32:32" x14ac:dyDescent="0.2">
      <c r="AF29723" s="12"/>
    </row>
    <row r="29724" spans="32:32" x14ac:dyDescent="0.2">
      <c r="AF29724" s="12"/>
    </row>
    <row r="29725" spans="32:32" x14ac:dyDescent="0.2">
      <c r="AF29725" s="12"/>
    </row>
    <row r="29726" spans="32:32" x14ac:dyDescent="0.2">
      <c r="AF29726" s="12"/>
    </row>
    <row r="29727" spans="32:32" x14ac:dyDescent="0.2">
      <c r="AF29727" s="12"/>
    </row>
    <row r="29728" spans="32:32" x14ac:dyDescent="0.2">
      <c r="AF29728" s="12"/>
    </row>
    <row r="29729" spans="32:32" x14ac:dyDescent="0.2">
      <c r="AF29729" s="12"/>
    </row>
    <row r="29730" spans="32:32" x14ac:dyDescent="0.2">
      <c r="AF29730" s="12"/>
    </row>
    <row r="29731" spans="32:32" x14ac:dyDescent="0.2">
      <c r="AF29731" s="12"/>
    </row>
    <row r="29732" spans="32:32" x14ac:dyDescent="0.2">
      <c r="AF29732" s="12"/>
    </row>
    <row r="29733" spans="32:32" x14ac:dyDescent="0.2">
      <c r="AF29733" s="12"/>
    </row>
    <row r="29734" spans="32:32" x14ac:dyDescent="0.2">
      <c r="AF29734" s="12"/>
    </row>
    <row r="29735" spans="32:32" x14ac:dyDescent="0.2">
      <c r="AF29735" s="12"/>
    </row>
    <row r="29736" spans="32:32" x14ac:dyDescent="0.2">
      <c r="AF29736" s="12"/>
    </row>
    <row r="29737" spans="32:32" x14ac:dyDescent="0.2">
      <c r="AF29737" s="12"/>
    </row>
    <row r="29738" spans="32:32" x14ac:dyDescent="0.2">
      <c r="AF29738" s="12"/>
    </row>
    <row r="29739" spans="32:32" x14ac:dyDescent="0.2">
      <c r="AF29739" s="12"/>
    </row>
    <row r="29740" spans="32:32" x14ac:dyDescent="0.2">
      <c r="AF29740" s="12"/>
    </row>
    <row r="29741" spans="32:32" x14ac:dyDescent="0.2">
      <c r="AF29741" s="12"/>
    </row>
    <row r="29742" spans="32:32" x14ac:dyDescent="0.2">
      <c r="AF29742" s="12"/>
    </row>
    <row r="29743" spans="32:32" x14ac:dyDescent="0.2">
      <c r="AF29743" s="12"/>
    </row>
    <row r="29744" spans="32:32" x14ac:dyDescent="0.2">
      <c r="AF29744" s="12"/>
    </row>
    <row r="29745" spans="32:32" x14ac:dyDescent="0.2">
      <c r="AF29745" s="12"/>
    </row>
    <row r="29746" spans="32:32" x14ac:dyDescent="0.2">
      <c r="AF29746" s="12"/>
    </row>
    <row r="29747" spans="32:32" x14ac:dyDescent="0.2">
      <c r="AF29747" s="12"/>
    </row>
    <row r="29748" spans="32:32" x14ac:dyDescent="0.2">
      <c r="AF29748" s="12"/>
    </row>
    <row r="29749" spans="32:32" x14ac:dyDescent="0.2">
      <c r="AF29749" s="12"/>
    </row>
    <row r="29750" spans="32:32" x14ac:dyDescent="0.2">
      <c r="AF29750" s="12"/>
    </row>
    <row r="29751" spans="32:32" x14ac:dyDescent="0.2">
      <c r="AF29751" s="12"/>
    </row>
    <row r="29752" spans="32:32" x14ac:dyDescent="0.2">
      <c r="AF29752" s="12"/>
    </row>
    <row r="29753" spans="32:32" x14ac:dyDescent="0.2">
      <c r="AF29753" s="12"/>
    </row>
    <row r="29754" spans="32:32" x14ac:dyDescent="0.2">
      <c r="AF29754" s="12"/>
    </row>
    <row r="29755" spans="32:32" x14ac:dyDescent="0.2">
      <c r="AF29755" s="12"/>
    </row>
    <row r="29756" spans="32:32" x14ac:dyDescent="0.2">
      <c r="AF29756" s="12"/>
    </row>
    <row r="29757" spans="32:32" x14ac:dyDescent="0.2">
      <c r="AF29757" s="12"/>
    </row>
    <row r="29758" spans="32:32" x14ac:dyDescent="0.2">
      <c r="AF29758" s="12"/>
    </row>
    <row r="29759" spans="32:32" x14ac:dyDescent="0.2">
      <c r="AF29759" s="12"/>
    </row>
    <row r="29760" spans="32:32" x14ac:dyDescent="0.2">
      <c r="AF29760" s="12"/>
    </row>
    <row r="29761" spans="32:32" x14ac:dyDescent="0.2">
      <c r="AF29761" s="12"/>
    </row>
    <row r="29762" spans="32:32" x14ac:dyDescent="0.2">
      <c r="AF29762" s="12"/>
    </row>
    <row r="29763" spans="32:32" x14ac:dyDescent="0.2">
      <c r="AF29763" s="12"/>
    </row>
    <row r="29764" spans="32:32" x14ac:dyDescent="0.2">
      <c r="AF29764" s="12"/>
    </row>
    <row r="29765" spans="32:32" x14ac:dyDescent="0.2">
      <c r="AF29765" s="12"/>
    </row>
    <row r="29766" spans="32:32" x14ac:dyDescent="0.2">
      <c r="AF29766" s="12"/>
    </row>
    <row r="29767" spans="32:32" x14ac:dyDescent="0.2">
      <c r="AF29767" s="12"/>
    </row>
    <row r="29768" spans="32:32" x14ac:dyDescent="0.2">
      <c r="AF29768" s="12"/>
    </row>
    <row r="29769" spans="32:32" x14ac:dyDescent="0.2">
      <c r="AF29769" s="12"/>
    </row>
    <row r="29770" spans="32:32" x14ac:dyDescent="0.2">
      <c r="AF29770" s="12"/>
    </row>
    <row r="29771" spans="32:32" x14ac:dyDescent="0.2">
      <c r="AF29771" s="12"/>
    </row>
    <row r="29772" spans="32:32" x14ac:dyDescent="0.2">
      <c r="AF29772" s="12"/>
    </row>
    <row r="29773" spans="32:32" x14ac:dyDescent="0.2">
      <c r="AF29773" s="12"/>
    </row>
    <row r="29774" spans="32:32" x14ac:dyDescent="0.2">
      <c r="AF29774" s="12"/>
    </row>
    <row r="29775" spans="32:32" x14ac:dyDescent="0.2">
      <c r="AF29775" s="12"/>
    </row>
    <row r="29776" spans="32:32" x14ac:dyDescent="0.2">
      <c r="AF29776" s="12"/>
    </row>
    <row r="29777" spans="32:32" x14ac:dyDescent="0.2">
      <c r="AF29777" s="12"/>
    </row>
    <row r="29778" spans="32:32" x14ac:dyDescent="0.2">
      <c r="AF29778" s="12"/>
    </row>
    <row r="29779" spans="32:32" x14ac:dyDescent="0.2">
      <c r="AF29779" s="12"/>
    </row>
    <row r="29780" spans="32:32" x14ac:dyDescent="0.2">
      <c r="AF29780" s="12"/>
    </row>
    <row r="29781" spans="32:32" x14ac:dyDescent="0.2">
      <c r="AF29781" s="12"/>
    </row>
    <row r="29782" spans="32:32" x14ac:dyDescent="0.2">
      <c r="AF29782" s="12"/>
    </row>
    <row r="29783" spans="32:32" x14ac:dyDescent="0.2">
      <c r="AF29783" s="12"/>
    </row>
    <row r="29784" spans="32:32" x14ac:dyDescent="0.2">
      <c r="AF29784" s="12"/>
    </row>
    <row r="29785" spans="32:32" x14ac:dyDescent="0.2">
      <c r="AF29785" s="12"/>
    </row>
    <row r="29786" spans="32:32" x14ac:dyDescent="0.2">
      <c r="AF29786" s="12"/>
    </row>
    <row r="29787" spans="32:32" x14ac:dyDescent="0.2">
      <c r="AF29787" s="12"/>
    </row>
    <row r="29788" spans="32:32" x14ac:dyDescent="0.2">
      <c r="AF29788" s="12"/>
    </row>
    <row r="29789" spans="32:32" x14ac:dyDescent="0.2">
      <c r="AF29789" s="12"/>
    </row>
    <row r="29790" spans="32:32" x14ac:dyDescent="0.2">
      <c r="AF29790" s="12"/>
    </row>
    <row r="29791" spans="32:32" x14ac:dyDescent="0.2">
      <c r="AF29791" s="12"/>
    </row>
    <row r="29792" spans="32:32" x14ac:dyDescent="0.2">
      <c r="AF29792" s="12"/>
    </row>
    <row r="29793" spans="32:32" x14ac:dyDescent="0.2">
      <c r="AF29793" s="12"/>
    </row>
    <row r="29794" spans="32:32" x14ac:dyDescent="0.2">
      <c r="AF29794" s="12"/>
    </row>
    <row r="29795" spans="32:32" x14ac:dyDescent="0.2">
      <c r="AF29795" s="12"/>
    </row>
    <row r="29796" spans="32:32" x14ac:dyDescent="0.2">
      <c r="AF29796" s="12"/>
    </row>
    <row r="29797" spans="32:32" x14ac:dyDescent="0.2">
      <c r="AF29797" s="12"/>
    </row>
    <row r="29798" spans="32:32" x14ac:dyDescent="0.2">
      <c r="AF29798" s="12"/>
    </row>
    <row r="29799" spans="32:32" x14ac:dyDescent="0.2">
      <c r="AF29799" s="12"/>
    </row>
    <row r="29800" spans="32:32" x14ac:dyDescent="0.2">
      <c r="AF29800" s="12"/>
    </row>
    <row r="29801" spans="32:32" x14ac:dyDescent="0.2">
      <c r="AF29801" s="12"/>
    </row>
    <row r="29802" spans="32:32" x14ac:dyDescent="0.2">
      <c r="AF29802" s="12"/>
    </row>
    <row r="29803" spans="32:32" x14ac:dyDescent="0.2">
      <c r="AF29803" s="12"/>
    </row>
    <row r="29804" spans="32:32" x14ac:dyDescent="0.2">
      <c r="AF29804" s="12"/>
    </row>
    <row r="29805" spans="32:32" x14ac:dyDescent="0.2">
      <c r="AF29805" s="12"/>
    </row>
    <row r="29806" spans="32:32" x14ac:dyDescent="0.2">
      <c r="AF29806" s="12"/>
    </row>
    <row r="29807" spans="32:32" x14ac:dyDescent="0.2">
      <c r="AF29807" s="12"/>
    </row>
    <row r="29808" spans="32:32" x14ac:dyDescent="0.2">
      <c r="AF29808" s="12"/>
    </row>
    <row r="29809" spans="32:32" x14ac:dyDescent="0.2">
      <c r="AF29809" s="12"/>
    </row>
    <row r="29810" spans="32:32" x14ac:dyDescent="0.2">
      <c r="AF29810" s="12"/>
    </row>
    <row r="29811" spans="32:32" x14ac:dyDescent="0.2">
      <c r="AF29811" s="12"/>
    </row>
    <row r="29812" spans="32:32" x14ac:dyDescent="0.2">
      <c r="AF29812" s="12"/>
    </row>
    <row r="29813" spans="32:32" x14ac:dyDescent="0.2">
      <c r="AF29813" s="12"/>
    </row>
    <row r="29814" spans="32:32" x14ac:dyDescent="0.2">
      <c r="AF29814" s="12"/>
    </row>
    <row r="29815" spans="32:32" x14ac:dyDescent="0.2">
      <c r="AF29815" s="12"/>
    </row>
    <row r="29816" spans="32:32" x14ac:dyDescent="0.2">
      <c r="AF29816" s="12"/>
    </row>
    <row r="29817" spans="32:32" x14ac:dyDescent="0.2">
      <c r="AF29817" s="12"/>
    </row>
    <row r="29818" spans="32:32" x14ac:dyDescent="0.2">
      <c r="AF29818" s="12"/>
    </row>
    <row r="29819" spans="32:32" x14ac:dyDescent="0.2">
      <c r="AF29819" s="12"/>
    </row>
    <row r="29820" spans="32:32" x14ac:dyDescent="0.2">
      <c r="AF29820" s="12"/>
    </row>
    <row r="29821" spans="32:32" x14ac:dyDescent="0.2">
      <c r="AF29821" s="12"/>
    </row>
    <row r="29822" spans="32:32" x14ac:dyDescent="0.2">
      <c r="AF29822" s="12"/>
    </row>
    <row r="29823" spans="32:32" x14ac:dyDescent="0.2">
      <c r="AF29823" s="12"/>
    </row>
    <row r="29824" spans="32:32" x14ac:dyDescent="0.2">
      <c r="AF29824" s="12"/>
    </row>
    <row r="29825" spans="32:32" x14ac:dyDescent="0.2">
      <c r="AF29825" s="12"/>
    </row>
    <row r="29826" spans="32:32" x14ac:dyDescent="0.2">
      <c r="AF29826" s="12"/>
    </row>
    <row r="29827" spans="32:32" x14ac:dyDescent="0.2">
      <c r="AF29827" s="12"/>
    </row>
    <row r="29828" spans="32:32" x14ac:dyDescent="0.2">
      <c r="AF29828" s="12"/>
    </row>
    <row r="29829" spans="32:32" x14ac:dyDescent="0.2">
      <c r="AF29829" s="12"/>
    </row>
    <row r="29830" spans="32:32" x14ac:dyDescent="0.2">
      <c r="AF29830" s="12"/>
    </row>
    <row r="29831" spans="32:32" x14ac:dyDescent="0.2">
      <c r="AF29831" s="12"/>
    </row>
    <row r="29832" spans="32:32" x14ac:dyDescent="0.2">
      <c r="AF29832" s="12"/>
    </row>
    <row r="29833" spans="32:32" x14ac:dyDescent="0.2">
      <c r="AF29833" s="12"/>
    </row>
    <row r="29834" spans="32:32" x14ac:dyDescent="0.2">
      <c r="AF29834" s="12"/>
    </row>
    <row r="29835" spans="32:32" x14ac:dyDescent="0.2">
      <c r="AF29835" s="12"/>
    </row>
    <row r="29836" spans="32:32" x14ac:dyDescent="0.2">
      <c r="AF29836" s="12"/>
    </row>
    <row r="29837" spans="32:32" x14ac:dyDescent="0.2">
      <c r="AF29837" s="12"/>
    </row>
    <row r="29838" spans="32:32" x14ac:dyDescent="0.2">
      <c r="AF29838" s="12"/>
    </row>
    <row r="29839" spans="32:32" x14ac:dyDescent="0.2">
      <c r="AF29839" s="12"/>
    </row>
    <row r="29840" spans="32:32" x14ac:dyDescent="0.2">
      <c r="AF29840" s="12"/>
    </row>
    <row r="29841" spans="32:32" x14ac:dyDescent="0.2">
      <c r="AF29841" s="12"/>
    </row>
    <row r="29842" spans="32:32" x14ac:dyDescent="0.2">
      <c r="AF29842" s="12"/>
    </row>
    <row r="29843" spans="32:32" x14ac:dyDescent="0.2">
      <c r="AF29843" s="12"/>
    </row>
    <row r="29844" spans="32:32" x14ac:dyDescent="0.2">
      <c r="AF29844" s="12"/>
    </row>
    <row r="29845" spans="32:32" x14ac:dyDescent="0.2">
      <c r="AF29845" s="12"/>
    </row>
    <row r="29846" spans="32:32" x14ac:dyDescent="0.2">
      <c r="AF29846" s="12"/>
    </row>
    <row r="29847" spans="32:32" x14ac:dyDescent="0.2">
      <c r="AF29847" s="12"/>
    </row>
    <row r="29848" spans="32:32" x14ac:dyDescent="0.2">
      <c r="AF29848" s="12"/>
    </row>
    <row r="29849" spans="32:32" x14ac:dyDescent="0.2">
      <c r="AF29849" s="12"/>
    </row>
    <row r="29850" spans="32:32" x14ac:dyDescent="0.2">
      <c r="AF29850" s="12"/>
    </row>
    <row r="29851" spans="32:32" x14ac:dyDescent="0.2">
      <c r="AF29851" s="12"/>
    </row>
    <row r="29852" spans="32:32" x14ac:dyDescent="0.2">
      <c r="AF29852" s="12"/>
    </row>
    <row r="29853" spans="32:32" x14ac:dyDescent="0.2">
      <c r="AF29853" s="12"/>
    </row>
    <row r="29854" spans="32:32" x14ac:dyDescent="0.2">
      <c r="AF29854" s="12"/>
    </row>
    <row r="29855" spans="32:32" x14ac:dyDescent="0.2">
      <c r="AF29855" s="12"/>
    </row>
    <row r="29856" spans="32:32" x14ac:dyDescent="0.2">
      <c r="AF29856" s="12"/>
    </row>
    <row r="29857" spans="32:32" x14ac:dyDescent="0.2">
      <c r="AF29857" s="12"/>
    </row>
    <row r="29858" spans="32:32" x14ac:dyDescent="0.2">
      <c r="AF29858" s="12"/>
    </row>
    <row r="29859" spans="32:32" x14ac:dyDescent="0.2">
      <c r="AF29859" s="12"/>
    </row>
    <row r="29860" spans="32:32" x14ac:dyDescent="0.2">
      <c r="AF29860" s="12"/>
    </row>
    <row r="29861" spans="32:32" x14ac:dyDescent="0.2">
      <c r="AF29861" s="12"/>
    </row>
    <row r="29862" spans="32:32" x14ac:dyDescent="0.2">
      <c r="AF29862" s="12"/>
    </row>
    <row r="29863" spans="32:32" x14ac:dyDescent="0.2">
      <c r="AF29863" s="12"/>
    </row>
    <row r="29864" spans="32:32" x14ac:dyDescent="0.2">
      <c r="AF29864" s="12"/>
    </row>
    <row r="29865" spans="32:32" x14ac:dyDescent="0.2">
      <c r="AF29865" s="12"/>
    </row>
    <row r="29866" spans="32:32" x14ac:dyDescent="0.2">
      <c r="AF29866" s="12"/>
    </row>
    <row r="29867" spans="32:32" x14ac:dyDescent="0.2">
      <c r="AF29867" s="12"/>
    </row>
    <row r="29868" spans="32:32" x14ac:dyDescent="0.2">
      <c r="AF29868" s="12"/>
    </row>
    <row r="29869" spans="32:32" x14ac:dyDescent="0.2">
      <c r="AF29869" s="12"/>
    </row>
    <row r="29870" spans="32:32" x14ac:dyDescent="0.2">
      <c r="AF29870" s="12"/>
    </row>
    <row r="29871" spans="32:32" x14ac:dyDescent="0.2">
      <c r="AF29871" s="12"/>
    </row>
    <row r="29872" spans="32:32" x14ac:dyDescent="0.2">
      <c r="AF29872" s="12"/>
    </row>
    <row r="29873" spans="32:32" x14ac:dyDescent="0.2">
      <c r="AF29873" s="12"/>
    </row>
    <row r="29874" spans="32:32" x14ac:dyDescent="0.2">
      <c r="AF29874" s="12"/>
    </row>
    <row r="29875" spans="32:32" x14ac:dyDescent="0.2">
      <c r="AF29875" s="12"/>
    </row>
    <row r="29876" spans="32:32" x14ac:dyDescent="0.2">
      <c r="AF29876" s="12"/>
    </row>
    <row r="29877" spans="32:32" x14ac:dyDescent="0.2">
      <c r="AF29877" s="12"/>
    </row>
    <row r="29878" spans="32:32" x14ac:dyDescent="0.2">
      <c r="AF29878" s="12"/>
    </row>
    <row r="29879" spans="32:32" x14ac:dyDescent="0.2">
      <c r="AF29879" s="12"/>
    </row>
    <row r="29880" spans="32:32" x14ac:dyDescent="0.2">
      <c r="AF29880" s="12"/>
    </row>
    <row r="29881" spans="32:32" x14ac:dyDescent="0.2">
      <c r="AF29881" s="12"/>
    </row>
    <row r="29882" spans="32:32" x14ac:dyDescent="0.2">
      <c r="AF29882" s="12"/>
    </row>
    <row r="29883" spans="32:32" x14ac:dyDescent="0.2">
      <c r="AF29883" s="12"/>
    </row>
    <row r="29884" spans="32:32" x14ac:dyDescent="0.2">
      <c r="AF29884" s="12"/>
    </row>
    <row r="29885" spans="32:32" x14ac:dyDescent="0.2">
      <c r="AF29885" s="12"/>
    </row>
    <row r="29886" spans="32:32" x14ac:dyDescent="0.2">
      <c r="AF29886" s="12"/>
    </row>
    <row r="29887" spans="32:32" x14ac:dyDescent="0.2">
      <c r="AF29887" s="12"/>
    </row>
    <row r="29888" spans="32:32" x14ac:dyDescent="0.2">
      <c r="AF29888" s="12"/>
    </row>
    <row r="29889" spans="32:32" x14ac:dyDescent="0.2">
      <c r="AF29889" s="12"/>
    </row>
    <row r="29890" spans="32:32" x14ac:dyDescent="0.2">
      <c r="AF29890" s="12"/>
    </row>
    <row r="29891" spans="32:32" x14ac:dyDescent="0.2">
      <c r="AF29891" s="12"/>
    </row>
    <row r="29892" spans="32:32" x14ac:dyDescent="0.2">
      <c r="AF29892" s="12"/>
    </row>
    <row r="29893" spans="32:32" x14ac:dyDescent="0.2">
      <c r="AF29893" s="12"/>
    </row>
    <row r="29894" spans="32:32" x14ac:dyDescent="0.2">
      <c r="AF29894" s="12"/>
    </row>
    <row r="29895" spans="32:32" x14ac:dyDescent="0.2">
      <c r="AF29895" s="12"/>
    </row>
    <row r="29896" spans="32:32" x14ac:dyDescent="0.2">
      <c r="AF29896" s="12"/>
    </row>
    <row r="29897" spans="32:32" x14ac:dyDescent="0.2">
      <c r="AF29897" s="12"/>
    </row>
    <row r="29898" spans="32:32" x14ac:dyDescent="0.2">
      <c r="AF29898" s="12"/>
    </row>
    <row r="29899" spans="32:32" x14ac:dyDescent="0.2">
      <c r="AF29899" s="12"/>
    </row>
    <row r="29900" spans="32:32" x14ac:dyDescent="0.2">
      <c r="AF29900" s="12"/>
    </row>
    <row r="29901" spans="32:32" x14ac:dyDescent="0.2">
      <c r="AF29901" s="12"/>
    </row>
    <row r="29902" spans="32:32" x14ac:dyDescent="0.2">
      <c r="AF29902" s="12"/>
    </row>
    <row r="29903" spans="32:32" x14ac:dyDescent="0.2">
      <c r="AF29903" s="12"/>
    </row>
    <row r="29904" spans="32:32" x14ac:dyDescent="0.2">
      <c r="AF29904" s="12"/>
    </row>
    <row r="29905" spans="32:32" x14ac:dyDescent="0.2">
      <c r="AF29905" s="12"/>
    </row>
    <row r="29906" spans="32:32" x14ac:dyDescent="0.2">
      <c r="AF29906" s="12"/>
    </row>
    <row r="29907" spans="32:32" x14ac:dyDescent="0.2">
      <c r="AF29907" s="12"/>
    </row>
    <row r="29908" spans="32:32" x14ac:dyDescent="0.2">
      <c r="AF29908" s="12"/>
    </row>
    <row r="29909" spans="32:32" x14ac:dyDescent="0.2">
      <c r="AF29909" s="12"/>
    </row>
    <row r="29910" spans="32:32" x14ac:dyDescent="0.2">
      <c r="AF29910" s="12"/>
    </row>
    <row r="29911" spans="32:32" x14ac:dyDescent="0.2">
      <c r="AF29911" s="12"/>
    </row>
    <row r="29912" spans="32:32" x14ac:dyDescent="0.2">
      <c r="AF29912" s="12"/>
    </row>
    <row r="29913" spans="32:32" x14ac:dyDescent="0.2">
      <c r="AF29913" s="12"/>
    </row>
    <row r="29914" spans="32:32" x14ac:dyDescent="0.2">
      <c r="AF29914" s="12"/>
    </row>
    <row r="29915" spans="32:32" x14ac:dyDescent="0.2">
      <c r="AF29915" s="12"/>
    </row>
    <row r="29916" spans="32:32" x14ac:dyDescent="0.2">
      <c r="AF29916" s="12"/>
    </row>
    <row r="29917" spans="32:32" x14ac:dyDescent="0.2">
      <c r="AF29917" s="12"/>
    </row>
    <row r="29918" spans="32:32" x14ac:dyDescent="0.2">
      <c r="AF29918" s="12"/>
    </row>
    <row r="29919" spans="32:32" x14ac:dyDescent="0.2">
      <c r="AF29919" s="12"/>
    </row>
    <row r="29920" spans="32:32" x14ac:dyDescent="0.2">
      <c r="AF29920" s="12"/>
    </row>
    <row r="29921" spans="32:32" x14ac:dyDescent="0.2">
      <c r="AF29921" s="12"/>
    </row>
    <row r="29922" spans="32:32" x14ac:dyDescent="0.2">
      <c r="AF29922" s="12"/>
    </row>
    <row r="29923" spans="32:32" x14ac:dyDescent="0.2">
      <c r="AF29923" s="12"/>
    </row>
    <row r="29924" spans="32:32" x14ac:dyDescent="0.2">
      <c r="AF29924" s="12"/>
    </row>
    <row r="29925" spans="32:32" x14ac:dyDescent="0.2">
      <c r="AF29925" s="12"/>
    </row>
    <row r="29926" spans="32:32" x14ac:dyDescent="0.2">
      <c r="AF29926" s="12"/>
    </row>
    <row r="29927" spans="32:32" x14ac:dyDescent="0.2">
      <c r="AF29927" s="12"/>
    </row>
    <row r="29928" spans="32:32" x14ac:dyDescent="0.2">
      <c r="AF29928" s="12"/>
    </row>
    <row r="29929" spans="32:32" x14ac:dyDescent="0.2">
      <c r="AF29929" s="12"/>
    </row>
    <row r="29930" spans="32:32" x14ac:dyDescent="0.2">
      <c r="AF29930" s="12"/>
    </row>
    <row r="29931" spans="32:32" x14ac:dyDescent="0.2">
      <c r="AF29931" s="12"/>
    </row>
    <row r="29932" spans="32:32" x14ac:dyDescent="0.2">
      <c r="AF29932" s="12"/>
    </row>
    <row r="29933" spans="32:32" x14ac:dyDescent="0.2">
      <c r="AF29933" s="12"/>
    </row>
    <row r="29934" spans="32:32" x14ac:dyDescent="0.2">
      <c r="AF29934" s="12"/>
    </row>
    <row r="29935" spans="32:32" x14ac:dyDescent="0.2">
      <c r="AF29935" s="12"/>
    </row>
    <row r="29936" spans="32:32" x14ac:dyDescent="0.2">
      <c r="AF29936" s="12"/>
    </row>
    <row r="29937" spans="32:32" x14ac:dyDescent="0.2">
      <c r="AF29937" s="12"/>
    </row>
    <row r="29938" spans="32:32" x14ac:dyDescent="0.2">
      <c r="AF29938" s="12"/>
    </row>
    <row r="29939" spans="32:32" x14ac:dyDescent="0.2">
      <c r="AF29939" s="12"/>
    </row>
    <row r="29940" spans="32:32" x14ac:dyDescent="0.2">
      <c r="AF29940" s="12"/>
    </row>
    <row r="29941" spans="32:32" x14ac:dyDescent="0.2">
      <c r="AF29941" s="12"/>
    </row>
    <row r="29942" spans="32:32" x14ac:dyDescent="0.2">
      <c r="AF29942" s="12"/>
    </row>
    <row r="29943" spans="32:32" x14ac:dyDescent="0.2">
      <c r="AF29943" s="12"/>
    </row>
    <row r="29944" spans="32:32" x14ac:dyDescent="0.2">
      <c r="AF29944" s="12"/>
    </row>
    <row r="29945" spans="32:32" x14ac:dyDescent="0.2">
      <c r="AF29945" s="12"/>
    </row>
    <row r="29946" spans="32:32" x14ac:dyDescent="0.2">
      <c r="AF29946" s="12"/>
    </row>
    <row r="29947" spans="32:32" x14ac:dyDescent="0.2">
      <c r="AF29947" s="12"/>
    </row>
    <row r="29948" spans="32:32" x14ac:dyDescent="0.2">
      <c r="AF29948" s="12"/>
    </row>
    <row r="29949" spans="32:32" x14ac:dyDescent="0.2">
      <c r="AF29949" s="12"/>
    </row>
    <row r="29950" spans="32:32" x14ac:dyDescent="0.2">
      <c r="AF29950" s="12"/>
    </row>
    <row r="29951" spans="32:32" x14ac:dyDescent="0.2">
      <c r="AF29951" s="12"/>
    </row>
    <row r="29952" spans="32:32" x14ac:dyDescent="0.2">
      <c r="AF29952" s="12"/>
    </row>
    <row r="29953" spans="32:32" x14ac:dyDescent="0.2">
      <c r="AF29953" s="12"/>
    </row>
    <row r="29954" spans="32:32" x14ac:dyDescent="0.2">
      <c r="AF29954" s="12"/>
    </row>
    <row r="29955" spans="32:32" x14ac:dyDescent="0.2">
      <c r="AF29955" s="12"/>
    </row>
    <row r="29956" spans="32:32" x14ac:dyDescent="0.2">
      <c r="AF29956" s="12"/>
    </row>
    <row r="29957" spans="32:32" x14ac:dyDescent="0.2">
      <c r="AF29957" s="12"/>
    </row>
    <row r="29958" spans="32:32" x14ac:dyDescent="0.2">
      <c r="AF29958" s="12"/>
    </row>
    <row r="29959" spans="32:32" x14ac:dyDescent="0.2">
      <c r="AF29959" s="12"/>
    </row>
    <row r="29960" spans="32:32" x14ac:dyDescent="0.2">
      <c r="AF29960" s="12"/>
    </row>
    <row r="29961" spans="32:32" x14ac:dyDescent="0.2">
      <c r="AF29961" s="12"/>
    </row>
    <row r="29962" spans="32:32" x14ac:dyDescent="0.2">
      <c r="AF29962" s="12"/>
    </row>
    <row r="29963" spans="32:32" x14ac:dyDescent="0.2">
      <c r="AF29963" s="12"/>
    </row>
    <row r="29964" spans="32:32" x14ac:dyDescent="0.2">
      <c r="AF29964" s="12"/>
    </row>
    <row r="29965" spans="32:32" x14ac:dyDescent="0.2">
      <c r="AF29965" s="12"/>
    </row>
    <row r="29966" spans="32:32" x14ac:dyDescent="0.2">
      <c r="AF29966" s="12"/>
    </row>
    <row r="29967" spans="32:32" x14ac:dyDescent="0.2">
      <c r="AF29967" s="12"/>
    </row>
    <row r="29968" spans="32:32" x14ac:dyDescent="0.2">
      <c r="AF29968" s="12"/>
    </row>
    <row r="29969" spans="32:32" x14ac:dyDescent="0.2">
      <c r="AF29969" s="12"/>
    </row>
    <row r="29970" spans="32:32" x14ac:dyDescent="0.2">
      <c r="AF29970" s="12"/>
    </row>
    <row r="29971" spans="32:32" x14ac:dyDescent="0.2">
      <c r="AF29971" s="12"/>
    </row>
    <row r="29972" spans="32:32" x14ac:dyDescent="0.2">
      <c r="AF29972" s="12"/>
    </row>
    <row r="29973" spans="32:32" x14ac:dyDescent="0.2">
      <c r="AF29973" s="12"/>
    </row>
    <row r="29974" spans="32:32" x14ac:dyDescent="0.2">
      <c r="AF29974" s="12"/>
    </row>
    <row r="29975" spans="32:32" x14ac:dyDescent="0.2">
      <c r="AF29975" s="12"/>
    </row>
    <row r="29976" spans="32:32" x14ac:dyDescent="0.2">
      <c r="AF29976" s="12"/>
    </row>
    <row r="29977" spans="32:32" x14ac:dyDescent="0.2">
      <c r="AF29977" s="12"/>
    </row>
    <row r="29978" spans="32:32" x14ac:dyDescent="0.2">
      <c r="AF29978" s="12"/>
    </row>
    <row r="29979" spans="32:32" x14ac:dyDescent="0.2">
      <c r="AF29979" s="12"/>
    </row>
    <row r="29980" spans="32:32" x14ac:dyDescent="0.2">
      <c r="AF29980" s="12"/>
    </row>
    <row r="29981" spans="32:32" x14ac:dyDescent="0.2">
      <c r="AF29981" s="12"/>
    </row>
    <row r="29982" spans="32:32" x14ac:dyDescent="0.2">
      <c r="AF29982" s="12"/>
    </row>
    <row r="29983" spans="32:32" x14ac:dyDescent="0.2">
      <c r="AF29983" s="12"/>
    </row>
    <row r="29984" spans="32:32" x14ac:dyDescent="0.2">
      <c r="AF29984" s="12"/>
    </row>
    <row r="29985" spans="32:32" x14ac:dyDescent="0.2">
      <c r="AF29985" s="12"/>
    </row>
    <row r="29986" spans="32:32" x14ac:dyDescent="0.2">
      <c r="AF29986" s="12"/>
    </row>
    <row r="29987" spans="32:32" x14ac:dyDescent="0.2">
      <c r="AF29987" s="12"/>
    </row>
    <row r="29988" spans="32:32" x14ac:dyDescent="0.2">
      <c r="AF29988" s="12"/>
    </row>
    <row r="29989" spans="32:32" x14ac:dyDescent="0.2">
      <c r="AF29989" s="12"/>
    </row>
    <row r="29990" spans="32:32" x14ac:dyDescent="0.2">
      <c r="AF29990" s="12"/>
    </row>
    <row r="29991" spans="32:32" x14ac:dyDescent="0.2">
      <c r="AF29991" s="12"/>
    </row>
    <row r="29992" spans="32:32" x14ac:dyDescent="0.2">
      <c r="AF29992" s="12"/>
    </row>
    <row r="29993" spans="32:32" x14ac:dyDescent="0.2">
      <c r="AF29993" s="12"/>
    </row>
    <row r="29994" spans="32:32" x14ac:dyDescent="0.2">
      <c r="AF29994" s="12"/>
    </row>
    <row r="29995" spans="32:32" x14ac:dyDescent="0.2">
      <c r="AF29995" s="12"/>
    </row>
    <row r="29996" spans="32:32" x14ac:dyDescent="0.2">
      <c r="AF29996" s="12"/>
    </row>
    <row r="29997" spans="32:32" x14ac:dyDescent="0.2">
      <c r="AF29997" s="12"/>
    </row>
    <row r="29998" spans="32:32" x14ac:dyDescent="0.2">
      <c r="AF29998" s="12"/>
    </row>
    <row r="29999" spans="32:32" x14ac:dyDescent="0.2">
      <c r="AF29999" s="12"/>
    </row>
    <row r="30000" spans="32:32" x14ac:dyDescent="0.2">
      <c r="AF30000" s="12"/>
    </row>
    <row r="30001" spans="32:32" x14ac:dyDescent="0.2">
      <c r="AF30001" s="12"/>
    </row>
    <row r="30002" spans="32:32" x14ac:dyDescent="0.2">
      <c r="AF30002" s="12"/>
    </row>
    <row r="30003" spans="32:32" x14ac:dyDescent="0.2">
      <c r="AF30003" s="12"/>
    </row>
    <row r="30004" spans="32:32" x14ac:dyDescent="0.2">
      <c r="AF30004" s="12"/>
    </row>
    <row r="30005" spans="32:32" x14ac:dyDescent="0.2">
      <c r="AF30005" s="12"/>
    </row>
    <row r="30006" spans="32:32" x14ac:dyDescent="0.2">
      <c r="AF30006" s="12"/>
    </row>
    <row r="30007" spans="32:32" x14ac:dyDescent="0.2">
      <c r="AF30007" s="12"/>
    </row>
    <row r="30008" spans="32:32" x14ac:dyDescent="0.2">
      <c r="AF30008" s="12"/>
    </row>
    <row r="30009" spans="32:32" x14ac:dyDescent="0.2">
      <c r="AF30009" s="12"/>
    </row>
    <row r="30010" spans="32:32" x14ac:dyDescent="0.2">
      <c r="AF30010" s="12"/>
    </row>
    <row r="30011" spans="32:32" x14ac:dyDescent="0.2">
      <c r="AF30011" s="12"/>
    </row>
    <row r="30012" spans="32:32" x14ac:dyDescent="0.2">
      <c r="AF30012" s="12"/>
    </row>
    <row r="30013" spans="32:32" x14ac:dyDescent="0.2">
      <c r="AF30013" s="12"/>
    </row>
    <row r="30014" spans="32:32" x14ac:dyDescent="0.2">
      <c r="AF30014" s="12"/>
    </row>
    <row r="30015" spans="32:32" x14ac:dyDescent="0.2">
      <c r="AF30015" s="12"/>
    </row>
    <row r="30016" spans="32:32" x14ac:dyDescent="0.2">
      <c r="AF30016" s="12"/>
    </row>
    <row r="30017" spans="32:32" x14ac:dyDescent="0.2">
      <c r="AF30017" s="12"/>
    </row>
    <row r="30018" spans="32:32" x14ac:dyDescent="0.2">
      <c r="AF30018" s="12"/>
    </row>
    <row r="30019" spans="32:32" x14ac:dyDescent="0.2">
      <c r="AF30019" s="12"/>
    </row>
    <row r="30020" spans="32:32" x14ac:dyDescent="0.2">
      <c r="AF30020" s="12"/>
    </row>
    <row r="30021" spans="32:32" x14ac:dyDescent="0.2">
      <c r="AF30021" s="12"/>
    </row>
    <row r="30022" spans="32:32" x14ac:dyDescent="0.2">
      <c r="AF30022" s="12"/>
    </row>
    <row r="30023" spans="32:32" x14ac:dyDescent="0.2">
      <c r="AF30023" s="12"/>
    </row>
    <row r="30024" spans="32:32" x14ac:dyDescent="0.2">
      <c r="AF30024" s="12"/>
    </row>
    <row r="30025" spans="32:32" x14ac:dyDescent="0.2">
      <c r="AF30025" s="12"/>
    </row>
    <row r="30026" spans="32:32" x14ac:dyDescent="0.2">
      <c r="AF30026" s="12"/>
    </row>
    <row r="30027" spans="32:32" x14ac:dyDescent="0.2">
      <c r="AF30027" s="12"/>
    </row>
    <row r="30028" spans="32:32" x14ac:dyDescent="0.2">
      <c r="AF30028" s="12"/>
    </row>
    <row r="30029" spans="32:32" x14ac:dyDescent="0.2">
      <c r="AF30029" s="12"/>
    </row>
    <row r="30030" spans="32:32" x14ac:dyDescent="0.2">
      <c r="AF30030" s="12"/>
    </row>
    <row r="30031" spans="32:32" x14ac:dyDescent="0.2">
      <c r="AF30031" s="12"/>
    </row>
    <row r="30032" spans="32:32" x14ac:dyDescent="0.2">
      <c r="AF30032" s="12"/>
    </row>
    <row r="30033" spans="32:32" x14ac:dyDescent="0.2">
      <c r="AF30033" s="12"/>
    </row>
    <row r="30034" spans="32:32" x14ac:dyDescent="0.2">
      <c r="AF30034" s="12"/>
    </row>
    <row r="30035" spans="32:32" x14ac:dyDescent="0.2">
      <c r="AF30035" s="12"/>
    </row>
    <row r="30036" spans="32:32" x14ac:dyDescent="0.2">
      <c r="AF30036" s="12"/>
    </row>
    <row r="30037" spans="32:32" x14ac:dyDescent="0.2">
      <c r="AF30037" s="12"/>
    </row>
    <row r="30038" spans="32:32" x14ac:dyDescent="0.2">
      <c r="AF30038" s="12"/>
    </row>
    <row r="30039" spans="32:32" x14ac:dyDescent="0.2">
      <c r="AF30039" s="12"/>
    </row>
    <row r="30040" spans="32:32" x14ac:dyDescent="0.2">
      <c r="AF30040" s="12"/>
    </row>
    <row r="30041" spans="32:32" x14ac:dyDescent="0.2">
      <c r="AF30041" s="12"/>
    </row>
    <row r="30042" spans="32:32" x14ac:dyDescent="0.2">
      <c r="AF30042" s="12"/>
    </row>
    <row r="30043" spans="32:32" x14ac:dyDescent="0.2">
      <c r="AF30043" s="12"/>
    </row>
    <row r="30044" spans="32:32" x14ac:dyDescent="0.2">
      <c r="AF30044" s="12"/>
    </row>
    <row r="30045" spans="32:32" x14ac:dyDescent="0.2">
      <c r="AF30045" s="12"/>
    </row>
    <row r="30046" spans="32:32" x14ac:dyDescent="0.2">
      <c r="AF30046" s="12"/>
    </row>
    <row r="30047" spans="32:32" x14ac:dyDescent="0.2">
      <c r="AF30047" s="12"/>
    </row>
    <row r="30048" spans="32:32" x14ac:dyDescent="0.2">
      <c r="AF30048" s="12"/>
    </row>
    <row r="30049" spans="32:32" x14ac:dyDescent="0.2">
      <c r="AF30049" s="12"/>
    </row>
    <row r="30050" spans="32:32" x14ac:dyDescent="0.2">
      <c r="AF30050" s="12"/>
    </row>
    <row r="30051" spans="32:32" x14ac:dyDescent="0.2">
      <c r="AF30051" s="12"/>
    </row>
    <row r="30052" spans="32:32" x14ac:dyDescent="0.2">
      <c r="AF30052" s="12"/>
    </row>
    <row r="30053" spans="32:32" x14ac:dyDescent="0.2">
      <c r="AF30053" s="12"/>
    </row>
    <row r="30054" spans="32:32" x14ac:dyDescent="0.2">
      <c r="AF30054" s="12"/>
    </row>
    <row r="30055" spans="32:32" x14ac:dyDescent="0.2">
      <c r="AF30055" s="12"/>
    </row>
    <row r="30056" spans="32:32" x14ac:dyDescent="0.2">
      <c r="AF30056" s="12"/>
    </row>
    <row r="30057" spans="32:32" x14ac:dyDescent="0.2">
      <c r="AF30057" s="12"/>
    </row>
    <row r="30058" spans="32:32" x14ac:dyDescent="0.2">
      <c r="AF30058" s="12"/>
    </row>
    <row r="30059" spans="32:32" x14ac:dyDescent="0.2">
      <c r="AF30059" s="12"/>
    </row>
    <row r="30060" spans="32:32" x14ac:dyDescent="0.2">
      <c r="AF30060" s="12"/>
    </row>
    <row r="30061" spans="32:32" x14ac:dyDescent="0.2">
      <c r="AF30061" s="12"/>
    </row>
    <row r="30062" spans="32:32" x14ac:dyDescent="0.2">
      <c r="AF30062" s="12"/>
    </row>
    <row r="30063" spans="32:32" x14ac:dyDescent="0.2">
      <c r="AF30063" s="12"/>
    </row>
    <row r="30064" spans="32:32" x14ac:dyDescent="0.2">
      <c r="AF30064" s="12"/>
    </row>
    <row r="30065" spans="32:32" x14ac:dyDescent="0.2">
      <c r="AF30065" s="12"/>
    </row>
    <row r="30066" spans="32:32" x14ac:dyDescent="0.2">
      <c r="AF30066" s="12"/>
    </row>
    <row r="30067" spans="32:32" x14ac:dyDescent="0.2">
      <c r="AF30067" s="12"/>
    </row>
    <row r="30068" spans="32:32" x14ac:dyDescent="0.2">
      <c r="AF30068" s="12"/>
    </row>
    <row r="30069" spans="32:32" x14ac:dyDescent="0.2">
      <c r="AF30069" s="12"/>
    </row>
    <row r="30070" spans="32:32" x14ac:dyDescent="0.2">
      <c r="AF30070" s="12"/>
    </row>
    <row r="30071" spans="32:32" x14ac:dyDescent="0.2">
      <c r="AF30071" s="12"/>
    </row>
    <row r="30072" spans="32:32" x14ac:dyDescent="0.2">
      <c r="AF30072" s="12"/>
    </row>
    <row r="30073" spans="32:32" x14ac:dyDescent="0.2">
      <c r="AF30073" s="12"/>
    </row>
    <row r="30074" spans="32:32" x14ac:dyDescent="0.2">
      <c r="AF30074" s="12"/>
    </row>
    <row r="30075" spans="32:32" x14ac:dyDescent="0.2">
      <c r="AF30075" s="12"/>
    </row>
    <row r="30076" spans="32:32" x14ac:dyDescent="0.2">
      <c r="AF30076" s="12"/>
    </row>
    <row r="30077" spans="32:32" x14ac:dyDescent="0.2">
      <c r="AF30077" s="12"/>
    </row>
    <row r="30078" spans="32:32" x14ac:dyDescent="0.2">
      <c r="AF30078" s="12"/>
    </row>
    <row r="30079" spans="32:32" x14ac:dyDescent="0.2">
      <c r="AF30079" s="12"/>
    </row>
    <row r="30080" spans="32:32" x14ac:dyDescent="0.2">
      <c r="AF30080" s="12"/>
    </row>
    <row r="30081" spans="32:32" x14ac:dyDescent="0.2">
      <c r="AF30081" s="12"/>
    </row>
    <row r="30082" spans="32:32" x14ac:dyDescent="0.2">
      <c r="AF30082" s="12"/>
    </row>
    <row r="30083" spans="32:32" x14ac:dyDescent="0.2">
      <c r="AF30083" s="12"/>
    </row>
    <row r="30084" spans="32:32" x14ac:dyDescent="0.2">
      <c r="AF30084" s="12"/>
    </row>
    <row r="30085" spans="32:32" x14ac:dyDescent="0.2">
      <c r="AF30085" s="12"/>
    </row>
    <row r="30086" spans="32:32" x14ac:dyDescent="0.2">
      <c r="AF30086" s="12"/>
    </row>
    <row r="30087" spans="32:32" x14ac:dyDescent="0.2">
      <c r="AF30087" s="12"/>
    </row>
    <row r="30088" spans="32:32" x14ac:dyDescent="0.2">
      <c r="AF30088" s="12"/>
    </row>
    <row r="30089" spans="32:32" x14ac:dyDescent="0.2">
      <c r="AF30089" s="12"/>
    </row>
    <row r="30090" spans="32:32" x14ac:dyDescent="0.2">
      <c r="AF30090" s="12"/>
    </row>
    <row r="30091" spans="32:32" x14ac:dyDescent="0.2">
      <c r="AF30091" s="12"/>
    </row>
    <row r="30092" spans="32:32" x14ac:dyDescent="0.2">
      <c r="AF30092" s="12"/>
    </row>
    <row r="30093" spans="32:32" x14ac:dyDescent="0.2">
      <c r="AF30093" s="12"/>
    </row>
    <row r="30094" spans="32:32" x14ac:dyDescent="0.2">
      <c r="AF30094" s="12"/>
    </row>
    <row r="30095" spans="32:32" x14ac:dyDescent="0.2">
      <c r="AF30095" s="12"/>
    </row>
    <row r="30096" spans="32:32" x14ac:dyDescent="0.2">
      <c r="AF30096" s="12"/>
    </row>
    <row r="30097" spans="32:32" x14ac:dyDescent="0.2">
      <c r="AF30097" s="12"/>
    </row>
    <row r="30098" spans="32:32" x14ac:dyDescent="0.2">
      <c r="AF30098" s="12"/>
    </row>
    <row r="30099" spans="32:32" x14ac:dyDescent="0.2">
      <c r="AF30099" s="12"/>
    </row>
    <row r="30100" spans="32:32" x14ac:dyDescent="0.2">
      <c r="AF30100" s="12"/>
    </row>
    <row r="30101" spans="32:32" x14ac:dyDescent="0.2">
      <c r="AF30101" s="12"/>
    </row>
    <row r="30102" spans="32:32" x14ac:dyDescent="0.2">
      <c r="AF30102" s="12"/>
    </row>
    <row r="30103" spans="32:32" x14ac:dyDescent="0.2">
      <c r="AF30103" s="12"/>
    </row>
    <row r="30104" spans="32:32" x14ac:dyDescent="0.2">
      <c r="AF30104" s="12"/>
    </row>
    <row r="30105" spans="32:32" x14ac:dyDescent="0.2">
      <c r="AF30105" s="12"/>
    </row>
    <row r="30106" spans="32:32" x14ac:dyDescent="0.2">
      <c r="AF30106" s="12"/>
    </row>
    <row r="30107" spans="32:32" x14ac:dyDescent="0.2">
      <c r="AF30107" s="12"/>
    </row>
    <row r="30108" spans="32:32" x14ac:dyDescent="0.2">
      <c r="AF30108" s="12"/>
    </row>
    <row r="30109" spans="32:32" x14ac:dyDescent="0.2">
      <c r="AF30109" s="12"/>
    </row>
    <row r="30110" spans="32:32" x14ac:dyDescent="0.2">
      <c r="AF30110" s="12"/>
    </row>
    <row r="30111" spans="32:32" x14ac:dyDescent="0.2">
      <c r="AF30111" s="12"/>
    </row>
    <row r="30112" spans="32:32" x14ac:dyDescent="0.2">
      <c r="AF30112" s="12"/>
    </row>
    <row r="30113" spans="32:32" x14ac:dyDescent="0.2">
      <c r="AF30113" s="12"/>
    </row>
    <row r="30114" spans="32:32" x14ac:dyDescent="0.2">
      <c r="AF30114" s="12"/>
    </row>
    <row r="30115" spans="32:32" x14ac:dyDescent="0.2">
      <c r="AF30115" s="12"/>
    </row>
    <row r="30116" spans="32:32" x14ac:dyDescent="0.2">
      <c r="AF30116" s="12"/>
    </row>
    <row r="30117" spans="32:32" x14ac:dyDescent="0.2">
      <c r="AF30117" s="12"/>
    </row>
    <row r="30118" spans="32:32" x14ac:dyDescent="0.2">
      <c r="AF30118" s="12"/>
    </row>
    <row r="30119" spans="32:32" x14ac:dyDescent="0.2">
      <c r="AF30119" s="12"/>
    </row>
    <row r="30120" spans="32:32" x14ac:dyDescent="0.2">
      <c r="AF30120" s="12"/>
    </row>
    <row r="30121" spans="32:32" x14ac:dyDescent="0.2">
      <c r="AF30121" s="12"/>
    </row>
    <row r="30122" spans="32:32" x14ac:dyDescent="0.2">
      <c r="AF30122" s="12"/>
    </row>
    <row r="30123" spans="32:32" x14ac:dyDescent="0.2">
      <c r="AF30123" s="12"/>
    </row>
    <row r="30124" spans="32:32" x14ac:dyDescent="0.2">
      <c r="AF30124" s="12"/>
    </row>
    <row r="30125" spans="32:32" x14ac:dyDescent="0.2">
      <c r="AF30125" s="12"/>
    </row>
    <row r="30126" spans="32:32" x14ac:dyDescent="0.2">
      <c r="AF30126" s="12"/>
    </row>
    <row r="30127" spans="32:32" x14ac:dyDescent="0.2">
      <c r="AF30127" s="12"/>
    </row>
    <row r="30128" spans="32:32" x14ac:dyDescent="0.2">
      <c r="AF30128" s="12"/>
    </row>
    <row r="30129" spans="32:32" x14ac:dyDescent="0.2">
      <c r="AF30129" s="12"/>
    </row>
    <row r="30130" spans="32:32" x14ac:dyDescent="0.2">
      <c r="AF30130" s="12"/>
    </row>
    <row r="30131" spans="32:32" x14ac:dyDescent="0.2">
      <c r="AF30131" s="12"/>
    </row>
    <row r="30132" spans="32:32" x14ac:dyDescent="0.2">
      <c r="AF30132" s="12"/>
    </row>
    <row r="30133" spans="32:32" x14ac:dyDescent="0.2">
      <c r="AF30133" s="12"/>
    </row>
    <row r="30134" spans="32:32" x14ac:dyDescent="0.2">
      <c r="AF30134" s="12"/>
    </row>
    <row r="30135" spans="32:32" x14ac:dyDescent="0.2">
      <c r="AF30135" s="12"/>
    </row>
    <row r="30136" spans="32:32" x14ac:dyDescent="0.2">
      <c r="AF30136" s="12"/>
    </row>
    <row r="30137" spans="32:32" x14ac:dyDescent="0.2">
      <c r="AF30137" s="12"/>
    </row>
    <row r="30138" spans="32:32" x14ac:dyDescent="0.2">
      <c r="AF30138" s="12"/>
    </row>
    <row r="30139" spans="32:32" x14ac:dyDescent="0.2">
      <c r="AF30139" s="12"/>
    </row>
    <row r="30140" spans="32:32" x14ac:dyDescent="0.2">
      <c r="AF30140" s="12"/>
    </row>
    <row r="30141" spans="32:32" x14ac:dyDescent="0.2">
      <c r="AF30141" s="12"/>
    </row>
    <row r="30142" spans="32:32" x14ac:dyDescent="0.2">
      <c r="AF30142" s="12"/>
    </row>
    <row r="30143" spans="32:32" x14ac:dyDescent="0.2">
      <c r="AF30143" s="12"/>
    </row>
    <row r="30144" spans="32:32" x14ac:dyDescent="0.2">
      <c r="AF30144" s="12"/>
    </row>
    <row r="30145" spans="32:32" x14ac:dyDescent="0.2">
      <c r="AF30145" s="12"/>
    </row>
    <row r="30146" spans="32:32" x14ac:dyDescent="0.2">
      <c r="AF30146" s="12"/>
    </row>
    <row r="30147" spans="32:32" x14ac:dyDescent="0.2">
      <c r="AF30147" s="12"/>
    </row>
    <row r="30148" spans="32:32" x14ac:dyDescent="0.2">
      <c r="AF30148" s="12"/>
    </row>
    <row r="30149" spans="32:32" x14ac:dyDescent="0.2">
      <c r="AF30149" s="12"/>
    </row>
    <row r="30150" spans="32:32" x14ac:dyDescent="0.2">
      <c r="AF30150" s="12"/>
    </row>
    <row r="30151" spans="32:32" x14ac:dyDescent="0.2">
      <c r="AF30151" s="12"/>
    </row>
    <row r="30152" spans="32:32" x14ac:dyDescent="0.2">
      <c r="AF30152" s="12"/>
    </row>
    <row r="30153" spans="32:32" x14ac:dyDescent="0.2">
      <c r="AF30153" s="12"/>
    </row>
    <row r="30154" spans="32:32" x14ac:dyDescent="0.2">
      <c r="AF30154" s="12"/>
    </row>
    <row r="30155" spans="32:32" x14ac:dyDescent="0.2">
      <c r="AF30155" s="12"/>
    </row>
    <row r="30156" spans="32:32" x14ac:dyDescent="0.2">
      <c r="AF30156" s="12"/>
    </row>
    <row r="30157" spans="32:32" x14ac:dyDescent="0.2">
      <c r="AF30157" s="12"/>
    </row>
    <row r="30158" spans="32:32" x14ac:dyDescent="0.2">
      <c r="AF30158" s="12"/>
    </row>
    <row r="30159" spans="32:32" x14ac:dyDescent="0.2">
      <c r="AF30159" s="12"/>
    </row>
    <row r="30160" spans="32:32" x14ac:dyDescent="0.2">
      <c r="AF30160" s="12"/>
    </row>
    <row r="30161" spans="32:32" x14ac:dyDescent="0.2">
      <c r="AF30161" s="12"/>
    </row>
    <row r="30162" spans="32:32" x14ac:dyDescent="0.2">
      <c r="AF30162" s="12"/>
    </row>
    <row r="30163" spans="32:32" x14ac:dyDescent="0.2">
      <c r="AF30163" s="12"/>
    </row>
    <row r="30164" spans="32:32" x14ac:dyDescent="0.2">
      <c r="AF30164" s="12"/>
    </row>
    <row r="30165" spans="32:32" x14ac:dyDescent="0.2">
      <c r="AF30165" s="12"/>
    </row>
    <row r="30166" spans="32:32" x14ac:dyDescent="0.2">
      <c r="AF30166" s="12"/>
    </row>
    <row r="30167" spans="32:32" x14ac:dyDescent="0.2">
      <c r="AF30167" s="12"/>
    </row>
    <row r="30168" spans="32:32" x14ac:dyDescent="0.2">
      <c r="AF30168" s="12"/>
    </row>
    <row r="30169" spans="32:32" x14ac:dyDescent="0.2">
      <c r="AF30169" s="12"/>
    </row>
    <row r="30170" spans="32:32" x14ac:dyDescent="0.2">
      <c r="AF30170" s="12"/>
    </row>
    <row r="30171" spans="32:32" x14ac:dyDescent="0.2">
      <c r="AF30171" s="12"/>
    </row>
    <row r="30172" spans="32:32" x14ac:dyDescent="0.2">
      <c r="AF30172" s="12"/>
    </row>
    <row r="30173" spans="32:32" x14ac:dyDescent="0.2">
      <c r="AF30173" s="12"/>
    </row>
    <row r="30174" spans="32:32" x14ac:dyDescent="0.2">
      <c r="AF30174" s="12"/>
    </row>
    <row r="30175" spans="32:32" x14ac:dyDescent="0.2">
      <c r="AF30175" s="12"/>
    </row>
    <row r="30176" spans="32:32" x14ac:dyDescent="0.2">
      <c r="AF30176" s="12"/>
    </row>
    <row r="30177" spans="32:32" x14ac:dyDescent="0.2">
      <c r="AF30177" s="12"/>
    </row>
    <row r="30178" spans="32:32" x14ac:dyDescent="0.2">
      <c r="AF30178" s="12"/>
    </row>
    <row r="30179" spans="32:32" x14ac:dyDescent="0.2">
      <c r="AF30179" s="12"/>
    </row>
    <row r="30180" spans="32:32" x14ac:dyDescent="0.2">
      <c r="AF30180" s="12"/>
    </row>
    <row r="30181" spans="32:32" x14ac:dyDescent="0.2">
      <c r="AF30181" s="12"/>
    </row>
    <row r="30182" spans="32:32" x14ac:dyDescent="0.2">
      <c r="AF30182" s="12"/>
    </row>
    <row r="30183" spans="32:32" x14ac:dyDescent="0.2">
      <c r="AF30183" s="12"/>
    </row>
    <row r="30184" spans="32:32" x14ac:dyDescent="0.2">
      <c r="AF30184" s="12"/>
    </row>
    <row r="30185" spans="32:32" x14ac:dyDescent="0.2">
      <c r="AF30185" s="12"/>
    </row>
    <row r="30186" spans="32:32" x14ac:dyDescent="0.2">
      <c r="AF30186" s="12"/>
    </row>
    <row r="30187" spans="32:32" x14ac:dyDescent="0.2">
      <c r="AF30187" s="12"/>
    </row>
    <row r="30188" spans="32:32" x14ac:dyDescent="0.2">
      <c r="AF30188" s="12"/>
    </row>
    <row r="30189" spans="32:32" x14ac:dyDescent="0.2">
      <c r="AF30189" s="12"/>
    </row>
    <row r="30190" spans="32:32" x14ac:dyDescent="0.2">
      <c r="AF30190" s="12"/>
    </row>
    <row r="30191" spans="32:32" x14ac:dyDescent="0.2">
      <c r="AF30191" s="12"/>
    </row>
    <row r="30192" spans="32:32" x14ac:dyDescent="0.2">
      <c r="AF30192" s="12"/>
    </row>
    <row r="30193" spans="32:32" x14ac:dyDescent="0.2">
      <c r="AF30193" s="12"/>
    </row>
    <row r="30194" spans="32:32" x14ac:dyDescent="0.2">
      <c r="AF30194" s="12"/>
    </row>
    <row r="30195" spans="32:32" x14ac:dyDescent="0.2">
      <c r="AF30195" s="12"/>
    </row>
    <row r="30196" spans="32:32" x14ac:dyDescent="0.2">
      <c r="AF30196" s="12"/>
    </row>
    <row r="30197" spans="32:32" x14ac:dyDescent="0.2">
      <c r="AF30197" s="12"/>
    </row>
    <row r="30198" spans="32:32" x14ac:dyDescent="0.2">
      <c r="AF30198" s="12"/>
    </row>
    <row r="30199" spans="32:32" x14ac:dyDescent="0.2">
      <c r="AF30199" s="12"/>
    </row>
    <row r="30200" spans="32:32" x14ac:dyDescent="0.2">
      <c r="AF30200" s="12"/>
    </row>
    <row r="30201" spans="32:32" x14ac:dyDescent="0.2">
      <c r="AF30201" s="12"/>
    </row>
    <row r="30202" spans="32:32" x14ac:dyDescent="0.2">
      <c r="AF30202" s="12"/>
    </row>
    <row r="30203" spans="32:32" x14ac:dyDescent="0.2">
      <c r="AF30203" s="12"/>
    </row>
    <row r="30204" spans="32:32" x14ac:dyDescent="0.2">
      <c r="AF30204" s="12"/>
    </row>
    <row r="30205" spans="32:32" x14ac:dyDescent="0.2">
      <c r="AF30205" s="12"/>
    </row>
    <row r="30206" spans="32:32" x14ac:dyDescent="0.2">
      <c r="AF30206" s="12"/>
    </row>
    <row r="30207" spans="32:32" x14ac:dyDescent="0.2">
      <c r="AF30207" s="12"/>
    </row>
    <row r="30208" spans="32:32" x14ac:dyDescent="0.2">
      <c r="AF30208" s="12"/>
    </row>
    <row r="30209" spans="32:32" x14ac:dyDescent="0.2">
      <c r="AF30209" s="12"/>
    </row>
    <row r="30210" spans="32:32" x14ac:dyDescent="0.2">
      <c r="AF30210" s="12"/>
    </row>
    <row r="30211" spans="32:32" x14ac:dyDescent="0.2">
      <c r="AF30211" s="12"/>
    </row>
    <row r="30212" spans="32:32" x14ac:dyDescent="0.2">
      <c r="AF30212" s="12"/>
    </row>
    <row r="30213" spans="32:32" x14ac:dyDescent="0.2">
      <c r="AF30213" s="12"/>
    </row>
    <row r="30214" spans="32:32" x14ac:dyDescent="0.2">
      <c r="AF30214" s="12"/>
    </row>
    <row r="30215" spans="32:32" x14ac:dyDescent="0.2">
      <c r="AF30215" s="12"/>
    </row>
    <row r="30216" spans="32:32" x14ac:dyDescent="0.2">
      <c r="AF30216" s="12"/>
    </row>
    <row r="30217" spans="32:32" x14ac:dyDescent="0.2">
      <c r="AF30217" s="12"/>
    </row>
    <row r="30218" spans="32:32" x14ac:dyDescent="0.2">
      <c r="AF30218" s="12"/>
    </row>
    <row r="30219" spans="32:32" x14ac:dyDescent="0.2">
      <c r="AF30219" s="12"/>
    </row>
    <row r="30220" spans="32:32" x14ac:dyDescent="0.2">
      <c r="AF30220" s="12"/>
    </row>
    <row r="30221" spans="32:32" x14ac:dyDescent="0.2">
      <c r="AF30221" s="12"/>
    </row>
    <row r="30222" spans="32:32" x14ac:dyDescent="0.2">
      <c r="AF30222" s="12"/>
    </row>
    <row r="30223" spans="32:32" x14ac:dyDescent="0.2">
      <c r="AF30223" s="12"/>
    </row>
    <row r="30224" spans="32:32" x14ac:dyDescent="0.2">
      <c r="AF30224" s="12"/>
    </row>
    <row r="30225" spans="32:32" x14ac:dyDescent="0.2">
      <c r="AF30225" s="12"/>
    </row>
    <row r="30226" spans="32:32" x14ac:dyDescent="0.2">
      <c r="AF30226" s="12"/>
    </row>
    <row r="30227" spans="32:32" x14ac:dyDescent="0.2">
      <c r="AF30227" s="12"/>
    </row>
    <row r="30228" spans="32:32" x14ac:dyDescent="0.2">
      <c r="AF30228" s="12"/>
    </row>
    <row r="30229" spans="32:32" x14ac:dyDescent="0.2">
      <c r="AF30229" s="12"/>
    </row>
    <row r="30230" spans="32:32" x14ac:dyDescent="0.2">
      <c r="AF30230" s="12"/>
    </row>
    <row r="30231" spans="32:32" x14ac:dyDescent="0.2">
      <c r="AF30231" s="12"/>
    </row>
    <row r="30232" spans="32:32" x14ac:dyDescent="0.2">
      <c r="AF30232" s="12"/>
    </row>
    <row r="30233" spans="32:32" x14ac:dyDescent="0.2">
      <c r="AF30233" s="12"/>
    </row>
    <row r="30234" spans="32:32" x14ac:dyDescent="0.2">
      <c r="AF30234" s="12"/>
    </row>
    <row r="30235" spans="32:32" x14ac:dyDescent="0.2">
      <c r="AF30235" s="12"/>
    </row>
    <row r="30236" spans="32:32" x14ac:dyDescent="0.2">
      <c r="AF30236" s="12"/>
    </row>
    <row r="30237" spans="32:32" x14ac:dyDescent="0.2">
      <c r="AF30237" s="12"/>
    </row>
    <row r="30238" spans="32:32" x14ac:dyDescent="0.2">
      <c r="AF30238" s="12"/>
    </row>
    <row r="30239" spans="32:32" x14ac:dyDescent="0.2">
      <c r="AF30239" s="12"/>
    </row>
    <row r="30240" spans="32:32" x14ac:dyDescent="0.2">
      <c r="AF30240" s="12"/>
    </row>
    <row r="30241" spans="32:32" x14ac:dyDescent="0.2">
      <c r="AF30241" s="12"/>
    </row>
    <row r="30242" spans="32:32" x14ac:dyDescent="0.2">
      <c r="AF30242" s="12"/>
    </row>
    <row r="30243" spans="32:32" x14ac:dyDescent="0.2">
      <c r="AF30243" s="12"/>
    </row>
    <row r="30244" spans="32:32" x14ac:dyDescent="0.2">
      <c r="AF30244" s="12"/>
    </row>
    <row r="30245" spans="32:32" x14ac:dyDescent="0.2">
      <c r="AF30245" s="12"/>
    </row>
    <row r="30246" spans="32:32" x14ac:dyDescent="0.2">
      <c r="AF30246" s="12"/>
    </row>
    <row r="30247" spans="32:32" x14ac:dyDescent="0.2">
      <c r="AF30247" s="12"/>
    </row>
    <row r="30248" spans="32:32" x14ac:dyDescent="0.2">
      <c r="AF30248" s="12"/>
    </row>
    <row r="30249" spans="32:32" x14ac:dyDescent="0.2">
      <c r="AF30249" s="12"/>
    </row>
    <row r="30250" spans="32:32" x14ac:dyDescent="0.2">
      <c r="AF30250" s="12"/>
    </row>
    <row r="30251" spans="32:32" x14ac:dyDescent="0.2">
      <c r="AF30251" s="12"/>
    </row>
    <row r="30252" spans="32:32" x14ac:dyDescent="0.2">
      <c r="AF30252" s="12"/>
    </row>
    <row r="30253" spans="32:32" x14ac:dyDescent="0.2">
      <c r="AF30253" s="12"/>
    </row>
    <row r="30254" spans="32:32" x14ac:dyDescent="0.2">
      <c r="AF30254" s="12"/>
    </row>
    <row r="30255" spans="32:32" x14ac:dyDescent="0.2">
      <c r="AF30255" s="12"/>
    </row>
    <row r="30256" spans="32:32" x14ac:dyDescent="0.2">
      <c r="AF30256" s="12"/>
    </row>
    <row r="30257" spans="32:32" x14ac:dyDescent="0.2">
      <c r="AF30257" s="12"/>
    </row>
    <row r="30258" spans="32:32" x14ac:dyDescent="0.2">
      <c r="AF30258" s="12"/>
    </row>
    <row r="30259" spans="32:32" x14ac:dyDescent="0.2">
      <c r="AF30259" s="12"/>
    </row>
    <row r="30260" spans="32:32" x14ac:dyDescent="0.2">
      <c r="AF30260" s="12"/>
    </row>
    <row r="30261" spans="32:32" x14ac:dyDescent="0.2">
      <c r="AF30261" s="12"/>
    </row>
    <row r="30262" spans="32:32" x14ac:dyDescent="0.2">
      <c r="AF30262" s="12"/>
    </row>
    <row r="30263" spans="32:32" x14ac:dyDescent="0.2">
      <c r="AF30263" s="12"/>
    </row>
    <row r="30264" spans="32:32" x14ac:dyDescent="0.2">
      <c r="AF30264" s="12"/>
    </row>
    <row r="30265" spans="32:32" x14ac:dyDescent="0.2">
      <c r="AF30265" s="12"/>
    </row>
    <row r="30266" spans="32:32" x14ac:dyDescent="0.2">
      <c r="AF30266" s="12"/>
    </row>
    <row r="30267" spans="32:32" x14ac:dyDescent="0.2">
      <c r="AF30267" s="12"/>
    </row>
    <row r="30268" spans="32:32" x14ac:dyDescent="0.2">
      <c r="AF30268" s="12"/>
    </row>
    <row r="30269" spans="32:32" x14ac:dyDescent="0.2">
      <c r="AF30269" s="12"/>
    </row>
    <row r="30270" spans="32:32" x14ac:dyDescent="0.2">
      <c r="AF30270" s="12"/>
    </row>
    <row r="30271" spans="32:32" x14ac:dyDescent="0.2">
      <c r="AF30271" s="12"/>
    </row>
    <row r="30272" spans="32:32" x14ac:dyDescent="0.2">
      <c r="AF30272" s="12"/>
    </row>
    <row r="30273" spans="32:32" x14ac:dyDescent="0.2">
      <c r="AF30273" s="12"/>
    </row>
    <row r="30274" spans="32:32" x14ac:dyDescent="0.2">
      <c r="AF30274" s="12"/>
    </row>
    <row r="30275" spans="32:32" x14ac:dyDescent="0.2">
      <c r="AF30275" s="12"/>
    </row>
    <row r="30276" spans="32:32" x14ac:dyDescent="0.2">
      <c r="AF30276" s="12"/>
    </row>
    <row r="30277" spans="32:32" x14ac:dyDescent="0.2">
      <c r="AF30277" s="12"/>
    </row>
    <row r="30278" spans="32:32" x14ac:dyDescent="0.2">
      <c r="AF30278" s="12"/>
    </row>
    <row r="30279" spans="32:32" x14ac:dyDescent="0.2">
      <c r="AF30279" s="12"/>
    </row>
    <row r="30280" spans="32:32" x14ac:dyDescent="0.2">
      <c r="AF30280" s="12"/>
    </row>
    <row r="30281" spans="32:32" x14ac:dyDescent="0.2">
      <c r="AF30281" s="12"/>
    </row>
    <row r="30282" spans="32:32" x14ac:dyDescent="0.2">
      <c r="AF30282" s="12"/>
    </row>
    <row r="30283" spans="32:32" x14ac:dyDescent="0.2">
      <c r="AF30283" s="12"/>
    </row>
    <row r="30284" spans="32:32" x14ac:dyDescent="0.2">
      <c r="AF30284" s="12"/>
    </row>
    <row r="30285" spans="32:32" x14ac:dyDescent="0.2">
      <c r="AF30285" s="12"/>
    </row>
    <row r="30286" spans="32:32" x14ac:dyDescent="0.2">
      <c r="AF30286" s="12"/>
    </row>
    <row r="30287" spans="32:32" x14ac:dyDescent="0.2">
      <c r="AF30287" s="12"/>
    </row>
    <row r="30288" spans="32:32" x14ac:dyDescent="0.2">
      <c r="AF30288" s="12"/>
    </row>
    <row r="30289" spans="32:32" x14ac:dyDescent="0.2">
      <c r="AF30289" s="12"/>
    </row>
    <row r="30290" spans="32:32" x14ac:dyDescent="0.2">
      <c r="AF30290" s="12"/>
    </row>
    <row r="30291" spans="32:32" x14ac:dyDescent="0.2">
      <c r="AF30291" s="12"/>
    </row>
    <row r="30292" spans="32:32" x14ac:dyDescent="0.2">
      <c r="AF30292" s="12"/>
    </row>
    <row r="30293" spans="32:32" x14ac:dyDescent="0.2">
      <c r="AF30293" s="12"/>
    </row>
    <row r="30294" spans="32:32" x14ac:dyDescent="0.2">
      <c r="AF30294" s="12"/>
    </row>
    <row r="30295" spans="32:32" x14ac:dyDescent="0.2">
      <c r="AF30295" s="12"/>
    </row>
    <row r="30296" spans="32:32" x14ac:dyDescent="0.2">
      <c r="AF30296" s="12"/>
    </row>
    <row r="30297" spans="32:32" x14ac:dyDescent="0.2">
      <c r="AF30297" s="12"/>
    </row>
    <row r="30298" spans="32:32" x14ac:dyDescent="0.2">
      <c r="AF30298" s="12"/>
    </row>
    <row r="30299" spans="32:32" x14ac:dyDescent="0.2">
      <c r="AF30299" s="12"/>
    </row>
    <row r="30300" spans="32:32" x14ac:dyDescent="0.2">
      <c r="AF30300" s="12"/>
    </row>
    <row r="30301" spans="32:32" x14ac:dyDescent="0.2">
      <c r="AF30301" s="12"/>
    </row>
    <row r="30302" spans="32:32" x14ac:dyDescent="0.2">
      <c r="AF30302" s="12"/>
    </row>
    <row r="30303" spans="32:32" x14ac:dyDescent="0.2">
      <c r="AF30303" s="12"/>
    </row>
    <row r="30304" spans="32:32" x14ac:dyDescent="0.2">
      <c r="AF30304" s="12"/>
    </row>
    <row r="30305" spans="32:32" x14ac:dyDescent="0.2">
      <c r="AF30305" s="12"/>
    </row>
    <row r="30306" spans="32:32" x14ac:dyDescent="0.2">
      <c r="AF30306" s="12"/>
    </row>
    <row r="30307" spans="32:32" x14ac:dyDescent="0.2">
      <c r="AF30307" s="12"/>
    </row>
    <row r="30308" spans="32:32" x14ac:dyDescent="0.2">
      <c r="AF30308" s="12"/>
    </row>
    <row r="30309" spans="32:32" x14ac:dyDescent="0.2">
      <c r="AF30309" s="12"/>
    </row>
    <row r="30310" spans="32:32" x14ac:dyDescent="0.2">
      <c r="AF30310" s="12"/>
    </row>
    <row r="30311" spans="32:32" x14ac:dyDescent="0.2">
      <c r="AF30311" s="12"/>
    </row>
    <row r="30312" spans="32:32" x14ac:dyDescent="0.2">
      <c r="AF30312" s="12"/>
    </row>
    <row r="30313" spans="32:32" x14ac:dyDescent="0.2">
      <c r="AF30313" s="12"/>
    </row>
    <row r="30314" spans="32:32" x14ac:dyDescent="0.2">
      <c r="AF30314" s="12"/>
    </row>
    <row r="30315" spans="32:32" x14ac:dyDescent="0.2">
      <c r="AF30315" s="12"/>
    </row>
    <row r="30316" spans="32:32" x14ac:dyDescent="0.2">
      <c r="AF30316" s="12"/>
    </row>
    <row r="30317" spans="32:32" x14ac:dyDescent="0.2">
      <c r="AF30317" s="12"/>
    </row>
    <row r="30318" spans="32:32" x14ac:dyDescent="0.2">
      <c r="AF30318" s="12"/>
    </row>
    <row r="30319" spans="32:32" x14ac:dyDescent="0.2">
      <c r="AF30319" s="12"/>
    </row>
    <row r="30320" spans="32:32" x14ac:dyDescent="0.2">
      <c r="AF30320" s="12"/>
    </row>
    <row r="30321" spans="32:32" x14ac:dyDescent="0.2">
      <c r="AF30321" s="12"/>
    </row>
    <row r="30322" spans="32:32" x14ac:dyDescent="0.2">
      <c r="AF30322" s="12"/>
    </row>
    <row r="30323" spans="32:32" x14ac:dyDescent="0.2">
      <c r="AF30323" s="12"/>
    </row>
    <row r="30324" spans="32:32" x14ac:dyDescent="0.2">
      <c r="AF30324" s="12"/>
    </row>
    <row r="30325" spans="32:32" x14ac:dyDescent="0.2">
      <c r="AF30325" s="12"/>
    </row>
    <row r="30326" spans="32:32" x14ac:dyDescent="0.2">
      <c r="AF30326" s="12"/>
    </row>
    <row r="30327" spans="32:32" x14ac:dyDescent="0.2">
      <c r="AF30327" s="12"/>
    </row>
    <row r="30328" spans="32:32" x14ac:dyDescent="0.2">
      <c r="AF30328" s="12"/>
    </row>
    <row r="30329" spans="32:32" x14ac:dyDescent="0.2">
      <c r="AF30329" s="12"/>
    </row>
    <row r="30330" spans="32:32" x14ac:dyDescent="0.2">
      <c r="AF30330" s="12"/>
    </row>
    <row r="30331" spans="32:32" x14ac:dyDescent="0.2">
      <c r="AF30331" s="12"/>
    </row>
    <row r="30332" spans="32:32" x14ac:dyDescent="0.2">
      <c r="AF30332" s="12"/>
    </row>
    <row r="30333" spans="32:32" x14ac:dyDescent="0.2">
      <c r="AF30333" s="12"/>
    </row>
    <row r="30334" spans="32:32" x14ac:dyDescent="0.2">
      <c r="AF30334" s="12"/>
    </row>
    <row r="30335" spans="32:32" x14ac:dyDescent="0.2">
      <c r="AF30335" s="12"/>
    </row>
    <row r="30336" spans="32:32" x14ac:dyDescent="0.2">
      <c r="AF30336" s="12"/>
    </row>
    <row r="30337" spans="32:32" x14ac:dyDescent="0.2">
      <c r="AF30337" s="12"/>
    </row>
    <row r="30338" spans="32:32" x14ac:dyDescent="0.2">
      <c r="AF30338" s="12"/>
    </row>
    <row r="30339" spans="32:32" x14ac:dyDescent="0.2">
      <c r="AF30339" s="12"/>
    </row>
    <row r="30340" spans="32:32" x14ac:dyDescent="0.2">
      <c r="AF30340" s="12"/>
    </row>
    <row r="30341" spans="32:32" x14ac:dyDescent="0.2">
      <c r="AF30341" s="12"/>
    </row>
    <row r="30342" spans="32:32" x14ac:dyDescent="0.2">
      <c r="AF30342" s="12"/>
    </row>
    <row r="30343" spans="32:32" x14ac:dyDescent="0.2">
      <c r="AF30343" s="12"/>
    </row>
    <row r="30344" spans="32:32" x14ac:dyDescent="0.2">
      <c r="AF30344" s="12"/>
    </row>
    <row r="30345" spans="32:32" x14ac:dyDescent="0.2">
      <c r="AF30345" s="12"/>
    </row>
    <row r="30346" spans="32:32" x14ac:dyDescent="0.2">
      <c r="AF30346" s="12"/>
    </row>
    <row r="30347" spans="32:32" x14ac:dyDescent="0.2">
      <c r="AF30347" s="12"/>
    </row>
    <row r="30348" spans="32:32" x14ac:dyDescent="0.2">
      <c r="AF30348" s="12"/>
    </row>
    <row r="30349" spans="32:32" x14ac:dyDescent="0.2">
      <c r="AF30349" s="12"/>
    </row>
    <row r="30350" spans="32:32" x14ac:dyDescent="0.2">
      <c r="AF30350" s="12"/>
    </row>
    <row r="30351" spans="32:32" x14ac:dyDescent="0.2">
      <c r="AF30351" s="12"/>
    </row>
    <row r="30352" spans="32:32" x14ac:dyDescent="0.2">
      <c r="AF30352" s="12"/>
    </row>
    <row r="30353" spans="32:32" x14ac:dyDescent="0.2">
      <c r="AF30353" s="12"/>
    </row>
    <row r="30354" spans="32:32" x14ac:dyDescent="0.2">
      <c r="AF30354" s="12"/>
    </row>
    <row r="30355" spans="32:32" x14ac:dyDescent="0.2">
      <c r="AF30355" s="12"/>
    </row>
    <row r="30356" spans="32:32" x14ac:dyDescent="0.2">
      <c r="AF30356" s="12"/>
    </row>
    <row r="30357" spans="32:32" x14ac:dyDescent="0.2">
      <c r="AF30357" s="12"/>
    </row>
    <row r="30358" spans="32:32" x14ac:dyDescent="0.2">
      <c r="AF30358" s="12"/>
    </row>
    <row r="30359" spans="32:32" x14ac:dyDescent="0.2">
      <c r="AF30359" s="12"/>
    </row>
    <row r="30360" spans="32:32" x14ac:dyDescent="0.2">
      <c r="AF30360" s="12"/>
    </row>
    <row r="30361" spans="32:32" x14ac:dyDescent="0.2">
      <c r="AF30361" s="12"/>
    </row>
    <row r="30362" spans="32:32" x14ac:dyDescent="0.2">
      <c r="AF30362" s="12"/>
    </row>
    <row r="30363" spans="32:32" x14ac:dyDescent="0.2">
      <c r="AF30363" s="12"/>
    </row>
    <row r="30364" spans="32:32" x14ac:dyDescent="0.2">
      <c r="AF30364" s="12"/>
    </row>
    <row r="30365" spans="32:32" x14ac:dyDescent="0.2">
      <c r="AF30365" s="12"/>
    </row>
    <row r="30366" spans="32:32" x14ac:dyDescent="0.2">
      <c r="AF30366" s="12"/>
    </row>
    <row r="30367" spans="32:32" x14ac:dyDescent="0.2">
      <c r="AF30367" s="12"/>
    </row>
    <row r="30368" spans="32:32" x14ac:dyDescent="0.2">
      <c r="AF30368" s="12"/>
    </row>
    <row r="30369" spans="32:32" x14ac:dyDescent="0.2">
      <c r="AF30369" s="12"/>
    </row>
    <row r="30370" spans="32:32" x14ac:dyDescent="0.2">
      <c r="AF30370" s="12"/>
    </row>
    <row r="30371" spans="32:32" x14ac:dyDescent="0.2">
      <c r="AF30371" s="12"/>
    </row>
    <row r="30372" spans="32:32" x14ac:dyDescent="0.2">
      <c r="AF30372" s="12"/>
    </row>
    <row r="30373" spans="32:32" x14ac:dyDescent="0.2">
      <c r="AF30373" s="12"/>
    </row>
    <row r="30374" spans="32:32" x14ac:dyDescent="0.2">
      <c r="AF30374" s="12"/>
    </row>
    <row r="30375" spans="32:32" x14ac:dyDescent="0.2">
      <c r="AF30375" s="12"/>
    </row>
    <row r="30376" spans="32:32" x14ac:dyDescent="0.2">
      <c r="AF30376" s="12"/>
    </row>
    <row r="30377" spans="32:32" x14ac:dyDescent="0.2">
      <c r="AF30377" s="12"/>
    </row>
    <row r="30378" spans="32:32" x14ac:dyDescent="0.2">
      <c r="AF30378" s="12"/>
    </row>
    <row r="30379" spans="32:32" x14ac:dyDescent="0.2">
      <c r="AF30379" s="12"/>
    </row>
    <row r="30380" spans="32:32" x14ac:dyDescent="0.2">
      <c r="AF30380" s="12"/>
    </row>
    <row r="30381" spans="32:32" x14ac:dyDescent="0.2">
      <c r="AF30381" s="12"/>
    </row>
    <row r="30382" spans="32:32" x14ac:dyDescent="0.2">
      <c r="AF30382" s="12"/>
    </row>
    <row r="30383" spans="32:32" x14ac:dyDescent="0.2">
      <c r="AF30383" s="12"/>
    </row>
    <row r="30384" spans="32:32" x14ac:dyDescent="0.2">
      <c r="AF30384" s="12"/>
    </row>
    <row r="30385" spans="32:32" x14ac:dyDescent="0.2">
      <c r="AF30385" s="12"/>
    </row>
    <row r="30386" spans="32:32" x14ac:dyDescent="0.2">
      <c r="AF30386" s="12"/>
    </row>
    <row r="30387" spans="32:32" x14ac:dyDescent="0.2">
      <c r="AF30387" s="12"/>
    </row>
    <row r="30388" spans="32:32" x14ac:dyDescent="0.2">
      <c r="AF30388" s="12"/>
    </row>
    <row r="30389" spans="32:32" x14ac:dyDescent="0.2">
      <c r="AF30389" s="12"/>
    </row>
    <row r="30390" spans="32:32" x14ac:dyDescent="0.2">
      <c r="AF30390" s="12"/>
    </row>
    <row r="30391" spans="32:32" x14ac:dyDescent="0.2">
      <c r="AF30391" s="12"/>
    </row>
    <row r="30392" spans="32:32" x14ac:dyDescent="0.2">
      <c r="AF30392" s="12"/>
    </row>
    <row r="30393" spans="32:32" x14ac:dyDescent="0.2">
      <c r="AF30393" s="12"/>
    </row>
    <row r="30394" spans="32:32" x14ac:dyDescent="0.2">
      <c r="AF30394" s="12"/>
    </row>
    <row r="30395" spans="32:32" x14ac:dyDescent="0.2">
      <c r="AF30395" s="12"/>
    </row>
    <row r="30396" spans="32:32" x14ac:dyDescent="0.2">
      <c r="AF30396" s="12"/>
    </row>
    <row r="30397" spans="32:32" x14ac:dyDescent="0.2">
      <c r="AF30397" s="12"/>
    </row>
    <row r="30398" spans="32:32" x14ac:dyDescent="0.2">
      <c r="AF30398" s="12"/>
    </row>
    <row r="30399" spans="32:32" x14ac:dyDescent="0.2">
      <c r="AF30399" s="12"/>
    </row>
    <row r="30400" spans="32:32" x14ac:dyDescent="0.2">
      <c r="AF30400" s="12"/>
    </row>
    <row r="30401" spans="32:32" x14ac:dyDescent="0.2">
      <c r="AF30401" s="12"/>
    </row>
    <row r="30402" spans="32:32" x14ac:dyDescent="0.2">
      <c r="AF30402" s="12"/>
    </row>
    <row r="30403" spans="32:32" x14ac:dyDescent="0.2">
      <c r="AF30403" s="12"/>
    </row>
    <row r="30404" spans="32:32" x14ac:dyDescent="0.2">
      <c r="AF30404" s="12"/>
    </row>
    <row r="30405" spans="32:32" x14ac:dyDescent="0.2">
      <c r="AF30405" s="12"/>
    </row>
    <row r="30406" spans="32:32" x14ac:dyDescent="0.2">
      <c r="AF30406" s="12"/>
    </row>
    <row r="30407" spans="32:32" x14ac:dyDescent="0.2">
      <c r="AF30407" s="12"/>
    </row>
    <row r="30408" spans="32:32" x14ac:dyDescent="0.2">
      <c r="AF30408" s="12"/>
    </row>
    <row r="30409" spans="32:32" x14ac:dyDescent="0.2">
      <c r="AF30409" s="12"/>
    </row>
    <row r="30410" spans="32:32" x14ac:dyDescent="0.2">
      <c r="AF30410" s="12"/>
    </row>
    <row r="30411" spans="32:32" x14ac:dyDescent="0.2">
      <c r="AF30411" s="12"/>
    </row>
    <row r="30412" spans="32:32" x14ac:dyDescent="0.2">
      <c r="AF30412" s="12"/>
    </row>
    <row r="30413" spans="32:32" x14ac:dyDescent="0.2">
      <c r="AF30413" s="12"/>
    </row>
    <row r="30414" spans="32:32" x14ac:dyDescent="0.2">
      <c r="AF30414" s="12"/>
    </row>
    <row r="30415" spans="32:32" x14ac:dyDescent="0.2">
      <c r="AF30415" s="12"/>
    </row>
    <row r="30416" spans="32:32" x14ac:dyDescent="0.2">
      <c r="AF30416" s="12"/>
    </row>
    <row r="30417" spans="32:32" x14ac:dyDescent="0.2">
      <c r="AF30417" s="12"/>
    </row>
    <row r="30418" spans="32:32" x14ac:dyDescent="0.2">
      <c r="AF30418" s="12"/>
    </row>
    <row r="30419" spans="32:32" x14ac:dyDescent="0.2">
      <c r="AF30419" s="12"/>
    </row>
    <row r="30420" spans="32:32" x14ac:dyDescent="0.2">
      <c r="AF30420" s="12"/>
    </row>
    <row r="30421" spans="32:32" x14ac:dyDescent="0.2">
      <c r="AF30421" s="12"/>
    </row>
    <row r="30422" spans="32:32" x14ac:dyDescent="0.2">
      <c r="AF30422" s="12"/>
    </row>
    <row r="30423" spans="32:32" x14ac:dyDescent="0.2">
      <c r="AF30423" s="12"/>
    </row>
    <row r="30424" spans="32:32" x14ac:dyDescent="0.2">
      <c r="AF30424" s="12"/>
    </row>
    <row r="30425" spans="32:32" x14ac:dyDescent="0.2">
      <c r="AF30425" s="12"/>
    </row>
    <row r="30426" spans="32:32" x14ac:dyDescent="0.2">
      <c r="AF30426" s="12"/>
    </row>
    <row r="30427" spans="32:32" x14ac:dyDescent="0.2">
      <c r="AF30427" s="12"/>
    </row>
    <row r="30428" spans="32:32" x14ac:dyDescent="0.2">
      <c r="AF30428" s="12"/>
    </row>
    <row r="30429" spans="32:32" x14ac:dyDescent="0.2">
      <c r="AF30429" s="12"/>
    </row>
    <row r="30430" spans="32:32" x14ac:dyDescent="0.2">
      <c r="AF30430" s="12"/>
    </row>
    <row r="30431" spans="32:32" x14ac:dyDescent="0.2">
      <c r="AF30431" s="12"/>
    </row>
    <row r="30432" spans="32:32" x14ac:dyDescent="0.2">
      <c r="AF30432" s="12"/>
    </row>
    <row r="30433" spans="32:32" x14ac:dyDescent="0.2">
      <c r="AF30433" s="12"/>
    </row>
    <row r="30434" spans="32:32" x14ac:dyDescent="0.2">
      <c r="AF30434" s="12"/>
    </row>
    <row r="30435" spans="32:32" x14ac:dyDescent="0.2">
      <c r="AF30435" s="12"/>
    </row>
    <row r="30436" spans="32:32" x14ac:dyDescent="0.2">
      <c r="AF30436" s="12"/>
    </row>
    <row r="30437" spans="32:32" x14ac:dyDescent="0.2">
      <c r="AF30437" s="12"/>
    </row>
    <row r="30438" spans="32:32" x14ac:dyDescent="0.2">
      <c r="AF30438" s="12"/>
    </row>
    <row r="30439" spans="32:32" x14ac:dyDescent="0.2">
      <c r="AF30439" s="12"/>
    </row>
    <row r="30440" spans="32:32" x14ac:dyDescent="0.2">
      <c r="AF30440" s="12"/>
    </row>
    <row r="30441" spans="32:32" x14ac:dyDescent="0.2">
      <c r="AF30441" s="12"/>
    </row>
    <row r="30442" spans="32:32" x14ac:dyDescent="0.2">
      <c r="AF30442" s="12"/>
    </row>
    <row r="30443" spans="32:32" x14ac:dyDescent="0.2">
      <c r="AF30443" s="12"/>
    </row>
    <row r="30444" spans="32:32" x14ac:dyDescent="0.2">
      <c r="AF30444" s="12"/>
    </row>
    <row r="30445" spans="32:32" x14ac:dyDescent="0.2">
      <c r="AF30445" s="12"/>
    </row>
    <row r="30446" spans="32:32" x14ac:dyDescent="0.2">
      <c r="AF30446" s="12"/>
    </row>
    <row r="30447" spans="32:32" x14ac:dyDescent="0.2">
      <c r="AF30447" s="12"/>
    </row>
    <row r="30448" spans="32:32" x14ac:dyDescent="0.2">
      <c r="AF30448" s="12"/>
    </row>
    <row r="30449" spans="32:32" x14ac:dyDescent="0.2">
      <c r="AF30449" s="12"/>
    </row>
    <row r="30450" spans="32:32" x14ac:dyDescent="0.2">
      <c r="AF30450" s="12"/>
    </row>
    <row r="30451" spans="32:32" x14ac:dyDescent="0.2">
      <c r="AF30451" s="12"/>
    </row>
    <row r="30452" spans="32:32" x14ac:dyDescent="0.2">
      <c r="AF30452" s="12"/>
    </row>
    <row r="30453" spans="32:32" x14ac:dyDescent="0.2">
      <c r="AF30453" s="12"/>
    </row>
    <row r="30454" spans="32:32" x14ac:dyDescent="0.2">
      <c r="AF30454" s="12"/>
    </row>
    <row r="30455" spans="32:32" x14ac:dyDescent="0.2">
      <c r="AF30455" s="12"/>
    </row>
    <row r="30456" spans="32:32" x14ac:dyDescent="0.2">
      <c r="AF30456" s="12"/>
    </row>
    <row r="30457" spans="32:32" x14ac:dyDescent="0.2">
      <c r="AF30457" s="12"/>
    </row>
    <row r="30458" spans="32:32" x14ac:dyDescent="0.2">
      <c r="AF30458" s="12"/>
    </row>
    <row r="30459" spans="32:32" x14ac:dyDescent="0.2">
      <c r="AF30459" s="12"/>
    </row>
    <row r="30460" spans="32:32" x14ac:dyDescent="0.2">
      <c r="AF30460" s="12"/>
    </row>
    <row r="30461" spans="32:32" x14ac:dyDescent="0.2">
      <c r="AF30461" s="12"/>
    </row>
    <row r="30462" spans="32:32" x14ac:dyDescent="0.2">
      <c r="AF30462" s="12"/>
    </row>
    <row r="30463" spans="32:32" x14ac:dyDescent="0.2">
      <c r="AF30463" s="12"/>
    </row>
    <row r="30464" spans="32:32" x14ac:dyDescent="0.2">
      <c r="AF30464" s="12"/>
    </row>
    <row r="30465" spans="32:32" x14ac:dyDescent="0.2">
      <c r="AF30465" s="12"/>
    </row>
    <row r="30466" spans="32:32" x14ac:dyDescent="0.2">
      <c r="AF30466" s="12"/>
    </row>
    <row r="30467" spans="32:32" x14ac:dyDescent="0.2">
      <c r="AF30467" s="12"/>
    </row>
    <row r="30468" spans="32:32" x14ac:dyDescent="0.2">
      <c r="AF30468" s="12"/>
    </row>
    <row r="30469" spans="32:32" x14ac:dyDescent="0.2">
      <c r="AF30469" s="12"/>
    </row>
    <row r="30470" spans="32:32" x14ac:dyDescent="0.2">
      <c r="AF30470" s="12"/>
    </row>
    <row r="30471" spans="32:32" x14ac:dyDescent="0.2">
      <c r="AF30471" s="12"/>
    </row>
    <row r="30472" spans="32:32" x14ac:dyDescent="0.2">
      <c r="AF30472" s="12"/>
    </row>
    <row r="30473" spans="32:32" x14ac:dyDescent="0.2">
      <c r="AF30473" s="12"/>
    </row>
    <row r="30474" spans="32:32" x14ac:dyDescent="0.2">
      <c r="AF30474" s="12"/>
    </row>
    <row r="30475" spans="32:32" x14ac:dyDescent="0.2">
      <c r="AF30475" s="12"/>
    </row>
    <row r="30476" spans="32:32" x14ac:dyDescent="0.2">
      <c r="AF30476" s="12"/>
    </row>
    <row r="30477" spans="32:32" x14ac:dyDescent="0.2">
      <c r="AF30477" s="12"/>
    </row>
    <row r="30478" spans="32:32" x14ac:dyDescent="0.2">
      <c r="AF30478" s="12"/>
    </row>
    <row r="30479" spans="32:32" x14ac:dyDescent="0.2">
      <c r="AF30479" s="12"/>
    </row>
    <row r="30480" spans="32:32" x14ac:dyDescent="0.2">
      <c r="AF30480" s="12"/>
    </row>
    <row r="30481" spans="32:32" x14ac:dyDescent="0.2">
      <c r="AF30481" s="12"/>
    </row>
    <row r="30482" spans="32:32" x14ac:dyDescent="0.2">
      <c r="AF30482" s="12"/>
    </row>
    <row r="30483" spans="32:32" x14ac:dyDescent="0.2">
      <c r="AF30483" s="12"/>
    </row>
    <row r="30484" spans="32:32" x14ac:dyDescent="0.2">
      <c r="AF30484" s="12"/>
    </row>
    <row r="30485" spans="32:32" x14ac:dyDescent="0.2">
      <c r="AF30485" s="12"/>
    </row>
    <row r="30486" spans="32:32" x14ac:dyDescent="0.2">
      <c r="AF30486" s="12"/>
    </row>
    <row r="30487" spans="32:32" x14ac:dyDescent="0.2">
      <c r="AF30487" s="12"/>
    </row>
    <row r="30488" spans="32:32" x14ac:dyDescent="0.2">
      <c r="AF30488" s="12"/>
    </row>
    <row r="30489" spans="32:32" x14ac:dyDescent="0.2">
      <c r="AF30489" s="12"/>
    </row>
    <row r="30490" spans="32:32" x14ac:dyDescent="0.2">
      <c r="AF30490" s="12"/>
    </row>
    <row r="30491" spans="32:32" x14ac:dyDescent="0.2">
      <c r="AF30491" s="12"/>
    </row>
    <row r="30492" spans="32:32" x14ac:dyDescent="0.2">
      <c r="AF30492" s="12"/>
    </row>
    <row r="30493" spans="32:32" x14ac:dyDescent="0.2">
      <c r="AF30493" s="12"/>
    </row>
    <row r="30494" spans="32:32" x14ac:dyDescent="0.2">
      <c r="AF30494" s="12"/>
    </row>
    <row r="30495" spans="32:32" x14ac:dyDescent="0.2">
      <c r="AF30495" s="12"/>
    </row>
    <row r="30496" spans="32:32" x14ac:dyDescent="0.2">
      <c r="AF30496" s="12"/>
    </row>
    <row r="30497" spans="32:32" x14ac:dyDescent="0.2">
      <c r="AF30497" s="12"/>
    </row>
    <row r="30498" spans="32:32" x14ac:dyDescent="0.2">
      <c r="AF30498" s="12"/>
    </row>
    <row r="30499" spans="32:32" x14ac:dyDescent="0.2">
      <c r="AF30499" s="12"/>
    </row>
    <row r="30500" spans="32:32" x14ac:dyDescent="0.2">
      <c r="AF30500" s="12"/>
    </row>
    <row r="30501" spans="32:32" x14ac:dyDescent="0.2">
      <c r="AF30501" s="12"/>
    </row>
    <row r="30502" spans="32:32" x14ac:dyDescent="0.2">
      <c r="AF30502" s="12"/>
    </row>
    <row r="30503" spans="32:32" x14ac:dyDescent="0.2">
      <c r="AF30503" s="12"/>
    </row>
    <row r="30504" spans="32:32" x14ac:dyDescent="0.2">
      <c r="AF30504" s="12"/>
    </row>
    <row r="30505" spans="32:32" x14ac:dyDescent="0.2">
      <c r="AF30505" s="12"/>
    </row>
    <row r="30506" spans="32:32" x14ac:dyDescent="0.2">
      <c r="AF30506" s="12"/>
    </row>
    <row r="30507" spans="32:32" x14ac:dyDescent="0.2">
      <c r="AF30507" s="12"/>
    </row>
    <row r="30508" spans="32:32" x14ac:dyDescent="0.2">
      <c r="AF30508" s="12"/>
    </row>
    <row r="30509" spans="32:32" x14ac:dyDescent="0.2">
      <c r="AF30509" s="12"/>
    </row>
    <row r="30510" spans="32:32" x14ac:dyDescent="0.2">
      <c r="AF30510" s="12"/>
    </row>
    <row r="30511" spans="32:32" x14ac:dyDescent="0.2">
      <c r="AF30511" s="12"/>
    </row>
    <row r="30512" spans="32:32" x14ac:dyDescent="0.2">
      <c r="AF30512" s="12"/>
    </row>
    <row r="30513" spans="32:32" x14ac:dyDescent="0.2">
      <c r="AF30513" s="12"/>
    </row>
    <row r="30514" spans="32:32" x14ac:dyDescent="0.2">
      <c r="AF30514" s="12"/>
    </row>
    <row r="30515" spans="32:32" x14ac:dyDescent="0.2">
      <c r="AF30515" s="12"/>
    </row>
    <row r="30516" spans="32:32" x14ac:dyDescent="0.2">
      <c r="AF30516" s="12"/>
    </row>
    <row r="30517" spans="32:32" x14ac:dyDescent="0.2">
      <c r="AF30517" s="12"/>
    </row>
    <row r="30518" spans="32:32" x14ac:dyDescent="0.2">
      <c r="AF30518" s="12"/>
    </row>
    <row r="30519" spans="32:32" x14ac:dyDescent="0.2">
      <c r="AF30519" s="12"/>
    </row>
    <row r="30520" spans="32:32" x14ac:dyDescent="0.2">
      <c r="AF30520" s="12"/>
    </row>
    <row r="30521" spans="32:32" x14ac:dyDescent="0.2">
      <c r="AF30521" s="12"/>
    </row>
    <row r="30522" spans="32:32" x14ac:dyDescent="0.2">
      <c r="AF30522" s="12"/>
    </row>
    <row r="30523" spans="32:32" x14ac:dyDescent="0.2">
      <c r="AF30523" s="12"/>
    </row>
    <row r="30524" spans="32:32" x14ac:dyDescent="0.2">
      <c r="AF30524" s="12"/>
    </row>
    <row r="30525" spans="32:32" x14ac:dyDescent="0.2">
      <c r="AF30525" s="12"/>
    </row>
    <row r="30526" spans="32:32" x14ac:dyDescent="0.2">
      <c r="AF30526" s="12"/>
    </row>
    <row r="30527" spans="32:32" x14ac:dyDescent="0.2">
      <c r="AF30527" s="12"/>
    </row>
    <row r="30528" spans="32:32" x14ac:dyDescent="0.2">
      <c r="AF30528" s="12"/>
    </row>
    <row r="30529" spans="32:32" x14ac:dyDescent="0.2">
      <c r="AF30529" s="12"/>
    </row>
    <row r="30530" spans="32:32" x14ac:dyDescent="0.2">
      <c r="AF30530" s="12"/>
    </row>
    <row r="30531" spans="32:32" x14ac:dyDescent="0.2">
      <c r="AF30531" s="12"/>
    </row>
    <row r="30532" spans="32:32" x14ac:dyDescent="0.2">
      <c r="AF30532" s="12"/>
    </row>
    <row r="30533" spans="32:32" x14ac:dyDescent="0.2">
      <c r="AF30533" s="12"/>
    </row>
    <row r="30534" spans="32:32" x14ac:dyDescent="0.2">
      <c r="AF30534" s="12"/>
    </row>
    <row r="30535" spans="32:32" x14ac:dyDescent="0.2">
      <c r="AF30535" s="12"/>
    </row>
    <row r="30536" spans="32:32" x14ac:dyDescent="0.2">
      <c r="AF30536" s="12"/>
    </row>
    <row r="30537" spans="32:32" x14ac:dyDescent="0.2">
      <c r="AF30537" s="12"/>
    </row>
    <row r="30538" spans="32:32" x14ac:dyDescent="0.2">
      <c r="AF30538" s="12"/>
    </row>
    <row r="30539" spans="32:32" x14ac:dyDescent="0.2">
      <c r="AF30539" s="12"/>
    </row>
    <row r="30540" spans="32:32" x14ac:dyDescent="0.2">
      <c r="AF30540" s="12"/>
    </row>
    <row r="30541" spans="32:32" x14ac:dyDescent="0.2">
      <c r="AF30541" s="12"/>
    </row>
    <row r="30542" spans="32:32" x14ac:dyDescent="0.2">
      <c r="AF30542" s="12"/>
    </row>
    <row r="30543" spans="32:32" x14ac:dyDescent="0.2">
      <c r="AF30543" s="12"/>
    </row>
    <row r="30544" spans="32:32" x14ac:dyDescent="0.2">
      <c r="AF30544" s="12"/>
    </row>
    <row r="30545" spans="32:32" x14ac:dyDescent="0.2">
      <c r="AF30545" s="12"/>
    </row>
    <row r="30546" spans="32:32" x14ac:dyDescent="0.2">
      <c r="AF30546" s="12"/>
    </row>
    <row r="30547" spans="32:32" x14ac:dyDescent="0.2">
      <c r="AF30547" s="12"/>
    </row>
    <row r="30548" spans="32:32" x14ac:dyDescent="0.2">
      <c r="AF30548" s="12"/>
    </row>
    <row r="30549" spans="32:32" x14ac:dyDescent="0.2">
      <c r="AF30549" s="12"/>
    </row>
    <row r="30550" spans="32:32" x14ac:dyDescent="0.2">
      <c r="AF30550" s="12"/>
    </row>
    <row r="30551" spans="32:32" x14ac:dyDescent="0.2">
      <c r="AF30551" s="12"/>
    </row>
    <row r="30552" spans="32:32" x14ac:dyDescent="0.2">
      <c r="AF30552" s="12"/>
    </row>
    <row r="30553" spans="32:32" x14ac:dyDescent="0.2">
      <c r="AF30553" s="12"/>
    </row>
    <row r="30554" spans="32:32" x14ac:dyDescent="0.2">
      <c r="AF30554" s="12"/>
    </row>
    <row r="30555" spans="32:32" x14ac:dyDescent="0.2">
      <c r="AF30555" s="12"/>
    </row>
    <row r="30556" spans="32:32" x14ac:dyDescent="0.2">
      <c r="AF30556" s="12"/>
    </row>
    <row r="30557" spans="32:32" x14ac:dyDescent="0.2">
      <c r="AF30557" s="12"/>
    </row>
    <row r="30558" spans="32:32" x14ac:dyDescent="0.2">
      <c r="AF30558" s="12"/>
    </row>
    <row r="30559" spans="32:32" x14ac:dyDescent="0.2">
      <c r="AF30559" s="12"/>
    </row>
    <row r="30560" spans="32:32" x14ac:dyDescent="0.2">
      <c r="AF30560" s="12"/>
    </row>
    <row r="30561" spans="32:32" x14ac:dyDescent="0.2">
      <c r="AF30561" s="12"/>
    </row>
    <row r="30562" spans="32:32" x14ac:dyDescent="0.2">
      <c r="AF30562" s="12"/>
    </row>
    <row r="30563" spans="32:32" x14ac:dyDescent="0.2">
      <c r="AF30563" s="12"/>
    </row>
    <row r="30564" spans="32:32" x14ac:dyDescent="0.2">
      <c r="AF30564" s="12"/>
    </row>
    <row r="30565" spans="32:32" x14ac:dyDescent="0.2">
      <c r="AF30565" s="12"/>
    </row>
    <row r="30566" spans="32:32" x14ac:dyDescent="0.2">
      <c r="AF30566" s="12"/>
    </row>
    <row r="30567" spans="32:32" x14ac:dyDescent="0.2">
      <c r="AF30567" s="12"/>
    </row>
    <row r="30568" spans="32:32" x14ac:dyDescent="0.2">
      <c r="AF30568" s="12"/>
    </row>
    <row r="30569" spans="32:32" x14ac:dyDescent="0.2">
      <c r="AF30569" s="12"/>
    </row>
    <row r="30570" spans="32:32" x14ac:dyDescent="0.2">
      <c r="AF30570" s="12"/>
    </row>
    <row r="30571" spans="32:32" x14ac:dyDescent="0.2">
      <c r="AF30571" s="12"/>
    </row>
    <row r="30572" spans="32:32" x14ac:dyDescent="0.2">
      <c r="AF30572" s="12"/>
    </row>
    <row r="30573" spans="32:32" x14ac:dyDescent="0.2">
      <c r="AF30573" s="12"/>
    </row>
    <row r="30574" spans="32:32" x14ac:dyDescent="0.2">
      <c r="AF30574" s="12"/>
    </row>
    <row r="30575" spans="32:32" x14ac:dyDescent="0.2">
      <c r="AF30575" s="12"/>
    </row>
    <row r="30576" spans="32:32" x14ac:dyDescent="0.2">
      <c r="AF30576" s="12"/>
    </row>
    <row r="30577" spans="32:32" x14ac:dyDescent="0.2">
      <c r="AF30577" s="12"/>
    </row>
    <row r="30578" spans="32:32" x14ac:dyDescent="0.2">
      <c r="AF30578" s="12"/>
    </row>
    <row r="30579" spans="32:32" x14ac:dyDescent="0.2">
      <c r="AF30579" s="12"/>
    </row>
    <row r="30580" spans="32:32" x14ac:dyDescent="0.2">
      <c r="AF30580" s="12"/>
    </row>
    <row r="30581" spans="32:32" x14ac:dyDescent="0.2">
      <c r="AF30581" s="12"/>
    </row>
    <row r="30582" spans="32:32" x14ac:dyDescent="0.2">
      <c r="AF30582" s="12"/>
    </row>
    <row r="30583" spans="32:32" x14ac:dyDescent="0.2">
      <c r="AF30583" s="12"/>
    </row>
    <row r="30584" spans="32:32" x14ac:dyDescent="0.2">
      <c r="AF30584" s="12"/>
    </row>
    <row r="30585" spans="32:32" x14ac:dyDescent="0.2">
      <c r="AF30585" s="12"/>
    </row>
    <row r="30586" spans="32:32" x14ac:dyDescent="0.2">
      <c r="AF30586" s="12"/>
    </row>
    <row r="30587" spans="32:32" x14ac:dyDescent="0.2">
      <c r="AF30587" s="12"/>
    </row>
    <row r="30588" spans="32:32" x14ac:dyDescent="0.2">
      <c r="AF30588" s="12"/>
    </row>
    <row r="30589" spans="32:32" x14ac:dyDescent="0.2">
      <c r="AF30589" s="12"/>
    </row>
    <row r="30590" spans="32:32" x14ac:dyDescent="0.2">
      <c r="AF30590" s="12"/>
    </row>
    <row r="30591" spans="32:32" x14ac:dyDescent="0.2">
      <c r="AF30591" s="12"/>
    </row>
    <row r="30592" spans="32:32" x14ac:dyDescent="0.2">
      <c r="AF30592" s="12"/>
    </row>
    <row r="30593" spans="32:32" x14ac:dyDescent="0.2">
      <c r="AF30593" s="12"/>
    </row>
    <row r="30594" spans="32:32" x14ac:dyDescent="0.2">
      <c r="AF30594" s="12"/>
    </row>
    <row r="30595" spans="32:32" x14ac:dyDescent="0.2">
      <c r="AF30595" s="12"/>
    </row>
    <row r="30596" spans="32:32" x14ac:dyDescent="0.2">
      <c r="AF30596" s="12"/>
    </row>
    <row r="30597" spans="32:32" x14ac:dyDescent="0.2">
      <c r="AF30597" s="12"/>
    </row>
    <row r="30598" spans="32:32" x14ac:dyDescent="0.2">
      <c r="AF30598" s="12"/>
    </row>
    <row r="30599" spans="32:32" x14ac:dyDescent="0.2">
      <c r="AF30599" s="12"/>
    </row>
    <row r="30600" spans="32:32" x14ac:dyDescent="0.2">
      <c r="AF30600" s="12"/>
    </row>
    <row r="30601" spans="32:32" x14ac:dyDescent="0.2">
      <c r="AF30601" s="12"/>
    </row>
    <row r="30602" spans="32:32" x14ac:dyDescent="0.2">
      <c r="AF30602" s="12"/>
    </row>
    <row r="30603" spans="32:32" x14ac:dyDescent="0.2">
      <c r="AF30603" s="12"/>
    </row>
    <row r="30604" spans="32:32" x14ac:dyDescent="0.2">
      <c r="AF30604" s="12"/>
    </row>
    <row r="30605" spans="32:32" x14ac:dyDescent="0.2">
      <c r="AF30605" s="12"/>
    </row>
    <row r="30606" spans="32:32" x14ac:dyDescent="0.2">
      <c r="AF30606" s="12"/>
    </row>
    <row r="30607" spans="32:32" x14ac:dyDescent="0.2">
      <c r="AF30607" s="12"/>
    </row>
    <row r="30608" spans="32:32" x14ac:dyDescent="0.2">
      <c r="AF30608" s="12"/>
    </row>
    <row r="30609" spans="32:32" x14ac:dyDescent="0.2">
      <c r="AF30609" s="12"/>
    </row>
    <row r="30610" spans="32:32" x14ac:dyDescent="0.2">
      <c r="AF30610" s="12"/>
    </row>
    <row r="30611" spans="32:32" x14ac:dyDescent="0.2">
      <c r="AF30611" s="12"/>
    </row>
    <row r="30612" spans="32:32" x14ac:dyDescent="0.2">
      <c r="AF30612" s="12"/>
    </row>
    <row r="30613" spans="32:32" x14ac:dyDescent="0.2">
      <c r="AF30613" s="12"/>
    </row>
    <row r="30614" spans="32:32" x14ac:dyDescent="0.2">
      <c r="AF30614" s="12"/>
    </row>
    <row r="30615" spans="32:32" x14ac:dyDescent="0.2">
      <c r="AF30615" s="12"/>
    </row>
    <row r="30616" spans="32:32" x14ac:dyDescent="0.2">
      <c r="AF30616" s="12"/>
    </row>
    <row r="30617" spans="32:32" x14ac:dyDescent="0.2">
      <c r="AF30617" s="12"/>
    </row>
    <row r="30618" spans="32:32" x14ac:dyDescent="0.2">
      <c r="AF30618" s="12"/>
    </row>
    <row r="30619" spans="32:32" x14ac:dyDescent="0.2">
      <c r="AF30619" s="12"/>
    </row>
    <row r="30620" spans="32:32" x14ac:dyDescent="0.2">
      <c r="AF30620" s="12"/>
    </row>
    <row r="30621" spans="32:32" x14ac:dyDescent="0.2">
      <c r="AF30621" s="12"/>
    </row>
    <row r="30622" spans="32:32" x14ac:dyDescent="0.2">
      <c r="AF30622" s="12"/>
    </row>
    <row r="30623" spans="32:32" x14ac:dyDescent="0.2">
      <c r="AF30623" s="12"/>
    </row>
    <row r="30624" spans="32:32" x14ac:dyDescent="0.2">
      <c r="AF30624" s="12"/>
    </row>
    <row r="30625" spans="32:32" x14ac:dyDescent="0.2">
      <c r="AF30625" s="12"/>
    </row>
    <row r="30626" spans="32:32" x14ac:dyDescent="0.2">
      <c r="AF30626" s="12"/>
    </row>
    <row r="30627" spans="32:32" x14ac:dyDescent="0.2">
      <c r="AF30627" s="12"/>
    </row>
    <row r="30628" spans="32:32" x14ac:dyDescent="0.2">
      <c r="AF30628" s="12"/>
    </row>
    <row r="30629" spans="32:32" x14ac:dyDescent="0.2">
      <c r="AF30629" s="12"/>
    </row>
    <row r="30630" spans="32:32" x14ac:dyDescent="0.2">
      <c r="AF30630" s="12"/>
    </row>
    <row r="30631" spans="32:32" x14ac:dyDescent="0.2">
      <c r="AF30631" s="12"/>
    </row>
    <row r="30632" spans="32:32" x14ac:dyDescent="0.2">
      <c r="AF30632" s="12"/>
    </row>
    <row r="30633" spans="32:32" x14ac:dyDescent="0.2">
      <c r="AF30633" s="12"/>
    </row>
    <row r="30634" spans="32:32" x14ac:dyDescent="0.2">
      <c r="AF30634" s="12"/>
    </row>
    <row r="30635" spans="32:32" x14ac:dyDescent="0.2">
      <c r="AF30635" s="12"/>
    </row>
    <row r="30636" spans="32:32" x14ac:dyDescent="0.2">
      <c r="AF30636" s="12"/>
    </row>
    <row r="30637" spans="32:32" x14ac:dyDescent="0.2">
      <c r="AF30637" s="12"/>
    </row>
    <row r="30638" spans="32:32" x14ac:dyDescent="0.2">
      <c r="AF30638" s="12"/>
    </row>
    <row r="30639" spans="32:32" x14ac:dyDescent="0.2">
      <c r="AF30639" s="12"/>
    </row>
    <row r="30640" spans="32:32" x14ac:dyDescent="0.2">
      <c r="AF30640" s="12"/>
    </row>
    <row r="30641" spans="32:32" x14ac:dyDescent="0.2">
      <c r="AF30641" s="12"/>
    </row>
    <row r="30642" spans="32:32" x14ac:dyDescent="0.2">
      <c r="AF30642" s="12"/>
    </row>
    <row r="30643" spans="32:32" x14ac:dyDescent="0.2">
      <c r="AF30643" s="12"/>
    </row>
    <row r="30644" spans="32:32" x14ac:dyDescent="0.2">
      <c r="AF30644" s="12"/>
    </row>
    <row r="30645" spans="32:32" x14ac:dyDescent="0.2">
      <c r="AF30645" s="12"/>
    </row>
    <row r="30646" spans="32:32" x14ac:dyDescent="0.2">
      <c r="AF30646" s="12"/>
    </row>
    <row r="30647" spans="32:32" x14ac:dyDescent="0.2">
      <c r="AF30647" s="12"/>
    </row>
    <row r="30648" spans="32:32" x14ac:dyDescent="0.2">
      <c r="AF30648" s="12"/>
    </row>
    <row r="30649" spans="32:32" x14ac:dyDescent="0.2">
      <c r="AF30649" s="12"/>
    </row>
    <row r="30650" spans="32:32" x14ac:dyDescent="0.2">
      <c r="AF30650" s="12"/>
    </row>
    <row r="30651" spans="32:32" x14ac:dyDescent="0.2">
      <c r="AF30651" s="12"/>
    </row>
    <row r="30652" spans="32:32" x14ac:dyDescent="0.2">
      <c r="AF30652" s="12"/>
    </row>
    <row r="30653" spans="32:32" x14ac:dyDescent="0.2">
      <c r="AF30653" s="12"/>
    </row>
    <row r="30654" spans="32:32" x14ac:dyDescent="0.2">
      <c r="AF30654" s="12"/>
    </row>
    <row r="30655" spans="32:32" x14ac:dyDescent="0.2">
      <c r="AF30655" s="12"/>
    </row>
    <row r="30656" spans="32:32" x14ac:dyDescent="0.2">
      <c r="AF30656" s="12"/>
    </row>
    <row r="30657" spans="32:32" x14ac:dyDescent="0.2">
      <c r="AF30657" s="12"/>
    </row>
    <row r="30658" spans="32:32" x14ac:dyDescent="0.2">
      <c r="AF30658" s="12"/>
    </row>
    <row r="30659" spans="32:32" x14ac:dyDescent="0.2">
      <c r="AF30659" s="12"/>
    </row>
    <row r="30660" spans="32:32" x14ac:dyDescent="0.2">
      <c r="AF30660" s="12"/>
    </row>
    <row r="30661" spans="32:32" x14ac:dyDescent="0.2">
      <c r="AF30661" s="12"/>
    </row>
    <row r="30662" spans="32:32" x14ac:dyDescent="0.2">
      <c r="AF30662" s="12"/>
    </row>
    <row r="30663" spans="32:32" x14ac:dyDescent="0.2">
      <c r="AF30663" s="12"/>
    </row>
    <row r="30664" spans="32:32" x14ac:dyDescent="0.2">
      <c r="AF30664" s="12"/>
    </row>
    <row r="30665" spans="32:32" x14ac:dyDescent="0.2">
      <c r="AF30665" s="12"/>
    </row>
    <row r="30666" spans="32:32" x14ac:dyDescent="0.2">
      <c r="AF30666" s="12"/>
    </row>
    <row r="30667" spans="32:32" x14ac:dyDescent="0.2">
      <c r="AF30667" s="12"/>
    </row>
    <row r="30668" spans="32:32" x14ac:dyDescent="0.2">
      <c r="AF30668" s="12"/>
    </row>
    <row r="30669" spans="32:32" x14ac:dyDescent="0.2">
      <c r="AF30669" s="12"/>
    </row>
    <row r="30670" spans="32:32" x14ac:dyDescent="0.2">
      <c r="AF30670" s="12"/>
    </row>
    <row r="30671" spans="32:32" x14ac:dyDescent="0.2">
      <c r="AF30671" s="12"/>
    </row>
    <row r="30672" spans="32:32" x14ac:dyDescent="0.2">
      <c r="AF30672" s="12"/>
    </row>
    <row r="30673" spans="32:32" x14ac:dyDescent="0.2">
      <c r="AF30673" s="12"/>
    </row>
    <row r="30674" spans="32:32" x14ac:dyDescent="0.2">
      <c r="AF30674" s="12"/>
    </row>
    <row r="30675" spans="32:32" x14ac:dyDescent="0.2">
      <c r="AF30675" s="12"/>
    </row>
    <row r="30676" spans="32:32" x14ac:dyDescent="0.2">
      <c r="AF30676" s="12"/>
    </row>
    <row r="30677" spans="32:32" x14ac:dyDescent="0.2">
      <c r="AF30677" s="12"/>
    </row>
    <row r="30678" spans="32:32" x14ac:dyDescent="0.2">
      <c r="AF30678" s="12"/>
    </row>
    <row r="30679" spans="32:32" x14ac:dyDescent="0.2">
      <c r="AF30679" s="12"/>
    </row>
    <row r="30680" spans="32:32" x14ac:dyDescent="0.2">
      <c r="AF30680" s="12"/>
    </row>
    <row r="30681" spans="32:32" x14ac:dyDescent="0.2">
      <c r="AF30681" s="12"/>
    </row>
    <row r="30682" spans="32:32" x14ac:dyDescent="0.2">
      <c r="AF30682" s="12"/>
    </row>
    <row r="30683" spans="32:32" x14ac:dyDescent="0.2">
      <c r="AF30683" s="12"/>
    </row>
    <row r="30684" spans="32:32" x14ac:dyDescent="0.2">
      <c r="AF30684" s="12"/>
    </row>
    <row r="30685" spans="32:32" x14ac:dyDescent="0.2">
      <c r="AF30685" s="12"/>
    </row>
    <row r="30686" spans="32:32" x14ac:dyDescent="0.2">
      <c r="AF30686" s="12"/>
    </row>
    <row r="30687" spans="32:32" x14ac:dyDescent="0.2">
      <c r="AF30687" s="12"/>
    </row>
    <row r="30688" spans="32:32" x14ac:dyDescent="0.2">
      <c r="AF30688" s="12"/>
    </row>
    <row r="30689" spans="32:32" x14ac:dyDescent="0.2">
      <c r="AF30689" s="12"/>
    </row>
    <row r="30690" spans="32:32" x14ac:dyDescent="0.2">
      <c r="AF30690" s="12"/>
    </row>
    <row r="30691" spans="32:32" x14ac:dyDescent="0.2">
      <c r="AF30691" s="12"/>
    </row>
    <row r="30692" spans="32:32" x14ac:dyDescent="0.2">
      <c r="AF30692" s="12"/>
    </row>
    <row r="30693" spans="32:32" x14ac:dyDescent="0.2">
      <c r="AF30693" s="12"/>
    </row>
    <row r="30694" spans="32:32" x14ac:dyDescent="0.2">
      <c r="AF30694" s="12"/>
    </row>
    <row r="30695" spans="32:32" x14ac:dyDescent="0.2">
      <c r="AF30695" s="12"/>
    </row>
    <row r="30696" spans="32:32" x14ac:dyDescent="0.2">
      <c r="AF30696" s="12"/>
    </row>
    <row r="30697" spans="32:32" x14ac:dyDescent="0.2">
      <c r="AF30697" s="12"/>
    </row>
    <row r="30698" spans="32:32" x14ac:dyDescent="0.2">
      <c r="AF30698" s="12"/>
    </row>
    <row r="30699" spans="32:32" x14ac:dyDescent="0.2">
      <c r="AF30699" s="12"/>
    </row>
    <row r="30700" spans="32:32" x14ac:dyDescent="0.2">
      <c r="AF30700" s="12"/>
    </row>
    <row r="30701" spans="32:32" x14ac:dyDescent="0.2">
      <c r="AF30701" s="12"/>
    </row>
    <row r="30702" spans="32:32" x14ac:dyDescent="0.2">
      <c r="AF30702" s="12"/>
    </row>
    <row r="30703" spans="32:32" x14ac:dyDescent="0.2">
      <c r="AF30703" s="12"/>
    </row>
    <row r="30704" spans="32:32" x14ac:dyDescent="0.2">
      <c r="AF30704" s="12"/>
    </row>
    <row r="30705" spans="32:32" x14ac:dyDescent="0.2">
      <c r="AF30705" s="12"/>
    </row>
    <row r="30706" spans="32:32" x14ac:dyDescent="0.2">
      <c r="AF30706" s="12"/>
    </row>
    <row r="30707" spans="32:32" x14ac:dyDescent="0.2">
      <c r="AF30707" s="12"/>
    </row>
    <row r="30708" spans="32:32" x14ac:dyDescent="0.2">
      <c r="AF30708" s="12"/>
    </row>
    <row r="30709" spans="32:32" x14ac:dyDescent="0.2">
      <c r="AF30709" s="12"/>
    </row>
    <row r="30710" spans="32:32" x14ac:dyDescent="0.2">
      <c r="AF30710" s="12"/>
    </row>
    <row r="30711" spans="32:32" x14ac:dyDescent="0.2">
      <c r="AF30711" s="12"/>
    </row>
    <row r="30712" spans="32:32" x14ac:dyDescent="0.2">
      <c r="AF30712" s="12"/>
    </row>
    <row r="30713" spans="32:32" x14ac:dyDescent="0.2">
      <c r="AF30713" s="12"/>
    </row>
    <row r="30714" spans="32:32" x14ac:dyDescent="0.2">
      <c r="AF30714" s="12"/>
    </row>
    <row r="30715" spans="32:32" x14ac:dyDescent="0.2">
      <c r="AF30715" s="12"/>
    </row>
    <row r="30716" spans="32:32" x14ac:dyDescent="0.2">
      <c r="AF30716" s="12"/>
    </row>
    <row r="30717" spans="32:32" x14ac:dyDescent="0.2">
      <c r="AF30717" s="12"/>
    </row>
    <row r="30718" spans="32:32" x14ac:dyDescent="0.2">
      <c r="AF30718" s="12"/>
    </row>
    <row r="30719" spans="32:32" x14ac:dyDescent="0.2">
      <c r="AF30719" s="12"/>
    </row>
    <row r="30720" spans="32:32" x14ac:dyDescent="0.2">
      <c r="AF30720" s="12"/>
    </row>
    <row r="30721" spans="32:32" x14ac:dyDescent="0.2">
      <c r="AF30721" s="12"/>
    </row>
    <row r="30722" spans="32:32" x14ac:dyDescent="0.2">
      <c r="AF30722" s="12"/>
    </row>
    <row r="30723" spans="32:32" x14ac:dyDescent="0.2">
      <c r="AF30723" s="12"/>
    </row>
    <row r="30724" spans="32:32" x14ac:dyDescent="0.2">
      <c r="AF30724" s="12"/>
    </row>
    <row r="30725" spans="32:32" x14ac:dyDescent="0.2">
      <c r="AF30725" s="12"/>
    </row>
    <row r="30726" spans="32:32" x14ac:dyDescent="0.2">
      <c r="AF30726" s="12"/>
    </row>
    <row r="30727" spans="32:32" x14ac:dyDescent="0.2">
      <c r="AF30727" s="12"/>
    </row>
    <row r="30728" spans="32:32" x14ac:dyDescent="0.2">
      <c r="AF30728" s="12"/>
    </row>
    <row r="30729" spans="32:32" x14ac:dyDescent="0.2">
      <c r="AF30729" s="12"/>
    </row>
    <row r="30730" spans="32:32" x14ac:dyDescent="0.2">
      <c r="AF30730" s="12"/>
    </row>
    <row r="30731" spans="32:32" x14ac:dyDescent="0.2">
      <c r="AF30731" s="12"/>
    </row>
    <row r="30732" spans="32:32" x14ac:dyDescent="0.2">
      <c r="AF30732" s="12"/>
    </row>
    <row r="30733" spans="32:32" x14ac:dyDescent="0.2">
      <c r="AF30733" s="12"/>
    </row>
    <row r="30734" spans="32:32" x14ac:dyDescent="0.2">
      <c r="AF30734" s="12"/>
    </row>
    <row r="30735" spans="32:32" x14ac:dyDescent="0.2">
      <c r="AF30735" s="12"/>
    </row>
    <row r="30736" spans="32:32" x14ac:dyDescent="0.2">
      <c r="AF30736" s="12"/>
    </row>
    <row r="30737" spans="32:32" x14ac:dyDescent="0.2">
      <c r="AF30737" s="12"/>
    </row>
    <row r="30738" spans="32:32" x14ac:dyDescent="0.2">
      <c r="AF30738" s="12"/>
    </row>
    <row r="30739" spans="32:32" x14ac:dyDescent="0.2">
      <c r="AF30739" s="12"/>
    </row>
    <row r="30740" spans="32:32" x14ac:dyDescent="0.2">
      <c r="AF30740" s="12"/>
    </row>
    <row r="30741" spans="32:32" x14ac:dyDescent="0.2">
      <c r="AF30741" s="12"/>
    </row>
    <row r="30742" spans="32:32" x14ac:dyDescent="0.2">
      <c r="AF30742" s="12"/>
    </row>
    <row r="30743" spans="32:32" x14ac:dyDescent="0.2">
      <c r="AF30743" s="12"/>
    </row>
    <row r="30744" spans="32:32" x14ac:dyDescent="0.2">
      <c r="AF30744" s="12"/>
    </row>
    <row r="30745" spans="32:32" x14ac:dyDescent="0.2">
      <c r="AF30745" s="12"/>
    </row>
    <row r="30746" spans="32:32" x14ac:dyDescent="0.2">
      <c r="AF30746" s="12"/>
    </row>
    <row r="30747" spans="32:32" x14ac:dyDescent="0.2">
      <c r="AF30747" s="12"/>
    </row>
    <row r="30748" spans="32:32" x14ac:dyDescent="0.2">
      <c r="AF30748" s="12"/>
    </row>
    <row r="30749" spans="32:32" x14ac:dyDescent="0.2">
      <c r="AF30749" s="12"/>
    </row>
    <row r="30750" spans="32:32" x14ac:dyDescent="0.2">
      <c r="AF30750" s="12"/>
    </row>
    <row r="30751" spans="32:32" x14ac:dyDescent="0.2">
      <c r="AF30751" s="12"/>
    </row>
    <row r="30752" spans="32:32" x14ac:dyDescent="0.2">
      <c r="AF30752" s="12"/>
    </row>
    <row r="30753" spans="32:32" x14ac:dyDescent="0.2">
      <c r="AF30753" s="12"/>
    </row>
    <row r="30754" spans="32:32" x14ac:dyDescent="0.2">
      <c r="AF30754" s="12"/>
    </row>
    <row r="30755" spans="32:32" x14ac:dyDescent="0.2">
      <c r="AF30755" s="12"/>
    </row>
    <row r="30756" spans="32:32" x14ac:dyDescent="0.2">
      <c r="AF30756" s="12"/>
    </row>
    <row r="30757" spans="32:32" x14ac:dyDescent="0.2">
      <c r="AF30757" s="12"/>
    </row>
    <row r="30758" spans="32:32" x14ac:dyDescent="0.2">
      <c r="AF30758" s="12"/>
    </row>
    <row r="30759" spans="32:32" x14ac:dyDescent="0.2">
      <c r="AF30759" s="12"/>
    </row>
    <row r="30760" spans="32:32" x14ac:dyDescent="0.2">
      <c r="AF30760" s="12"/>
    </row>
    <row r="30761" spans="32:32" x14ac:dyDescent="0.2">
      <c r="AF30761" s="12"/>
    </row>
    <row r="30762" spans="32:32" x14ac:dyDescent="0.2">
      <c r="AF30762" s="12"/>
    </row>
    <row r="30763" spans="32:32" x14ac:dyDescent="0.2">
      <c r="AF30763" s="12"/>
    </row>
    <row r="30764" spans="32:32" x14ac:dyDescent="0.2">
      <c r="AF30764" s="12"/>
    </row>
    <row r="30765" spans="32:32" x14ac:dyDescent="0.2">
      <c r="AF30765" s="12"/>
    </row>
    <row r="30766" spans="32:32" x14ac:dyDescent="0.2">
      <c r="AF30766" s="12"/>
    </row>
    <row r="30767" spans="32:32" x14ac:dyDescent="0.2">
      <c r="AF30767" s="12"/>
    </row>
    <row r="30768" spans="32:32" x14ac:dyDescent="0.2">
      <c r="AF30768" s="12"/>
    </row>
    <row r="30769" spans="32:32" x14ac:dyDescent="0.2">
      <c r="AF30769" s="12"/>
    </row>
    <row r="30770" spans="32:32" x14ac:dyDescent="0.2">
      <c r="AF30770" s="12"/>
    </row>
    <row r="30771" spans="32:32" x14ac:dyDescent="0.2">
      <c r="AF30771" s="12"/>
    </row>
    <row r="30772" spans="32:32" x14ac:dyDescent="0.2">
      <c r="AF30772" s="12"/>
    </row>
    <row r="30773" spans="32:32" x14ac:dyDescent="0.2">
      <c r="AF30773" s="12"/>
    </row>
    <row r="30774" spans="32:32" x14ac:dyDescent="0.2">
      <c r="AF30774" s="12"/>
    </row>
    <row r="30775" spans="32:32" x14ac:dyDescent="0.2">
      <c r="AF30775" s="12"/>
    </row>
    <row r="30776" spans="32:32" x14ac:dyDescent="0.2">
      <c r="AF30776" s="12"/>
    </row>
    <row r="30777" spans="32:32" x14ac:dyDescent="0.2">
      <c r="AF30777" s="12"/>
    </row>
    <row r="30778" spans="32:32" x14ac:dyDescent="0.2">
      <c r="AF30778" s="12"/>
    </row>
    <row r="30779" spans="32:32" x14ac:dyDescent="0.2">
      <c r="AF30779" s="12"/>
    </row>
    <row r="30780" spans="32:32" x14ac:dyDescent="0.2">
      <c r="AF30780" s="12"/>
    </row>
    <row r="30781" spans="32:32" x14ac:dyDescent="0.2">
      <c r="AF30781" s="12"/>
    </row>
    <row r="30782" spans="32:32" x14ac:dyDescent="0.2">
      <c r="AF30782" s="12"/>
    </row>
    <row r="30783" spans="32:32" x14ac:dyDescent="0.2">
      <c r="AF30783" s="12"/>
    </row>
    <row r="30784" spans="32:32" x14ac:dyDescent="0.2">
      <c r="AF30784" s="12"/>
    </row>
    <row r="30785" spans="32:32" x14ac:dyDescent="0.2">
      <c r="AF30785" s="12"/>
    </row>
    <row r="30786" spans="32:32" x14ac:dyDescent="0.2">
      <c r="AF30786" s="12"/>
    </row>
    <row r="30787" spans="32:32" x14ac:dyDescent="0.2">
      <c r="AF30787" s="12"/>
    </row>
    <row r="30788" spans="32:32" x14ac:dyDescent="0.2">
      <c r="AF30788" s="12"/>
    </row>
    <row r="30789" spans="32:32" x14ac:dyDescent="0.2">
      <c r="AF30789" s="12"/>
    </row>
    <row r="30790" spans="32:32" x14ac:dyDescent="0.2">
      <c r="AF30790" s="12"/>
    </row>
    <row r="30791" spans="32:32" x14ac:dyDescent="0.2">
      <c r="AF30791" s="12"/>
    </row>
    <row r="30792" spans="32:32" x14ac:dyDescent="0.2">
      <c r="AF30792" s="12"/>
    </row>
    <row r="30793" spans="32:32" x14ac:dyDescent="0.2">
      <c r="AF30793" s="12"/>
    </row>
    <row r="30794" spans="32:32" x14ac:dyDescent="0.2">
      <c r="AF30794" s="12"/>
    </row>
    <row r="30795" spans="32:32" x14ac:dyDescent="0.2">
      <c r="AF30795" s="12"/>
    </row>
    <row r="30796" spans="32:32" x14ac:dyDescent="0.2">
      <c r="AF30796" s="12"/>
    </row>
    <row r="30797" spans="32:32" x14ac:dyDescent="0.2">
      <c r="AF30797" s="12"/>
    </row>
    <row r="30798" spans="32:32" x14ac:dyDescent="0.2">
      <c r="AF30798" s="12"/>
    </row>
    <row r="30799" spans="32:32" x14ac:dyDescent="0.2">
      <c r="AF30799" s="12"/>
    </row>
    <row r="30800" spans="32:32" x14ac:dyDescent="0.2">
      <c r="AF30800" s="12"/>
    </row>
    <row r="30801" spans="32:32" x14ac:dyDescent="0.2">
      <c r="AF30801" s="12"/>
    </row>
    <row r="30802" spans="32:32" x14ac:dyDescent="0.2">
      <c r="AF30802" s="12"/>
    </row>
    <row r="30803" spans="32:32" x14ac:dyDescent="0.2">
      <c r="AF30803" s="12"/>
    </row>
    <row r="30804" spans="32:32" x14ac:dyDescent="0.2">
      <c r="AF30804" s="12"/>
    </row>
    <row r="30805" spans="32:32" x14ac:dyDescent="0.2">
      <c r="AF30805" s="12"/>
    </row>
    <row r="30806" spans="32:32" x14ac:dyDescent="0.2">
      <c r="AF30806" s="12"/>
    </row>
    <row r="30807" spans="32:32" x14ac:dyDescent="0.2">
      <c r="AF30807" s="12"/>
    </row>
    <row r="30808" spans="32:32" x14ac:dyDescent="0.2">
      <c r="AF30808" s="12"/>
    </row>
    <row r="30809" spans="32:32" x14ac:dyDescent="0.2">
      <c r="AF30809" s="12"/>
    </row>
    <row r="30810" spans="32:32" x14ac:dyDescent="0.2">
      <c r="AF30810" s="12"/>
    </row>
    <row r="30811" spans="32:32" x14ac:dyDescent="0.2">
      <c r="AF30811" s="12"/>
    </row>
    <row r="30812" spans="32:32" x14ac:dyDescent="0.2">
      <c r="AF30812" s="12"/>
    </row>
    <row r="30813" spans="32:32" x14ac:dyDescent="0.2">
      <c r="AF30813" s="12"/>
    </row>
    <row r="30814" spans="32:32" x14ac:dyDescent="0.2">
      <c r="AF30814" s="12"/>
    </row>
    <row r="30815" spans="32:32" x14ac:dyDescent="0.2">
      <c r="AF30815" s="12"/>
    </row>
    <row r="30816" spans="32:32" x14ac:dyDescent="0.2">
      <c r="AF30816" s="12"/>
    </row>
    <row r="30817" spans="32:32" x14ac:dyDescent="0.2">
      <c r="AF30817" s="12"/>
    </row>
    <row r="30818" spans="32:32" x14ac:dyDescent="0.2">
      <c r="AF30818" s="12"/>
    </row>
    <row r="30819" spans="32:32" x14ac:dyDescent="0.2">
      <c r="AF30819" s="12"/>
    </row>
    <row r="30820" spans="32:32" x14ac:dyDescent="0.2">
      <c r="AF30820" s="12"/>
    </row>
    <row r="30821" spans="32:32" x14ac:dyDescent="0.2">
      <c r="AF30821" s="12"/>
    </row>
    <row r="30822" spans="32:32" x14ac:dyDescent="0.2">
      <c r="AF30822" s="12"/>
    </row>
    <row r="30823" spans="32:32" x14ac:dyDescent="0.2">
      <c r="AF30823" s="12"/>
    </row>
    <row r="30824" spans="32:32" x14ac:dyDescent="0.2">
      <c r="AF30824" s="12"/>
    </row>
    <row r="30825" spans="32:32" x14ac:dyDescent="0.2">
      <c r="AF30825" s="12"/>
    </row>
    <row r="30826" spans="32:32" x14ac:dyDescent="0.2">
      <c r="AF30826" s="12"/>
    </row>
    <row r="30827" spans="32:32" x14ac:dyDescent="0.2">
      <c r="AF30827" s="12"/>
    </row>
    <row r="30828" spans="32:32" x14ac:dyDescent="0.2">
      <c r="AF30828" s="12"/>
    </row>
    <row r="30829" spans="32:32" x14ac:dyDescent="0.2">
      <c r="AF30829" s="12"/>
    </row>
    <row r="30830" spans="32:32" x14ac:dyDescent="0.2">
      <c r="AF30830" s="12"/>
    </row>
    <row r="30831" spans="32:32" x14ac:dyDescent="0.2">
      <c r="AF30831" s="12"/>
    </row>
    <row r="30832" spans="32:32" x14ac:dyDescent="0.2">
      <c r="AF30832" s="12"/>
    </row>
    <row r="30833" spans="32:32" x14ac:dyDescent="0.2">
      <c r="AF30833" s="12"/>
    </row>
    <row r="30834" spans="32:32" x14ac:dyDescent="0.2">
      <c r="AF30834" s="12"/>
    </row>
    <row r="30835" spans="32:32" x14ac:dyDescent="0.2">
      <c r="AF30835" s="12"/>
    </row>
    <row r="30836" spans="32:32" x14ac:dyDescent="0.2">
      <c r="AF30836" s="12"/>
    </row>
    <row r="30837" spans="32:32" x14ac:dyDescent="0.2">
      <c r="AF30837" s="12"/>
    </row>
    <row r="30838" spans="32:32" x14ac:dyDescent="0.2">
      <c r="AF30838" s="12"/>
    </row>
    <row r="30839" spans="32:32" x14ac:dyDescent="0.2">
      <c r="AF30839" s="12"/>
    </row>
    <row r="30840" spans="32:32" x14ac:dyDescent="0.2">
      <c r="AF30840" s="12"/>
    </row>
    <row r="30841" spans="32:32" x14ac:dyDescent="0.2">
      <c r="AF30841" s="12"/>
    </row>
    <row r="30842" spans="32:32" x14ac:dyDescent="0.2">
      <c r="AF30842" s="12"/>
    </row>
    <row r="30843" spans="32:32" x14ac:dyDescent="0.2">
      <c r="AF30843" s="12"/>
    </row>
    <row r="30844" spans="32:32" x14ac:dyDescent="0.2">
      <c r="AF30844" s="12"/>
    </row>
    <row r="30845" spans="32:32" x14ac:dyDescent="0.2">
      <c r="AF30845" s="12"/>
    </row>
    <row r="30846" spans="32:32" x14ac:dyDescent="0.2">
      <c r="AF30846" s="12"/>
    </row>
    <row r="30847" spans="32:32" x14ac:dyDescent="0.2">
      <c r="AF30847" s="12"/>
    </row>
    <row r="30848" spans="32:32" x14ac:dyDescent="0.2">
      <c r="AF30848" s="12"/>
    </row>
    <row r="30849" spans="32:32" x14ac:dyDescent="0.2">
      <c r="AF30849" s="12"/>
    </row>
    <row r="30850" spans="32:32" x14ac:dyDescent="0.2">
      <c r="AF30850" s="12"/>
    </row>
    <row r="30851" spans="32:32" x14ac:dyDescent="0.2">
      <c r="AF30851" s="12"/>
    </row>
    <row r="30852" spans="32:32" x14ac:dyDescent="0.2">
      <c r="AF30852" s="12"/>
    </row>
    <row r="30853" spans="32:32" x14ac:dyDescent="0.2">
      <c r="AF30853" s="12"/>
    </row>
    <row r="30854" spans="32:32" x14ac:dyDescent="0.2">
      <c r="AF30854" s="12"/>
    </row>
    <row r="30855" spans="32:32" x14ac:dyDescent="0.2">
      <c r="AF30855" s="12"/>
    </row>
    <row r="30856" spans="32:32" x14ac:dyDescent="0.2">
      <c r="AF30856" s="12"/>
    </row>
    <row r="30857" spans="32:32" x14ac:dyDescent="0.2">
      <c r="AF30857" s="12"/>
    </row>
    <row r="30858" spans="32:32" x14ac:dyDescent="0.2">
      <c r="AF30858" s="12"/>
    </row>
    <row r="30859" spans="32:32" x14ac:dyDescent="0.2">
      <c r="AF30859" s="12"/>
    </row>
    <row r="30860" spans="32:32" x14ac:dyDescent="0.2">
      <c r="AF30860" s="12"/>
    </row>
    <row r="30861" spans="32:32" x14ac:dyDescent="0.2">
      <c r="AF30861" s="12"/>
    </row>
    <row r="30862" spans="32:32" x14ac:dyDescent="0.2">
      <c r="AF30862" s="12"/>
    </row>
    <row r="30863" spans="32:32" x14ac:dyDescent="0.2">
      <c r="AF30863" s="12"/>
    </row>
    <row r="30864" spans="32:32" x14ac:dyDescent="0.2">
      <c r="AF30864" s="12"/>
    </row>
    <row r="30865" spans="32:32" x14ac:dyDescent="0.2">
      <c r="AF30865" s="12"/>
    </row>
    <row r="30866" spans="32:32" x14ac:dyDescent="0.2">
      <c r="AF30866" s="12"/>
    </row>
    <row r="30867" spans="32:32" x14ac:dyDescent="0.2">
      <c r="AF30867" s="12"/>
    </row>
    <row r="30868" spans="32:32" x14ac:dyDescent="0.2">
      <c r="AF30868" s="12"/>
    </row>
    <row r="30869" spans="32:32" x14ac:dyDescent="0.2">
      <c r="AF30869" s="12"/>
    </row>
    <row r="30870" spans="32:32" x14ac:dyDescent="0.2">
      <c r="AF30870" s="12"/>
    </row>
    <row r="30871" spans="32:32" x14ac:dyDescent="0.2">
      <c r="AF30871" s="12"/>
    </row>
    <row r="30872" spans="32:32" x14ac:dyDescent="0.2">
      <c r="AF30872" s="12"/>
    </row>
    <row r="30873" spans="32:32" x14ac:dyDescent="0.2">
      <c r="AF30873" s="12"/>
    </row>
    <row r="30874" spans="32:32" x14ac:dyDescent="0.2">
      <c r="AF30874" s="12"/>
    </row>
    <row r="30875" spans="32:32" x14ac:dyDescent="0.2">
      <c r="AF30875" s="12"/>
    </row>
    <row r="30876" spans="32:32" x14ac:dyDescent="0.2">
      <c r="AF30876" s="12"/>
    </row>
    <row r="30877" spans="32:32" x14ac:dyDescent="0.2">
      <c r="AF30877" s="12"/>
    </row>
    <row r="30878" spans="32:32" x14ac:dyDescent="0.2">
      <c r="AF30878" s="12"/>
    </row>
    <row r="30879" spans="32:32" x14ac:dyDescent="0.2">
      <c r="AF30879" s="12"/>
    </row>
    <row r="30880" spans="32:32" x14ac:dyDescent="0.2">
      <c r="AF30880" s="12"/>
    </row>
    <row r="30881" spans="32:32" x14ac:dyDescent="0.2">
      <c r="AF30881" s="12"/>
    </row>
    <row r="30882" spans="32:32" x14ac:dyDescent="0.2">
      <c r="AF30882" s="12"/>
    </row>
    <row r="30883" spans="32:32" x14ac:dyDescent="0.2">
      <c r="AF30883" s="12"/>
    </row>
    <row r="30884" spans="32:32" x14ac:dyDescent="0.2">
      <c r="AF30884" s="12"/>
    </row>
    <row r="30885" spans="32:32" x14ac:dyDescent="0.2">
      <c r="AF30885" s="12"/>
    </row>
    <row r="30886" spans="32:32" x14ac:dyDescent="0.2">
      <c r="AF30886" s="12"/>
    </row>
    <row r="30887" spans="32:32" x14ac:dyDescent="0.2">
      <c r="AF30887" s="12"/>
    </row>
    <row r="30888" spans="32:32" x14ac:dyDescent="0.2">
      <c r="AF30888" s="12"/>
    </row>
    <row r="30889" spans="32:32" x14ac:dyDescent="0.2">
      <c r="AF30889" s="12"/>
    </row>
    <row r="30890" spans="32:32" x14ac:dyDescent="0.2">
      <c r="AF30890" s="12"/>
    </row>
    <row r="30891" spans="32:32" x14ac:dyDescent="0.2">
      <c r="AF30891" s="12"/>
    </row>
    <row r="30892" spans="32:32" x14ac:dyDescent="0.2">
      <c r="AF30892" s="12"/>
    </row>
    <row r="30893" spans="32:32" x14ac:dyDescent="0.2">
      <c r="AF30893" s="12"/>
    </row>
    <row r="30894" spans="32:32" x14ac:dyDescent="0.2">
      <c r="AF30894" s="12"/>
    </row>
    <row r="30895" spans="32:32" x14ac:dyDescent="0.2">
      <c r="AF30895" s="12"/>
    </row>
    <row r="30896" spans="32:32" x14ac:dyDescent="0.2">
      <c r="AF30896" s="12"/>
    </row>
    <row r="30897" spans="32:32" x14ac:dyDescent="0.2">
      <c r="AF30897" s="12"/>
    </row>
    <row r="30898" spans="32:32" x14ac:dyDescent="0.2">
      <c r="AF30898" s="12"/>
    </row>
    <row r="30899" spans="32:32" x14ac:dyDescent="0.2">
      <c r="AF30899" s="12"/>
    </row>
    <row r="30900" spans="32:32" x14ac:dyDescent="0.2">
      <c r="AF30900" s="12"/>
    </row>
    <row r="30901" spans="32:32" x14ac:dyDescent="0.2">
      <c r="AF30901" s="12"/>
    </row>
    <row r="30902" spans="32:32" x14ac:dyDescent="0.2">
      <c r="AF30902" s="12"/>
    </row>
    <row r="30903" spans="32:32" x14ac:dyDescent="0.2">
      <c r="AF30903" s="12"/>
    </row>
    <row r="30904" spans="32:32" x14ac:dyDescent="0.2">
      <c r="AF30904" s="12"/>
    </row>
    <row r="30905" spans="32:32" x14ac:dyDescent="0.2">
      <c r="AF30905" s="12"/>
    </row>
    <row r="30906" spans="32:32" x14ac:dyDescent="0.2">
      <c r="AF30906" s="12"/>
    </row>
    <row r="30907" spans="32:32" x14ac:dyDescent="0.2">
      <c r="AF30907" s="12"/>
    </row>
    <row r="30908" spans="32:32" x14ac:dyDescent="0.2">
      <c r="AF30908" s="12"/>
    </row>
    <row r="30909" spans="32:32" x14ac:dyDescent="0.2">
      <c r="AF30909" s="12"/>
    </row>
    <row r="30910" spans="32:32" x14ac:dyDescent="0.2">
      <c r="AF30910" s="12"/>
    </row>
    <row r="30911" spans="32:32" x14ac:dyDescent="0.2">
      <c r="AF30911" s="12"/>
    </row>
    <row r="30912" spans="32:32" x14ac:dyDescent="0.2">
      <c r="AF30912" s="12"/>
    </row>
    <row r="30913" spans="32:32" x14ac:dyDescent="0.2">
      <c r="AF30913" s="12"/>
    </row>
    <row r="30914" spans="32:32" x14ac:dyDescent="0.2">
      <c r="AF30914" s="12"/>
    </row>
    <row r="30915" spans="32:32" x14ac:dyDescent="0.2">
      <c r="AF30915" s="12"/>
    </row>
    <row r="30916" spans="32:32" x14ac:dyDescent="0.2">
      <c r="AF30916" s="12"/>
    </row>
    <row r="30917" spans="32:32" x14ac:dyDescent="0.2">
      <c r="AF30917" s="12"/>
    </row>
    <row r="30918" spans="32:32" x14ac:dyDescent="0.2">
      <c r="AF30918" s="12"/>
    </row>
    <row r="30919" spans="32:32" x14ac:dyDescent="0.2">
      <c r="AF30919" s="12"/>
    </row>
    <row r="30920" spans="32:32" x14ac:dyDescent="0.2">
      <c r="AF30920" s="12"/>
    </row>
    <row r="30921" spans="32:32" x14ac:dyDescent="0.2">
      <c r="AF30921" s="12"/>
    </row>
    <row r="30922" spans="32:32" x14ac:dyDescent="0.2">
      <c r="AF30922" s="12"/>
    </row>
    <row r="30923" spans="32:32" x14ac:dyDescent="0.2">
      <c r="AF30923" s="12"/>
    </row>
    <row r="30924" spans="32:32" x14ac:dyDescent="0.2">
      <c r="AF30924" s="12"/>
    </row>
    <row r="30925" spans="32:32" x14ac:dyDescent="0.2">
      <c r="AF30925" s="12"/>
    </row>
    <row r="30926" spans="32:32" x14ac:dyDescent="0.2">
      <c r="AF30926" s="12"/>
    </row>
    <row r="30927" spans="32:32" x14ac:dyDescent="0.2">
      <c r="AF30927" s="12"/>
    </row>
    <row r="30928" spans="32:32" x14ac:dyDescent="0.2">
      <c r="AF30928" s="12"/>
    </row>
    <row r="30929" spans="32:32" x14ac:dyDescent="0.2">
      <c r="AF30929" s="12"/>
    </row>
    <row r="30930" spans="32:32" x14ac:dyDescent="0.2">
      <c r="AF30930" s="12"/>
    </row>
    <row r="30931" spans="32:32" x14ac:dyDescent="0.2">
      <c r="AF30931" s="12"/>
    </row>
    <row r="30932" spans="32:32" x14ac:dyDescent="0.2">
      <c r="AF30932" s="12"/>
    </row>
    <row r="30933" spans="32:32" x14ac:dyDescent="0.2">
      <c r="AF30933" s="12"/>
    </row>
    <row r="30934" spans="32:32" x14ac:dyDescent="0.2">
      <c r="AF30934" s="12"/>
    </row>
    <row r="30935" spans="32:32" x14ac:dyDescent="0.2">
      <c r="AF30935" s="12"/>
    </row>
    <row r="30936" spans="32:32" x14ac:dyDescent="0.2">
      <c r="AF30936" s="12"/>
    </row>
    <row r="30937" spans="32:32" x14ac:dyDescent="0.2">
      <c r="AF30937" s="12"/>
    </row>
    <row r="30938" spans="32:32" x14ac:dyDescent="0.2">
      <c r="AF30938" s="12"/>
    </row>
    <row r="30939" spans="32:32" x14ac:dyDescent="0.2">
      <c r="AF30939" s="12"/>
    </row>
    <row r="30940" spans="32:32" x14ac:dyDescent="0.2">
      <c r="AF30940" s="12"/>
    </row>
    <row r="30941" spans="32:32" x14ac:dyDescent="0.2">
      <c r="AF30941" s="12"/>
    </row>
    <row r="30942" spans="32:32" x14ac:dyDescent="0.2">
      <c r="AF30942" s="12"/>
    </row>
    <row r="30943" spans="32:32" x14ac:dyDescent="0.2">
      <c r="AF30943" s="12"/>
    </row>
    <row r="30944" spans="32:32" x14ac:dyDescent="0.2">
      <c r="AF30944" s="12"/>
    </row>
    <row r="30945" spans="32:32" x14ac:dyDescent="0.2">
      <c r="AF30945" s="12"/>
    </row>
    <row r="30946" spans="32:32" x14ac:dyDescent="0.2">
      <c r="AF30946" s="12"/>
    </row>
    <row r="30947" spans="32:32" x14ac:dyDescent="0.2">
      <c r="AF30947" s="12"/>
    </row>
    <row r="30948" spans="32:32" x14ac:dyDescent="0.2">
      <c r="AF30948" s="12"/>
    </row>
    <row r="30949" spans="32:32" x14ac:dyDescent="0.2">
      <c r="AF30949" s="12"/>
    </row>
    <row r="30950" spans="32:32" x14ac:dyDescent="0.2">
      <c r="AF30950" s="12"/>
    </row>
    <row r="30951" spans="32:32" x14ac:dyDescent="0.2">
      <c r="AF30951" s="12"/>
    </row>
    <row r="30952" spans="32:32" x14ac:dyDescent="0.2">
      <c r="AF30952" s="12"/>
    </row>
    <row r="30953" spans="32:32" x14ac:dyDescent="0.2">
      <c r="AF30953" s="12"/>
    </row>
    <row r="30954" spans="32:32" x14ac:dyDescent="0.2">
      <c r="AF30954" s="12"/>
    </row>
    <row r="30955" spans="32:32" x14ac:dyDescent="0.2">
      <c r="AF30955" s="12"/>
    </row>
    <row r="30956" spans="32:32" x14ac:dyDescent="0.2">
      <c r="AF30956" s="12"/>
    </row>
    <row r="30957" spans="32:32" x14ac:dyDescent="0.2">
      <c r="AF30957" s="12"/>
    </row>
    <row r="30958" spans="32:32" x14ac:dyDescent="0.2">
      <c r="AF30958" s="12"/>
    </row>
    <row r="30959" spans="32:32" x14ac:dyDescent="0.2">
      <c r="AF30959" s="12"/>
    </row>
    <row r="30960" spans="32:32" x14ac:dyDescent="0.2">
      <c r="AF30960" s="12"/>
    </row>
    <row r="30961" spans="32:32" x14ac:dyDescent="0.2">
      <c r="AF30961" s="12"/>
    </row>
    <row r="30962" spans="32:32" x14ac:dyDescent="0.2">
      <c r="AF30962" s="12"/>
    </row>
    <row r="30963" spans="32:32" x14ac:dyDescent="0.2">
      <c r="AF30963" s="12"/>
    </row>
    <row r="30964" spans="32:32" x14ac:dyDescent="0.2">
      <c r="AF30964" s="12"/>
    </row>
    <row r="30965" spans="32:32" x14ac:dyDescent="0.2">
      <c r="AF30965" s="12"/>
    </row>
    <row r="30966" spans="32:32" x14ac:dyDescent="0.2">
      <c r="AF30966" s="12"/>
    </row>
    <row r="30967" spans="32:32" x14ac:dyDescent="0.2">
      <c r="AF30967" s="12"/>
    </row>
    <row r="30968" spans="32:32" x14ac:dyDescent="0.2">
      <c r="AF30968" s="12"/>
    </row>
    <row r="30969" spans="32:32" x14ac:dyDescent="0.2">
      <c r="AF30969" s="12"/>
    </row>
    <row r="30970" spans="32:32" x14ac:dyDescent="0.2">
      <c r="AF30970" s="12"/>
    </row>
    <row r="30971" spans="32:32" x14ac:dyDescent="0.2">
      <c r="AF30971" s="12"/>
    </row>
    <row r="30972" spans="32:32" x14ac:dyDescent="0.2">
      <c r="AF30972" s="12"/>
    </row>
    <row r="30973" spans="32:32" x14ac:dyDescent="0.2">
      <c r="AF30973" s="12"/>
    </row>
    <row r="30974" spans="32:32" x14ac:dyDescent="0.2">
      <c r="AF30974" s="12"/>
    </row>
    <row r="30975" spans="32:32" x14ac:dyDescent="0.2">
      <c r="AF30975" s="12"/>
    </row>
    <row r="30976" spans="32:32" x14ac:dyDescent="0.2">
      <c r="AF30976" s="12"/>
    </row>
    <row r="30977" spans="32:32" x14ac:dyDescent="0.2">
      <c r="AF30977" s="12"/>
    </row>
    <row r="30978" spans="32:32" x14ac:dyDescent="0.2">
      <c r="AF30978" s="12"/>
    </row>
    <row r="30979" spans="32:32" x14ac:dyDescent="0.2">
      <c r="AF30979" s="12"/>
    </row>
    <row r="30980" spans="32:32" x14ac:dyDescent="0.2">
      <c r="AF30980" s="12"/>
    </row>
    <row r="30981" spans="32:32" x14ac:dyDescent="0.2">
      <c r="AF30981" s="12"/>
    </row>
    <row r="30982" spans="32:32" x14ac:dyDescent="0.2">
      <c r="AF30982" s="12"/>
    </row>
    <row r="30983" spans="32:32" x14ac:dyDescent="0.2">
      <c r="AF30983" s="12"/>
    </row>
    <row r="30984" spans="32:32" x14ac:dyDescent="0.2">
      <c r="AF30984" s="12"/>
    </row>
    <row r="30985" spans="32:32" x14ac:dyDescent="0.2">
      <c r="AF30985" s="12"/>
    </row>
    <row r="30986" spans="32:32" x14ac:dyDescent="0.2">
      <c r="AF30986" s="12"/>
    </row>
    <row r="30987" spans="32:32" x14ac:dyDescent="0.2">
      <c r="AF30987" s="12"/>
    </row>
    <row r="30988" spans="32:32" x14ac:dyDescent="0.2">
      <c r="AF30988" s="12"/>
    </row>
    <row r="30989" spans="32:32" x14ac:dyDescent="0.2">
      <c r="AF30989" s="12"/>
    </row>
    <row r="30990" spans="32:32" x14ac:dyDescent="0.2">
      <c r="AF30990" s="12"/>
    </row>
    <row r="30991" spans="32:32" x14ac:dyDescent="0.2">
      <c r="AF30991" s="12"/>
    </row>
    <row r="30992" spans="32:32" x14ac:dyDescent="0.2">
      <c r="AF30992" s="12"/>
    </row>
    <row r="30993" spans="32:32" x14ac:dyDescent="0.2">
      <c r="AF30993" s="12"/>
    </row>
    <row r="30994" spans="32:32" x14ac:dyDescent="0.2">
      <c r="AF30994" s="12"/>
    </row>
    <row r="30995" spans="32:32" x14ac:dyDescent="0.2">
      <c r="AF30995" s="12"/>
    </row>
    <row r="30996" spans="32:32" x14ac:dyDescent="0.2">
      <c r="AF30996" s="12"/>
    </row>
    <row r="30997" spans="32:32" x14ac:dyDescent="0.2">
      <c r="AF30997" s="12"/>
    </row>
    <row r="30998" spans="32:32" x14ac:dyDescent="0.2">
      <c r="AF30998" s="12"/>
    </row>
    <row r="30999" spans="32:32" x14ac:dyDescent="0.2">
      <c r="AF30999" s="12"/>
    </row>
    <row r="31000" spans="32:32" x14ac:dyDescent="0.2">
      <c r="AF31000" s="12"/>
    </row>
    <row r="31001" spans="32:32" x14ac:dyDescent="0.2">
      <c r="AF31001" s="12"/>
    </row>
    <row r="31002" spans="32:32" x14ac:dyDescent="0.2">
      <c r="AF31002" s="12"/>
    </row>
    <row r="31003" spans="32:32" x14ac:dyDescent="0.2">
      <c r="AF31003" s="12"/>
    </row>
    <row r="31004" spans="32:32" x14ac:dyDescent="0.2">
      <c r="AF31004" s="12"/>
    </row>
    <row r="31005" spans="32:32" x14ac:dyDescent="0.2">
      <c r="AF31005" s="12"/>
    </row>
    <row r="31006" spans="32:32" x14ac:dyDescent="0.2">
      <c r="AF31006" s="12"/>
    </row>
    <row r="31007" spans="32:32" x14ac:dyDescent="0.2">
      <c r="AF31007" s="12"/>
    </row>
    <row r="31008" spans="32:32" x14ac:dyDescent="0.2">
      <c r="AF31008" s="12"/>
    </row>
    <row r="31009" spans="32:32" x14ac:dyDescent="0.2">
      <c r="AF31009" s="12"/>
    </row>
    <row r="31010" spans="32:32" x14ac:dyDescent="0.2">
      <c r="AF31010" s="12"/>
    </row>
    <row r="31011" spans="32:32" x14ac:dyDescent="0.2">
      <c r="AF31011" s="12"/>
    </row>
    <row r="31012" spans="32:32" x14ac:dyDescent="0.2">
      <c r="AF31012" s="12"/>
    </row>
    <row r="31013" spans="32:32" x14ac:dyDescent="0.2">
      <c r="AF31013" s="12"/>
    </row>
    <row r="31014" spans="32:32" x14ac:dyDescent="0.2">
      <c r="AF31014" s="12"/>
    </row>
    <row r="31015" spans="32:32" x14ac:dyDescent="0.2">
      <c r="AF31015" s="12"/>
    </row>
    <row r="31016" spans="32:32" x14ac:dyDescent="0.2">
      <c r="AF31016" s="12"/>
    </row>
    <row r="31017" spans="32:32" x14ac:dyDescent="0.2">
      <c r="AF31017" s="12"/>
    </row>
    <row r="31018" spans="32:32" x14ac:dyDescent="0.2">
      <c r="AF31018" s="12"/>
    </row>
    <row r="31019" spans="32:32" x14ac:dyDescent="0.2">
      <c r="AF31019" s="12"/>
    </row>
    <row r="31020" spans="32:32" x14ac:dyDescent="0.2">
      <c r="AF31020" s="12"/>
    </row>
    <row r="31021" spans="32:32" x14ac:dyDescent="0.2">
      <c r="AF31021" s="12"/>
    </row>
    <row r="31022" spans="32:32" x14ac:dyDescent="0.2">
      <c r="AF31022" s="12"/>
    </row>
    <row r="31023" spans="32:32" x14ac:dyDescent="0.2">
      <c r="AF31023" s="12"/>
    </row>
    <row r="31024" spans="32:32" x14ac:dyDescent="0.2">
      <c r="AF31024" s="12"/>
    </row>
    <row r="31025" spans="32:32" x14ac:dyDescent="0.2">
      <c r="AF31025" s="12"/>
    </row>
    <row r="31026" spans="32:32" x14ac:dyDescent="0.2">
      <c r="AF31026" s="12"/>
    </row>
    <row r="31027" spans="32:32" x14ac:dyDescent="0.2">
      <c r="AF31027" s="12"/>
    </row>
    <row r="31028" spans="32:32" x14ac:dyDescent="0.2">
      <c r="AF31028" s="12"/>
    </row>
    <row r="31029" spans="32:32" x14ac:dyDescent="0.2">
      <c r="AF31029" s="12"/>
    </row>
    <row r="31030" spans="32:32" x14ac:dyDescent="0.2">
      <c r="AF31030" s="12"/>
    </row>
    <row r="31031" spans="32:32" x14ac:dyDescent="0.2">
      <c r="AF31031" s="12"/>
    </row>
    <row r="31032" spans="32:32" x14ac:dyDescent="0.2">
      <c r="AF31032" s="12"/>
    </row>
    <row r="31033" spans="32:32" x14ac:dyDescent="0.2">
      <c r="AF31033" s="12"/>
    </row>
    <row r="31034" spans="32:32" x14ac:dyDescent="0.2">
      <c r="AF31034" s="12"/>
    </row>
    <row r="31035" spans="32:32" x14ac:dyDescent="0.2">
      <c r="AF31035" s="12"/>
    </row>
    <row r="31036" spans="32:32" x14ac:dyDescent="0.2">
      <c r="AF31036" s="12"/>
    </row>
    <row r="31037" spans="32:32" x14ac:dyDescent="0.2">
      <c r="AF31037" s="12"/>
    </row>
    <row r="31038" spans="32:32" x14ac:dyDescent="0.2">
      <c r="AF31038" s="12"/>
    </row>
    <row r="31039" spans="32:32" x14ac:dyDescent="0.2">
      <c r="AF31039" s="12"/>
    </row>
    <row r="31040" spans="32:32" x14ac:dyDescent="0.2">
      <c r="AF31040" s="12"/>
    </row>
    <row r="31041" spans="32:32" x14ac:dyDescent="0.2">
      <c r="AF31041" s="12"/>
    </row>
    <row r="31042" spans="32:32" x14ac:dyDescent="0.2">
      <c r="AF31042" s="12"/>
    </row>
    <row r="31043" spans="32:32" x14ac:dyDescent="0.2">
      <c r="AF31043" s="12"/>
    </row>
    <row r="31044" spans="32:32" x14ac:dyDescent="0.2">
      <c r="AF31044" s="12"/>
    </row>
    <row r="31045" spans="32:32" x14ac:dyDescent="0.2">
      <c r="AF31045" s="12"/>
    </row>
    <row r="31046" spans="32:32" x14ac:dyDescent="0.2">
      <c r="AF31046" s="12"/>
    </row>
    <row r="31047" spans="32:32" x14ac:dyDescent="0.2">
      <c r="AF31047" s="12"/>
    </row>
    <row r="31048" spans="32:32" x14ac:dyDescent="0.2">
      <c r="AF31048" s="12"/>
    </row>
    <row r="31049" spans="32:32" x14ac:dyDescent="0.2">
      <c r="AF31049" s="12"/>
    </row>
    <row r="31050" spans="32:32" x14ac:dyDescent="0.2">
      <c r="AF31050" s="12"/>
    </row>
    <row r="31051" spans="32:32" x14ac:dyDescent="0.2">
      <c r="AF31051" s="12"/>
    </row>
    <row r="31052" spans="32:32" x14ac:dyDescent="0.2">
      <c r="AF31052" s="12"/>
    </row>
    <row r="31053" spans="32:32" x14ac:dyDescent="0.2">
      <c r="AF31053" s="12"/>
    </row>
    <row r="31054" spans="32:32" x14ac:dyDescent="0.2">
      <c r="AF31054" s="12"/>
    </row>
    <row r="31055" spans="32:32" x14ac:dyDescent="0.2">
      <c r="AF31055" s="12"/>
    </row>
    <row r="31056" spans="32:32" x14ac:dyDescent="0.2">
      <c r="AF31056" s="12"/>
    </row>
    <row r="31057" spans="32:32" x14ac:dyDescent="0.2">
      <c r="AF31057" s="12"/>
    </row>
    <row r="31058" spans="32:32" x14ac:dyDescent="0.2">
      <c r="AF31058" s="12"/>
    </row>
    <row r="31059" spans="32:32" x14ac:dyDescent="0.2">
      <c r="AF31059" s="12"/>
    </row>
    <row r="31060" spans="32:32" x14ac:dyDescent="0.2">
      <c r="AF31060" s="12"/>
    </row>
    <row r="31061" spans="32:32" x14ac:dyDescent="0.2">
      <c r="AF31061" s="12"/>
    </row>
    <row r="31062" spans="32:32" x14ac:dyDescent="0.2">
      <c r="AF31062" s="12"/>
    </row>
    <row r="31063" spans="32:32" x14ac:dyDescent="0.2">
      <c r="AF31063" s="12"/>
    </row>
    <row r="31064" spans="32:32" x14ac:dyDescent="0.2">
      <c r="AF31064" s="12"/>
    </row>
    <row r="31065" spans="32:32" x14ac:dyDescent="0.2">
      <c r="AF31065" s="12"/>
    </row>
    <row r="31066" spans="32:32" x14ac:dyDescent="0.2">
      <c r="AF31066" s="12"/>
    </row>
    <row r="31067" spans="32:32" x14ac:dyDescent="0.2">
      <c r="AF31067" s="12"/>
    </row>
    <row r="31068" spans="32:32" x14ac:dyDescent="0.2">
      <c r="AF31068" s="12"/>
    </row>
    <row r="31069" spans="32:32" x14ac:dyDescent="0.2">
      <c r="AF31069" s="12"/>
    </row>
    <row r="31070" spans="32:32" x14ac:dyDescent="0.2">
      <c r="AF31070" s="12"/>
    </row>
    <row r="31071" spans="32:32" x14ac:dyDescent="0.2">
      <c r="AF31071" s="12"/>
    </row>
    <row r="31072" spans="32:32" x14ac:dyDescent="0.2">
      <c r="AF31072" s="12"/>
    </row>
    <row r="31073" spans="32:32" x14ac:dyDescent="0.2">
      <c r="AF31073" s="12"/>
    </row>
    <row r="31074" spans="32:32" x14ac:dyDescent="0.2">
      <c r="AF31074" s="12"/>
    </row>
    <row r="31075" spans="32:32" x14ac:dyDescent="0.2">
      <c r="AF31075" s="12"/>
    </row>
    <row r="31076" spans="32:32" x14ac:dyDescent="0.2">
      <c r="AF31076" s="12"/>
    </row>
    <row r="31077" spans="32:32" x14ac:dyDescent="0.2">
      <c r="AF31077" s="12"/>
    </row>
    <row r="31078" spans="32:32" x14ac:dyDescent="0.2">
      <c r="AF31078" s="12"/>
    </row>
    <row r="31079" spans="32:32" x14ac:dyDescent="0.2">
      <c r="AF31079" s="12"/>
    </row>
    <row r="31080" spans="32:32" x14ac:dyDescent="0.2">
      <c r="AF31080" s="12"/>
    </row>
    <row r="31081" spans="32:32" x14ac:dyDescent="0.2">
      <c r="AF31081" s="12"/>
    </row>
    <row r="31082" spans="32:32" x14ac:dyDescent="0.2">
      <c r="AF31082" s="12"/>
    </row>
    <row r="31083" spans="32:32" x14ac:dyDescent="0.2">
      <c r="AF31083" s="12"/>
    </row>
    <row r="31084" spans="32:32" x14ac:dyDescent="0.2">
      <c r="AF31084" s="12"/>
    </row>
    <row r="31085" spans="32:32" x14ac:dyDescent="0.2">
      <c r="AF31085" s="12"/>
    </row>
    <row r="31086" spans="32:32" x14ac:dyDescent="0.2">
      <c r="AF31086" s="12"/>
    </row>
    <row r="31087" spans="32:32" x14ac:dyDescent="0.2">
      <c r="AF31087" s="12"/>
    </row>
    <row r="31088" spans="32:32" x14ac:dyDescent="0.2">
      <c r="AF31088" s="12"/>
    </row>
    <row r="31089" spans="32:32" x14ac:dyDescent="0.2">
      <c r="AF31089" s="12"/>
    </row>
    <row r="31090" spans="32:32" x14ac:dyDescent="0.2">
      <c r="AF31090" s="12"/>
    </row>
    <row r="31091" spans="32:32" x14ac:dyDescent="0.2">
      <c r="AF31091" s="12"/>
    </row>
    <row r="31092" spans="32:32" x14ac:dyDescent="0.2">
      <c r="AF31092" s="12"/>
    </row>
    <row r="31093" spans="32:32" x14ac:dyDescent="0.2">
      <c r="AF31093" s="12"/>
    </row>
    <row r="31094" spans="32:32" x14ac:dyDescent="0.2">
      <c r="AF31094" s="12"/>
    </row>
    <row r="31095" spans="32:32" x14ac:dyDescent="0.2">
      <c r="AF31095" s="12"/>
    </row>
    <row r="31096" spans="32:32" x14ac:dyDescent="0.2">
      <c r="AF31096" s="12"/>
    </row>
    <row r="31097" spans="32:32" x14ac:dyDescent="0.2">
      <c r="AF31097" s="12"/>
    </row>
    <row r="31098" spans="32:32" x14ac:dyDescent="0.2">
      <c r="AF31098" s="12"/>
    </row>
    <row r="31099" spans="32:32" x14ac:dyDescent="0.2">
      <c r="AF31099" s="12"/>
    </row>
    <row r="31100" spans="32:32" x14ac:dyDescent="0.2">
      <c r="AF31100" s="12"/>
    </row>
    <row r="31101" spans="32:32" x14ac:dyDescent="0.2">
      <c r="AF31101" s="12"/>
    </row>
    <row r="31102" spans="32:32" x14ac:dyDescent="0.2">
      <c r="AF31102" s="12"/>
    </row>
    <row r="31103" spans="32:32" x14ac:dyDescent="0.2">
      <c r="AF31103" s="12"/>
    </row>
    <row r="31104" spans="32:32" x14ac:dyDescent="0.2">
      <c r="AF31104" s="12"/>
    </row>
    <row r="31105" spans="32:32" x14ac:dyDescent="0.2">
      <c r="AF31105" s="12"/>
    </row>
    <row r="31106" spans="32:32" x14ac:dyDescent="0.2">
      <c r="AF31106" s="12"/>
    </row>
    <row r="31107" spans="32:32" x14ac:dyDescent="0.2">
      <c r="AF31107" s="12"/>
    </row>
    <row r="31108" spans="32:32" x14ac:dyDescent="0.2">
      <c r="AF31108" s="12"/>
    </row>
    <row r="31109" spans="32:32" x14ac:dyDescent="0.2">
      <c r="AF31109" s="12"/>
    </row>
    <row r="31110" spans="32:32" x14ac:dyDescent="0.2">
      <c r="AF31110" s="12"/>
    </row>
    <row r="31111" spans="32:32" x14ac:dyDescent="0.2">
      <c r="AF31111" s="12"/>
    </row>
    <row r="31112" spans="32:32" x14ac:dyDescent="0.2">
      <c r="AF31112" s="12"/>
    </row>
    <row r="31113" spans="32:32" x14ac:dyDescent="0.2">
      <c r="AF31113" s="12"/>
    </row>
    <row r="31114" spans="32:32" x14ac:dyDescent="0.2">
      <c r="AF31114" s="12"/>
    </row>
    <row r="31115" spans="32:32" x14ac:dyDescent="0.2">
      <c r="AF31115" s="12"/>
    </row>
    <row r="31116" spans="32:32" x14ac:dyDescent="0.2">
      <c r="AF31116" s="12"/>
    </row>
    <row r="31117" spans="32:32" x14ac:dyDescent="0.2">
      <c r="AF31117" s="12"/>
    </row>
    <row r="31118" spans="32:32" x14ac:dyDescent="0.2">
      <c r="AF31118" s="12"/>
    </row>
    <row r="31119" spans="32:32" x14ac:dyDescent="0.2">
      <c r="AF31119" s="12"/>
    </row>
    <row r="31120" spans="32:32" x14ac:dyDescent="0.2">
      <c r="AF31120" s="12"/>
    </row>
    <row r="31121" spans="32:32" x14ac:dyDescent="0.2">
      <c r="AF31121" s="12"/>
    </row>
    <row r="31122" spans="32:32" x14ac:dyDescent="0.2">
      <c r="AF31122" s="12"/>
    </row>
    <row r="31123" spans="32:32" x14ac:dyDescent="0.2">
      <c r="AF31123" s="12"/>
    </row>
    <row r="31124" spans="32:32" x14ac:dyDescent="0.2">
      <c r="AF31124" s="12"/>
    </row>
    <row r="31125" spans="32:32" x14ac:dyDescent="0.2">
      <c r="AF31125" s="12"/>
    </row>
    <row r="31126" spans="32:32" x14ac:dyDescent="0.2">
      <c r="AF31126" s="12"/>
    </row>
    <row r="31127" spans="32:32" x14ac:dyDescent="0.2">
      <c r="AF31127" s="12"/>
    </row>
    <row r="31128" spans="32:32" x14ac:dyDescent="0.2">
      <c r="AF31128" s="12"/>
    </row>
    <row r="31129" spans="32:32" x14ac:dyDescent="0.2">
      <c r="AF31129" s="12"/>
    </row>
    <row r="31130" spans="32:32" x14ac:dyDescent="0.2">
      <c r="AF31130" s="12"/>
    </row>
    <row r="31131" spans="32:32" x14ac:dyDescent="0.2">
      <c r="AF31131" s="12"/>
    </row>
    <row r="31132" spans="32:32" x14ac:dyDescent="0.2">
      <c r="AF31132" s="12"/>
    </row>
    <row r="31133" spans="32:32" x14ac:dyDescent="0.2">
      <c r="AF31133" s="12"/>
    </row>
    <row r="31134" spans="32:32" x14ac:dyDescent="0.2">
      <c r="AF31134" s="12"/>
    </row>
    <row r="31135" spans="32:32" x14ac:dyDescent="0.2">
      <c r="AF31135" s="12"/>
    </row>
    <row r="31136" spans="32:32" x14ac:dyDescent="0.2">
      <c r="AF31136" s="12"/>
    </row>
    <row r="31137" spans="32:32" x14ac:dyDescent="0.2">
      <c r="AF31137" s="12"/>
    </row>
    <row r="31138" spans="32:32" x14ac:dyDescent="0.2">
      <c r="AF31138" s="12"/>
    </row>
    <row r="31139" spans="32:32" x14ac:dyDescent="0.2">
      <c r="AF31139" s="12"/>
    </row>
    <row r="31140" spans="32:32" x14ac:dyDescent="0.2">
      <c r="AF31140" s="12"/>
    </row>
    <row r="31141" spans="32:32" x14ac:dyDescent="0.2">
      <c r="AF31141" s="12"/>
    </row>
    <row r="31142" spans="32:32" x14ac:dyDescent="0.2">
      <c r="AF31142" s="12"/>
    </row>
    <row r="31143" spans="32:32" x14ac:dyDescent="0.2">
      <c r="AF31143" s="12"/>
    </row>
    <row r="31144" spans="32:32" x14ac:dyDescent="0.2">
      <c r="AF31144" s="12"/>
    </row>
    <row r="31145" spans="32:32" x14ac:dyDescent="0.2">
      <c r="AF31145" s="12"/>
    </row>
    <row r="31146" spans="32:32" x14ac:dyDescent="0.2">
      <c r="AF31146" s="12"/>
    </row>
    <row r="31147" spans="32:32" x14ac:dyDescent="0.2">
      <c r="AF31147" s="12"/>
    </row>
    <row r="31148" spans="32:32" x14ac:dyDescent="0.2">
      <c r="AF31148" s="12"/>
    </row>
    <row r="31149" spans="32:32" x14ac:dyDescent="0.2">
      <c r="AF31149" s="12"/>
    </row>
    <row r="31150" spans="32:32" x14ac:dyDescent="0.2">
      <c r="AF31150" s="12"/>
    </row>
    <row r="31151" spans="32:32" x14ac:dyDescent="0.2">
      <c r="AF31151" s="12"/>
    </row>
    <row r="31152" spans="32:32" x14ac:dyDescent="0.2">
      <c r="AF31152" s="12"/>
    </row>
    <row r="31153" spans="32:32" x14ac:dyDescent="0.2">
      <c r="AF31153" s="12"/>
    </row>
    <row r="31154" spans="32:32" x14ac:dyDescent="0.2">
      <c r="AF31154" s="12"/>
    </row>
    <row r="31155" spans="32:32" x14ac:dyDescent="0.2">
      <c r="AF31155" s="12"/>
    </row>
    <row r="31156" spans="32:32" x14ac:dyDescent="0.2">
      <c r="AF31156" s="12"/>
    </row>
    <row r="31157" spans="32:32" x14ac:dyDescent="0.2">
      <c r="AF31157" s="12"/>
    </row>
    <row r="31158" spans="32:32" x14ac:dyDescent="0.2">
      <c r="AF31158" s="12"/>
    </row>
    <row r="31159" spans="32:32" x14ac:dyDescent="0.2">
      <c r="AF31159" s="12"/>
    </row>
    <row r="31160" spans="32:32" x14ac:dyDescent="0.2">
      <c r="AF31160" s="12"/>
    </row>
    <row r="31161" spans="32:32" x14ac:dyDescent="0.2">
      <c r="AF31161" s="12"/>
    </row>
    <row r="31162" spans="32:32" x14ac:dyDescent="0.2">
      <c r="AF31162" s="12"/>
    </row>
    <row r="31163" spans="32:32" x14ac:dyDescent="0.2">
      <c r="AF31163" s="12"/>
    </row>
    <row r="31164" spans="32:32" x14ac:dyDescent="0.2">
      <c r="AF31164" s="12"/>
    </row>
    <row r="31165" spans="32:32" x14ac:dyDescent="0.2">
      <c r="AF31165" s="12"/>
    </row>
    <row r="31166" spans="32:32" x14ac:dyDescent="0.2">
      <c r="AF31166" s="12"/>
    </row>
    <row r="31167" spans="32:32" x14ac:dyDescent="0.2">
      <c r="AF31167" s="12"/>
    </row>
    <row r="31168" spans="32:32" x14ac:dyDescent="0.2">
      <c r="AF31168" s="12"/>
    </row>
    <row r="31169" spans="32:32" x14ac:dyDescent="0.2">
      <c r="AF31169" s="12"/>
    </row>
    <row r="31170" spans="32:32" x14ac:dyDescent="0.2">
      <c r="AF31170" s="12"/>
    </row>
    <row r="31171" spans="32:32" x14ac:dyDescent="0.2">
      <c r="AF31171" s="12"/>
    </row>
    <row r="31172" spans="32:32" x14ac:dyDescent="0.2">
      <c r="AF31172" s="12"/>
    </row>
    <row r="31173" spans="32:32" x14ac:dyDescent="0.2">
      <c r="AF31173" s="12"/>
    </row>
    <row r="31174" spans="32:32" x14ac:dyDescent="0.2">
      <c r="AF31174" s="12"/>
    </row>
    <row r="31175" spans="32:32" x14ac:dyDescent="0.2">
      <c r="AF31175" s="12"/>
    </row>
    <row r="31176" spans="32:32" x14ac:dyDescent="0.2">
      <c r="AF31176" s="12"/>
    </row>
    <row r="31177" spans="32:32" x14ac:dyDescent="0.2">
      <c r="AF31177" s="12"/>
    </row>
    <row r="31178" spans="32:32" x14ac:dyDescent="0.2">
      <c r="AF31178" s="12"/>
    </row>
    <row r="31179" spans="32:32" x14ac:dyDescent="0.2">
      <c r="AF31179" s="12"/>
    </row>
    <row r="31180" spans="32:32" x14ac:dyDescent="0.2">
      <c r="AF31180" s="12"/>
    </row>
    <row r="31181" spans="32:32" x14ac:dyDescent="0.2">
      <c r="AF31181" s="12"/>
    </row>
    <row r="31182" spans="32:32" x14ac:dyDescent="0.2">
      <c r="AF31182" s="12"/>
    </row>
    <row r="31183" spans="32:32" x14ac:dyDescent="0.2">
      <c r="AF31183" s="12"/>
    </row>
    <row r="31184" spans="32:32" x14ac:dyDescent="0.2">
      <c r="AF31184" s="12"/>
    </row>
    <row r="31185" spans="32:32" x14ac:dyDescent="0.2">
      <c r="AF31185" s="12"/>
    </row>
    <row r="31186" spans="32:32" x14ac:dyDescent="0.2">
      <c r="AF31186" s="12"/>
    </row>
    <row r="31187" spans="32:32" x14ac:dyDescent="0.2">
      <c r="AF31187" s="12"/>
    </row>
    <row r="31188" spans="32:32" x14ac:dyDescent="0.2">
      <c r="AF31188" s="12"/>
    </row>
    <row r="31189" spans="32:32" x14ac:dyDescent="0.2">
      <c r="AF31189" s="12"/>
    </row>
    <row r="31190" spans="32:32" x14ac:dyDescent="0.2">
      <c r="AF31190" s="12"/>
    </row>
    <row r="31191" spans="32:32" x14ac:dyDescent="0.2">
      <c r="AF31191" s="12"/>
    </row>
    <row r="31192" spans="32:32" x14ac:dyDescent="0.2">
      <c r="AF31192" s="12"/>
    </row>
    <row r="31193" spans="32:32" x14ac:dyDescent="0.2">
      <c r="AF31193" s="12"/>
    </row>
    <row r="31194" spans="32:32" x14ac:dyDescent="0.2">
      <c r="AF31194" s="12"/>
    </row>
    <row r="31195" spans="32:32" x14ac:dyDescent="0.2">
      <c r="AF31195" s="12"/>
    </row>
    <row r="31196" spans="32:32" x14ac:dyDescent="0.2">
      <c r="AF31196" s="12"/>
    </row>
    <row r="31197" spans="32:32" x14ac:dyDescent="0.2">
      <c r="AF31197" s="12"/>
    </row>
    <row r="31198" spans="32:32" x14ac:dyDescent="0.2">
      <c r="AF31198" s="12"/>
    </row>
    <row r="31199" spans="32:32" x14ac:dyDescent="0.2">
      <c r="AF31199" s="12"/>
    </row>
    <row r="31200" spans="32:32" x14ac:dyDescent="0.2">
      <c r="AF31200" s="12"/>
    </row>
    <row r="31201" spans="32:32" x14ac:dyDescent="0.2">
      <c r="AF31201" s="12"/>
    </row>
    <row r="31202" spans="32:32" x14ac:dyDescent="0.2">
      <c r="AF31202" s="12"/>
    </row>
    <row r="31203" spans="32:32" x14ac:dyDescent="0.2">
      <c r="AF31203" s="12"/>
    </row>
    <row r="31204" spans="32:32" x14ac:dyDescent="0.2">
      <c r="AF31204" s="12"/>
    </row>
    <row r="31205" spans="32:32" x14ac:dyDescent="0.2">
      <c r="AF31205" s="12"/>
    </row>
    <row r="31206" spans="32:32" x14ac:dyDescent="0.2">
      <c r="AF31206" s="12"/>
    </row>
    <row r="31207" spans="32:32" x14ac:dyDescent="0.2">
      <c r="AF31207" s="12"/>
    </row>
    <row r="31208" spans="32:32" x14ac:dyDescent="0.2">
      <c r="AF31208" s="12"/>
    </row>
    <row r="31209" spans="32:32" x14ac:dyDescent="0.2">
      <c r="AF31209" s="12"/>
    </row>
    <row r="31210" spans="32:32" x14ac:dyDescent="0.2">
      <c r="AF31210" s="12"/>
    </row>
    <row r="31211" spans="32:32" x14ac:dyDescent="0.2">
      <c r="AF31211" s="12"/>
    </row>
    <row r="31212" spans="32:32" x14ac:dyDescent="0.2">
      <c r="AF31212" s="12"/>
    </row>
    <row r="31213" spans="32:32" x14ac:dyDescent="0.2">
      <c r="AF31213" s="12"/>
    </row>
    <row r="31214" spans="32:32" x14ac:dyDescent="0.2">
      <c r="AF31214" s="12"/>
    </row>
    <row r="31215" spans="32:32" x14ac:dyDescent="0.2">
      <c r="AF31215" s="12"/>
    </row>
    <row r="31216" spans="32:32" x14ac:dyDescent="0.2">
      <c r="AF31216" s="12"/>
    </row>
    <row r="31217" spans="32:32" x14ac:dyDescent="0.2">
      <c r="AF31217" s="12"/>
    </row>
    <row r="31218" spans="32:32" x14ac:dyDescent="0.2">
      <c r="AF31218" s="12"/>
    </row>
    <row r="31219" spans="32:32" x14ac:dyDescent="0.2">
      <c r="AF31219" s="12"/>
    </row>
    <row r="31220" spans="32:32" x14ac:dyDescent="0.2">
      <c r="AF31220" s="12"/>
    </row>
    <row r="31221" spans="32:32" x14ac:dyDescent="0.2">
      <c r="AF31221" s="12"/>
    </row>
    <row r="31222" spans="32:32" x14ac:dyDescent="0.2">
      <c r="AF31222" s="12"/>
    </row>
    <row r="31223" spans="32:32" x14ac:dyDescent="0.2">
      <c r="AF31223" s="12"/>
    </row>
    <row r="31224" spans="32:32" x14ac:dyDescent="0.2">
      <c r="AF31224" s="12"/>
    </row>
    <row r="31225" spans="32:32" x14ac:dyDescent="0.2">
      <c r="AF31225" s="12"/>
    </row>
    <row r="31226" spans="32:32" x14ac:dyDescent="0.2">
      <c r="AF31226" s="12"/>
    </row>
    <row r="31227" spans="32:32" x14ac:dyDescent="0.2">
      <c r="AF31227" s="12"/>
    </row>
    <row r="31228" spans="32:32" x14ac:dyDescent="0.2">
      <c r="AF31228" s="12"/>
    </row>
    <row r="31229" spans="32:32" x14ac:dyDescent="0.2">
      <c r="AF31229" s="12"/>
    </row>
    <row r="31230" spans="32:32" x14ac:dyDescent="0.2">
      <c r="AF31230" s="12"/>
    </row>
    <row r="31231" spans="32:32" x14ac:dyDescent="0.2">
      <c r="AF31231" s="12"/>
    </row>
    <row r="31232" spans="32:32" x14ac:dyDescent="0.2">
      <c r="AF31232" s="12"/>
    </row>
    <row r="31233" spans="32:32" x14ac:dyDescent="0.2">
      <c r="AF31233" s="12"/>
    </row>
    <row r="31234" spans="32:32" x14ac:dyDescent="0.2">
      <c r="AF31234" s="12"/>
    </row>
    <row r="31235" spans="32:32" x14ac:dyDescent="0.2">
      <c r="AF31235" s="12"/>
    </row>
    <row r="31236" spans="32:32" x14ac:dyDescent="0.2">
      <c r="AF31236" s="12"/>
    </row>
    <row r="31237" spans="32:32" x14ac:dyDescent="0.2">
      <c r="AF31237" s="12"/>
    </row>
    <row r="31238" spans="32:32" x14ac:dyDescent="0.2">
      <c r="AF31238" s="12"/>
    </row>
    <row r="31239" spans="32:32" x14ac:dyDescent="0.2">
      <c r="AF31239" s="12"/>
    </row>
    <row r="31240" spans="32:32" x14ac:dyDescent="0.2">
      <c r="AF31240" s="12"/>
    </row>
    <row r="31241" spans="32:32" x14ac:dyDescent="0.2">
      <c r="AF31241" s="12"/>
    </row>
    <row r="31242" spans="32:32" x14ac:dyDescent="0.2">
      <c r="AF31242" s="12"/>
    </row>
    <row r="31243" spans="32:32" x14ac:dyDescent="0.2">
      <c r="AF31243" s="12"/>
    </row>
    <row r="31244" spans="32:32" x14ac:dyDescent="0.2">
      <c r="AF31244" s="12"/>
    </row>
    <row r="31245" spans="32:32" x14ac:dyDescent="0.2">
      <c r="AF31245" s="12"/>
    </row>
    <row r="31246" spans="32:32" x14ac:dyDescent="0.2">
      <c r="AF31246" s="12"/>
    </row>
    <row r="31247" spans="32:32" x14ac:dyDescent="0.2">
      <c r="AF31247" s="12"/>
    </row>
    <row r="31248" spans="32:32" x14ac:dyDescent="0.2">
      <c r="AF31248" s="12"/>
    </row>
    <row r="31249" spans="32:32" x14ac:dyDescent="0.2">
      <c r="AF31249" s="12"/>
    </row>
    <row r="31250" spans="32:32" x14ac:dyDescent="0.2">
      <c r="AF31250" s="12"/>
    </row>
    <row r="31251" spans="32:32" x14ac:dyDescent="0.2">
      <c r="AF31251" s="12"/>
    </row>
    <row r="31252" spans="32:32" x14ac:dyDescent="0.2">
      <c r="AF31252" s="12"/>
    </row>
    <row r="31253" spans="32:32" x14ac:dyDescent="0.2">
      <c r="AF31253" s="12"/>
    </row>
    <row r="31254" spans="32:32" x14ac:dyDescent="0.2">
      <c r="AF31254" s="12"/>
    </row>
    <row r="31255" spans="32:32" x14ac:dyDescent="0.2">
      <c r="AF31255" s="12"/>
    </row>
    <row r="31256" spans="32:32" x14ac:dyDescent="0.2">
      <c r="AF31256" s="12"/>
    </row>
    <row r="31257" spans="32:32" x14ac:dyDescent="0.2">
      <c r="AF31257" s="12"/>
    </row>
    <row r="31258" spans="32:32" x14ac:dyDescent="0.2">
      <c r="AF31258" s="12"/>
    </row>
    <row r="31259" spans="32:32" x14ac:dyDescent="0.2">
      <c r="AF31259" s="12"/>
    </row>
    <row r="31260" spans="32:32" x14ac:dyDescent="0.2">
      <c r="AF31260" s="12"/>
    </row>
    <row r="31261" spans="32:32" x14ac:dyDescent="0.2">
      <c r="AF31261" s="12"/>
    </row>
    <row r="31262" spans="32:32" x14ac:dyDescent="0.2">
      <c r="AF31262" s="12"/>
    </row>
    <row r="31263" spans="32:32" x14ac:dyDescent="0.2">
      <c r="AF31263" s="12"/>
    </row>
    <row r="31264" spans="32:32" x14ac:dyDescent="0.2">
      <c r="AF31264" s="12"/>
    </row>
    <row r="31265" spans="32:32" x14ac:dyDescent="0.2">
      <c r="AF31265" s="12"/>
    </row>
    <row r="31266" spans="32:32" x14ac:dyDescent="0.2">
      <c r="AF31266" s="12"/>
    </row>
    <row r="31267" spans="32:32" x14ac:dyDescent="0.2">
      <c r="AF31267" s="12"/>
    </row>
    <row r="31268" spans="32:32" x14ac:dyDescent="0.2">
      <c r="AF31268" s="12"/>
    </row>
    <row r="31269" spans="32:32" x14ac:dyDescent="0.2">
      <c r="AF31269" s="12"/>
    </row>
    <row r="31270" spans="32:32" x14ac:dyDescent="0.2">
      <c r="AF31270" s="12"/>
    </row>
    <row r="31271" spans="32:32" x14ac:dyDescent="0.2">
      <c r="AF31271" s="12"/>
    </row>
    <row r="31272" spans="32:32" x14ac:dyDescent="0.2">
      <c r="AF31272" s="12"/>
    </row>
    <row r="31273" spans="32:32" x14ac:dyDescent="0.2">
      <c r="AF31273" s="12"/>
    </row>
    <row r="31274" spans="32:32" x14ac:dyDescent="0.2">
      <c r="AF31274" s="12"/>
    </row>
    <row r="31275" spans="32:32" x14ac:dyDescent="0.2">
      <c r="AF31275" s="12"/>
    </row>
    <row r="31276" spans="32:32" x14ac:dyDescent="0.2">
      <c r="AF31276" s="12"/>
    </row>
    <row r="31277" spans="32:32" x14ac:dyDescent="0.2">
      <c r="AF31277" s="12"/>
    </row>
    <row r="31278" spans="32:32" x14ac:dyDescent="0.2">
      <c r="AF31278" s="12"/>
    </row>
    <row r="31279" spans="32:32" x14ac:dyDescent="0.2">
      <c r="AF31279" s="12"/>
    </row>
    <row r="31280" spans="32:32" x14ac:dyDescent="0.2">
      <c r="AF31280" s="12"/>
    </row>
    <row r="31281" spans="32:32" x14ac:dyDescent="0.2">
      <c r="AF31281" s="12"/>
    </row>
    <row r="31282" spans="32:32" x14ac:dyDescent="0.2">
      <c r="AF31282" s="12"/>
    </row>
    <row r="31283" spans="32:32" x14ac:dyDescent="0.2">
      <c r="AF31283" s="12"/>
    </row>
    <row r="31284" spans="32:32" x14ac:dyDescent="0.2">
      <c r="AF31284" s="12"/>
    </row>
    <row r="31285" spans="32:32" x14ac:dyDescent="0.2">
      <c r="AF31285" s="12"/>
    </row>
    <row r="31286" spans="32:32" x14ac:dyDescent="0.2">
      <c r="AF31286" s="12"/>
    </row>
    <row r="31287" spans="32:32" x14ac:dyDescent="0.2">
      <c r="AF31287" s="12"/>
    </row>
    <row r="31288" spans="32:32" x14ac:dyDescent="0.2">
      <c r="AF31288" s="12"/>
    </row>
    <row r="31289" spans="32:32" x14ac:dyDescent="0.2">
      <c r="AF31289" s="12"/>
    </row>
    <row r="31290" spans="32:32" x14ac:dyDescent="0.2">
      <c r="AF31290" s="12"/>
    </row>
    <row r="31291" spans="32:32" x14ac:dyDescent="0.2">
      <c r="AF31291" s="12"/>
    </row>
    <row r="31292" spans="32:32" x14ac:dyDescent="0.2">
      <c r="AF31292" s="12"/>
    </row>
    <row r="31293" spans="32:32" x14ac:dyDescent="0.2">
      <c r="AF31293" s="12"/>
    </row>
    <row r="31294" spans="32:32" x14ac:dyDescent="0.2">
      <c r="AF31294" s="12"/>
    </row>
    <row r="31295" spans="32:32" x14ac:dyDescent="0.2">
      <c r="AF31295" s="12"/>
    </row>
    <row r="31296" spans="32:32" x14ac:dyDescent="0.2">
      <c r="AF31296" s="12"/>
    </row>
    <row r="31297" spans="32:32" x14ac:dyDescent="0.2">
      <c r="AF31297" s="12"/>
    </row>
    <row r="31298" spans="32:32" x14ac:dyDescent="0.2">
      <c r="AF31298" s="12"/>
    </row>
    <row r="31299" spans="32:32" x14ac:dyDescent="0.2">
      <c r="AF31299" s="12"/>
    </row>
    <row r="31300" spans="32:32" x14ac:dyDescent="0.2">
      <c r="AF31300" s="12"/>
    </row>
    <row r="31301" spans="32:32" x14ac:dyDescent="0.2">
      <c r="AF31301" s="12"/>
    </row>
    <row r="31302" spans="32:32" x14ac:dyDescent="0.2">
      <c r="AF31302" s="12"/>
    </row>
    <row r="31303" spans="32:32" x14ac:dyDescent="0.2">
      <c r="AF31303" s="12"/>
    </row>
    <row r="31304" spans="32:32" x14ac:dyDescent="0.2">
      <c r="AF31304" s="12"/>
    </row>
    <row r="31305" spans="32:32" x14ac:dyDescent="0.2">
      <c r="AF31305" s="12"/>
    </row>
    <row r="31306" spans="32:32" x14ac:dyDescent="0.2">
      <c r="AF31306" s="12"/>
    </row>
    <row r="31307" spans="32:32" x14ac:dyDescent="0.2">
      <c r="AF31307" s="12"/>
    </row>
    <row r="31308" spans="32:32" x14ac:dyDescent="0.2">
      <c r="AF31308" s="12"/>
    </row>
    <row r="31309" spans="32:32" x14ac:dyDescent="0.2">
      <c r="AF31309" s="12"/>
    </row>
    <row r="31310" spans="32:32" x14ac:dyDescent="0.2">
      <c r="AF31310" s="12"/>
    </row>
    <row r="31311" spans="32:32" x14ac:dyDescent="0.2">
      <c r="AF31311" s="12"/>
    </row>
    <row r="31312" spans="32:32" x14ac:dyDescent="0.2">
      <c r="AF31312" s="12"/>
    </row>
    <row r="31313" spans="32:32" x14ac:dyDescent="0.2">
      <c r="AF31313" s="12"/>
    </row>
    <row r="31314" spans="32:32" x14ac:dyDescent="0.2">
      <c r="AF31314" s="12"/>
    </row>
    <row r="31315" spans="32:32" x14ac:dyDescent="0.2">
      <c r="AF31315" s="12"/>
    </row>
    <row r="31316" spans="32:32" x14ac:dyDescent="0.2">
      <c r="AF31316" s="12"/>
    </row>
    <row r="31317" spans="32:32" x14ac:dyDescent="0.2">
      <c r="AF31317" s="12"/>
    </row>
    <row r="31318" spans="32:32" x14ac:dyDescent="0.2">
      <c r="AF31318" s="12"/>
    </row>
    <row r="31319" spans="32:32" x14ac:dyDescent="0.2">
      <c r="AF31319" s="12"/>
    </row>
    <row r="31320" spans="32:32" x14ac:dyDescent="0.2">
      <c r="AF31320" s="12"/>
    </row>
    <row r="31321" spans="32:32" x14ac:dyDescent="0.2">
      <c r="AF31321" s="12"/>
    </row>
    <row r="31322" spans="32:32" x14ac:dyDescent="0.2">
      <c r="AF31322" s="12"/>
    </row>
    <row r="31323" spans="32:32" x14ac:dyDescent="0.2">
      <c r="AF31323" s="12"/>
    </row>
    <row r="31324" spans="32:32" x14ac:dyDescent="0.2">
      <c r="AF31324" s="12"/>
    </row>
    <row r="31325" spans="32:32" x14ac:dyDescent="0.2">
      <c r="AF31325" s="12"/>
    </row>
    <row r="31326" spans="32:32" x14ac:dyDescent="0.2">
      <c r="AF31326" s="12"/>
    </row>
    <row r="31327" spans="32:32" x14ac:dyDescent="0.2">
      <c r="AF31327" s="12"/>
    </row>
    <row r="31328" spans="32:32" x14ac:dyDescent="0.2">
      <c r="AF31328" s="12"/>
    </row>
    <row r="31329" spans="32:32" x14ac:dyDescent="0.2">
      <c r="AF31329" s="12"/>
    </row>
    <row r="31330" spans="32:32" x14ac:dyDescent="0.2">
      <c r="AF31330" s="12"/>
    </row>
    <row r="31331" spans="32:32" x14ac:dyDescent="0.2">
      <c r="AF31331" s="12"/>
    </row>
    <row r="31332" spans="32:32" x14ac:dyDescent="0.2">
      <c r="AF31332" s="12"/>
    </row>
    <row r="31333" spans="32:32" x14ac:dyDescent="0.2">
      <c r="AF31333" s="12"/>
    </row>
    <row r="31334" spans="32:32" x14ac:dyDescent="0.2">
      <c r="AF31334" s="12"/>
    </row>
    <row r="31335" spans="32:32" x14ac:dyDescent="0.2">
      <c r="AF31335" s="12"/>
    </row>
    <row r="31336" spans="32:32" x14ac:dyDescent="0.2">
      <c r="AF31336" s="12"/>
    </row>
    <row r="31337" spans="32:32" x14ac:dyDescent="0.2">
      <c r="AF31337" s="12"/>
    </row>
    <row r="31338" spans="32:32" x14ac:dyDescent="0.2">
      <c r="AF31338" s="12"/>
    </row>
    <row r="31339" spans="32:32" x14ac:dyDescent="0.2">
      <c r="AF31339" s="12"/>
    </row>
    <row r="31340" spans="32:32" x14ac:dyDescent="0.2">
      <c r="AF31340" s="12"/>
    </row>
    <row r="31341" spans="32:32" x14ac:dyDescent="0.2">
      <c r="AF31341" s="12"/>
    </row>
    <row r="31342" spans="32:32" x14ac:dyDescent="0.2">
      <c r="AF31342" s="12"/>
    </row>
    <row r="31343" spans="32:32" x14ac:dyDescent="0.2">
      <c r="AF31343" s="12"/>
    </row>
    <row r="31344" spans="32:32" x14ac:dyDescent="0.2">
      <c r="AF31344" s="12"/>
    </row>
    <row r="31345" spans="32:32" x14ac:dyDescent="0.2">
      <c r="AF31345" s="12"/>
    </row>
    <row r="31346" spans="32:32" x14ac:dyDescent="0.2">
      <c r="AF31346" s="12"/>
    </row>
    <row r="31347" spans="32:32" x14ac:dyDescent="0.2">
      <c r="AF31347" s="12"/>
    </row>
    <row r="31348" spans="32:32" x14ac:dyDescent="0.2">
      <c r="AF31348" s="12"/>
    </row>
    <row r="31349" spans="32:32" x14ac:dyDescent="0.2">
      <c r="AF31349" s="12"/>
    </row>
    <row r="31350" spans="32:32" x14ac:dyDescent="0.2">
      <c r="AF31350" s="12"/>
    </row>
    <row r="31351" spans="32:32" x14ac:dyDescent="0.2">
      <c r="AF31351" s="12"/>
    </row>
    <row r="31352" spans="32:32" x14ac:dyDescent="0.2">
      <c r="AF31352" s="12"/>
    </row>
    <row r="31353" spans="32:32" x14ac:dyDescent="0.2">
      <c r="AF31353" s="12"/>
    </row>
    <row r="31354" spans="32:32" x14ac:dyDescent="0.2">
      <c r="AF31354" s="12"/>
    </row>
    <row r="31355" spans="32:32" x14ac:dyDescent="0.2">
      <c r="AF31355" s="12"/>
    </row>
    <row r="31356" spans="32:32" x14ac:dyDescent="0.2">
      <c r="AF31356" s="12"/>
    </row>
    <row r="31357" spans="32:32" x14ac:dyDescent="0.2">
      <c r="AF31357" s="12"/>
    </row>
    <row r="31358" spans="32:32" x14ac:dyDescent="0.2">
      <c r="AF31358" s="12"/>
    </row>
    <row r="31359" spans="32:32" x14ac:dyDescent="0.2">
      <c r="AF31359" s="12"/>
    </row>
    <row r="31360" spans="32:32" x14ac:dyDescent="0.2">
      <c r="AF31360" s="12"/>
    </row>
    <row r="31361" spans="32:32" x14ac:dyDescent="0.2">
      <c r="AF31361" s="12"/>
    </row>
    <row r="31362" spans="32:32" x14ac:dyDescent="0.2">
      <c r="AF31362" s="12"/>
    </row>
    <row r="31363" spans="32:32" x14ac:dyDescent="0.2">
      <c r="AF31363" s="12"/>
    </row>
    <row r="31364" spans="32:32" x14ac:dyDescent="0.2">
      <c r="AF31364" s="12"/>
    </row>
    <row r="31365" spans="32:32" x14ac:dyDescent="0.2">
      <c r="AF31365" s="12"/>
    </row>
    <row r="31366" spans="32:32" x14ac:dyDescent="0.2">
      <c r="AF31366" s="12"/>
    </row>
    <row r="31367" spans="32:32" x14ac:dyDescent="0.2">
      <c r="AF31367" s="12"/>
    </row>
    <row r="31368" spans="32:32" x14ac:dyDescent="0.2">
      <c r="AF31368" s="12"/>
    </row>
    <row r="31369" spans="32:32" x14ac:dyDescent="0.2">
      <c r="AF31369" s="12"/>
    </row>
    <row r="31370" spans="32:32" x14ac:dyDescent="0.2">
      <c r="AF31370" s="12"/>
    </row>
    <row r="31371" spans="32:32" x14ac:dyDescent="0.2">
      <c r="AF31371" s="12"/>
    </row>
    <row r="31372" spans="32:32" x14ac:dyDescent="0.2">
      <c r="AF31372" s="12"/>
    </row>
    <row r="31373" spans="32:32" x14ac:dyDescent="0.2">
      <c r="AF31373" s="12"/>
    </row>
    <row r="31374" spans="32:32" x14ac:dyDescent="0.2">
      <c r="AF31374" s="12"/>
    </row>
    <row r="31375" spans="32:32" x14ac:dyDescent="0.2">
      <c r="AF31375" s="12"/>
    </row>
    <row r="31376" spans="32:32" x14ac:dyDescent="0.2">
      <c r="AF31376" s="12"/>
    </row>
    <row r="31377" spans="32:32" x14ac:dyDescent="0.2">
      <c r="AF31377" s="12"/>
    </row>
    <row r="31378" spans="32:32" x14ac:dyDescent="0.2">
      <c r="AF31378" s="12"/>
    </row>
    <row r="31379" spans="32:32" x14ac:dyDescent="0.2">
      <c r="AF31379" s="12"/>
    </row>
    <row r="31380" spans="32:32" x14ac:dyDescent="0.2">
      <c r="AF31380" s="12"/>
    </row>
    <row r="31381" spans="32:32" x14ac:dyDescent="0.2">
      <c r="AF31381" s="12"/>
    </row>
    <row r="31382" spans="32:32" x14ac:dyDescent="0.2">
      <c r="AF31382" s="12"/>
    </row>
    <row r="31383" spans="32:32" x14ac:dyDescent="0.2">
      <c r="AF31383" s="12"/>
    </row>
    <row r="31384" spans="32:32" x14ac:dyDescent="0.2">
      <c r="AF31384" s="12"/>
    </row>
    <row r="31385" spans="32:32" x14ac:dyDescent="0.2">
      <c r="AF31385" s="12"/>
    </row>
    <row r="31386" spans="32:32" x14ac:dyDescent="0.2">
      <c r="AF31386" s="12"/>
    </row>
    <row r="31387" spans="32:32" x14ac:dyDescent="0.2">
      <c r="AF31387" s="12"/>
    </row>
    <row r="31388" spans="32:32" x14ac:dyDescent="0.2">
      <c r="AF31388" s="12"/>
    </row>
    <row r="31389" spans="32:32" x14ac:dyDescent="0.2">
      <c r="AF31389" s="12"/>
    </row>
    <row r="31390" spans="32:32" x14ac:dyDescent="0.2">
      <c r="AF31390" s="12"/>
    </row>
    <row r="31391" spans="32:32" x14ac:dyDescent="0.2">
      <c r="AF31391" s="12"/>
    </row>
    <row r="31392" spans="32:32" x14ac:dyDescent="0.2">
      <c r="AF31392" s="12"/>
    </row>
    <row r="31393" spans="32:32" x14ac:dyDescent="0.2">
      <c r="AF31393" s="12"/>
    </row>
    <row r="31394" spans="32:32" x14ac:dyDescent="0.2">
      <c r="AF31394" s="12"/>
    </row>
    <row r="31395" spans="32:32" x14ac:dyDescent="0.2">
      <c r="AF31395" s="12"/>
    </row>
    <row r="31396" spans="32:32" x14ac:dyDescent="0.2">
      <c r="AF31396" s="12"/>
    </row>
    <row r="31397" spans="32:32" x14ac:dyDescent="0.2">
      <c r="AF31397" s="12"/>
    </row>
    <row r="31398" spans="32:32" x14ac:dyDescent="0.2">
      <c r="AF31398" s="12"/>
    </row>
    <row r="31399" spans="32:32" x14ac:dyDescent="0.2">
      <c r="AF31399" s="12"/>
    </row>
    <row r="31400" spans="32:32" x14ac:dyDescent="0.2">
      <c r="AF31400" s="12"/>
    </row>
    <row r="31401" spans="32:32" x14ac:dyDescent="0.2">
      <c r="AF31401" s="12"/>
    </row>
    <row r="31402" spans="32:32" x14ac:dyDescent="0.2">
      <c r="AF31402" s="12"/>
    </row>
    <row r="31403" spans="32:32" x14ac:dyDescent="0.2">
      <c r="AF31403" s="12"/>
    </row>
    <row r="31404" spans="32:32" x14ac:dyDescent="0.2">
      <c r="AF31404" s="12"/>
    </row>
    <row r="31405" spans="32:32" x14ac:dyDescent="0.2">
      <c r="AF31405" s="12"/>
    </row>
    <row r="31406" spans="32:32" x14ac:dyDescent="0.2">
      <c r="AF31406" s="12"/>
    </row>
    <row r="31407" spans="32:32" x14ac:dyDescent="0.2">
      <c r="AF31407" s="12"/>
    </row>
    <row r="31408" spans="32:32" x14ac:dyDescent="0.2">
      <c r="AF31408" s="12"/>
    </row>
    <row r="31409" spans="32:32" x14ac:dyDescent="0.2">
      <c r="AF31409" s="12"/>
    </row>
    <row r="31410" spans="32:32" x14ac:dyDescent="0.2">
      <c r="AF31410" s="12"/>
    </row>
    <row r="31411" spans="32:32" x14ac:dyDescent="0.2">
      <c r="AF31411" s="12"/>
    </row>
    <row r="31412" spans="32:32" x14ac:dyDescent="0.2">
      <c r="AF31412" s="12"/>
    </row>
    <row r="31413" spans="32:32" x14ac:dyDescent="0.2">
      <c r="AF31413" s="12"/>
    </row>
    <row r="31414" spans="32:32" x14ac:dyDescent="0.2">
      <c r="AF31414" s="12"/>
    </row>
    <row r="31415" spans="32:32" x14ac:dyDescent="0.2">
      <c r="AF31415" s="12"/>
    </row>
    <row r="31416" spans="32:32" x14ac:dyDescent="0.2">
      <c r="AF31416" s="12"/>
    </row>
    <row r="31417" spans="32:32" x14ac:dyDescent="0.2">
      <c r="AF31417" s="12"/>
    </row>
    <row r="31418" spans="32:32" x14ac:dyDescent="0.2">
      <c r="AF31418" s="12"/>
    </row>
    <row r="31419" spans="32:32" x14ac:dyDescent="0.2">
      <c r="AF31419" s="12"/>
    </row>
    <row r="31420" spans="32:32" x14ac:dyDescent="0.2">
      <c r="AF31420" s="12"/>
    </row>
    <row r="31421" spans="32:32" x14ac:dyDescent="0.2">
      <c r="AF31421" s="12"/>
    </row>
    <row r="31422" spans="32:32" x14ac:dyDescent="0.2">
      <c r="AF31422" s="12"/>
    </row>
    <row r="31423" spans="32:32" x14ac:dyDescent="0.2">
      <c r="AF31423" s="12"/>
    </row>
    <row r="31424" spans="32:32" x14ac:dyDescent="0.2">
      <c r="AF31424" s="12"/>
    </row>
    <row r="31425" spans="32:32" x14ac:dyDescent="0.2">
      <c r="AF31425" s="12"/>
    </row>
    <row r="31426" spans="32:32" x14ac:dyDescent="0.2">
      <c r="AF31426" s="12"/>
    </row>
    <row r="31427" spans="32:32" x14ac:dyDescent="0.2">
      <c r="AF31427" s="12"/>
    </row>
    <row r="31428" spans="32:32" x14ac:dyDescent="0.2">
      <c r="AF31428" s="12"/>
    </row>
    <row r="31429" spans="32:32" x14ac:dyDescent="0.2">
      <c r="AF31429" s="12"/>
    </row>
    <row r="31430" spans="32:32" x14ac:dyDescent="0.2">
      <c r="AF31430" s="12"/>
    </row>
    <row r="31431" spans="32:32" x14ac:dyDescent="0.2">
      <c r="AF31431" s="12"/>
    </row>
    <row r="31432" spans="32:32" x14ac:dyDescent="0.2">
      <c r="AF31432" s="12"/>
    </row>
    <row r="31433" spans="32:32" x14ac:dyDescent="0.2">
      <c r="AF31433" s="12"/>
    </row>
    <row r="31434" spans="32:32" x14ac:dyDescent="0.2">
      <c r="AF31434" s="12"/>
    </row>
    <row r="31435" spans="32:32" x14ac:dyDescent="0.2">
      <c r="AF31435" s="12"/>
    </row>
    <row r="31436" spans="32:32" x14ac:dyDescent="0.2">
      <c r="AF31436" s="12"/>
    </row>
    <row r="31437" spans="32:32" x14ac:dyDescent="0.2">
      <c r="AF31437" s="12"/>
    </row>
    <row r="31438" spans="32:32" x14ac:dyDescent="0.2">
      <c r="AF31438" s="12"/>
    </row>
    <row r="31439" spans="32:32" x14ac:dyDescent="0.2">
      <c r="AF31439" s="12"/>
    </row>
    <row r="31440" spans="32:32" x14ac:dyDescent="0.2">
      <c r="AF31440" s="12"/>
    </row>
    <row r="31441" spans="32:32" x14ac:dyDescent="0.2">
      <c r="AF31441" s="12"/>
    </row>
    <row r="31442" spans="32:32" x14ac:dyDescent="0.2">
      <c r="AF31442" s="12"/>
    </row>
    <row r="31443" spans="32:32" x14ac:dyDescent="0.2">
      <c r="AF31443" s="12"/>
    </row>
    <row r="31444" spans="32:32" x14ac:dyDescent="0.2">
      <c r="AF31444" s="12"/>
    </row>
    <row r="31445" spans="32:32" x14ac:dyDescent="0.2">
      <c r="AF31445" s="12"/>
    </row>
    <row r="31446" spans="32:32" x14ac:dyDescent="0.2">
      <c r="AF31446" s="12"/>
    </row>
    <row r="31447" spans="32:32" x14ac:dyDescent="0.2">
      <c r="AF31447" s="12"/>
    </row>
    <row r="31448" spans="32:32" x14ac:dyDescent="0.2">
      <c r="AF31448" s="12"/>
    </row>
    <row r="31449" spans="32:32" x14ac:dyDescent="0.2">
      <c r="AF31449" s="12"/>
    </row>
    <row r="31450" spans="32:32" x14ac:dyDescent="0.2">
      <c r="AF31450" s="12"/>
    </row>
    <row r="31451" spans="32:32" x14ac:dyDescent="0.2">
      <c r="AF31451" s="12"/>
    </row>
    <row r="31452" spans="32:32" x14ac:dyDescent="0.2">
      <c r="AF31452" s="12"/>
    </row>
    <row r="31453" spans="32:32" x14ac:dyDescent="0.2">
      <c r="AF31453" s="12"/>
    </row>
    <row r="31454" spans="32:32" x14ac:dyDescent="0.2">
      <c r="AF31454" s="12"/>
    </row>
    <row r="31455" spans="32:32" x14ac:dyDescent="0.2">
      <c r="AF31455" s="12"/>
    </row>
    <row r="31456" spans="32:32" x14ac:dyDescent="0.2">
      <c r="AF31456" s="12"/>
    </row>
    <row r="31457" spans="32:32" x14ac:dyDescent="0.2">
      <c r="AF31457" s="12"/>
    </row>
    <row r="31458" spans="32:32" x14ac:dyDescent="0.2">
      <c r="AF31458" s="12"/>
    </row>
    <row r="31459" spans="32:32" x14ac:dyDescent="0.2">
      <c r="AF31459" s="12"/>
    </row>
    <row r="31460" spans="32:32" x14ac:dyDescent="0.2">
      <c r="AF31460" s="12"/>
    </row>
    <row r="31461" spans="32:32" x14ac:dyDescent="0.2">
      <c r="AF31461" s="12"/>
    </row>
    <row r="31462" spans="32:32" x14ac:dyDescent="0.2">
      <c r="AF31462" s="12"/>
    </row>
    <row r="31463" spans="32:32" x14ac:dyDescent="0.2">
      <c r="AF31463" s="12"/>
    </row>
    <row r="31464" spans="32:32" x14ac:dyDescent="0.2">
      <c r="AF31464" s="12"/>
    </row>
    <row r="31465" spans="32:32" x14ac:dyDescent="0.2">
      <c r="AF31465" s="12"/>
    </row>
    <row r="31466" spans="32:32" x14ac:dyDescent="0.2">
      <c r="AF31466" s="12"/>
    </row>
    <row r="31467" spans="32:32" x14ac:dyDescent="0.2">
      <c r="AF31467" s="12"/>
    </row>
    <row r="31468" spans="32:32" x14ac:dyDescent="0.2">
      <c r="AF31468" s="12"/>
    </row>
    <row r="31469" spans="32:32" x14ac:dyDescent="0.2">
      <c r="AF31469" s="12"/>
    </row>
    <row r="31470" spans="32:32" x14ac:dyDescent="0.2">
      <c r="AF31470" s="12"/>
    </row>
    <row r="31471" spans="32:32" x14ac:dyDescent="0.2">
      <c r="AF31471" s="12"/>
    </row>
    <row r="31472" spans="32:32" x14ac:dyDescent="0.2">
      <c r="AF31472" s="12"/>
    </row>
    <row r="31473" spans="32:32" x14ac:dyDescent="0.2">
      <c r="AF31473" s="12"/>
    </row>
    <row r="31474" spans="32:32" x14ac:dyDescent="0.2">
      <c r="AF31474" s="12"/>
    </row>
    <row r="31475" spans="32:32" x14ac:dyDescent="0.2">
      <c r="AF31475" s="12"/>
    </row>
    <row r="31476" spans="32:32" x14ac:dyDescent="0.2">
      <c r="AF31476" s="12"/>
    </row>
    <row r="31477" spans="32:32" x14ac:dyDescent="0.2">
      <c r="AF31477" s="12"/>
    </row>
    <row r="31478" spans="32:32" x14ac:dyDescent="0.2">
      <c r="AF31478" s="12"/>
    </row>
    <row r="31479" spans="32:32" x14ac:dyDescent="0.2">
      <c r="AF31479" s="12"/>
    </row>
    <row r="31480" spans="32:32" x14ac:dyDescent="0.2">
      <c r="AF31480" s="12"/>
    </row>
    <row r="31481" spans="32:32" x14ac:dyDescent="0.2">
      <c r="AF31481" s="12"/>
    </row>
    <row r="31482" spans="32:32" x14ac:dyDescent="0.2">
      <c r="AF31482" s="12"/>
    </row>
    <row r="31483" spans="32:32" x14ac:dyDescent="0.2">
      <c r="AF31483" s="12"/>
    </row>
    <row r="31484" spans="32:32" x14ac:dyDescent="0.2">
      <c r="AF31484" s="12"/>
    </row>
    <row r="31485" spans="32:32" x14ac:dyDescent="0.2">
      <c r="AF31485" s="12"/>
    </row>
    <row r="31486" spans="32:32" x14ac:dyDescent="0.2">
      <c r="AF31486" s="12"/>
    </row>
    <row r="31487" spans="32:32" x14ac:dyDescent="0.2">
      <c r="AF31487" s="12"/>
    </row>
    <row r="31488" spans="32:32" x14ac:dyDescent="0.2">
      <c r="AF31488" s="12"/>
    </row>
    <row r="31489" spans="32:32" x14ac:dyDescent="0.2">
      <c r="AF31489" s="12"/>
    </row>
    <row r="31490" spans="32:32" x14ac:dyDescent="0.2">
      <c r="AF31490" s="12"/>
    </row>
    <row r="31491" spans="32:32" x14ac:dyDescent="0.2">
      <c r="AF31491" s="12"/>
    </row>
    <row r="31492" spans="32:32" x14ac:dyDescent="0.2">
      <c r="AF31492" s="12"/>
    </row>
    <row r="31493" spans="32:32" x14ac:dyDescent="0.2">
      <c r="AF31493" s="12"/>
    </row>
    <row r="31494" spans="32:32" x14ac:dyDescent="0.2">
      <c r="AF31494" s="12"/>
    </row>
    <row r="31495" spans="32:32" x14ac:dyDescent="0.2">
      <c r="AF31495" s="12"/>
    </row>
    <row r="31496" spans="32:32" x14ac:dyDescent="0.2">
      <c r="AF31496" s="12"/>
    </row>
    <row r="31497" spans="32:32" x14ac:dyDescent="0.2">
      <c r="AF31497" s="12"/>
    </row>
    <row r="31498" spans="32:32" x14ac:dyDescent="0.2">
      <c r="AF31498" s="12"/>
    </row>
    <row r="31499" spans="32:32" x14ac:dyDescent="0.2">
      <c r="AF31499" s="12"/>
    </row>
    <row r="31500" spans="32:32" x14ac:dyDescent="0.2">
      <c r="AF31500" s="12"/>
    </row>
    <row r="31501" spans="32:32" x14ac:dyDescent="0.2">
      <c r="AF31501" s="12"/>
    </row>
    <row r="31502" spans="32:32" x14ac:dyDescent="0.2">
      <c r="AF31502" s="12"/>
    </row>
    <row r="31503" spans="32:32" x14ac:dyDescent="0.2">
      <c r="AF31503" s="12"/>
    </row>
    <row r="31504" spans="32:32" x14ac:dyDescent="0.2">
      <c r="AF31504" s="12"/>
    </row>
    <row r="31505" spans="32:32" x14ac:dyDescent="0.2">
      <c r="AF31505" s="12"/>
    </row>
    <row r="31506" spans="32:32" x14ac:dyDescent="0.2">
      <c r="AF31506" s="12"/>
    </row>
    <row r="31507" spans="32:32" x14ac:dyDescent="0.2">
      <c r="AF31507" s="12"/>
    </row>
    <row r="31508" spans="32:32" x14ac:dyDescent="0.2">
      <c r="AF31508" s="12"/>
    </row>
    <row r="31509" spans="32:32" x14ac:dyDescent="0.2">
      <c r="AF31509" s="12"/>
    </row>
    <row r="31510" spans="32:32" x14ac:dyDescent="0.2">
      <c r="AF31510" s="12"/>
    </row>
    <row r="31511" spans="32:32" x14ac:dyDescent="0.2">
      <c r="AF31511" s="12"/>
    </row>
    <row r="31512" spans="32:32" x14ac:dyDescent="0.2">
      <c r="AF31512" s="12"/>
    </row>
    <row r="31513" spans="32:32" x14ac:dyDescent="0.2">
      <c r="AF31513" s="12"/>
    </row>
    <row r="31514" spans="32:32" x14ac:dyDescent="0.2">
      <c r="AF31514" s="12"/>
    </row>
    <row r="31515" spans="32:32" x14ac:dyDescent="0.2">
      <c r="AF31515" s="12"/>
    </row>
    <row r="31516" spans="32:32" x14ac:dyDescent="0.2">
      <c r="AF31516" s="12"/>
    </row>
    <row r="31517" spans="32:32" x14ac:dyDescent="0.2">
      <c r="AF31517" s="12"/>
    </row>
    <row r="31518" spans="32:32" x14ac:dyDescent="0.2">
      <c r="AF31518" s="12"/>
    </row>
    <row r="31519" spans="32:32" x14ac:dyDescent="0.2">
      <c r="AF31519" s="12"/>
    </row>
    <row r="31520" spans="32:32" x14ac:dyDescent="0.2">
      <c r="AF31520" s="12"/>
    </row>
    <row r="31521" spans="32:32" x14ac:dyDescent="0.2">
      <c r="AF31521" s="12"/>
    </row>
    <row r="31522" spans="32:32" x14ac:dyDescent="0.2">
      <c r="AF31522" s="12"/>
    </row>
    <row r="31523" spans="32:32" x14ac:dyDescent="0.2">
      <c r="AF31523" s="12"/>
    </row>
    <row r="31524" spans="32:32" x14ac:dyDescent="0.2">
      <c r="AF31524" s="12"/>
    </row>
    <row r="31525" spans="32:32" x14ac:dyDescent="0.2">
      <c r="AF31525" s="12"/>
    </row>
    <row r="31526" spans="32:32" x14ac:dyDescent="0.2">
      <c r="AF31526" s="12"/>
    </row>
    <row r="31527" spans="32:32" x14ac:dyDescent="0.2">
      <c r="AF31527" s="12"/>
    </row>
    <row r="31528" spans="32:32" x14ac:dyDescent="0.2">
      <c r="AF31528" s="12"/>
    </row>
    <row r="31529" spans="32:32" x14ac:dyDescent="0.2">
      <c r="AF31529" s="12"/>
    </row>
    <row r="31530" spans="32:32" x14ac:dyDescent="0.2">
      <c r="AF31530" s="12"/>
    </row>
    <row r="31531" spans="32:32" x14ac:dyDescent="0.2">
      <c r="AF31531" s="12"/>
    </row>
    <row r="31532" spans="32:32" x14ac:dyDescent="0.2">
      <c r="AF31532" s="12"/>
    </row>
    <row r="31533" spans="32:32" x14ac:dyDescent="0.2">
      <c r="AF31533" s="12"/>
    </row>
    <row r="31534" spans="32:32" x14ac:dyDescent="0.2">
      <c r="AF31534" s="12"/>
    </row>
    <row r="31535" spans="32:32" x14ac:dyDescent="0.2">
      <c r="AF31535" s="12"/>
    </row>
    <row r="31536" spans="32:32" x14ac:dyDescent="0.2">
      <c r="AF31536" s="12"/>
    </row>
    <row r="31537" spans="32:32" x14ac:dyDescent="0.2">
      <c r="AF31537" s="12"/>
    </row>
    <row r="31538" spans="32:32" x14ac:dyDescent="0.2">
      <c r="AF31538" s="12"/>
    </row>
    <row r="31539" spans="32:32" x14ac:dyDescent="0.2">
      <c r="AF31539" s="12"/>
    </row>
    <row r="31540" spans="32:32" x14ac:dyDescent="0.2">
      <c r="AF31540" s="12"/>
    </row>
    <row r="31541" spans="32:32" x14ac:dyDescent="0.2">
      <c r="AF31541" s="12"/>
    </row>
    <row r="31542" spans="32:32" x14ac:dyDescent="0.2">
      <c r="AF31542" s="12"/>
    </row>
    <row r="31543" spans="32:32" x14ac:dyDescent="0.2">
      <c r="AF31543" s="12"/>
    </row>
    <row r="31544" spans="32:32" x14ac:dyDescent="0.2">
      <c r="AF31544" s="12"/>
    </row>
    <row r="31545" spans="32:32" x14ac:dyDescent="0.2">
      <c r="AF31545" s="12"/>
    </row>
    <row r="31546" spans="32:32" x14ac:dyDescent="0.2">
      <c r="AF31546" s="12"/>
    </row>
    <row r="31547" spans="32:32" x14ac:dyDescent="0.2">
      <c r="AF31547" s="12"/>
    </row>
    <row r="31548" spans="32:32" x14ac:dyDescent="0.2">
      <c r="AF31548" s="12"/>
    </row>
    <row r="31549" spans="32:32" x14ac:dyDescent="0.2">
      <c r="AF31549" s="12"/>
    </row>
    <row r="31550" spans="32:32" x14ac:dyDescent="0.2">
      <c r="AF31550" s="12"/>
    </row>
    <row r="31551" spans="32:32" x14ac:dyDescent="0.2">
      <c r="AF31551" s="12"/>
    </row>
    <row r="31552" spans="32:32" x14ac:dyDescent="0.2">
      <c r="AF31552" s="12"/>
    </row>
    <row r="31553" spans="32:32" x14ac:dyDescent="0.2">
      <c r="AF31553" s="12"/>
    </row>
    <row r="31554" spans="32:32" x14ac:dyDescent="0.2">
      <c r="AF31554" s="12"/>
    </row>
    <row r="31555" spans="32:32" x14ac:dyDescent="0.2">
      <c r="AF31555" s="12"/>
    </row>
    <row r="31556" spans="32:32" x14ac:dyDescent="0.2">
      <c r="AF31556" s="12"/>
    </row>
    <row r="31557" spans="32:32" x14ac:dyDescent="0.2">
      <c r="AF31557" s="12"/>
    </row>
    <row r="31558" spans="32:32" x14ac:dyDescent="0.2">
      <c r="AF31558" s="12"/>
    </row>
    <row r="31559" spans="32:32" x14ac:dyDescent="0.2">
      <c r="AF31559" s="12"/>
    </row>
    <row r="31560" spans="32:32" x14ac:dyDescent="0.2">
      <c r="AF31560" s="12"/>
    </row>
    <row r="31561" spans="32:32" x14ac:dyDescent="0.2">
      <c r="AF31561" s="12"/>
    </row>
    <row r="31562" spans="32:32" x14ac:dyDescent="0.2">
      <c r="AF31562" s="12"/>
    </row>
    <row r="31563" spans="32:32" x14ac:dyDescent="0.2">
      <c r="AF31563" s="12"/>
    </row>
    <row r="31564" spans="32:32" x14ac:dyDescent="0.2">
      <c r="AF31564" s="12"/>
    </row>
    <row r="31565" spans="32:32" x14ac:dyDescent="0.2">
      <c r="AF31565" s="12"/>
    </row>
    <row r="31566" spans="32:32" x14ac:dyDescent="0.2">
      <c r="AF31566" s="12"/>
    </row>
    <row r="31567" spans="32:32" x14ac:dyDescent="0.2">
      <c r="AF31567" s="12"/>
    </row>
    <row r="31568" spans="32:32" x14ac:dyDescent="0.2">
      <c r="AF31568" s="12"/>
    </row>
    <row r="31569" spans="32:32" x14ac:dyDescent="0.2">
      <c r="AF31569" s="12"/>
    </row>
    <row r="31570" spans="32:32" x14ac:dyDescent="0.2">
      <c r="AF31570" s="12"/>
    </row>
    <row r="31571" spans="32:32" x14ac:dyDescent="0.2">
      <c r="AF31571" s="12"/>
    </row>
    <row r="31572" spans="32:32" x14ac:dyDescent="0.2">
      <c r="AF31572" s="12"/>
    </row>
    <row r="31573" spans="32:32" x14ac:dyDescent="0.2">
      <c r="AF31573" s="12"/>
    </row>
    <row r="31574" spans="32:32" x14ac:dyDescent="0.2">
      <c r="AF31574" s="12"/>
    </row>
    <row r="31575" spans="32:32" x14ac:dyDescent="0.2">
      <c r="AF31575" s="12"/>
    </row>
    <row r="31576" spans="32:32" x14ac:dyDescent="0.2">
      <c r="AF31576" s="12"/>
    </row>
    <row r="31577" spans="32:32" x14ac:dyDescent="0.2">
      <c r="AF31577" s="12"/>
    </row>
    <row r="31578" spans="32:32" x14ac:dyDescent="0.2">
      <c r="AF31578" s="12"/>
    </row>
    <row r="31579" spans="32:32" x14ac:dyDescent="0.2">
      <c r="AF31579" s="12"/>
    </row>
    <row r="31580" spans="32:32" x14ac:dyDescent="0.2">
      <c r="AF31580" s="12"/>
    </row>
    <row r="31581" spans="32:32" x14ac:dyDescent="0.2">
      <c r="AF31581" s="12"/>
    </row>
    <row r="31582" spans="32:32" x14ac:dyDescent="0.2">
      <c r="AF31582" s="12"/>
    </row>
    <row r="31583" spans="32:32" x14ac:dyDescent="0.2">
      <c r="AF31583" s="12"/>
    </row>
    <row r="31584" spans="32:32" x14ac:dyDescent="0.2">
      <c r="AF31584" s="12"/>
    </row>
    <row r="31585" spans="32:32" x14ac:dyDescent="0.2">
      <c r="AF31585" s="12"/>
    </row>
    <row r="31586" spans="32:32" x14ac:dyDescent="0.2">
      <c r="AF31586" s="12"/>
    </row>
    <row r="31587" spans="32:32" x14ac:dyDescent="0.2">
      <c r="AF31587" s="12"/>
    </row>
    <row r="31588" spans="32:32" x14ac:dyDescent="0.2">
      <c r="AF31588" s="12"/>
    </row>
    <row r="31589" spans="32:32" x14ac:dyDescent="0.2">
      <c r="AF31589" s="12"/>
    </row>
    <row r="31590" spans="32:32" x14ac:dyDescent="0.2">
      <c r="AF31590" s="12"/>
    </row>
    <row r="31591" spans="32:32" x14ac:dyDescent="0.2">
      <c r="AF31591" s="12"/>
    </row>
    <row r="31592" spans="32:32" x14ac:dyDescent="0.2">
      <c r="AF31592" s="12"/>
    </row>
    <row r="31593" spans="32:32" x14ac:dyDescent="0.2">
      <c r="AF31593" s="12"/>
    </row>
    <row r="31594" spans="32:32" x14ac:dyDescent="0.2">
      <c r="AF31594" s="12"/>
    </row>
    <row r="31595" spans="32:32" x14ac:dyDescent="0.2">
      <c r="AF31595" s="12"/>
    </row>
    <row r="31596" spans="32:32" x14ac:dyDescent="0.2">
      <c r="AF31596" s="12"/>
    </row>
    <row r="31597" spans="32:32" x14ac:dyDescent="0.2">
      <c r="AF31597" s="12"/>
    </row>
    <row r="31598" spans="32:32" x14ac:dyDescent="0.2">
      <c r="AF31598" s="12"/>
    </row>
    <row r="31599" spans="32:32" x14ac:dyDescent="0.2">
      <c r="AF31599" s="12"/>
    </row>
    <row r="31600" spans="32:32" x14ac:dyDescent="0.2">
      <c r="AF31600" s="12"/>
    </row>
    <row r="31601" spans="32:32" x14ac:dyDescent="0.2">
      <c r="AF31601" s="12"/>
    </row>
    <row r="31602" spans="32:32" x14ac:dyDescent="0.2">
      <c r="AF31602" s="12"/>
    </row>
    <row r="31603" spans="32:32" x14ac:dyDescent="0.2">
      <c r="AF31603" s="12"/>
    </row>
    <row r="31604" spans="32:32" x14ac:dyDescent="0.2">
      <c r="AF31604" s="12"/>
    </row>
    <row r="31605" spans="32:32" x14ac:dyDescent="0.2">
      <c r="AF31605" s="12"/>
    </row>
    <row r="31606" spans="32:32" x14ac:dyDescent="0.2">
      <c r="AF31606" s="12"/>
    </row>
    <row r="31607" spans="32:32" x14ac:dyDescent="0.2">
      <c r="AF31607" s="12"/>
    </row>
    <row r="31608" spans="32:32" x14ac:dyDescent="0.2">
      <c r="AF31608" s="12"/>
    </row>
    <row r="31609" spans="32:32" x14ac:dyDescent="0.2">
      <c r="AF31609" s="12"/>
    </row>
    <row r="31610" spans="32:32" x14ac:dyDescent="0.2">
      <c r="AF31610" s="12"/>
    </row>
    <row r="31611" spans="32:32" x14ac:dyDescent="0.2">
      <c r="AF31611" s="12"/>
    </row>
    <row r="31612" spans="32:32" x14ac:dyDescent="0.2">
      <c r="AF31612" s="12"/>
    </row>
    <row r="31613" spans="32:32" x14ac:dyDescent="0.2">
      <c r="AF31613" s="12"/>
    </row>
    <row r="31614" spans="32:32" x14ac:dyDescent="0.2">
      <c r="AF31614" s="12"/>
    </row>
    <row r="31615" spans="32:32" x14ac:dyDescent="0.2">
      <c r="AF31615" s="12"/>
    </row>
    <row r="31616" spans="32:32" x14ac:dyDescent="0.2">
      <c r="AF31616" s="12"/>
    </row>
    <row r="31617" spans="32:32" x14ac:dyDescent="0.2">
      <c r="AF31617" s="12"/>
    </row>
    <row r="31618" spans="32:32" x14ac:dyDescent="0.2">
      <c r="AF31618" s="12"/>
    </row>
    <row r="31619" spans="32:32" x14ac:dyDescent="0.2">
      <c r="AF31619" s="12"/>
    </row>
    <row r="31620" spans="32:32" x14ac:dyDescent="0.2">
      <c r="AF31620" s="12"/>
    </row>
    <row r="31621" spans="32:32" x14ac:dyDescent="0.2">
      <c r="AF31621" s="12"/>
    </row>
    <row r="31622" spans="32:32" x14ac:dyDescent="0.2">
      <c r="AF31622" s="12"/>
    </row>
    <row r="31623" spans="32:32" x14ac:dyDescent="0.2">
      <c r="AF31623" s="12"/>
    </row>
    <row r="31624" spans="32:32" x14ac:dyDescent="0.2">
      <c r="AF31624" s="12"/>
    </row>
    <row r="31625" spans="32:32" x14ac:dyDescent="0.2">
      <c r="AF31625" s="12"/>
    </row>
    <row r="31626" spans="32:32" x14ac:dyDescent="0.2">
      <c r="AF31626" s="12"/>
    </row>
    <row r="31627" spans="32:32" x14ac:dyDescent="0.2">
      <c r="AF31627" s="12"/>
    </row>
    <row r="31628" spans="32:32" x14ac:dyDescent="0.2">
      <c r="AF31628" s="12"/>
    </row>
    <row r="31629" spans="32:32" x14ac:dyDescent="0.2">
      <c r="AF31629" s="12"/>
    </row>
    <row r="31630" spans="32:32" x14ac:dyDescent="0.2">
      <c r="AF31630" s="12"/>
    </row>
    <row r="31631" spans="32:32" x14ac:dyDescent="0.2">
      <c r="AF31631" s="12"/>
    </row>
    <row r="31632" spans="32:32" x14ac:dyDescent="0.2">
      <c r="AF31632" s="12"/>
    </row>
    <row r="31633" spans="32:32" x14ac:dyDescent="0.2">
      <c r="AF31633" s="12"/>
    </row>
    <row r="31634" spans="32:32" x14ac:dyDescent="0.2">
      <c r="AF31634" s="12"/>
    </row>
    <row r="31635" spans="32:32" x14ac:dyDescent="0.2">
      <c r="AF31635" s="12"/>
    </row>
    <row r="31636" spans="32:32" x14ac:dyDescent="0.2">
      <c r="AF31636" s="12"/>
    </row>
    <row r="31637" spans="32:32" x14ac:dyDescent="0.2">
      <c r="AF31637" s="12"/>
    </row>
    <row r="31638" spans="32:32" x14ac:dyDescent="0.2">
      <c r="AF31638" s="12"/>
    </row>
    <row r="31639" spans="32:32" x14ac:dyDescent="0.2">
      <c r="AF31639" s="12"/>
    </row>
    <row r="31640" spans="32:32" x14ac:dyDescent="0.2">
      <c r="AF31640" s="12"/>
    </row>
    <row r="31641" spans="32:32" x14ac:dyDescent="0.2">
      <c r="AF31641" s="12"/>
    </row>
    <row r="31642" spans="32:32" x14ac:dyDescent="0.2">
      <c r="AF31642" s="12"/>
    </row>
    <row r="31643" spans="32:32" x14ac:dyDescent="0.2">
      <c r="AF31643" s="12"/>
    </row>
    <row r="31644" spans="32:32" x14ac:dyDescent="0.2">
      <c r="AF31644" s="12"/>
    </row>
    <row r="31645" spans="32:32" x14ac:dyDescent="0.2">
      <c r="AF31645" s="12"/>
    </row>
    <row r="31646" spans="32:32" x14ac:dyDescent="0.2">
      <c r="AF31646" s="12"/>
    </row>
    <row r="31647" spans="32:32" x14ac:dyDescent="0.2">
      <c r="AF31647" s="12"/>
    </row>
    <row r="31648" spans="32:32" x14ac:dyDescent="0.2">
      <c r="AF31648" s="12"/>
    </row>
    <row r="31649" spans="32:32" x14ac:dyDescent="0.2">
      <c r="AF31649" s="12"/>
    </row>
    <row r="31650" spans="32:32" x14ac:dyDescent="0.2">
      <c r="AF31650" s="12"/>
    </row>
    <row r="31651" spans="32:32" x14ac:dyDescent="0.2">
      <c r="AF31651" s="12"/>
    </row>
    <row r="31652" spans="32:32" x14ac:dyDescent="0.2">
      <c r="AF31652" s="12"/>
    </row>
    <row r="31653" spans="32:32" x14ac:dyDescent="0.2">
      <c r="AF31653" s="12"/>
    </row>
    <row r="31654" spans="32:32" x14ac:dyDescent="0.2">
      <c r="AF31654" s="12"/>
    </row>
    <row r="31655" spans="32:32" x14ac:dyDescent="0.2">
      <c r="AF31655" s="12"/>
    </row>
    <row r="31656" spans="32:32" x14ac:dyDescent="0.2">
      <c r="AF31656" s="12"/>
    </row>
    <row r="31657" spans="32:32" x14ac:dyDescent="0.2">
      <c r="AF31657" s="12"/>
    </row>
    <row r="31658" spans="32:32" x14ac:dyDescent="0.2">
      <c r="AF31658" s="12"/>
    </row>
    <row r="31659" spans="32:32" x14ac:dyDescent="0.2">
      <c r="AF31659" s="12"/>
    </row>
    <row r="31660" spans="32:32" x14ac:dyDescent="0.2">
      <c r="AF31660" s="12"/>
    </row>
    <row r="31661" spans="32:32" x14ac:dyDescent="0.2">
      <c r="AF31661" s="12"/>
    </row>
    <row r="31662" spans="32:32" x14ac:dyDescent="0.2">
      <c r="AF31662" s="12"/>
    </row>
    <row r="31663" spans="32:32" x14ac:dyDescent="0.2">
      <c r="AF31663" s="12"/>
    </row>
    <row r="31664" spans="32:32" x14ac:dyDescent="0.2">
      <c r="AF31664" s="12"/>
    </row>
    <row r="31665" spans="32:32" x14ac:dyDescent="0.2">
      <c r="AF31665" s="12"/>
    </row>
    <row r="31666" spans="32:32" x14ac:dyDescent="0.2">
      <c r="AF31666" s="12"/>
    </row>
    <row r="31667" spans="32:32" x14ac:dyDescent="0.2">
      <c r="AF31667" s="12"/>
    </row>
    <row r="31668" spans="32:32" x14ac:dyDescent="0.2">
      <c r="AF31668" s="12"/>
    </row>
    <row r="31669" spans="32:32" x14ac:dyDescent="0.2">
      <c r="AF31669" s="12"/>
    </row>
    <row r="31670" spans="32:32" x14ac:dyDescent="0.2">
      <c r="AF31670" s="12"/>
    </row>
    <row r="31671" spans="32:32" x14ac:dyDescent="0.2">
      <c r="AF31671" s="12"/>
    </row>
    <row r="31672" spans="32:32" x14ac:dyDescent="0.2">
      <c r="AF31672" s="12"/>
    </row>
    <row r="31673" spans="32:32" x14ac:dyDescent="0.2">
      <c r="AF31673" s="12"/>
    </row>
    <row r="31674" spans="32:32" x14ac:dyDescent="0.2">
      <c r="AF31674" s="12"/>
    </row>
    <row r="31675" spans="32:32" x14ac:dyDescent="0.2">
      <c r="AF31675" s="12"/>
    </row>
    <row r="31676" spans="32:32" x14ac:dyDescent="0.2">
      <c r="AF31676" s="12"/>
    </row>
    <row r="31677" spans="32:32" x14ac:dyDescent="0.2">
      <c r="AF31677" s="12"/>
    </row>
    <row r="31678" spans="32:32" x14ac:dyDescent="0.2">
      <c r="AF31678" s="12"/>
    </row>
    <row r="31679" spans="32:32" x14ac:dyDescent="0.2">
      <c r="AF31679" s="12"/>
    </row>
    <row r="31680" spans="32:32" x14ac:dyDescent="0.2">
      <c r="AF31680" s="12"/>
    </row>
    <row r="31681" spans="32:32" x14ac:dyDescent="0.2">
      <c r="AF31681" s="12"/>
    </row>
    <row r="31682" spans="32:32" x14ac:dyDescent="0.2">
      <c r="AF31682" s="12"/>
    </row>
    <row r="31683" spans="32:32" x14ac:dyDescent="0.2">
      <c r="AF31683" s="12"/>
    </row>
    <row r="31684" spans="32:32" x14ac:dyDescent="0.2">
      <c r="AF31684" s="12"/>
    </row>
    <row r="31685" spans="32:32" x14ac:dyDescent="0.2">
      <c r="AF31685" s="12"/>
    </row>
    <row r="31686" spans="32:32" x14ac:dyDescent="0.2">
      <c r="AF31686" s="12"/>
    </row>
    <row r="31687" spans="32:32" x14ac:dyDescent="0.2">
      <c r="AF31687" s="12"/>
    </row>
    <row r="31688" spans="32:32" x14ac:dyDescent="0.2">
      <c r="AF31688" s="12"/>
    </row>
    <row r="31689" spans="32:32" x14ac:dyDescent="0.2">
      <c r="AF31689" s="12"/>
    </row>
    <row r="31690" spans="32:32" x14ac:dyDescent="0.2">
      <c r="AF31690" s="12"/>
    </row>
    <row r="31691" spans="32:32" x14ac:dyDescent="0.2">
      <c r="AF31691" s="12"/>
    </row>
    <row r="31692" spans="32:32" x14ac:dyDescent="0.2">
      <c r="AF31692" s="12"/>
    </row>
    <row r="31693" spans="32:32" x14ac:dyDescent="0.2">
      <c r="AF31693" s="12"/>
    </row>
    <row r="31694" spans="32:32" x14ac:dyDescent="0.2">
      <c r="AF31694" s="12"/>
    </row>
    <row r="31695" spans="32:32" x14ac:dyDescent="0.2">
      <c r="AF31695" s="12"/>
    </row>
    <row r="31696" spans="32:32" x14ac:dyDescent="0.2">
      <c r="AF31696" s="12"/>
    </row>
    <row r="31697" spans="32:32" x14ac:dyDescent="0.2">
      <c r="AF31697" s="12"/>
    </row>
    <row r="31698" spans="32:32" x14ac:dyDescent="0.2">
      <c r="AF31698" s="12"/>
    </row>
    <row r="31699" spans="32:32" x14ac:dyDescent="0.2">
      <c r="AF31699" s="12"/>
    </row>
    <row r="31700" spans="32:32" x14ac:dyDescent="0.2">
      <c r="AF31700" s="12"/>
    </row>
    <row r="31701" spans="32:32" x14ac:dyDescent="0.2">
      <c r="AF31701" s="12"/>
    </row>
    <row r="31702" spans="32:32" x14ac:dyDescent="0.2">
      <c r="AF31702" s="12"/>
    </row>
    <row r="31703" spans="32:32" x14ac:dyDescent="0.2">
      <c r="AF31703" s="12"/>
    </row>
    <row r="31704" spans="32:32" x14ac:dyDescent="0.2">
      <c r="AF31704" s="12"/>
    </row>
    <row r="31705" spans="32:32" x14ac:dyDescent="0.2">
      <c r="AF31705" s="12"/>
    </row>
    <row r="31706" spans="32:32" x14ac:dyDescent="0.2">
      <c r="AF31706" s="12"/>
    </row>
    <row r="31707" spans="32:32" x14ac:dyDescent="0.2">
      <c r="AF31707" s="12"/>
    </row>
    <row r="31708" spans="32:32" x14ac:dyDescent="0.2">
      <c r="AF31708" s="12"/>
    </row>
    <row r="31709" spans="32:32" x14ac:dyDescent="0.2">
      <c r="AF31709" s="12"/>
    </row>
    <row r="31710" spans="32:32" x14ac:dyDescent="0.2">
      <c r="AF31710" s="12"/>
    </row>
    <row r="31711" spans="32:32" x14ac:dyDescent="0.2">
      <c r="AF31711" s="12"/>
    </row>
    <row r="31712" spans="32:32" x14ac:dyDescent="0.2">
      <c r="AF31712" s="12"/>
    </row>
    <row r="31713" spans="32:32" x14ac:dyDescent="0.2">
      <c r="AF31713" s="12"/>
    </row>
    <row r="31714" spans="32:32" x14ac:dyDescent="0.2">
      <c r="AF31714" s="12"/>
    </row>
    <row r="31715" spans="32:32" x14ac:dyDescent="0.2">
      <c r="AF31715" s="12"/>
    </row>
    <row r="31716" spans="32:32" x14ac:dyDescent="0.2">
      <c r="AF31716" s="12"/>
    </row>
    <row r="31717" spans="32:32" x14ac:dyDescent="0.2">
      <c r="AF31717" s="12"/>
    </row>
    <row r="31718" spans="32:32" x14ac:dyDescent="0.2">
      <c r="AF31718" s="12"/>
    </row>
    <row r="31719" spans="32:32" x14ac:dyDescent="0.2">
      <c r="AF31719" s="12"/>
    </row>
    <row r="31720" spans="32:32" x14ac:dyDescent="0.2">
      <c r="AF31720" s="12"/>
    </row>
    <row r="31721" spans="32:32" x14ac:dyDescent="0.2">
      <c r="AF31721" s="12"/>
    </row>
    <row r="31722" spans="32:32" x14ac:dyDescent="0.2">
      <c r="AF31722" s="12"/>
    </row>
    <row r="31723" spans="32:32" x14ac:dyDescent="0.2">
      <c r="AF31723" s="12"/>
    </row>
    <row r="31724" spans="32:32" x14ac:dyDescent="0.2">
      <c r="AF31724" s="12"/>
    </row>
    <row r="31725" spans="32:32" x14ac:dyDescent="0.2">
      <c r="AF31725" s="12"/>
    </row>
    <row r="31726" spans="32:32" x14ac:dyDescent="0.2">
      <c r="AF31726" s="12"/>
    </row>
    <row r="31727" spans="32:32" x14ac:dyDescent="0.2">
      <c r="AF31727" s="12"/>
    </row>
    <row r="31728" spans="32:32" x14ac:dyDescent="0.2">
      <c r="AF31728" s="12"/>
    </row>
    <row r="31729" spans="32:32" x14ac:dyDescent="0.2">
      <c r="AF31729" s="12"/>
    </row>
    <row r="31730" spans="32:32" x14ac:dyDescent="0.2">
      <c r="AF31730" s="12"/>
    </row>
    <row r="31731" spans="32:32" x14ac:dyDescent="0.2">
      <c r="AF31731" s="12"/>
    </row>
    <row r="31732" spans="32:32" x14ac:dyDescent="0.2">
      <c r="AF31732" s="12"/>
    </row>
    <row r="31733" spans="32:32" x14ac:dyDescent="0.2">
      <c r="AF31733" s="12"/>
    </row>
    <row r="31734" spans="32:32" x14ac:dyDescent="0.2">
      <c r="AF31734" s="12"/>
    </row>
    <row r="31735" spans="32:32" x14ac:dyDescent="0.2">
      <c r="AF31735" s="12"/>
    </row>
    <row r="31736" spans="32:32" x14ac:dyDescent="0.2">
      <c r="AF31736" s="12"/>
    </row>
    <row r="31737" spans="32:32" x14ac:dyDescent="0.2">
      <c r="AF31737" s="12"/>
    </row>
    <row r="31738" spans="32:32" x14ac:dyDescent="0.2">
      <c r="AF31738" s="12"/>
    </row>
    <row r="31739" spans="32:32" x14ac:dyDescent="0.2">
      <c r="AF31739" s="12"/>
    </row>
    <row r="31740" spans="32:32" x14ac:dyDescent="0.2">
      <c r="AF31740" s="12"/>
    </row>
    <row r="31741" spans="32:32" x14ac:dyDescent="0.2">
      <c r="AF31741" s="12"/>
    </row>
    <row r="31742" spans="32:32" x14ac:dyDescent="0.2">
      <c r="AF31742" s="12"/>
    </row>
    <row r="31743" spans="32:32" x14ac:dyDescent="0.2">
      <c r="AF31743" s="12"/>
    </row>
    <row r="31744" spans="32:32" x14ac:dyDescent="0.2">
      <c r="AF31744" s="12"/>
    </row>
    <row r="31745" spans="32:32" x14ac:dyDescent="0.2">
      <c r="AF31745" s="12"/>
    </row>
    <row r="31746" spans="32:32" x14ac:dyDescent="0.2">
      <c r="AF31746" s="12"/>
    </row>
    <row r="31747" spans="32:32" x14ac:dyDescent="0.2">
      <c r="AF31747" s="12"/>
    </row>
    <row r="31748" spans="32:32" x14ac:dyDescent="0.2">
      <c r="AF31748" s="12"/>
    </row>
    <row r="31749" spans="32:32" x14ac:dyDescent="0.2">
      <c r="AF31749" s="12"/>
    </row>
    <row r="31750" spans="32:32" x14ac:dyDescent="0.2">
      <c r="AF31750" s="12"/>
    </row>
    <row r="31751" spans="32:32" x14ac:dyDescent="0.2">
      <c r="AF31751" s="12"/>
    </row>
    <row r="31752" spans="32:32" x14ac:dyDescent="0.2">
      <c r="AF31752" s="12"/>
    </row>
    <row r="31753" spans="32:32" x14ac:dyDescent="0.2">
      <c r="AF31753" s="12"/>
    </row>
    <row r="31754" spans="32:32" x14ac:dyDescent="0.2">
      <c r="AF31754" s="12"/>
    </row>
    <row r="31755" spans="32:32" x14ac:dyDescent="0.2">
      <c r="AF31755" s="12"/>
    </row>
    <row r="31756" spans="32:32" x14ac:dyDescent="0.2">
      <c r="AF31756" s="12"/>
    </row>
    <row r="31757" spans="32:32" x14ac:dyDescent="0.2">
      <c r="AF31757" s="12"/>
    </row>
    <row r="31758" spans="32:32" x14ac:dyDescent="0.2">
      <c r="AF31758" s="12"/>
    </row>
    <row r="31759" spans="32:32" x14ac:dyDescent="0.2">
      <c r="AF31759" s="12"/>
    </row>
    <row r="31760" spans="32:32" x14ac:dyDescent="0.2">
      <c r="AF31760" s="12"/>
    </row>
    <row r="31761" spans="32:32" x14ac:dyDescent="0.2">
      <c r="AF31761" s="12"/>
    </row>
    <row r="31762" spans="32:32" x14ac:dyDescent="0.2">
      <c r="AF31762" s="12"/>
    </row>
    <row r="31763" spans="32:32" x14ac:dyDescent="0.2">
      <c r="AF31763" s="12"/>
    </row>
    <row r="31764" spans="32:32" x14ac:dyDescent="0.2">
      <c r="AF31764" s="12"/>
    </row>
    <row r="31765" spans="32:32" x14ac:dyDescent="0.2">
      <c r="AF31765" s="12"/>
    </row>
    <row r="31766" spans="32:32" x14ac:dyDescent="0.2">
      <c r="AF31766" s="12"/>
    </row>
    <row r="31767" spans="32:32" x14ac:dyDescent="0.2">
      <c r="AF31767" s="12"/>
    </row>
    <row r="31768" spans="32:32" x14ac:dyDescent="0.2">
      <c r="AF31768" s="12"/>
    </row>
    <row r="31769" spans="32:32" x14ac:dyDescent="0.2">
      <c r="AF31769" s="12"/>
    </row>
    <row r="31770" spans="32:32" x14ac:dyDescent="0.2">
      <c r="AF31770" s="12"/>
    </row>
    <row r="31771" spans="32:32" x14ac:dyDescent="0.2">
      <c r="AF31771" s="12"/>
    </row>
    <row r="31772" spans="32:32" x14ac:dyDescent="0.2">
      <c r="AF31772" s="12"/>
    </row>
    <row r="31773" spans="32:32" x14ac:dyDescent="0.2">
      <c r="AF31773" s="12"/>
    </row>
    <row r="31774" spans="32:32" x14ac:dyDescent="0.2">
      <c r="AF31774" s="12"/>
    </row>
    <row r="31775" spans="32:32" x14ac:dyDescent="0.2">
      <c r="AF31775" s="12"/>
    </row>
    <row r="31776" spans="32:32" x14ac:dyDescent="0.2">
      <c r="AF31776" s="12"/>
    </row>
    <row r="31777" spans="32:32" x14ac:dyDescent="0.2">
      <c r="AF31777" s="12"/>
    </row>
    <row r="31778" spans="32:32" x14ac:dyDescent="0.2">
      <c r="AF31778" s="12"/>
    </row>
    <row r="31779" spans="32:32" x14ac:dyDescent="0.2">
      <c r="AF31779" s="12"/>
    </row>
    <row r="31780" spans="32:32" x14ac:dyDescent="0.2">
      <c r="AF31780" s="12"/>
    </row>
    <row r="31781" spans="32:32" x14ac:dyDescent="0.2">
      <c r="AF31781" s="12"/>
    </row>
    <row r="31782" spans="32:32" x14ac:dyDescent="0.2">
      <c r="AF31782" s="12"/>
    </row>
    <row r="31783" spans="32:32" x14ac:dyDescent="0.2">
      <c r="AF31783" s="12"/>
    </row>
    <row r="31784" spans="32:32" x14ac:dyDescent="0.2">
      <c r="AF31784" s="12"/>
    </row>
    <row r="31785" spans="32:32" x14ac:dyDescent="0.2">
      <c r="AF31785" s="12"/>
    </row>
    <row r="31786" spans="32:32" x14ac:dyDescent="0.2">
      <c r="AF31786" s="12"/>
    </row>
    <row r="31787" spans="32:32" x14ac:dyDescent="0.2">
      <c r="AF31787" s="12"/>
    </row>
    <row r="31788" spans="32:32" x14ac:dyDescent="0.2">
      <c r="AF31788" s="12"/>
    </row>
    <row r="31789" spans="32:32" x14ac:dyDescent="0.2">
      <c r="AF31789" s="12"/>
    </row>
    <row r="31790" spans="32:32" x14ac:dyDescent="0.2">
      <c r="AF31790" s="12"/>
    </row>
    <row r="31791" spans="32:32" x14ac:dyDescent="0.2">
      <c r="AF31791" s="12"/>
    </row>
    <row r="31792" spans="32:32" x14ac:dyDescent="0.2">
      <c r="AF31792" s="12"/>
    </row>
    <row r="31793" spans="32:32" x14ac:dyDescent="0.2">
      <c r="AF31793" s="12"/>
    </row>
    <row r="31794" spans="32:32" x14ac:dyDescent="0.2">
      <c r="AF31794" s="12"/>
    </row>
    <row r="31795" spans="32:32" x14ac:dyDescent="0.2">
      <c r="AF31795" s="12"/>
    </row>
    <row r="31796" spans="32:32" x14ac:dyDescent="0.2">
      <c r="AF31796" s="12"/>
    </row>
    <row r="31797" spans="32:32" x14ac:dyDescent="0.2">
      <c r="AF31797" s="12"/>
    </row>
    <row r="31798" spans="32:32" x14ac:dyDescent="0.2">
      <c r="AF31798" s="12"/>
    </row>
    <row r="31799" spans="32:32" x14ac:dyDescent="0.2">
      <c r="AF31799" s="12"/>
    </row>
    <row r="31800" spans="32:32" x14ac:dyDescent="0.2">
      <c r="AF31800" s="12"/>
    </row>
    <row r="31801" spans="32:32" x14ac:dyDescent="0.2">
      <c r="AF31801" s="12"/>
    </row>
    <row r="31802" spans="32:32" x14ac:dyDescent="0.2">
      <c r="AF31802" s="12"/>
    </row>
    <row r="31803" spans="32:32" x14ac:dyDescent="0.2">
      <c r="AF31803" s="12"/>
    </row>
    <row r="31804" spans="32:32" x14ac:dyDescent="0.2">
      <c r="AF31804" s="12"/>
    </row>
    <row r="31805" spans="32:32" x14ac:dyDescent="0.2">
      <c r="AF31805" s="12"/>
    </row>
    <row r="31806" spans="32:32" x14ac:dyDescent="0.2">
      <c r="AF31806" s="12"/>
    </row>
    <row r="31807" spans="32:32" x14ac:dyDescent="0.2">
      <c r="AF31807" s="12"/>
    </row>
    <row r="31808" spans="32:32" x14ac:dyDescent="0.2">
      <c r="AF31808" s="12"/>
    </row>
    <row r="31809" spans="32:32" x14ac:dyDescent="0.2">
      <c r="AF31809" s="12"/>
    </row>
    <row r="31810" spans="32:32" x14ac:dyDescent="0.2">
      <c r="AF31810" s="12"/>
    </row>
    <row r="31811" spans="32:32" x14ac:dyDescent="0.2">
      <c r="AF31811" s="12"/>
    </row>
    <row r="31812" spans="32:32" x14ac:dyDescent="0.2">
      <c r="AF31812" s="12"/>
    </row>
    <row r="31813" spans="32:32" x14ac:dyDescent="0.2">
      <c r="AF31813" s="12"/>
    </row>
    <row r="31814" spans="32:32" x14ac:dyDescent="0.2">
      <c r="AF31814" s="12"/>
    </row>
    <row r="31815" spans="32:32" x14ac:dyDescent="0.2">
      <c r="AF31815" s="12"/>
    </row>
    <row r="31816" spans="32:32" x14ac:dyDescent="0.2">
      <c r="AF31816" s="12"/>
    </row>
    <row r="31817" spans="32:32" x14ac:dyDescent="0.2">
      <c r="AF31817" s="12"/>
    </row>
    <row r="31818" spans="32:32" x14ac:dyDescent="0.2">
      <c r="AF31818" s="12"/>
    </row>
    <row r="31819" spans="32:32" x14ac:dyDescent="0.2">
      <c r="AF31819" s="12"/>
    </row>
    <row r="31820" spans="32:32" x14ac:dyDescent="0.2">
      <c r="AF31820" s="12"/>
    </row>
    <row r="31821" spans="32:32" x14ac:dyDescent="0.2">
      <c r="AF31821" s="12"/>
    </row>
    <row r="31822" spans="32:32" x14ac:dyDescent="0.2">
      <c r="AF31822" s="12"/>
    </row>
    <row r="31823" spans="32:32" x14ac:dyDescent="0.2">
      <c r="AF31823" s="12"/>
    </row>
    <row r="31824" spans="32:32" x14ac:dyDescent="0.2">
      <c r="AF31824" s="12"/>
    </row>
    <row r="31825" spans="32:32" x14ac:dyDescent="0.2">
      <c r="AF31825" s="12"/>
    </row>
    <row r="31826" spans="32:32" x14ac:dyDescent="0.2">
      <c r="AF31826" s="12"/>
    </row>
    <row r="31827" spans="32:32" x14ac:dyDescent="0.2">
      <c r="AF31827" s="12"/>
    </row>
    <row r="31828" spans="32:32" x14ac:dyDescent="0.2">
      <c r="AF31828" s="12"/>
    </row>
    <row r="31829" spans="32:32" x14ac:dyDescent="0.2">
      <c r="AF31829" s="12"/>
    </row>
    <row r="31830" spans="32:32" x14ac:dyDescent="0.2">
      <c r="AF31830" s="12"/>
    </row>
    <row r="31831" spans="32:32" x14ac:dyDescent="0.2">
      <c r="AF31831" s="12"/>
    </row>
    <row r="31832" spans="32:32" x14ac:dyDescent="0.2">
      <c r="AF31832" s="12"/>
    </row>
    <row r="31833" spans="32:32" x14ac:dyDescent="0.2">
      <c r="AF31833" s="12"/>
    </row>
    <row r="31834" spans="32:32" x14ac:dyDescent="0.2">
      <c r="AF31834" s="12"/>
    </row>
    <row r="31835" spans="32:32" x14ac:dyDescent="0.2">
      <c r="AF31835" s="12"/>
    </row>
    <row r="31836" spans="32:32" x14ac:dyDescent="0.2">
      <c r="AF31836" s="12"/>
    </row>
    <row r="31837" spans="32:32" x14ac:dyDescent="0.2">
      <c r="AF31837" s="12"/>
    </row>
    <row r="31838" spans="32:32" x14ac:dyDescent="0.2">
      <c r="AF31838" s="12"/>
    </row>
    <row r="31839" spans="32:32" x14ac:dyDescent="0.2">
      <c r="AF31839" s="12"/>
    </row>
    <row r="31840" spans="32:32" x14ac:dyDescent="0.2">
      <c r="AF31840" s="12"/>
    </row>
    <row r="31841" spans="32:32" x14ac:dyDescent="0.2">
      <c r="AF31841" s="12"/>
    </row>
    <row r="31842" spans="32:32" x14ac:dyDescent="0.2">
      <c r="AF31842" s="12"/>
    </row>
    <row r="31843" spans="32:32" x14ac:dyDescent="0.2">
      <c r="AF31843" s="12"/>
    </row>
    <row r="31844" spans="32:32" x14ac:dyDescent="0.2">
      <c r="AF31844" s="12"/>
    </row>
    <row r="31845" spans="32:32" x14ac:dyDescent="0.2">
      <c r="AF31845" s="12"/>
    </row>
    <row r="31846" spans="32:32" x14ac:dyDescent="0.2">
      <c r="AF31846" s="12"/>
    </row>
    <row r="31847" spans="32:32" x14ac:dyDescent="0.2">
      <c r="AF31847" s="12"/>
    </row>
    <row r="31848" spans="32:32" x14ac:dyDescent="0.2">
      <c r="AF31848" s="12"/>
    </row>
    <row r="31849" spans="32:32" x14ac:dyDescent="0.2">
      <c r="AF31849" s="12"/>
    </row>
    <row r="31850" spans="32:32" x14ac:dyDescent="0.2">
      <c r="AF31850" s="12"/>
    </row>
    <row r="31851" spans="32:32" x14ac:dyDescent="0.2">
      <c r="AF31851" s="12"/>
    </row>
    <row r="31852" spans="32:32" x14ac:dyDescent="0.2">
      <c r="AF31852" s="12"/>
    </row>
    <row r="31853" spans="32:32" x14ac:dyDescent="0.2">
      <c r="AF31853" s="12"/>
    </row>
    <row r="31854" spans="32:32" x14ac:dyDescent="0.2">
      <c r="AF31854" s="12"/>
    </row>
    <row r="31855" spans="32:32" x14ac:dyDescent="0.2">
      <c r="AF31855" s="12"/>
    </row>
    <row r="31856" spans="32:32" x14ac:dyDescent="0.2">
      <c r="AF31856" s="12"/>
    </row>
    <row r="31857" spans="32:32" x14ac:dyDescent="0.2">
      <c r="AF31857" s="12"/>
    </row>
    <row r="31858" spans="32:32" x14ac:dyDescent="0.2">
      <c r="AF31858" s="12"/>
    </row>
    <row r="31859" spans="32:32" x14ac:dyDescent="0.2">
      <c r="AF31859" s="12"/>
    </row>
    <row r="31860" spans="32:32" x14ac:dyDescent="0.2">
      <c r="AF31860" s="12"/>
    </row>
    <row r="31861" spans="32:32" x14ac:dyDescent="0.2">
      <c r="AF31861" s="12"/>
    </row>
    <row r="31862" spans="32:32" x14ac:dyDescent="0.2">
      <c r="AF31862" s="12"/>
    </row>
    <row r="31863" spans="32:32" x14ac:dyDescent="0.2">
      <c r="AF31863" s="12"/>
    </row>
    <row r="31864" spans="32:32" x14ac:dyDescent="0.2">
      <c r="AF31864" s="12"/>
    </row>
    <row r="31865" spans="32:32" x14ac:dyDescent="0.2">
      <c r="AF31865" s="12"/>
    </row>
    <row r="31866" spans="32:32" x14ac:dyDescent="0.2">
      <c r="AF31866" s="12"/>
    </row>
    <row r="31867" spans="32:32" x14ac:dyDescent="0.2">
      <c r="AF31867" s="12"/>
    </row>
    <row r="31868" spans="32:32" x14ac:dyDescent="0.2">
      <c r="AF31868" s="12"/>
    </row>
    <row r="31869" spans="32:32" x14ac:dyDescent="0.2">
      <c r="AF31869" s="12"/>
    </row>
    <row r="31870" spans="32:32" x14ac:dyDescent="0.2">
      <c r="AF31870" s="12"/>
    </row>
    <row r="31871" spans="32:32" x14ac:dyDescent="0.2">
      <c r="AF31871" s="12"/>
    </row>
    <row r="31872" spans="32:32" x14ac:dyDescent="0.2">
      <c r="AF31872" s="12"/>
    </row>
    <row r="31873" spans="32:32" x14ac:dyDescent="0.2">
      <c r="AF31873" s="12"/>
    </row>
    <row r="31874" spans="32:32" x14ac:dyDescent="0.2">
      <c r="AF31874" s="12"/>
    </row>
    <row r="31875" spans="32:32" x14ac:dyDescent="0.2">
      <c r="AF31875" s="12"/>
    </row>
    <row r="31876" spans="32:32" x14ac:dyDescent="0.2">
      <c r="AF31876" s="12"/>
    </row>
    <row r="31877" spans="32:32" x14ac:dyDescent="0.2">
      <c r="AF31877" s="12"/>
    </row>
    <row r="31878" spans="32:32" x14ac:dyDescent="0.2">
      <c r="AF31878" s="12"/>
    </row>
    <row r="31879" spans="32:32" x14ac:dyDescent="0.2">
      <c r="AF31879" s="12"/>
    </row>
    <row r="31880" spans="32:32" x14ac:dyDescent="0.2">
      <c r="AF31880" s="12"/>
    </row>
    <row r="31881" spans="32:32" x14ac:dyDescent="0.2">
      <c r="AF31881" s="12"/>
    </row>
    <row r="31882" spans="32:32" x14ac:dyDescent="0.2">
      <c r="AF31882" s="12"/>
    </row>
    <row r="31883" spans="32:32" x14ac:dyDescent="0.2">
      <c r="AF31883" s="12"/>
    </row>
    <row r="31884" spans="32:32" x14ac:dyDescent="0.2">
      <c r="AF31884" s="12"/>
    </row>
    <row r="31885" spans="32:32" x14ac:dyDescent="0.2">
      <c r="AF31885" s="12"/>
    </row>
    <row r="31886" spans="32:32" x14ac:dyDescent="0.2">
      <c r="AF31886" s="12"/>
    </row>
    <row r="31887" spans="32:32" x14ac:dyDescent="0.2">
      <c r="AF31887" s="12"/>
    </row>
    <row r="31888" spans="32:32" x14ac:dyDescent="0.2">
      <c r="AF31888" s="12"/>
    </row>
    <row r="31889" spans="32:32" x14ac:dyDescent="0.2">
      <c r="AF31889" s="12"/>
    </row>
    <row r="31890" spans="32:32" x14ac:dyDescent="0.2">
      <c r="AF31890" s="12"/>
    </row>
    <row r="31891" spans="32:32" x14ac:dyDescent="0.2">
      <c r="AF31891" s="12"/>
    </row>
    <row r="31892" spans="32:32" x14ac:dyDescent="0.2">
      <c r="AF31892" s="12"/>
    </row>
    <row r="31893" spans="32:32" x14ac:dyDescent="0.2">
      <c r="AF31893" s="12"/>
    </row>
    <row r="31894" spans="32:32" x14ac:dyDescent="0.2">
      <c r="AF31894" s="12"/>
    </row>
    <row r="31895" spans="32:32" x14ac:dyDescent="0.2">
      <c r="AF31895" s="12"/>
    </row>
    <row r="31896" spans="32:32" x14ac:dyDescent="0.2">
      <c r="AF31896" s="12"/>
    </row>
    <row r="31897" spans="32:32" x14ac:dyDescent="0.2">
      <c r="AF31897" s="12"/>
    </row>
    <row r="31898" spans="32:32" x14ac:dyDescent="0.2">
      <c r="AF31898" s="12"/>
    </row>
    <row r="31899" spans="32:32" x14ac:dyDescent="0.2">
      <c r="AF31899" s="12"/>
    </row>
    <row r="31900" spans="32:32" x14ac:dyDescent="0.2">
      <c r="AF31900" s="12"/>
    </row>
    <row r="31901" spans="32:32" x14ac:dyDescent="0.2">
      <c r="AF31901" s="12"/>
    </row>
    <row r="31902" spans="32:32" x14ac:dyDescent="0.2">
      <c r="AF31902" s="12"/>
    </row>
    <row r="31903" spans="32:32" x14ac:dyDescent="0.2">
      <c r="AF31903" s="12"/>
    </row>
    <row r="31904" spans="32:32" x14ac:dyDescent="0.2">
      <c r="AF31904" s="12"/>
    </row>
    <row r="31905" spans="32:32" x14ac:dyDescent="0.2">
      <c r="AF31905" s="12"/>
    </row>
    <row r="31906" spans="32:32" x14ac:dyDescent="0.2">
      <c r="AF31906" s="12"/>
    </row>
    <row r="31907" spans="32:32" x14ac:dyDescent="0.2">
      <c r="AF31907" s="12"/>
    </row>
    <row r="31908" spans="32:32" x14ac:dyDescent="0.2">
      <c r="AF31908" s="12"/>
    </row>
    <row r="31909" spans="32:32" x14ac:dyDescent="0.2">
      <c r="AF31909" s="12"/>
    </row>
    <row r="31910" spans="32:32" x14ac:dyDescent="0.2">
      <c r="AF31910" s="12"/>
    </row>
    <row r="31911" spans="32:32" x14ac:dyDescent="0.2">
      <c r="AF31911" s="12"/>
    </row>
    <row r="31912" spans="32:32" x14ac:dyDescent="0.2">
      <c r="AF31912" s="12"/>
    </row>
    <row r="31913" spans="32:32" x14ac:dyDescent="0.2">
      <c r="AF31913" s="12"/>
    </row>
    <row r="31914" spans="32:32" x14ac:dyDescent="0.2">
      <c r="AF31914" s="12"/>
    </row>
    <row r="31915" spans="32:32" x14ac:dyDescent="0.2">
      <c r="AF31915" s="12"/>
    </row>
    <row r="31916" spans="32:32" x14ac:dyDescent="0.2">
      <c r="AF31916" s="12"/>
    </row>
    <row r="31917" spans="32:32" x14ac:dyDescent="0.2">
      <c r="AF31917" s="12"/>
    </row>
    <row r="31918" spans="32:32" x14ac:dyDescent="0.2">
      <c r="AF31918" s="12"/>
    </row>
    <row r="31919" spans="32:32" x14ac:dyDescent="0.2">
      <c r="AF31919" s="12"/>
    </row>
    <row r="31920" spans="32:32" x14ac:dyDescent="0.2">
      <c r="AF31920" s="12"/>
    </row>
    <row r="31921" spans="32:32" x14ac:dyDescent="0.2">
      <c r="AF31921" s="12"/>
    </row>
    <row r="31922" spans="32:32" x14ac:dyDescent="0.2">
      <c r="AF31922" s="12"/>
    </row>
    <row r="31923" spans="32:32" x14ac:dyDescent="0.2">
      <c r="AF31923" s="12"/>
    </row>
    <row r="31924" spans="32:32" x14ac:dyDescent="0.2">
      <c r="AF31924" s="12"/>
    </row>
    <row r="31925" spans="32:32" x14ac:dyDescent="0.2">
      <c r="AF31925" s="12"/>
    </row>
    <row r="31926" spans="32:32" x14ac:dyDescent="0.2">
      <c r="AF31926" s="12"/>
    </row>
    <row r="31927" spans="32:32" x14ac:dyDescent="0.2">
      <c r="AF31927" s="12"/>
    </row>
    <row r="31928" spans="32:32" x14ac:dyDescent="0.2">
      <c r="AF31928" s="12"/>
    </row>
    <row r="31929" spans="32:32" x14ac:dyDescent="0.2">
      <c r="AF31929" s="12"/>
    </row>
    <row r="31930" spans="32:32" x14ac:dyDescent="0.2">
      <c r="AF31930" s="12"/>
    </row>
    <row r="31931" spans="32:32" x14ac:dyDescent="0.2">
      <c r="AF31931" s="12"/>
    </row>
    <row r="31932" spans="32:32" x14ac:dyDescent="0.2">
      <c r="AF31932" s="12"/>
    </row>
    <row r="31933" spans="32:32" x14ac:dyDescent="0.2">
      <c r="AF31933" s="12"/>
    </row>
    <row r="31934" spans="32:32" x14ac:dyDescent="0.2">
      <c r="AF31934" s="12"/>
    </row>
    <row r="31935" spans="32:32" x14ac:dyDescent="0.2">
      <c r="AF31935" s="12"/>
    </row>
    <row r="31936" spans="32:32" x14ac:dyDescent="0.2">
      <c r="AF31936" s="12"/>
    </row>
    <row r="31937" spans="32:32" x14ac:dyDescent="0.2">
      <c r="AF31937" s="12"/>
    </row>
    <row r="31938" spans="32:32" x14ac:dyDescent="0.2">
      <c r="AF31938" s="12"/>
    </row>
    <row r="31939" spans="32:32" x14ac:dyDescent="0.2">
      <c r="AF31939" s="12"/>
    </row>
    <row r="31940" spans="32:32" x14ac:dyDescent="0.2">
      <c r="AF31940" s="12"/>
    </row>
    <row r="31941" spans="32:32" x14ac:dyDescent="0.2">
      <c r="AF31941" s="12"/>
    </row>
    <row r="31942" spans="32:32" x14ac:dyDescent="0.2">
      <c r="AF31942" s="12"/>
    </row>
    <row r="31943" spans="32:32" x14ac:dyDescent="0.2">
      <c r="AF31943" s="12"/>
    </row>
    <row r="31944" spans="32:32" x14ac:dyDescent="0.2">
      <c r="AF31944" s="12"/>
    </row>
    <row r="31945" spans="32:32" x14ac:dyDescent="0.2">
      <c r="AF31945" s="12"/>
    </row>
    <row r="31946" spans="32:32" x14ac:dyDescent="0.2">
      <c r="AF31946" s="12"/>
    </row>
    <row r="31947" spans="32:32" x14ac:dyDescent="0.2">
      <c r="AF31947" s="12"/>
    </row>
    <row r="31948" spans="32:32" x14ac:dyDescent="0.2">
      <c r="AF31948" s="12"/>
    </row>
    <row r="31949" spans="32:32" x14ac:dyDescent="0.2">
      <c r="AF31949" s="12"/>
    </row>
    <row r="31950" spans="32:32" x14ac:dyDescent="0.2">
      <c r="AF31950" s="12"/>
    </row>
    <row r="31951" spans="32:32" x14ac:dyDescent="0.2">
      <c r="AF31951" s="12"/>
    </row>
    <row r="31952" spans="32:32" x14ac:dyDescent="0.2">
      <c r="AF31952" s="12"/>
    </row>
    <row r="31953" spans="32:32" x14ac:dyDescent="0.2">
      <c r="AF31953" s="12"/>
    </row>
    <row r="31954" spans="32:32" x14ac:dyDescent="0.2">
      <c r="AF31954" s="12"/>
    </row>
    <row r="31955" spans="32:32" x14ac:dyDescent="0.2">
      <c r="AF31955" s="12"/>
    </row>
    <row r="31956" spans="32:32" x14ac:dyDescent="0.2">
      <c r="AF31956" s="12"/>
    </row>
    <row r="31957" spans="32:32" x14ac:dyDescent="0.2">
      <c r="AF31957" s="12"/>
    </row>
    <row r="31958" spans="32:32" x14ac:dyDescent="0.2">
      <c r="AF31958" s="12"/>
    </row>
    <row r="31959" spans="32:32" x14ac:dyDescent="0.2">
      <c r="AF31959" s="12"/>
    </row>
    <row r="31960" spans="32:32" x14ac:dyDescent="0.2">
      <c r="AF31960" s="12"/>
    </row>
    <row r="31961" spans="32:32" x14ac:dyDescent="0.2">
      <c r="AF31961" s="12"/>
    </row>
    <row r="31962" spans="32:32" x14ac:dyDescent="0.2">
      <c r="AF31962" s="12"/>
    </row>
    <row r="31963" spans="32:32" x14ac:dyDescent="0.2">
      <c r="AF31963" s="12"/>
    </row>
    <row r="31964" spans="32:32" x14ac:dyDescent="0.2">
      <c r="AF31964" s="12"/>
    </row>
    <row r="31965" spans="32:32" x14ac:dyDescent="0.2">
      <c r="AF31965" s="12"/>
    </row>
    <row r="31966" spans="32:32" x14ac:dyDescent="0.2">
      <c r="AF31966" s="12"/>
    </row>
    <row r="31967" spans="32:32" x14ac:dyDescent="0.2">
      <c r="AF31967" s="12"/>
    </row>
    <row r="31968" spans="32:32" x14ac:dyDescent="0.2">
      <c r="AF31968" s="12"/>
    </row>
    <row r="31969" spans="32:32" x14ac:dyDescent="0.2">
      <c r="AF31969" s="12"/>
    </row>
    <row r="31970" spans="32:32" x14ac:dyDescent="0.2">
      <c r="AF31970" s="12"/>
    </row>
    <row r="31971" spans="32:32" x14ac:dyDescent="0.2">
      <c r="AF31971" s="12"/>
    </row>
    <row r="31972" spans="32:32" x14ac:dyDescent="0.2">
      <c r="AF31972" s="12"/>
    </row>
    <row r="31973" spans="32:32" x14ac:dyDescent="0.2">
      <c r="AF31973" s="12"/>
    </row>
    <row r="31974" spans="32:32" x14ac:dyDescent="0.2">
      <c r="AF31974" s="12"/>
    </row>
    <row r="31975" spans="32:32" x14ac:dyDescent="0.2">
      <c r="AF31975" s="12"/>
    </row>
    <row r="31976" spans="32:32" x14ac:dyDescent="0.2">
      <c r="AF31976" s="12"/>
    </row>
    <row r="31977" spans="32:32" x14ac:dyDescent="0.2">
      <c r="AF31977" s="12"/>
    </row>
    <row r="31978" spans="32:32" x14ac:dyDescent="0.2">
      <c r="AF31978" s="12"/>
    </row>
    <row r="31979" spans="32:32" x14ac:dyDescent="0.2">
      <c r="AF31979" s="12"/>
    </row>
    <row r="31980" spans="32:32" x14ac:dyDescent="0.2">
      <c r="AF31980" s="12"/>
    </row>
    <row r="31981" spans="32:32" x14ac:dyDescent="0.2">
      <c r="AF31981" s="12"/>
    </row>
    <row r="31982" spans="32:32" x14ac:dyDescent="0.2">
      <c r="AF31982" s="12"/>
    </row>
    <row r="31983" spans="32:32" x14ac:dyDescent="0.2">
      <c r="AF31983" s="12"/>
    </row>
    <row r="31984" spans="32:32" x14ac:dyDescent="0.2">
      <c r="AF31984" s="12"/>
    </row>
    <row r="31985" spans="32:32" x14ac:dyDescent="0.2">
      <c r="AF31985" s="12"/>
    </row>
    <row r="31986" spans="32:32" x14ac:dyDescent="0.2">
      <c r="AF31986" s="12"/>
    </row>
    <row r="31987" spans="32:32" x14ac:dyDescent="0.2">
      <c r="AF31987" s="12"/>
    </row>
    <row r="31988" spans="32:32" x14ac:dyDescent="0.2">
      <c r="AF31988" s="12"/>
    </row>
    <row r="31989" spans="32:32" x14ac:dyDescent="0.2">
      <c r="AF31989" s="12"/>
    </row>
    <row r="31990" spans="32:32" x14ac:dyDescent="0.2">
      <c r="AF31990" s="12"/>
    </row>
    <row r="31991" spans="32:32" x14ac:dyDescent="0.2">
      <c r="AF31991" s="12"/>
    </row>
    <row r="31992" spans="32:32" x14ac:dyDescent="0.2">
      <c r="AF31992" s="12"/>
    </row>
    <row r="31993" spans="32:32" x14ac:dyDescent="0.2">
      <c r="AF31993" s="12"/>
    </row>
    <row r="31994" spans="32:32" x14ac:dyDescent="0.2">
      <c r="AF31994" s="12"/>
    </row>
    <row r="31995" spans="32:32" x14ac:dyDescent="0.2">
      <c r="AF31995" s="12"/>
    </row>
    <row r="31996" spans="32:32" x14ac:dyDescent="0.2">
      <c r="AF31996" s="12"/>
    </row>
    <row r="31997" spans="32:32" x14ac:dyDescent="0.2">
      <c r="AF31997" s="12"/>
    </row>
    <row r="31998" spans="32:32" x14ac:dyDescent="0.2">
      <c r="AF31998" s="12"/>
    </row>
    <row r="31999" spans="32:32" x14ac:dyDescent="0.2">
      <c r="AF31999" s="12"/>
    </row>
    <row r="32000" spans="32:32" x14ac:dyDescent="0.2">
      <c r="AF32000" s="12"/>
    </row>
    <row r="32001" spans="32:32" x14ac:dyDescent="0.2">
      <c r="AF32001" s="12"/>
    </row>
    <row r="32002" spans="32:32" x14ac:dyDescent="0.2">
      <c r="AF32002" s="12"/>
    </row>
    <row r="32003" spans="32:32" x14ac:dyDescent="0.2">
      <c r="AF32003" s="12"/>
    </row>
    <row r="32004" spans="32:32" x14ac:dyDescent="0.2">
      <c r="AF32004" s="12"/>
    </row>
    <row r="32005" spans="32:32" x14ac:dyDescent="0.2">
      <c r="AF32005" s="12"/>
    </row>
    <row r="32006" spans="32:32" x14ac:dyDescent="0.2">
      <c r="AF32006" s="12"/>
    </row>
    <row r="32007" spans="32:32" x14ac:dyDescent="0.2">
      <c r="AF32007" s="12"/>
    </row>
    <row r="32008" spans="32:32" x14ac:dyDescent="0.2">
      <c r="AF32008" s="12"/>
    </row>
    <row r="32009" spans="32:32" x14ac:dyDescent="0.2">
      <c r="AF32009" s="12"/>
    </row>
    <row r="32010" spans="32:32" x14ac:dyDescent="0.2">
      <c r="AF32010" s="12"/>
    </row>
    <row r="32011" spans="32:32" x14ac:dyDescent="0.2">
      <c r="AF32011" s="12"/>
    </row>
    <row r="32012" spans="32:32" x14ac:dyDescent="0.2">
      <c r="AF32012" s="12"/>
    </row>
    <row r="32013" spans="32:32" x14ac:dyDescent="0.2">
      <c r="AF32013" s="12"/>
    </row>
    <row r="32014" spans="32:32" x14ac:dyDescent="0.2">
      <c r="AF32014" s="12"/>
    </row>
    <row r="32015" spans="32:32" x14ac:dyDescent="0.2">
      <c r="AF32015" s="12"/>
    </row>
    <row r="32016" spans="32:32" x14ac:dyDescent="0.2">
      <c r="AF32016" s="12"/>
    </row>
    <row r="32017" spans="32:32" x14ac:dyDescent="0.2">
      <c r="AF32017" s="12"/>
    </row>
    <row r="32018" spans="32:32" x14ac:dyDescent="0.2">
      <c r="AF32018" s="12"/>
    </row>
    <row r="32019" spans="32:32" x14ac:dyDescent="0.2">
      <c r="AF32019" s="12"/>
    </row>
    <row r="32020" spans="32:32" x14ac:dyDescent="0.2">
      <c r="AF32020" s="12"/>
    </row>
    <row r="32021" spans="32:32" x14ac:dyDescent="0.2">
      <c r="AF32021" s="12"/>
    </row>
    <row r="32022" spans="32:32" x14ac:dyDescent="0.2">
      <c r="AF32022" s="12"/>
    </row>
    <row r="32023" spans="32:32" x14ac:dyDescent="0.2">
      <c r="AF32023" s="12"/>
    </row>
    <row r="32024" spans="32:32" x14ac:dyDescent="0.2">
      <c r="AF32024" s="12"/>
    </row>
    <row r="32025" spans="32:32" x14ac:dyDescent="0.2">
      <c r="AF32025" s="12"/>
    </row>
    <row r="32026" spans="32:32" x14ac:dyDescent="0.2">
      <c r="AF32026" s="12"/>
    </row>
    <row r="32027" spans="32:32" x14ac:dyDescent="0.2">
      <c r="AF32027" s="12"/>
    </row>
    <row r="32028" spans="32:32" x14ac:dyDescent="0.2">
      <c r="AF32028" s="12"/>
    </row>
    <row r="32029" spans="32:32" x14ac:dyDescent="0.2">
      <c r="AF32029" s="12"/>
    </row>
    <row r="32030" spans="32:32" x14ac:dyDescent="0.2">
      <c r="AF32030" s="12"/>
    </row>
    <row r="32031" spans="32:32" x14ac:dyDescent="0.2">
      <c r="AF32031" s="12"/>
    </row>
    <row r="32032" spans="32:32" x14ac:dyDescent="0.2">
      <c r="AF32032" s="12"/>
    </row>
    <row r="32033" spans="32:32" x14ac:dyDescent="0.2">
      <c r="AF32033" s="12"/>
    </row>
    <row r="32034" spans="32:32" x14ac:dyDescent="0.2">
      <c r="AF32034" s="12"/>
    </row>
    <row r="32035" spans="32:32" x14ac:dyDescent="0.2">
      <c r="AF32035" s="12"/>
    </row>
    <row r="32036" spans="32:32" x14ac:dyDescent="0.2">
      <c r="AF32036" s="12"/>
    </row>
    <row r="32037" spans="32:32" x14ac:dyDescent="0.2">
      <c r="AF32037" s="12"/>
    </row>
    <row r="32038" spans="32:32" x14ac:dyDescent="0.2">
      <c r="AF32038" s="12"/>
    </row>
    <row r="32039" spans="32:32" x14ac:dyDescent="0.2">
      <c r="AF32039" s="12"/>
    </row>
    <row r="32040" spans="32:32" x14ac:dyDescent="0.2">
      <c r="AF32040" s="12"/>
    </row>
    <row r="32041" spans="32:32" x14ac:dyDescent="0.2">
      <c r="AF32041" s="12"/>
    </row>
    <row r="32042" spans="32:32" x14ac:dyDescent="0.2">
      <c r="AF32042" s="12"/>
    </row>
    <row r="32043" spans="32:32" x14ac:dyDescent="0.2">
      <c r="AF32043" s="12"/>
    </row>
    <row r="32044" spans="32:32" x14ac:dyDescent="0.2">
      <c r="AF32044" s="12"/>
    </row>
    <row r="32045" spans="32:32" x14ac:dyDescent="0.2">
      <c r="AF32045" s="12"/>
    </row>
    <row r="32046" spans="32:32" x14ac:dyDescent="0.2">
      <c r="AF32046" s="12"/>
    </row>
    <row r="32047" spans="32:32" x14ac:dyDescent="0.2">
      <c r="AF32047" s="12"/>
    </row>
    <row r="32048" spans="32:32" x14ac:dyDescent="0.2">
      <c r="AF32048" s="12"/>
    </row>
    <row r="32049" spans="32:32" x14ac:dyDescent="0.2">
      <c r="AF32049" s="12"/>
    </row>
    <row r="32050" spans="32:32" x14ac:dyDescent="0.2">
      <c r="AF32050" s="12"/>
    </row>
    <row r="32051" spans="32:32" x14ac:dyDescent="0.2">
      <c r="AF32051" s="12"/>
    </row>
    <row r="32052" spans="32:32" x14ac:dyDescent="0.2">
      <c r="AF32052" s="12"/>
    </row>
    <row r="32053" spans="32:32" x14ac:dyDescent="0.2">
      <c r="AF32053" s="12"/>
    </row>
    <row r="32054" spans="32:32" x14ac:dyDescent="0.2">
      <c r="AF32054" s="12"/>
    </row>
    <row r="32055" spans="32:32" x14ac:dyDescent="0.2">
      <c r="AF32055" s="12"/>
    </row>
    <row r="32056" spans="32:32" x14ac:dyDescent="0.2">
      <c r="AF32056" s="12"/>
    </row>
    <row r="32057" spans="32:32" x14ac:dyDescent="0.2">
      <c r="AF32057" s="12"/>
    </row>
    <row r="32058" spans="32:32" x14ac:dyDescent="0.2">
      <c r="AF32058" s="12"/>
    </row>
    <row r="32059" spans="32:32" x14ac:dyDescent="0.2">
      <c r="AF32059" s="12"/>
    </row>
    <row r="32060" spans="32:32" x14ac:dyDescent="0.2">
      <c r="AF32060" s="12"/>
    </row>
    <row r="32061" spans="32:32" x14ac:dyDescent="0.2">
      <c r="AF32061" s="12"/>
    </row>
    <row r="32062" spans="32:32" x14ac:dyDescent="0.2">
      <c r="AF32062" s="12"/>
    </row>
    <row r="32063" spans="32:32" x14ac:dyDescent="0.2">
      <c r="AF32063" s="12"/>
    </row>
    <row r="32064" spans="32:32" x14ac:dyDescent="0.2">
      <c r="AF32064" s="12"/>
    </row>
    <row r="32065" spans="32:32" x14ac:dyDescent="0.2">
      <c r="AF32065" s="12"/>
    </row>
    <row r="32066" spans="32:32" x14ac:dyDescent="0.2">
      <c r="AF32066" s="12"/>
    </row>
    <row r="32067" spans="32:32" x14ac:dyDescent="0.2">
      <c r="AF32067" s="12"/>
    </row>
    <row r="32068" spans="32:32" x14ac:dyDescent="0.2">
      <c r="AF32068" s="12"/>
    </row>
    <row r="32069" spans="32:32" x14ac:dyDescent="0.2">
      <c r="AF32069" s="12"/>
    </row>
    <row r="32070" spans="32:32" x14ac:dyDescent="0.2">
      <c r="AF32070" s="12"/>
    </row>
    <row r="32071" spans="32:32" x14ac:dyDescent="0.2">
      <c r="AF32071" s="12"/>
    </row>
    <row r="32072" spans="32:32" x14ac:dyDescent="0.2">
      <c r="AF32072" s="12"/>
    </row>
    <row r="32073" spans="32:32" x14ac:dyDescent="0.2">
      <c r="AF32073" s="12"/>
    </row>
    <row r="32074" spans="32:32" x14ac:dyDescent="0.2">
      <c r="AF32074" s="12"/>
    </row>
    <row r="32075" spans="32:32" x14ac:dyDescent="0.2">
      <c r="AF32075" s="12"/>
    </row>
    <row r="32076" spans="32:32" x14ac:dyDescent="0.2">
      <c r="AF32076" s="12"/>
    </row>
    <row r="32077" spans="32:32" x14ac:dyDescent="0.2">
      <c r="AF32077" s="12"/>
    </row>
    <row r="32078" spans="32:32" x14ac:dyDescent="0.2">
      <c r="AF32078" s="12"/>
    </row>
    <row r="32079" spans="32:32" x14ac:dyDescent="0.2">
      <c r="AF32079" s="12"/>
    </row>
    <row r="32080" spans="32:32" x14ac:dyDescent="0.2">
      <c r="AF32080" s="12"/>
    </row>
    <row r="32081" spans="32:32" x14ac:dyDescent="0.2">
      <c r="AF32081" s="12"/>
    </row>
    <row r="32082" spans="32:32" x14ac:dyDescent="0.2">
      <c r="AF32082" s="12"/>
    </row>
    <row r="32083" spans="32:32" x14ac:dyDescent="0.2">
      <c r="AF32083" s="12"/>
    </row>
    <row r="32084" spans="32:32" x14ac:dyDescent="0.2">
      <c r="AF32084" s="12"/>
    </row>
    <row r="32085" spans="32:32" x14ac:dyDescent="0.2">
      <c r="AF32085" s="12"/>
    </row>
    <row r="32086" spans="32:32" x14ac:dyDescent="0.2">
      <c r="AF32086" s="12"/>
    </row>
    <row r="32087" spans="32:32" x14ac:dyDescent="0.2">
      <c r="AF32087" s="12"/>
    </row>
    <row r="32088" spans="32:32" x14ac:dyDescent="0.2">
      <c r="AF32088" s="12"/>
    </row>
    <row r="32089" spans="32:32" x14ac:dyDescent="0.2">
      <c r="AF32089" s="12"/>
    </row>
    <row r="32090" spans="32:32" x14ac:dyDescent="0.2">
      <c r="AF32090" s="12"/>
    </row>
    <row r="32091" spans="32:32" x14ac:dyDescent="0.2">
      <c r="AF32091" s="12"/>
    </row>
    <row r="32092" spans="32:32" x14ac:dyDescent="0.2">
      <c r="AF32092" s="12"/>
    </row>
    <row r="32093" spans="32:32" x14ac:dyDescent="0.2">
      <c r="AF32093" s="12"/>
    </row>
    <row r="32094" spans="32:32" x14ac:dyDescent="0.2">
      <c r="AF32094" s="12"/>
    </row>
    <row r="32095" spans="32:32" x14ac:dyDescent="0.2">
      <c r="AF32095" s="12"/>
    </row>
    <row r="32096" spans="32:32" x14ac:dyDescent="0.2">
      <c r="AF32096" s="12"/>
    </row>
    <row r="32097" spans="32:32" x14ac:dyDescent="0.2">
      <c r="AF32097" s="12"/>
    </row>
    <row r="32098" spans="32:32" x14ac:dyDescent="0.2">
      <c r="AF32098" s="12"/>
    </row>
    <row r="32099" spans="32:32" x14ac:dyDescent="0.2">
      <c r="AF32099" s="12"/>
    </row>
    <row r="32100" spans="32:32" x14ac:dyDescent="0.2">
      <c r="AF32100" s="12"/>
    </row>
    <row r="32101" spans="32:32" x14ac:dyDescent="0.2">
      <c r="AF32101" s="12"/>
    </row>
    <row r="32102" spans="32:32" x14ac:dyDescent="0.2">
      <c r="AF32102" s="12"/>
    </row>
    <row r="32103" spans="32:32" x14ac:dyDescent="0.2">
      <c r="AF32103" s="12"/>
    </row>
    <row r="32104" spans="32:32" x14ac:dyDescent="0.2">
      <c r="AF32104" s="12"/>
    </row>
    <row r="32105" spans="32:32" x14ac:dyDescent="0.2">
      <c r="AF32105" s="12"/>
    </row>
    <row r="32106" spans="32:32" x14ac:dyDescent="0.2">
      <c r="AF32106" s="12"/>
    </row>
    <row r="32107" spans="32:32" x14ac:dyDescent="0.2">
      <c r="AF32107" s="12"/>
    </row>
    <row r="32108" spans="32:32" x14ac:dyDescent="0.2">
      <c r="AF32108" s="12"/>
    </row>
    <row r="32109" spans="32:32" x14ac:dyDescent="0.2">
      <c r="AF32109" s="12"/>
    </row>
    <row r="32110" spans="32:32" x14ac:dyDescent="0.2">
      <c r="AF32110" s="12"/>
    </row>
    <row r="32111" spans="32:32" x14ac:dyDescent="0.2">
      <c r="AF32111" s="12"/>
    </row>
    <row r="32112" spans="32:32" x14ac:dyDescent="0.2">
      <c r="AF32112" s="12"/>
    </row>
    <row r="32113" spans="32:32" x14ac:dyDescent="0.2">
      <c r="AF32113" s="12"/>
    </row>
    <row r="32114" spans="32:32" x14ac:dyDescent="0.2">
      <c r="AF32114" s="12"/>
    </row>
    <row r="32115" spans="32:32" x14ac:dyDescent="0.2">
      <c r="AF32115" s="12"/>
    </row>
    <row r="32116" spans="32:32" x14ac:dyDescent="0.2">
      <c r="AF32116" s="12"/>
    </row>
    <row r="32117" spans="32:32" x14ac:dyDescent="0.2">
      <c r="AF32117" s="12"/>
    </row>
    <row r="32118" spans="32:32" x14ac:dyDescent="0.2">
      <c r="AF32118" s="12"/>
    </row>
    <row r="32119" spans="32:32" x14ac:dyDescent="0.2">
      <c r="AF32119" s="12"/>
    </row>
    <row r="32120" spans="32:32" x14ac:dyDescent="0.2">
      <c r="AF32120" s="12"/>
    </row>
    <row r="32121" spans="32:32" x14ac:dyDescent="0.2">
      <c r="AF32121" s="12"/>
    </row>
    <row r="32122" spans="32:32" x14ac:dyDescent="0.2">
      <c r="AF32122" s="12"/>
    </row>
    <row r="32123" spans="32:32" x14ac:dyDescent="0.2">
      <c r="AF32123" s="12"/>
    </row>
    <row r="32124" spans="32:32" x14ac:dyDescent="0.2">
      <c r="AF32124" s="12"/>
    </row>
    <row r="32125" spans="32:32" x14ac:dyDescent="0.2">
      <c r="AF32125" s="12"/>
    </row>
    <row r="32126" spans="32:32" x14ac:dyDescent="0.2">
      <c r="AF32126" s="12"/>
    </row>
    <row r="32127" spans="32:32" x14ac:dyDescent="0.2">
      <c r="AF32127" s="12"/>
    </row>
    <row r="32128" spans="32:32" x14ac:dyDescent="0.2">
      <c r="AF32128" s="12"/>
    </row>
    <row r="32129" spans="32:32" x14ac:dyDescent="0.2">
      <c r="AF32129" s="12"/>
    </row>
    <row r="32130" spans="32:32" x14ac:dyDescent="0.2">
      <c r="AF32130" s="12"/>
    </row>
    <row r="32131" spans="32:32" x14ac:dyDescent="0.2">
      <c r="AF32131" s="12"/>
    </row>
    <row r="32132" spans="32:32" x14ac:dyDescent="0.2">
      <c r="AF32132" s="12"/>
    </row>
    <row r="32133" spans="32:32" x14ac:dyDescent="0.2">
      <c r="AF32133" s="12"/>
    </row>
    <row r="32134" spans="32:32" x14ac:dyDescent="0.2">
      <c r="AF32134" s="12"/>
    </row>
    <row r="32135" spans="32:32" x14ac:dyDescent="0.2">
      <c r="AF32135" s="12"/>
    </row>
    <row r="32136" spans="32:32" x14ac:dyDescent="0.2">
      <c r="AF32136" s="12"/>
    </row>
    <row r="32137" spans="32:32" x14ac:dyDescent="0.2">
      <c r="AF32137" s="12"/>
    </row>
    <row r="32138" spans="32:32" x14ac:dyDescent="0.2">
      <c r="AF32138" s="12"/>
    </row>
    <row r="32139" spans="32:32" x14ac:dyDescent="0.2">
      <c r="AF32139" s="12"/>
    </row>
    <row r="32140" spans="32:32" x14ac:dyDescent="0.2">
      <c r="AF32140" s="12"/>
    </row>
    <row r="32141" spans="32:32" x14ac:dyDescent="0.2">
      <c r="AF32141" s="12"/>
    </row>
    <row r="32142" spans="32:32" x14ac:dyDescent="0.2">
      <c r="AF32142" s="12"/>
    </row>
    <row r="32143" spans="32:32" x14ac:dyDescent="0.2">
      <c r="AF32143" s="12"/>
    </row>
    <row r="32144" spans="32:32" x14ac:dyDescent="0.2">
      <c r="AF32144" s="12"/>
    </row>
    <row r="32145" spans="32:32" x14ac:dyDescent="0.2">
      <c r="AF32145" s="12"/>
    </row>
    <row r="32146" spans="32:32" x14ac:dyDescent="0.2">
      <c r="AF32146" s="12"/>
    </row>
    <row r="32147" spans="32:32" x14ac:dyDescent="0.2">
      <c r="AF32147" s="12"/>
    </row>
    <row r="32148" spans="32:32" x14ac:dyDescent="0.2">
      <c r="AF32148" s="12"/>
    </row>
    <row r="32149" spans="32:32" x14ac:dyDescent="0.2">
      <c r="AF32149" s="12"/>
    </row>
    <row r="32150" spans="32:32" x14ac:dyDescent="0.2">
      <c r="AF32150" s="12"/>
    </row>
    <row r="32151" spans="32:32" x14ac:dyDescent="0.2">
      <c r="AF32151" s="12"/>
    </row>
    <row r="32152" spans="32:32" x14ac:dyDescent="0.2">
      <c r="AF32152" s="12"/>
    </row>
    <row r="32153" spans="32:32" x14ac:dyDescent="0.2">
      <c r="AF32153" s="12"/>
    </row>
    <row r="32154" spans="32:32" x14ac:dyDescent="0.2">
      <c r="AF32154" s="12"/>
    </row>
    <row r="32155" spans="32:32" x14ac:dyDescent="0.2">
      <c r="AF32155" s="12"/>
    </row>
    <row r="32156" spans="32:32" x14ac:dyDescent="0.2">
      <c r="AF32156" s="12"/>
    </row>
    <row r="32157" spans="32:32" x14ac:dyDescent="0.2">
      <c r="AF32157" s="12"/>
    </row>
    <row r="32158" spans="32:32" x14ac:dyDescent="0.2">
      <c r="AF32158" s="12"/>
    </row>
    <row r="32159" spans="32:32" x14ac:dyDescent="0.2">
      <c r="AF32159" s="12"/>
    </row>
    <row r="32160" spans="32:32" x14ac:dyDescent="0.2">
      <c r="AF32160" s="12"/>
    </row>
    <row r="32161" spans="32:32" x14ac:dyDescent="0.2">
      <c r="AF32161" s="12"/>
    </row>
    <row r="32162" spans="32:32" x14ac:dyDescent="0.2">
      <c r="AF32162" s="12"/>
    </row>
    <row r="32163" spans="32:32" x14ac:dyDescent="0.2">
      <c r="AF32163" s="12"/>
    </row>
    <row r="32164" spans="32:32" x14ac:dyDescent="0.2">
      <c r="AF32164" s="12"/>
    </row>
    <row r="32165" spans="32:32" x14ac:dyDescent="0.2">
      <c r="AF32165" s="12"/>
    </row>
    <row r="32166" spans="32:32" x14ac:dyDescent="0.2">
      <c r="AF32166" s="12"/>
    </row>
    <row r="32167" spans="32:32" x14ac:dyDescent="0.2">
      <c r="AF32167" s="12"/>
    </row>
    <row r="32168" spans="32:32" x14ac:dyDescent="0.2">
      <c r="AF32168" s="12"/>
    </row>
    <row r="32169" spans="32:32" x14ac:dyDescent="0.2">
      <c r="AF32169" s="12"/>
    </row>
    <row r="32170" spans="32:32" x14ac:dyDescent="0.2">
      <c r="AF32170" s="12"/>
    </row>
    <row r="32171" spans="32:32" x14ac:dyDescent="0.2">
      <c r="AF32171" s="12"/>
    </row>
    <row r="32172" spans="32:32" x14ac:dyDescent="0.2">
      <c r="AF32172" s="12"/>
    </row>
    <row r="32173" spans="32:32" x14ac:dyDescent="0.2">
      <c r="AF32173" s="12"/>
    </row>
    <row r="32174" spans="32:32" x14ac:dyDescent="0.2">
      <c r="AF32174" s="12"/>
    </row>
    <row r="32175" spans="32:32" x14ac:dyDescent="0.2">
      <c r="AF32175" s="12"/>
    </row>
    <row r="32176" spans="32:32" x14ac:dyDescent="0.2">
      <c r="AF32176" s="12"/>
    </row>
    <row r="32177" spans="32:32" x14ac:dyDescent="0.2">
      <c r="AF32177" s="12"/>
    </row>
    <row r="32178" spans="32:32" x14ac:dyDescent="0.2">
      <c r="AF32178" s="12"/>
    </row>
    <row r="32179" spans="32:32" x14ac:dyDescent="0.2">
      <c r="AF32179" s="12"/>
    </row>
    <row r="32180" spans="32:32" x14ac:dyDescent="0.2">
      <c r="AF32180" s="12"/>
    </row>
    <row r="32181" spans="32:32" x14ac:dyDescent="0.2">
      <c r="AF32181" s="12"/>
    </row>
    <row r="32182" spans="32:32" x14ac:dyDescent="0.2">
      <c r="AF32182" s="12"/>
    </row>
    <row r="32183" spans="32:32" x14ac:dyDescent="0.2">
      <c r="AF32183" s="12"/>
    </row>
    <row r="32184" spans="32:32" x14ac:dyDescent="0.2">
      <c r="AF32184" s="12"/>
    </row>
    <row r="32185" spans="32:32" x14ac:dyDescent="0.2">
      <c r="AF32185" s="12"/>
    </row>
    <row r="32186" spans="32:32" x14ac:dyDescent="0.2">
      <c r="AF32186" s="12"/>
    </row>
    <row r="32187" spans="32:32" x14ac:dyDescent="0.2">
      <c r="AF32187" s="12"/>
    </row>
    <row r="32188" spans="32:32" x14ac:dyDescent="0.2">
      <c r="AF32188" s="12"/>
    </row>
    <row r="32189" spans="32:32" x14ac:dyDescent="0.2">
      <c r="AF32189" s="12"/>
    </row>
    <row r="32190" spans="32:32" x14ac:dyDescent="0.2">
      <c r="AF32190" s="12"/>
    </row>
    <row r="32191" spans="32:32" x14ac:dyDescent="0.2">
      <c r="AF32191" s="12"/>
    </row>
    <row r="32192" spans="32:32" x14ac:dyDescent="0.2">
      <c r="AF32192" s="12"/>
    </row>
    <row r="32193" spans="32:32" x14ac:dyDescent="0.2">
      <c r="AF32193" s="12"/>
    </row>
    <row r="32194" spans="32:32" x14ac:dyDescent="0.2">
      <c r="AF32194" s="12"/>
    </row>
    <row r="32195" spans="32:32" x14ac:dyDescent="0.2">
      <c r="AF32195" s="12"/>
    </row>
    <row r="32196" spans="32:32" x14ac:dyDescent="0.2">
      <c r="AF32196" s="12"/>
    </row>
    <row r="32197" spans="32:32" x14ac:dyDescent="0.2">
      <c r="AF32197" s="12"/>
    </row>
    <row r="32198" spans="32:32" x14ac:dyDescent="0.2">
      <c r="AF32198" s="12"/>
    </row>
    <row r="32199" spans="32:32" x14ac:dyDescent="0.2">
      <c r="AF32199" s="12"/>
    </row>
    <row r="32200" spans="32:32" x14ac:dyDescent="0.2">
      <c r="AF32200" s="12"/>
    </row>
    <row r="32201" spans="32:32" x14ac:dyDescent="0.2">
      <c r="AF32201" s="12"/>
    </row>
    <row r="32202" spans="32:32" x14ac:dyDescent="0.2">
      <c r="AF32202" s="12"/>
    </row>
    <row r="32203" spans="32:32" x14ac:dyDescent="0.2">
      <c r="AF32203" s="12"/>
    </row>
    <row r="32204" spans="32:32" x14ac:dyDescent="0.2">
      <c r="AF32204" s="12"/>
    </row>
    <row r="32205" spans="32:32" x14ac:dyDescent="0.2">
      <c r="AF32205" s="12"/>
    </row>
    <row r="32206" spans="32:32" x14ac:dyDescent="0.2">
      <c r="AF32206" s="12"/>
    </row>
    <row r="32207" spans="32:32" x14ac:dyDescent="0.2">
      <c r="AF32207" s="12"/>
    </row>
    <row r="32208" spans="32:32" x14ac:dyDescent="0.2">
      <c r="AF32208" s="12"/>
    </row>
    <row r="32209" spans="32:32" x14ac:dyDescent="0.2">
      <c r="AF32209" s="12"/>
    </row>
    <row r="32210" spans="32:32" x14ac:dyDescent="0.2">
      <c r="AF32210" s="12"/>
    </row>
    <row r="32211" spans="32:32" x14ac:dyDescent="0.2">
      <c r="AF32211" s="12"/>
    </row>
    <row r="32212" spans="32:32" x14ac:dyDescent="0.2">
      <c r="AF32212" s="12"/>
    </row>
    <row r="32213" spans="32:32" x14ac:dyDescent="0.2">
      <c r="AF32213" s="12"/>
    </row>
    <row r="32214" spans="32:32" x14ac:dyDescent="0.2">
      <c r="AF32214" s="12"/>
    </row>
    <row r="32215" spans="32:32" x14ac:dyDescent="0.2">
      <c r="AF32215" s="12"/>
    </row>
    <row r="32216" spans="32:32" x14ac:dyDescent="0.2">
      <c r="AF32216" s="12"/>
    </row>
    <row r="32217" spans="32:32" x14ac:dyDescent="0.2">
      <c r="AF32217" s="12"/>
    </row>
    <row r="32218" spans="32:32" x14ac:dyDescent="0.2">
      <c r="AF32218" s="12"/>
    </row>
    <row r="32219" spans="32:32" x14ac:dyDescent="0.2">
      <c r="AF32219" s="12"/>
    </row>
    <row r="32220" spans="32:32" x14ac:dyDescent="0.2">
      <c r="AF32220" s="12"/>
    </row>
    <row r="32221" spans="32:32" x14ac:dyDescent="0.2">
      <c r="AF32221" s="12"/>
    </row>
    <row r="32222" spans="32:32" x14ac:dyDescent="0.2">
      <c r="AF32222" s="12"/>
    </row>
    <row r="32223" spans="32:32" x14ac:dyDescent="0.2">
      <c r="AF32223" s="12"/>
    </row>
    <row r="32224" spans="32:32" x14ac:dyDescent="0.2">
      <c r="AF32224" s="12"/>
    </row>
    <row r="32225" spans="32:32" x14ac:dyDescent="0.2">
      <c r="AF32225" s="12"/>
    </row>
    <row r="32226" spans="32:32" x14ac:dyDescent="0.2">
      <c r="AF32226" s="12"/>
    </row>
    <row r="32227" spans="32:32" x14ac:dyDescent="0.2">
      <c r="AF32227" s="12"/>
    </row>
    <row r="32228" spans="32:32" x14ac:dyDescent="0.2">
      <c r="AF32228" s="12"/>
    </row>
    <row r="32229" spans="32:32" x14ac:dyDescent="0.2">
      <c r="AF32229" s="12"/>
    </row>
    <row r="32230" spans="32:32" x14ac:dyDescent="0.2">
      <c r="AF32230" s="12"/>
    </row>
    <row r="32231" spans="32:32" x14ac:dyDescent="0.2">
      <c r="AF32231" s="12"/>
    </row>
    <row r="32232" spans="32:32" x14ac:dyDescent="0.2">
      <c r="AF32232" s="12"/>
    </row>
    <row r="32233" spans="32:32" x14ac:dyDescent="0.2">
      <c r="AF32233" s="12"/>
    </row>
    <row r="32234" spans="32:32" x14ac:dyDescent="0.2">
      <c r="AF32234" s="12"/>
    </row>
    <row r="32235" spans="32:32" x14ac:dyDescent="0.2">
      <c r="AF32235" s="12"/>
    </row>
    <row r="32236" spans="32:32" x14ac:dyDescent="0.2">
      <c r="AF32236" s="12"/>
    </row>
    <row r="32237" spans="32:32" x14ac:dyDescent="0.2">
      <c r="AF32237" s="12"/>
    </row>
    <row r="32238" spans="32:32" x14ac:dyDescent="0.2">
      <c r="AF32238" s="12"/>
    </row>
    <row r="32239" spans="32:32" x14ac:dyDescent="0.2">
      <c r="AF32239" s="12"/>
    </row>
    <row r="32240" spans="32:32" x14ac:dyDescent="0.2">
      <c r="AF32240" s="12"/>
    </row>
    <row r="32241" spans="32:32" x14ac:dyDescent="0.2">
      <c r="AF32241" s="12"/>
    </row>
    <row r="32242" spans="32:32" x14ac:dyDescent="0.2">
      <c r="AF32242" s="12"/>
    </row>
    <row r="32243" spans="32:32" x14ac:dyDescent="0.2">
      <c r="AF32243" s="12"/>
    </row>
    <row r="32244" spans="32:32" x14ac:dyDescent="0.2">
      <c r="AF32244" s="12"/>
    </row>
    <row r="32245" spans="32:32" x14ac:dyDescent="0.2">
      <c r="AF32245" s="12"/>
    </row>
    <row r="32246" spans="32:32" x14ac:dyDescent="0.2">
      <c r="AF32246" s="12"/>
    </row>
    <row r="32247" spans="32:32" x14ac:dyDescent="0.2">
      <c r="AF32247" s="12"/>
    </row>
    <row r="32248" spans="32:32" x14ac:dyDescent="0.2">
      <c r="AF32248" s="12"/>
    </row>
    <row r="32249" spans="32:32" x14ac:dyDescent="0.2">
      <c r="AF32249" s="12"/>
    </row>
    <row r="32250" spans="32:32" x14ac:dyDescent="0.2">
      <c r="AF32250" s="12"/>
    </row>
    <row r="32251" spans="32:32" x14ac:dyDescent="0.2">
      <c r="AF32251" s="12"/>
    </row>
    <row r="32252" spans="32:32" x14ac:dyDescent="0.2">
      <c r="AF32252" s="12"/>
    </row>
    <row r="32253" spans="32:32" x14ac:dyDescent="0.2">
      <c r="AF32253" s="12"/>
    </row>
    <row r="32254" spans="32:32" x14ac:dyDescent="0.2">
      <c r="AF32254" s="12"/>
    </row>
    <row r="32255" spans="32:32" x14ac:dyDescent="0.2">
      <c r="AF32255" s="12"/>
    </row>
    <row r="32256" spans="32:32" x14ac:dyDescent="0.2">
      <c r="AF32256" s="12"/>
    </row>
    <row r="32257" spans="32:32" x14ac:dyDescent="0.2">
      <c r="AF32257" s="12"/>
    </row>
    <row r="32258" spans="32:32" x14ac:dyDescent="0.2">
      <c r="AF32258" s="12"/>
    </row>
    <row r="32259" spans="32:32" x14ac:dyDescent="0.2">
      <c r="AF32259" s="12"/>
    </row>
    <row r="32260" spans="32:32" x14ac:dyDescent="0.2">
      <c r="AF32260" s="12"/>
    </row>
    <row r="32261" spans="32:32" x14ac:dyDescent="0.2">
      <c r="AF32261" s="12"/>
    </row>
    <row r="32262" spans="32:32" x14ac:dyDescent="0.2">
      <c r="AF32262" s="12"/>
    </row>
    <row r="32263" spans="32:32" x14ac:dyDescent="0.2">
      <c r="AF32263" s="12"/>
    </row>
    <row r="32264" spans="32:32" x14ac:dyDescent="0.2">
      <c r="AF32264" s="12"/>
    </row>
    <row r="32265" spans="32:32" x14ac:dyDescent="0.2">
      <c r="AF32265" s="12"/>
    </row>
    <row r="32266" spans="32:32" x14ac:dyDescent="0.2">
      <c r="AF32266" s="12"/>
    </row>
    <row r="32267" spans="32:32" x14ac:dyDescent="0.2">
      <c r="AF32267" s="12"/>
    </row>
    <row r="32268" spans="32:32" x14ac:dyDescent="0.2">
      <c r="AF32268" s="12"/>
    </row>
    <row r="32269" spans="32:32" x14ac:dyDescent="0.2">
      <c r="AF32269" s="12"/>
    </row>
    <row r="32270" spans="32:32" x14ac:dyDescent="0.2">
      <c r="AF32270" s="12"/>
    </row>
    <row r="32271" spans="32:32" x14ac:dyDescent="0.2">
      <c r="AF32271" s="12"/>
    </row>
    <row r="32272" spans="32:32" x14ac:dyDescent="0.2">
      <c r="AF32272" s="12"/>
    </row>
    <row r="32273" spans="32:32" x14ac:dyDescent="0.2">
      <c r="AF32273" s="12"/>
    </row>
    <row r="32274" spans="32:32" x14ac:dyDescent="0.2">
      <c r="AF32274" s="12"/>
    </row>
    <row r="32275" spans="32:32" x14ac:dyDescent="0.2">
      <c r="AF32275" s="12"/>
    </row>
    <row r="32276" spans="32:32" x14ac:dyDescent="0.2">
      <c r="AF32276" s="12"/>
    </row>
    <row r="32277" spans="32:32" x14ac:dyDescent="0.2">
      <c r="AF32277" s="12"/>
    </row>
    <row r="32278" spans="32:32" x14ac:dyDescent="0.2">
      <c r="AF32278" s="12"/>
    </row>
    <row r="32279" spans="32:32" x14ac:dyDescent="0.2">
      <c r="AF32279" s="12"/>
    </row>
    <row r="32280" spans="32:32" x14ac:dyDescent="0.2">
      <c r="AF32280" s="12"/>
    </row>
    <row r="32281" spans="32:32" x14ac:dyDescent="0.2">
      <c r="AF32281" s="12"/>
    </row>
    <row r="32282" spans="32:32" x14ac:dyDescent="0.2">
      <c r="AF32282" s="12"/>
    </row>
    <row r="32283" spans="32:32" x14ac:dyDescent="0.2">
      <c r="AF32283" s="12"/>
    </row>
    <row r="32284" spans="32:32" x14ac:dyDescent="0.2">
      <c r="AF32284" s="12"/>
    </row>
    <row r="32285" spans="32:32" x14ac:dyDescent="0.2">
      <c r="AF32285" s="12"/>
    </row>
    <row r="32286" spans="32:32" x14ac:dyDescent="0.2">
      <c r="AF32286" s="12"/>
    </row>
    <row r="32287" spans="32:32" x14ac:dyDescent="0.2">
      <c r="AF32287" s="12"/>
    </row>
    <row r="32288" spans="32:32" x14ac:dyDescent="0.2">
      <c r="AF32288" s="12"/>
    </row>
    <row r="32289" spans="32:32" x14ac:dyDescent="0.2">
      <c r="AF32289" s="12"/>
    </row>
    <row r="32290" spans="32:32" x14ac:dyDescent="0.2">
      <c r="AF32290" s="12"/>
    </row>
    <row r="32291" spans="32:32" x14ac:dyDescent="0.2">
      <c r="AF32291" s="12"/>
    </row>
    <row r="32292" spans="32:32" x14ac:dyDescent="0.2">
      <c r="AF32292" s="12"/>
    </row>
    <row r="32293" spans="32:32" x14ac:dyDescent="0.2">
      <c r="AF32293" s="12"/>
    </row>
    <row r="32294" spans="32:32" x14ac:dyDescent="0.2">
      <c r="AF32294" s="12"/>
    </row>
    <row r="32295" spans="32:32" x14ac:dyDescent="0.2">
      <c r="AF32295" s="12"/>
    </row>
    <row r="32296" spans="32:32" x14ac:dyDescent="0.2">
      <c r="AF32296" s="12"/>
    </row>
    <row r="32297" spans="32:32" x14ac:dyDescent="0.2">
      <c r="AF32297" s="12"/>
    </row>
    <row r="32298" spans="32:32" x14ac:dyDescent="0.2">
      <c r="AF32298" s="12"/>
    </row>
    <row r="32299" spans="32:32" x14ac:dyDescent="0.2">
      <c r="AF32299" s="12"/>
    </row>
    <row r="32300" spans="32:32" x14ac:dyDescent="0.2">
      <c r="AF32300" s="12"/>
    </row>
    <row r="32301" spans="32:32" x14ac:dyDescent="0.2">
      <c r="AF32301" s="12"/>
    </row>
    <row r="32302" spans="32:32" x14ac:dyDescent="0.2">
      <c r="AF32302" s="12"/>
    </row>
    <row r="32303" spans="32:32" x14ac:dyDescent="0.2">
      <c r="AF32303" s="12"/>
    </row>
    <row r="32304" spans="32:32" x14ac:dyDescent="0.2">
      <c r="AF32304" s="12"/>
    </row>
    <row r="32305" spans="32:32" x14ac:dyDescent="0.2">
      <c r="AF32305" s="12"/>
    </row>
    <row r="32306" spans="32:32" x14ac:dyDescent="0.2">
      <c r="AF32306" s="12"/>
    </row>
    <row r="32307" spans="32:32" x14ac:dyDescent="0.2">
      <c r="AF32307" s="12"/>
    </row>
    <row r="32308" spans="32:32" x14ac:dyDescent="0.2">
      <c r="AF32308" s="12"/>
    </row>
    <row r="32309" spans="32:32" x14ac:dyDescent="0.2">
      <c r="AF32309" s="12"/>
    </row>
    <row r="32310" spans="32:32" x14ac:dyDescent="0.2">
      <c r="AF32310" s="12"/>
    </row>
    <row r="32311" spans="32:32" x14ac:dyDescent="0.2">
      <c r="AF32311" s="12"/>
    </row>
    <row r="32312" spans="32:32" x14ac:dyDescent="0.2">
      <c r="AF32312" s="12"/>
    </row>
    <row r="32313" spans="32:32" x14ac:dyDescent="0.2">
      <c r="AF32313" s="12"/>
    </row>
    <row r="32314" spans="32:32" x14ac:dyDescent="0.2">
      <c r="AF32314" s="12"/>
    </row>
    <row r="32315" spans="32:32" x14ac:dyDescent="0.2">
      <c r="AF32315" s="12"/>
    </row>
    <row r="32316" spans="32:32" x14ac:dyDescent="0.2">
      <c r="AF32316" s="12"/>
    </row>
    <row r="32317" spans="32:32" x14ac:dyDescent="0.2">
      <c r="AF32317" s="12"/>
    </row>
    <row r="32318" spans="32:32" x14ac:dyDescent="0.2">
      <c r="AF32318" s="12"/>
    </row>
    <row r="32319" spans="32:32" x14ac:dyDescent="0.2">
      <c r="AF32319" s="12"/>
    </row>
    <row r="32320" spans="32:32" x14ac:dyDescent="0.2">
      <c r="AF32320" s="12"/>
    </row>
    <row r="32321" spans="32:32" x14ac:dyDescent="0.2">
      <c r="AF32321" s="12"/>
    </row>
    <row r="32322" spans="32:32" x14ac:dyDescent="0.2">
      <c r="AF32322" s="12"/>
    </row>
    <row r="32323" spans="32:32" x14ac:dyDescent="0.2">
      <c r="AF32323" s="12"/>
    </row>
    <row r="32324" spans="32:32" x14ac:dyDescent="0.2">
      <c r="AF32324" s="12"/>
    </row>
    <row r="32325" spans="32:32" x14ac:dyDescent="0.2">
      <c r="AF32325" s="12"/>
    </row>
    <row r="32326" spans="32:32" x14ac:dyDescent="0.2">
      <c r="AF32326" s="12"/>
    </row>
    <row r="32327" spans="32:32" x14ac:dyDescent="0.2">
      <c r="AF32327" s="12"/>
    </row>
    <row r="32328" spans="32:32" x14ac:dyDescent="0.2">
      <c r="AF32328" s="12"/>
    </row>
    <row r="32329" spans="32:32" x14ac:dyDescent="0.2">
      <c r="AF32329" s="12"/>
    </row>
    <row r="32330" spans="32:32" x14ac:dyDescent="0.2">
      <c r="AF32330" s="12"/>
    </row>
    <row r="32331" spans="32:32" x14ac:dyDescent="0.2">
      <c r="AF32331" s="12"/>
    </row>
    <row r="32332" spans="32:32" x14ac:dyDescent="0.2">
      <c r="AF32332" s="12"/>
    </row>
    <row r="32333" spans="32:32" x14ac:dyDescent="0.2">
      <c r="AF32333" s="12"/>
    </row>
    <row r="32334" spans="32:32" x14ac:dyDescent="0.2">
      <c r="AF32334" s="12"/>
    </row>
    <row r="32335" spans="32:32" x14ac:dyDescent="0.2">
      <c r="AF32335" s="12"/>
    </row>
    <row r="32336" spans="32:32" x14ac:dyDescent="0.2">
      <c r="AF32336" s="12"/>
    </row>
    <row r="32337" spans="32:32" x14ac:dyDescent="0.2">
      <c r="AF32337" s="12"/>
    </row>
    <row r="32338" spans="32:32" x14ac:dyDescent="0.2">
      <c r="AF32338" s="12"/>
    </row>
    <row r="32339" spans="32:32" x14ac:dyDescent="0.2">
      <c r="AF32339" s="12"/>
    </row>
    <row r="32340" spans="32:32" x14ac:dyDescent="0.2">
      <c r="AF32340" s="12"/>
    </row>
    <row r="32341" spans="32:32" x14ac:dyDescent="0.2">
      <c r="AF32341" s="12"/>
    </row>
    <row r="32342" spans="32:32" x14ac:dyDescent="0.2">
      <c r="AF32342" s="12"/>
    </row>
    <row r="32343" spans="32:32" x14ac:dyDescent="0.2">
      <c r="AF32343" s="12"/>
    </row>
    <row r="32344" spans="32:32" x14ac:dyDescent="0.2">
      <c r="AF32344" s="12"/>
    </row>
    <row r="32345" spans="32:32" x14ac:dyDescent="0.2">
      <c r="AF32345" s="12"/>
    </row>
    <row r="32346" spans="32:32" x14ac:dyDescent="0.2">
      <c r="AF32346" s="12"/>
    </row>
    <row r="32347" spans="32:32" x14ac:dyDescent="0.2">
      <c r="AF32347" s="12"/>
    </row>
    <row r="32348" spans="32:32" x14ac:dyDescent="0.2">
      <c r="AF32348" s="12"/>
    </row>
    <row r="32349" spans="32:32" x14ac:dyDescent="0.2">
      <c r="AF32349" s="12"/>
    </row>
    <row r="32350" spans="32:32" x14ac:dyDescent="0.2">
      <c r="AF32350" s="12"/>
    </row>
    <row r="32351" spans="32:32" x14ac:dyDescent="0.2">
      <c r="AF32351" s="12"/>
    </row>
    <row r="32352" spans="32:32" x14ac:dyDescent="0.2">
      <c r="AF32352" s="12"/>
    </row>
    <row r="32353" spans="32:32" x14ac:dyDescent="0.2">
      <c r="AF32353" s="12"/>
    </row>
    <row r="32354" spans="32:32" x14ac:dyDescent="0.2">
      <c r="AF32354" s="12"/>
    </row>
    <row r="32355" spans="32:32" x14ac:dyDescent="0.2">
      <c r="AF32355" s="12"/>
    </row>
    <row r="32356" spans="32:32" x14ac:dyDescent="0.2">
      <c r="AF32356" s="12"/>
    </row>
    <row r="32357" spans="32:32" x14ac:dyDescent="0.2">
      <c r="AF32357" s="12"/>
    </row>
    <row r="32358" spans="32:32" x14ac:dyDescent="0.2">
      <c r="AF32358" s="12"/>
    </row>
    <row r="32359" spans="32:32" x14ac:dyDescent="0.2">
      <c r="AF32359" s="12"/>
    </row>
    <row r="32360" spans="32:32" x14ac:dyDescent="0.2">
      <c r="AF32360" s="12"/>
    </row>
    <row r="32361" spans="32:32" x14ac:dyDescent="0.2">
      <c r="AF32361" s="12"/>
    </row>
    <row r="32362" spans="32:32" x14ac:dyDescent="0.2">
      <c r="AF32362" s="12"/>
    </row>
    <row r="32363" spans="32:32" x14ac:dyDescent="0.2">
      <c r="AF32363" s="12"/>
    </row>
    <row r="32364" spans="32:32" x14ac:dyDescent="0.2">
      <c r="AF32364" s="12"/>
    </row>
    <row r="32365" spans="32:32" x14ac:dyDescent="0.2">
      <c r="AF32365" s="12"/>
    </row>
    <row r="32366" spans="32:32" x14ac:dyDescent="0.2">
      <c r="AF32366" s="12"/>
    </row>
    <row r="32367" spans="32:32" x14ac:dyDescent="0.2">
      <c r="AF32367" s="12"/>
    </row>
    <row r="32368" spans="32:32" x14ac:dyDescent="0.2">
      <c r="AF32368" s="12"/>
    </row>
    <row r="32369" spans="32:32" x14ac:dyDescent="0.2">
      <c r="AF32369" s="12"/>
    </row>
    <row r="32370" spans="32:32" x14ac:dyDescent="0.2">
      <c r="AF32370" s="12"/>
    </row>
    <row r="32371" spans="32:32" x14ac:dyDescent="0.2">
      <c r="AF32371" s="12"/>
    </row>
    <row r="32372" spans="32:32" x14ac:dyDescent="0.2">
      <c r="AF32372" s="12"/>
    </row>
    <row r="32373" spans="32:32" x14ac:dyDescent="0.2">
      <c r="AF32373" s="12"/>
    </row>
    <row r="32374" spans="32:32" x14ac:dyDescent="0.2">
      <c r="AF32374" s="12"/>
    </row>
    <row r="32375" spans="32:32" x14ac:dyDescent="0.2">
      <c r="AF32375" s="12"/>
    </row>
    <row r="32376" spans="32:32" x14ac:dyDescent="0.2">
      <c r="AF32376" s="12"/>
    </row>
    <row r="32377" spans="32:32" x14ac:dyDescent="0.2">
      <c r="AF32377" s="12"/>
    </row>
    <row r="32378" spans="32:32" x14ac:dyDescent="0.2">
      <c r="AF32378" s="12"/>
    </row>
    <row r="32379" spans="32:32" x14ac:dyDescent="0.2">
      <c r="AF32379" s="12"/>
    </row>
    <row r="32380" spans="32:32" x14ac:dyDescent="0.2">
      <c r="AF32380" s="12"/>
    </row>
    <row r="32381" spans="32:32" x14ac:dyDescent="0.2">
      <c r="AF32381" s="12"/>
    </row>
    <row r="32382" spans="32:32" x14ac:dyDescent="0.2">
      <c r="AF32382" s="12"/>
    </row>
    <row r="32383" spans="32:32" x14ac:dyDescent="0.2">
      <c r="AF32383" s="12"/>
    </row>
    <row r="32384" spans="32:32" x14ac:dyDescent="0.2">
      <c r="AF32384" s="12"/>
    </row>
    <row r="32385" spans="32:32" x14ac:dyDescent="0.2">
      <c r="AF32385" s="12"/>
    </row>
    <row r="32386" spans="32:32" x14ac:dyDescent="0.2">
      <c r="AF32386" s="12"/>
    </row>
    <row r="32387" spans="32:32" x14ac:dyDescent="0.2">
      <c r="AF32387" s="12"/>
    </row>
    <row r="32388" spans="32:32" x14ac:dyDescent="0.2">
      <c r="AF32388" s="12"/>
    </row>
    <row r="32389" spans="32:32" x14ac:dyDescent="0.2">
      <c r="AF32389" s="12"/>
    </row>
    <row r="32390" spans="32:32" x14ac:dyDescent="0.2">
      <c r="AF32390" s="12"/>
    </row>
    <row r="32391" spans="32:32" x14ac:dyDescent="0.2">
      <c r="AF32391" s="12"/>
    </row>
    <row r="32392" spans="32:32" x14ac:dyDescent="0.2">
      <c r="AF32392" s="12"/>
    </row>
    <row r="32393" spans="32:32" x14ac:dyDescent="0.2">
      <c r="AF32393" s="12"/>
    </row>
    <row r="32394" spans="32:32" x14ac:dyDescent="0.2">
      <c r="AF32394" s="12"/>
    </row>
    <row r="32395" spans="32:32" x14ac:dyDescent="0.2">
      <c r="AF32395" s="12"/>
    </row>
    <row r="32396" spans="32:32" x14ac:dyDescent="0.2">
      <c r="AF32396" s="12"/>
    </row>
    <row r="32397" spans="32:32" x14ac:dyDescent="0.2">
      <c r="AF32397" s="12"/>
    </row>
    <row r="32398" spans="32:32" x14ac:dyDescent="0.2">
      <c r="AF32398" s="12"/>
    </row>
    <row r="32399" spans="32:32" x14ac:dyDescent="0.2">
      <c r="AF32399" s="12"/>
    </row>
    <row r="32400" spans="32:32" x14ac:dyDescent="0.2">
      <c r="AF32400" s="12"/>
    </row>
    <row r="32401" spans="32:32" x14ac:dyDescent="0.2">
      <c r="AF32401" s="12"/>
    </row>
    <row r="32402" spans="32:32" x14ac:dyDescent="0.2">
      <c r="AF32402" s="12"/>
    </row>
    <row r="32403" spans="32:32" x14ac:dyDescent="0.2">
      <c r="AF32403" s="12"/>
    </row>
    <row r="32404" spans="32:32" x14ac:dyDescent="0.2">
      <c r="AF32404" s="12"/>
    </row>
    <row r="32405" spans="32:32" x14ac:dyDescent="0.2">
      <c r="AF32405" s="12"/>
    </row>
    <row r="32406" spans="32:32" x14ac:dyDescent="0.2">
      <c r="AF32406" s="12"/>
    </row>
    <row r="32407" spans="32:32" x14ac:dyDescent="0.2">
      <c r="AF32407" s="12"/>
    </row>
    <row r="32408" spans="32:32" x14ac:dyDescent="0.2">
      <c r="AF32408" s="12"/>
    </row>
    <row r="32409" spans="32:32" x14ac:dyDescent="0.2">
      <c r="AF32409" s="12"/>
    </row>
    <row r="32410" spans="32:32" x14ac:dyDescent="0.2">
      <c r="AF32410" s="12"/>
    </row>
    <row r="32411" spans="32:32" x14ac:dyDescent="0.2">
      <c r="AF32411" s="12"/>
    </row>
    <row r="32412" spans="32:32" x14ac:dyDescent="0.2">
      <c r="AF32412" s="12"/>
    </row>
    <row r="32413" spans="32:32" x14ac:dyDescent="0.2">
      <c r="AF32413" s="12"/>
    </row>
    <row r="32414" spans="32:32" x14ac:dyDescent="0.2">
      <c r="AF32414" s="12"/>
    </row>
    <row r="32415" spans="32:32" x14ac:dyDescent="0.2">
      <c r="AF32415" s="12"/>
    </row>
    <row r="32416" spans="32:32" x14ac:dyDescent="0.2">
      <c r="AF32416" s="12"/>
    </row>
    <row r="32417" spans="32:32" x14ac:dyDescent="0.2">
      <c r="AF32417" s="12"/>
    </row>
    <row r="32418" spans="32:32" x14ac:dyDescent="0.2">
      <c r="AF32418" s="12"/>
    </row>
    <row r="32419" spans="32:32" x14ac:dyDescent="0.2">
      <c r="AF32419" s="12"/>
    </row>
    <row r="32420" spans="32:32" x14ac:dyDescent="0.2">
      <c r="AF32420" s="12"/>
    </row>
    <row r="32421" spans="32:32" x14ac:dyDescent="0.2">
      <c r="AF32421" s="12"/>
    </row>
    <row r="32422" spans="32:32" x14ac:dyDescent="0.2">
      <c r="AF32422" s="12"/>
    </row>
    <row r="32423" spans="32:32" x14ac:dyDescent="0.2">
      <c r="AF32423" s="12"/>
    </row>
    <row r="32424" spans="32:32" x14ac:dyDescent="0.2">
      <c r="AF32424" s="12"/>
    </row>
    <row r="32425" spans="32:32" x14ac:dyDescent="0.2">
      <c r="AF32425" s="12"/>
    </row>
    <row r="32426" spans="32:32" x14ac:dyDescent="0.2">
      <c r="AF32426" s="12"/>
    </row>
    <row r="32427" spans="32:32" x14ac:dyDescent="0.2">
      <c r="AF32427" s="12"/>
    </row>
    <row r="32428" spans="32:32" x14ac:dyDescent="0.2">
      <c r="AF32428" s="12"/>
    </row>
    <row r="32429" spans="32:32" x14ac:dyDescent="0.2">
      <c r="AF32429" s="12"/>
    </row>
    <row r="32430" spans="32:32" x14ac:dyDescent="0.2">
      <c r="AF32430" s="12"/>
    </row>
    <row r="32431" spans="32:32" x14ac:dyDescent="0.2">
      <c r="AF32431" s="12"/>
    </row>
    <row r="32432" spans="32:32" x14ac:dyDescent="0.2">
      <c r="AF32432" s="12"/>
    </row>
    <row r="32433" spans="32:32" x14ac:dyDescent="0.2">
      <c r="AF32433" s="12"/>
    </row>
    <row r="32434" spans="32:32" x14ac:dyDescent="0.2">
      <c r="AF32434" s="12"/>
    </row>
    <row r="32435" spans="32:32" x14ac:dyDescent="0.2">
      <c r="AF32435" s="12"/>
    </row>
    <row r="32436" spans="32:32" x14ac:dyDescent="0.2">
      <c r="AF32436" s="12"/>
    </row>
    <row r="32437" spans="32:32" x14ac:dyDescent="0.2">
      <c r="AF32437" s="12"/>
    </row>
    <row r="32438" spans="32:32" x14ac:dyDescent="0.2">
      <c r="AF32438" s="12"/>
    </row>
    <row r="32439" spans="32:32" x14ac:dyDescent="0.2">
      <c r="AF32439" s="12"/>
    </row>
    <row r="32440" spans="32:32" x14ac:dyDescent="0.2">
      <c r="AF32440" s="12"/>
    </row>
    <row r="32441" spans="32:32" x14ac:dyDescent="0.2">
      <c r="AF32441" s="12"/>
    </row>
    <row r="32442" spans="32:32" x14ac:dyDescent="0.2">
      <c r="AF32442" s="12"/>
    </row>
    <row r="32443" spans="32:32" x14ac:dyDescent="0.2">
      <c r="AF32443" s="12"/>
    </row>
    <row r="32444" spans="32:32" x14ac:dyDescent="0.2">
      <c r="AF32444" s="12"/>
    </row>
    <row r="32445" spans="32:32" x14ac:dyDescent="0.2">
      <c r="AF32445" s="12"/>
    </row>
    <row r="32446" spans="32:32" x14ac:dyDescent="0.2">
      <c r="AF32446" s="12"/>
    </row>
    <row r="32447" spans="32:32" x14ac:dyDescent="0.2">
      <c r="AF32447" s="12"/>
    </row>
    <row r="32448" spans="32:32" x14ac:dyDescent="0.2">
      <c r="AF32448" s="12"/>
    </row>
    <row r="32449" spans="32:32" x14ac:dyDescent="0.2">
      <c r="AF32449" s="12"/>
    </row>
    <row r="32450" spans="32:32" x14ac:dyDescent="0.2">
      <c r="AF32450" s="12"/>
    </row>
    <row r="32451" spans="32:32" x14ac:dyDescent="0.2">
      <c r="AF32451" s="12"/>
    </row>
    <row r="32452" spans="32:32" x14ac:dyDescent="0.2">
      <c r="AF32452" s="12"/>
    </row>
    <row r="32453" spans="32:32" x14ac:dyDescent="0.2">
      <c r="AF32453" s="12"/>
    </row>
    <row r="32454" spans="32:32" x14ac:dyDescent="0.2">
      <c r="AF32454" s="12"/>
    </row>
    <row r="32455" spans="32:32" x14ac:dyDescent="0.2">
      <c r="AF32455" s="12"/>
    </row>
    <row r="32456" spans="32:32" x14ac:dyDescent="0.2">
      <c r="AF32456" s="12"/>
    </row>
    <row r="32457" spans="32:32" x14ac:dyDescent="0.2">
      <c r="AF32457" s="12"/>
    </row>
    <row r="32458" spans="32:32" x14ac:dyDescent="0.2">
      <c r="AF32458" s="12"/>
    </row>
    <row r="32459" spans="32:32" x14ac:dyDescent="0.2">
      <c r="AF32459" s="12"/>
    </row>
    <row r="32460" spans="32:32" x14ac:dyDescent="0.2">
      <c r="AF32460" s="12"/>
    </row>
    <row r="32461" spans="32:32" x14ac:dyDescent="0.2">
      <c r="AF32461" s="12"/>
    </row>
    <row r="32462" spans="32:32" x14ac:dyDescent="0.2">
      <c r="AF32462" s="12"/>
    </row>
    <row r="32463" spans="32:32" x14ac:dyDescent="0.2">
      <c r="AF32463" s="12"/>
    </row>
    <row r="32464" spans="32:32" x14ac:dyDescent="0.2">
      <c r="AF32464" s="12"/>
    </row>
    <row r="32465" spans="32:32" x14ac:dyDescent="0.2">
      <c r="AF32465" s="12"/>
    </row>
    <row r="32466" spans="32:32" x14ac:dyDescent="0.2">
      <c r="AF32466" s="12"/>
    </row>
    <row r="32467" spans="32:32" x14ac:dyDescent="0.2">
      <c r="AF32467" s="12"/>
    </row>
    <row r="32468" spans="32:32" x14ac:dyDescent="0.2">
      <c r="AF32468" s="12"/>
    </row>
    <row r="32469" spans="32:32" x14ac:dyDescent="0.2">
      <c r="AF32469" s="12"/>
    </row>
    <row r="32470" spans="32:32" x14ac:dyDescent="0.2">
      <c r="AF32470" s="12"/>
    </row>
    <row r="32471" spans="32:32" x14ac:dyDescent="0.2">
      <c r="AF32471" s="12"/>
    </row>
    <row r="32472" spans="32:32" x14ac:dyDescent="0.2">
      <c r="AF32472" s="12"/>
    </row>
    <row r="32473" spans="32:32" x14ac:dyDescent="0.2">
      <c r="AF32473" s="12"/>
    </row>
    <row r="32474" spans="32:32" x14ac:dyDescent="0.2">
      <c r="AF32474" s="12"/>
    </row>
    <row r="32475" spans="32:32" x14ac:dyDescent="0.2">
      <c r="AF32475" s="12"/>
    </row>
    <row r="32476" spans="32:32" x14ac:dyDescent="0.2">
      <c r="AF32476" s="12"/>
    </row>
    <row r="32477" spans="32:32" x14ac:dyDescent="0.2">
      <c r="AF32477" s="12"/>
    </row>
    <row r="32478" spans="32:32" x14ac:dyDescent="0.2">
      <c r="AF32478" s="12"/>
    </row>
    <row r="32479" spans="32:32" x14ac:dyDescent="0.2">
      <c r="AF32479" s="12"/>
    </row>
    <row r="32480" spans="32:32" x14ac:dyDescent="0.2">
      <c r="AF32480" s="12"/>
    </row>
    <row r="32481" spans="32:32" x14ac:dyDescent="0.2">
      <c r="AF32481" s="12"/>
    </row>
    <row r="32482" spans="32:32" x14ac:dyDescent="0.2">
      <c r="AF32482" s="12"/>
    </row>
    <row r="32483" spans="32:32" x14ac:dyDescent="0.2">
      <c r="AF32483" s="12"/>
    </row>
    <row r="32484" spans="32:32" x14ac:dyDescent="0.2">
      <c r="AF32484" s="12"/>
    </row>
    <row r="32485" spans="32:32" x14ac:dyDescent="0.2">
      <c r="AF32485" s="12"/>
    </row>
    <row r="32486" spans="32:32" x14ac:dyDescent="0.2">
      <c r="AF32486" s="12"/>
    </row>
    <row r="32487" spans="32:32" x14ac:dyDescent="0.2">
      <c r="AF32487" s="12"/>
    </row>
    <row r="32488" spans="32:32" x14ac:dyDescent="0.2">
      <c r="AF32488" s="12"/>
    </row>
    <row r="32489" spans="32:32" x14ac:dyDescent="0.2">
      <c r="AF32489" s="12"/>
    </row>
    <row r="32490" spans="32:32" x14ac:dyDescent="0.2">
      <c r="AF32490" s="12"/>
    </row>
    <row r="32491" spans="32:32" x14ac:dyDescent="0.2">
      <c r="AF32491" s="12"/>
    </row>
    <row r="32492" spans="32:32" x14ac:dyDescent="0.2">
      <c r="AF32492" s="12"/>
    </row>
    <row r="32493" spans="32:32" x14ac:dyDescent="0.2">
      <c r="AF32493" s="12"/>
    </row>
    <row r="32494" spans="32:32" x14ac:dyDescent="0.2">
      <c r="AF32494" s="12"/>
    </row>
    <row r="32495" spans="32:32" x14ac:dyDescent="0.2">
      <c r="AF32495" s="12"/>
    </row>
    <row r="32496" spans="32:32" x14ac:dyDescent="0.2">
      <c r="AF32496" s="12"/>
    </row>
    <row r="32497" spans="32:32" x14ac:dyDescent="0.2">
      <c r="AF32497" s="12"/>
    </row>
    <row r="32498" spans="32:32" x14ac:dyDescent="0.2">
      <c r="AF32498" s="12"/>
    </row>
    <row r="32499" spans="32:32" x14ac:dyDescent="0.2">
      <c r="AF32499" s="12"/>
    </row>
    <row r="32500" spans="32:32" x14ac:dyDescent="0.2">
      <c r="AF32500" s="12"/>
    </row>
    <row r="32501" spans="32:32" x14ac:dyDescent="0.2">
      <c r="AF32501" s="12"/>
    </row>
    <row r="32502" spans="32:32" x14ac:dyDescent="0.2">
      <c r="AF32502" s="12"/>
    </row>
    <row r="32503" spans="32:32" x14ac:dyDescent="0.2">
      <c r="AF32503" s="12"/>
    </row>
    <row r="32504" spans="32:32" x14ac:dyDescent="0.2">
      <c r="AF32504" s="12"/>
    </row>
    <row r="32505" spans="32:32" x14ac:dyDescent="0.2">
      <c r="AF32505" s="12"/>
    </row>
    <row r="32506" spans="32:32" x14ac:dyDescent="0.2">
      <c r="AF32506" s="12"/>
    </row>
    <row r="32507" spans="32:32" x14ac:dyDescent="0.2">
      <c r="AF32507" s="12"/>
    </row>
    <row r="32508" spans="32:32" x14ac:dyDescent="0.2">
      <c r="AF32508" s="12"/>
    </row>
    <row r="32509" spans="32:32" x14ac:dyDescent="0.2">
      <c r="AF32509" s="12"/>
    </row>
    <row r="32510" spans="32:32" x14ac:dyDescent="0.2">
      <c r="AF32510" s="12"/>
    </row>
    <row r="32511" spans="32:32" x14ac:dyDescent="0.2">
      <c r="AF32511" s="12"/>
    </row>
    <row r="32512" spans="32:32" x14ac:dyDescent="0.2">
      <c r="AF32512" s="12"/>
    </row>
    <row r="32513" spans="32:32" x14ac:dyDescent="0.2">
      <c r="AF32513" s="12"/>
    </row>
    <row r="32514" spans="32:32" x14ac:dyDescent="0.2">
      <c r="AF32514" s="12"/>
    </row>
    <row r="32515" spans="32:32" x14ac:dyDescent="0.2">
      <c r="AF32515" s="12"/>
    </row>
    <row r="32516" spans="32:32" x14ac:dyDescent="0.2">
      <c r="AF32516" s="12"/>
    </row>
    <row r="32517" spans="32:32" x14ac:dyDescent="0.2">
      <c r="AF32517" s="12"/>
    </row>
    <row r="32518" spans="32:32" x14ac:dyDescent="0.2">
      <c r="AF32518" s="12"/>
    </row>
    <row r="32519" spans="32:32" x14ac:dyDescent="0.2">
      <c r="AF32519" s="12"/>
    </row>
    <row r="32520" spans="32:32" x14ac:dyDescent="0.2">
      <c r="AF32520" s="12"/>
    </row>
    <row r="32521" spans="32:32" x14ac:dyDescent="0.2">
      <c r="AF32521" s="12"/>
    </row>
    <row r="32522" spans="32:32" x14ac:dyDescent="0.2">
      <c r="AF32522" s="12"/>
    </row>
    <row r="32523" spans="32:32" x14ac:dyDescent="0.2">
      <c r="AF32523" s="12"/>
    </row>
    <row r="32524" spans="32:32" x14ac:dyDescent="0.2">
      <c r="AF32524" s="12"/>
    </row>
    <row r="32525" spans="32:32" x14ac:dyDescent="0.2">
      <c r="AF32525" s="12"/>
    </row>
    <row r="32526" spans="32:32" x14ac:dyDescent="0.2">
      <c r="AF32526" s="12"/>
    </row>
    <row r="32527" spans="32:32" x14ac:dyDescent="0.2">
      <c r="AF32527" s="12"/>
    </row>
    <row r="32528" spans="32:32" x14ac:dyDescent="0.2">
      <c r="AF32528" s="12"/>
    </row>
    <row r="32529" spans="32:32" x14ac:dyDescent="0.2">
      <c r="AF32529" s="12"/>
    </row>
    <row r="32530" spans="32:32" x14ac:dyDescent="0.2">
      <c r="AF32530" s="12"/>
    </row>
    <row r="32531" spans="32:32" x14ac:dyDescent="0.2">
      <c r="AF32531" s="12"/>
    </row>
    <row r="32532" spans="32:32" x14ac:dyDescent="0.2">
      <c r="AF32532" s="12"/>
    </row>
    <row r="32533" spans="32:32" x14ac:dyDescent="0.2">
      <c r="AF32533" s="12"/>
    </row>
    <row r="32534" spans="32:32" x14ac:dyDescent="0.2">
      <c r="AF32534" s="12"/>
    </row>
    <row r="32535" spans="32:32" x14ac:dyDescent="0.2">
      <c r="AF32535" s="12"/>
    </row>
    <row r="32536" spans="32:32" x14ac:dyDescent="0.2">
      <c r="AF32536" s="12"/>
    </row>
    <row r="32537" spans="32:32" x14ac:dyDescent="0.2">
      <c r="AF32537" s="12"/>
    </row>
    <row r="32538" spans="32:32" x14ac:dyDescent="0.2">
      <c r="AF32538" s="12"/>
    </row>
    <row r="32539" spans="32:32" x14ac:dyDescent="0.2">
      <c r="AF32539" s="12"/>
    </row>
    <row r="32540" spans="32:32" x14ac:dyDescent="0.2">
      <c r="AF32540" s="12"/>
    </row>
    <row r="32541" spans="32:32" x14ac:dyDescent="0.2">
      <c r="AF32541" s="12"/>
    </row>
    <row r="32542" spans="32:32" x14ac:dyDescent="0.2">
      <c r="AF32542" s="12"/>
    </row>
    <row r="32543" spans="32:32" x14ac:dyDescent="0.2">
      <c r="AF32543" s="12"/>
    </row>
    <row r="32544" spans="32:32" x14ac:dyDescent="0.2">
      <c r="AF32544" s="12"/>
    </row>
    <row r="32545" spans="32:32" x14ac:dyDescent="0.2">
      <c r="AF32545" s="12"/>
    </row>
    <row r="32546" spans="32:32" x14ac:dyDescent="0.2">
      <c r="AF32546" s="12"/>
    </row>
    <row r="32547" spans="32:32" x14ac:dyDescent="0.2">
      <c r="AF32547" s="12"/>
    </row>
    <row r="32548" spans="32:32" x14ac:dyDescent="0.2">
      <c r="AF32548" s="12"/>
    </row>
    <row r="32549" spans="32:32" x14ac:dyDescent="0.2">
      <c r="AF32549" s="12"/>
    </row>
    <row r="32550" spans="32:32" x14ac:dyDescent="0.2">
      <c r="AF32550" s="12"/>
    </row>
    <row r="32551" spans="32:32" x14ac:dyDescent="0.2">
      <c r="AF32551" s="12"/>
    </row>
    <row r="32552" spans="32:32" x14ac:dyDescent="0.2">
      <c r="AF32552" s="12"/>
    </row>
    <row r="32553" spans="32:32" x14ac:dyDescent="0.2">
      <c r="AF32553" s="12"/>
    </row>
    <row r="32554" spans="32:32" x14ac:dyDescent="0.2">
      <c r="AF32554" s="12"/>
    </row>
    <row r="32555" spans="32:32" x14ac:dyDescent="0.2">
      <c r="AF32555" s="12"/>
    </row>
    <row r="32556" spans="32:32" x14ac:dyDescent="0.2">
      <c r="AF32556" s="12"/>
    </row>
    <row r="32557" spans="32:32" x14ac:dyDescent="0.2">
      <c r="AF32557" s="12"/>
    </row>
    <row r="32558" spans="32:32" x14ac:dyDescent="0.2">
      <c r="AF32558" s="12"/>
    </row>
    <row r="32559" spans="32:32" x14ac:dyDescent="0.2">
      <c r="AF32559" s="12"/>
    </row>
    <row r="32560" spans="32:32" x14ac:dyDescent="0.2">
      <c r="AF32560" s="12"/>
    </row>
    <row r="32561" spans="32:32" x14ac:dyDescent="0.2">
      <c r="AF32561" s="12"/>
    </row>
    <row r="32562" spans="32:32" x14ac:dyDescent="0.2">
      <c r="AF32562" s="12"/>
    </row>
    <row r="32563" spans="32:32" x14ac:dyDescent="0.2">
      <c r="AF32563" s="12"/>
    </row>
    <row r="32564" spans="32:32" x14ac:dyDescent="0.2">
      <c r="AF32564" s="12"/>
    </row>
    <row r="32565" spans="32:32" x14ac:dyDescent="0.2">
      <c r="AF32565" s="12"/>
    </row>
    <row r="32566" spans="32:32" x14ac:dyDescent="0.2">
      <c r="AF32566" s="12"/>
    </row>
    <row r="32567" spans="32:32" x14ac:dyDescent="0.2">
      <c r="AF32567" s="12"/>
    </row>
    <row r="32568" spans="32:32" x14ac:dyDescent="0.2">
      <c r="AF32568" s="12"/>
    </row>
    <row r="32569" spans="32:32" x14ac:dyDescent="0.2">
      <c r="AF32569" s="12"/>
    </row>
    <row r="32570" spans="32:32" x14ac:dyDescent="0.2">
      <c r="AF32570" s="12"/>
    </row>
    <row r="32571" spans="32:32" x14ac:dyDescent="0.2">
      <c r="AF32571" s="12"/>
    </row>
    <row r="32572" spans="32:32" x14ac:dyDescent="0.2">
      <c r="AF32572" s="12"/>
    </row>
    <row r="32573" spans="32:32" x14ac:dyDescent="0.2">
      <c r="AF32573" s="12"/>
    </row>
    <row r="32574" spans="32:32" x14ac:dyDescent="0.2">
      <c r="AF32574" s="12"/>
    </row>
    <row r="32575" spans="32:32" x14ac:dyDescent="0.2">
      <c r="AF32575" s="12"/>
    </row>
    <row r="32576" spans="32:32" x14ac:dyDescent="0.2">
      <c r="AF32576" s="12"/>
    </row>
    <row r="32577" spans="32:32" x14ac:dyDescent="0.2">
      <c r="AF32577" s="12"/>
    </row>
    <row r="32578" spans="32:32" x14ac:dyDescent="0.2">
      <c r="AF32578" s="12"/>
    </row>
    <row r="32579" spans="32:32" x14ac:dyDescent="0.2">
      <c r="AF32579" s="12"/>
    </row>
    <row r="32580" spans="32:32" x14ac:dyDescent="0.2">
      <c r="AF32580" s="12"/>
    </row>
    <row r="32581" spans="32:32" x14ac:dyDescent="0.2">
      <c r="AF32581" s="12"/>
    </row>
    <row r="32582" spans="32:32" x14ac:dyDescent="0.2">
      <c r="AF32582" s="12"/>
    </row>
    <row r="32583" spans="32:32" x14ac:dyDescent="0.2">
      <c r="AF32583" s="12"/>
    </row>
    <row r="32584" spans="32:32" x14ac:dyDescent="0.2">
      <c r="AF32584" s="12"/>
    </row>
    <row r="32585" spans="32:32" x14ac:dyDescent="0.2">
      <c r="AF32585" s="12"/>
    </row>
    <row r="32586" spans="32:32" x14ac:dyDescent="0.2">
      <c r="AF32586" s="12"/>
    </row>
    <row r="32587" spans="32:32" x14ac:dyDescent="0.2">
      <c r="AF32587" s="12"/>
    </row>
    <row r="32588" spans="32:32" x14ac:dyDescent="0.2">
      <c r="AF32588" s="12"/>
    </row>
    <row r="32589" spans="32:32" x14ac:dyDescent="0.2">
      <c r="AF32589" s="12"/>
    </row>
    <row r="32590" spans="32:32" x14ac:dyDescent="0.2">
      <c r="AF32590" s="12"/>
    </row>
    <row r="32591" spans="32:32" x14ac:dyDescent="0.2">
      <c r="AF32591" s="12"/>
    </row>
    <row r="32592" spans="32:32" x14ac:dyDescent="0.2">
      <c r="AF32592" s="12"/>
    </row>
    <row r="32593" spans="32:32" x14ac:dyDescent="0.2">
      <c r="AF32593" s="12"/>
    </row>
    <row r="32594" spans="32:32" x14ac:dyDescent="0.2">
      <c r="AF32594" s="12"/>
    </row>
    <row r="32595" spans="32:32" x14ac:dyDescent="0.2">
      <c r="AF32595" s="12"/>
    </row>
    <row r="32596" spans="32:32" x14ac:dyDescent="0.2">
      <c r="AF32596" s="12"/>
    </row>
    <row r="32597" spans="32:32" x14ac:dyDescent="0.2">
      <c r="AF32597" s="12"/>
    </row>
    <row r="32598" spans="32:32" x14ac:dyDescent="0.2">
      <c r="AF32598" s="12"/>
    </row>
    <row r="32599" spans="32:32" x14ac:dyDescent="0.2">
      <c r="AF32599" s="12"/>
    </row>
    <row r="32600" spans="32:32" x14ac:dyDescent="0.2">
      <c r="AF32600" s="12"/>
    </row>
    <row r="32601" spans="32:32" x14ac:dyDescent="0.2">
      <c r="AF32601" s="12"/>
    </row>
    <row r="32602" spans="32:32" x14ac:dyDescent="0.2">
      <c r="AF32602" s="12"/>
    </row>
    <row r="32603" spans="32:32" x14ac:dyDescent="0.2">
      <c r="AF32603" s="12"/>
    </row>
    <row r="32604" spans="32:32" x14ac:dyDescent="0.2">
      <c r="AF32604" s="12"/>
    </row>
    <row r="32605" spans="32:32" x14ac:dyDescent="0.2">
      <c r="AF32605" s="12"/>
    </row>
    <row r="32606" spans="32:32" x14ac:dyDescent="0.2">
      <c r="AF32606" s="12"/>
    </row>
    <row r="32607" spans="32:32" x14ac:dyDescent="0.2">
      <c r="AF32607" s="12"/>
    </row>
    <row r="32608" spans="32:32" x14ac:dyDescent="0.2">
      <c r="AF32608" s="12"/>
    </row>
    <row r="32609" spans="32:32" x14ac:dyDescent="0.2">
      <c r="AF32609" s="12"/>
    </row>
    <row r="32610" spans="32:32" x14ac:dyDescent="0.2">
      <c r="AF32610" s="12"/>
    </row>
    <row r="32611" spans="32:32" x14ac:dyDescent="0.2">
      <c r="AF32611" s="12"/>
    </row>
    <row r="32612" spans="32:32" x14ac:dyDescent="0.2">
      <c r="AF32612" s="12"/>
    </row>
    <row r="32613" spans="32:32" x14ac:dyDescent="0.2">
      <c r="AF32613" s="12"/>
    </row>
    <row r="32614" spans="32:32" x14ac:dyDescent="0.2">
      <c r="AF32614" s="12"/>
    </row>
    <row r="32615" spans="32:32" x14ac:dyDescent="0.2">
      <c r="AF32615" s="12"/>
    </row>
    <row r="32616" spans="32:32" x14ac:dyDescent="0.2">
      <c r="AF32616" s="12"/>
    </row>
    <row r="32617" spans="32:32" x14ac:dyDescent="0.2">
      <c r="AF32617" s="12"/>
    </row>
    <row r="32618" spans="32:32" x14ac:dyDescent="0.2">
      <c r="AF32618" s="12"/>
    </row>
    <row r="32619" spans="32:32" x14ac:dyDescent="0.2">
      <c r="AF32619" s="12"/>
    </row>
    <row r="32620" spans="32:32" x14ac:dyDescent="0.2">
      <c r="AF32620" s="12"/>
    </row>
    <row r="32621" spans="32:32" x14ac:dyDescent="0.2">
      <c r="AF32621" s="12"/>
    </row>
    <row r="32622" spans="32:32" x14ac:dyDescent="0.2">
      <c r="AF32622" s="12"/>
    </row>
    <row r="32623" spans="32:32" x14ac:dyDescent="0.2">
      <c r="AF32623" s="12"/>
    </row>
    <row r="32624" spans="32:32" x14ac:dyDescent="0.2">
      <c r="AF32624" s="12"/>
    </row>
    <row r="32625" spans="32:32" x14ac:dyDescent="0.2">
      <c r="AF32625" s="12"/>
    </row>
    <row r="32626" spans="32:32" x14ac:dyDescent="0.2">
      <c r="AF32626" s="12"/>
    </row>
    <row r="32627" spans="32:32" x14ac:dyDescent="0.2">
      <c r="AF32627" s="12"/>
    </row>
    <row r="32628" spans="32:32" x14ac:dyDescent="0.2">
      <c r="AF32628" s="12"/>
    </row>
    <row r="32629" spans="32:32" x14ac:dyDescent="0.2">
      <c r="AF32629" s="12"/>
    </row>
    <row r="32630" spans="32:32" x14ac:dyDescent="0.2">
      <c r="AF32630" s="12"/>
    </row>
    <row r="32631" spans="32:32" x14ac:dyDescent="0.2">
      <c r="AF32631" s="12"/>
    </row>
    <row r="32632" spans="32:32" x14ac:dyDescent="0.2">
      <c r="AF32632" s="12"/>
    </row>
    <row r="32633" spans="32:32" x14ac:dyDescent="0.2">
      <c r="AF32633" s="12"/>
    </row>
    <row r="32634" spans="32:32" x14ac:dyDescent="0.2">
      <c r="AF32634" s="12"/>
    </row>
    <row r="32635" spans="32:32" x14ac:dyDescent="0.2">
      <c r="AF32635" s="12"/>
    </row>
    <row r="32636" spans="32:32" x14ac:dyDescent="0.2">
      <c r="AF32636" s="12"/>
    </row>
    <row r="32637" spans="32:32" x14ac:dyDescent="0.2">
      <c r="AF32637" s="12"/>
    </row>
    <row r="32638" spans="32:32" x14ac:dyDescent="0.2">
      <c r="AF32638" s="12"/>
    </row>
    <row r="32639" spans="32:32" x14ac:dyDescent="0.2">
      <c r="AF32639" s="12"/>
    </row>
    <row r="32640" spans="32:32" x14ac:dyDescent="0.2">
      <c r="AF32640" s="12"/>
    </row>
    <row r="32641" spans="32:32" x14ac:dyDescent="0.2">
      <c r="AF32641" s="12"/>
    </row>
    <row r="32642" spans="32:32" x14ac:dyDescent="0.2">
      <c r="AF32642" s="12"/>
    </row>
    <row r="32643" spans="32:32" x14ac:dyDescent="0.2">
      <c r="AF32643" s="12"/>
    </row>
    <row r="32644" spans="32:32" x14ac:dyDescent="0.2">
      <c r="AF32644" s="12"/>
    </row>
    <row r="32645" spans="32:32" x14ac:dyDescent="0.2">
      <c r="AF32645" s="12"/>
    </row>
    <row r="32646" spans="32:32" x14ac:dyDescent="0.2">
      <c r="AF32646" s="12"/>
    </row>
    <row r="32647" spans="32:32" x14ac:dyDescent="0.2">
      <c r="AF32647" s="12"/>
    </row>
    <row r="32648" spans="32:32" x14ac:dyDescent="0.2">
      <c r="AF32648" s="12"/>
    </row>
    <row r="32649" spans="32:32" x14ac:dyDescent="0.2">
      <c r="AF32649" s="12"/>
    </row>
    <row r="32650" spans="32:32" x14ac:dyDescent="0.2">
      <c r="AF32650" s="12"/>
    </row>
    <row r="32651" spans="32:32" x14ac:dyDescent="0.2">
      <c r="AF32651" s="12"/>
    </row>
    <row r="32652" spans="32:32" x14ac:dyDescent="0.2">
      <c r="AF32652" s="12"/>
    </row>
    <row r="32653" spans="32:32" x14ac:dyDescent="0.2">
      <c r="AF32653" s="12"/>
    </row>
    <row r="32654" spans="32:32" x14ac:dyDescent="0.2">
      <c r="AF32654" s="12"/>
    </row>
    <row r="32655" spans="32:32" x14ac:dyDescent="0.2">
      <c r="AF32655" s="12"/>
    </row>
    <row r="32656" spans="32:32" x14ac:dyDescent="0.2">
      <c r="AF32656" s="12"/>
    </row>
    <row r="32657" spans="32:32" x14ac:dyDescent="0.2">
      <c r="AF32657" s="12"/>
    </row>
    <row r="32658" spans="32:32" x14ac:dyDescent="0.2">
      <c r="AF32658" s="12"/>
    </row>
    <row r="32659" spans="32:32" x14ac:dyDescent="0.2">
      <c r="AF32659" s="12"/>
    </row>
    <row r="32660" spans="32:32" x14ac:dyDescent="0.2">
      <c r="AF32660" s="12"/>
    </row>
    <row r="32661" spans="32:32" x14ac:dyDescent="0.2">
      <c r="AF32661" s="12"/>
    </row>
    <row r="32662" spans="32:32" x14ac:dyDescent="0.2">
      <c r="AF32662" s="12"/>
    </row>
    <row r="32663" spans="32:32" x14ac:dyDescent="0.2">
      <c r="AF32663" s="12"/>
    </row>
    <row r="32664" spans="32:32" x14ac:dyDescent="0.2">
      <c r="AF32664" s="12"/>
    </row>
    <row r="32665" spans="32:32" x14ac:dyDescent="0.2">
      <c r="AF32665" s="12"/>
    </row>
    <row r="32666" spans="32:32" x14ac:dyDescent="0.2">
      <c r="AF32666" s="12"/>
    </row>
    <row r="32667" spans="32:32" x14ac:dyDescent="0.2">
      <c r="AF32667" s="12"/>
    </row>
    <row r="32668" spans="32:32" x14ac:dyDescent="0.2">
      <c r="AF32668" s="12"/>
    </row>
    <row r="32669" spans="32:32" x14ac:dyDescent="0.2">
      <c r="AF32669" s="12"/>
    </row>
    <row r="32670" spans="32:32" x14ac:dyDescent="0.2">
      <c r="AF32670" s="12"/>
    </row>
    <row r="32671" spans="32:32" x14ac:dyDescent="0.2">
      <c r="AF32671" s="12"/>
    </row>
    <row r="32672" spans="32:32" x14ac:dyDescent="0.2">
      <c r="AF32672" s="12"/>
    </row>
    <row r="32673" spans="32:32" x14ac:dyDescent="0.2">
      <c r="AF32673" s="12"/>
    </row>
    <row r="32674" spans="32:32" x14ac:dyDescent="0.2">
      <c r="AF32674" s="12"/>
    </row>
    <row r="32675" spans="32:32" x14ac:dyDescent="0.2">
      <c r="AF32675" s="12"/>
    </row>
    <row r="32676" spans="32:32" x14ac:dyDescent="0.2">
      <c r="AF32676" s="12"/>
    </row>
    <row r="32677" spans="32:32" x14ac:dyDescent="0.2">
      <c r="AF32677" s="12"/>
    </row>
    <row r="32678" spans="32:32" x14ac:dyDescent="0.2">
      <c r="AF32678" s="12"/>
    </row>
    <row r="32679" spans="32:32" x14ac:dyDescent="0.2">
      <c r="AF32679" s="12"/>
    </row>
    <row r="32680" spans="32:32" x14ac:dyDescent="0.2">
      <c r="AF32680" s="12"/>
    </row>
    <row r="32681" spans="32:32" x14ac:dyDescent="0.2">
      <c r="AF32681" s="12"/>
    </row>
    <row r="32682" spans="32:32" x14ac:dyDescent="0.2">
      <c r="AF32682" s="12"/>
    </row>
    <row r="32683" spans="32:32" x14ac:dyDescent="0.2">
      <c r="AF32683" s="12"/>
    </row>
    <row r="32684" spans="32:32" x14ac:dyDescent="0.2">
      <c r="AF32684" s="12"/>
    </row>
    <row r="32685" spans="32:32" x14ac:dyDescent="0.2">
      <c r="AF32685" s="12"/>
    </row>
    <row r="32686" spans="32:32" x14ac:dyDescent="0.2">
      <c r="AF32686" s="12"/>
    </row>
    <row r="32687" spans="32:32" x14ac:dyDescent="0.2">
      <c r="AF32687" s="12"/>
    </row>
    <row r="32688" spans="32:32" x14ac:dyDescent="0.2">
      <c r="AF32688" s="12"/>
    </row>
    <row r="32689" spans="32:32" x14ac:dyDescent="0.2">
      <c r="AF32689" s="12"/>
    </row>
    <row r="32690" spans="32:32" x14ac:dyDescent="0.2">
      <c r="AF32690" s="12"/>
    </row>
    <row r="32691" spans="32:32" x14ac:dyDescent="0.2">
      <c r="AF32691" s="12"/>
    </row>
    <row r="32692" spans="32:32" x14ac:dyDescent="0.2">
      <c r="AF32692" s="12"/>
    </row>
    <row r="32693" spans="32:32" x14ac:dyDescent="0.2">
      <c r="AF32693" s="12"/>
    </row>
    <row r="32694" spans="32:32" x14ac:dyDescent="0.2">
      <c r="AF32694" s="12"/>
    </row>
    <row r="32695" spans="32:32" x14ac:dyDescent="0.2">
      <c r="AF32695" s="12"/>
    </row>
    <row r="32696" spans="32:32" x14ac:dyDescent="0.2">
      <c r="AF32696" s="12"/>
    </row>
    <row r="32697" spans="32:32" x14ac:dyDescent="0.2">
      <c r="AF32697" s="12"/>
    </row>
    <row r="32698" spans="32:32" x14ac:dyDescent="0.2">
      <c r="AF32698" s="12"/>
    </row>
    <row r="32699" spans="32:32" x14ac:dyDescent="0.2">
      <c r="AF32699" s="12"/>
    </row>
    <row r="32700" spans="32:32" x14ac:dyDescent="0.2">
      <c r="AF32700" s="12"/>
    </row>
    <row r="32701" spans="32:32" x14ac:dyDescent="0.2">
      <c r="AF32701" s="12"/>
    </row>
    <row r="32702" spans="32:32" x14ac:dyDescent="0.2">
      <c r="AF32702" s="12"/>
    </row>
    <row r="32703" spans="32:32" x14ac:dyDescent="0.2">
      <c r="AF32703" s="12"/>
    </row>
    <row r="32704" spans="32:32" x14ac:dyDescent="0.2">
      <c r="AF32704" s="12"/>
    </row>
    <row r="32705" spans="32:32" x14ac:dyDescent="0.2">
      <c r="AF32705" s="12"/>
    </row>
    <row r="32706" spans="32:32" x14ac:dyDescent="0.2">
      <c r="AF32706" s="12"/>
    </row>
    <row r="32707" spans="32:32" x14ac:dyDescent="0.2">
      <c r="AF32707" s="12"/>
    </row>
    <row r="32708" spans="32:32" x14ac:dyDescent="0.2">
      <c r="AF32708" s="12"/>
    </row>
    <row r="32709" spans="32:32" x14ac:dyDescent="0.2">
      <c r="AF32709" s="12"/>
    </row>
    <row r="32710" spans="32:32" x14ac:dyDescent="0.2">
      <c r="AF32710" s="12"/>
    </row>
    <row r="32711" spans="32:32" x14ac:dyDescent="0.2">
      <c r="AF32711" s="12"/>
    </row>
    <row r="32712" spans="32:32" x14ac:dyDescent="0.2">
      <c r="AF32712" s="12"/>
    </row>
    <row r="32713" spans="32:32" x14ac:dyDescent="0.2">
      <c r="AF32713" s="12"/>
    </row>
    <row r="32714" spans="32:32" x14ac:dyDescent="0.2">
      <c r="AF32714" s="12"/>
    </row>
    <row r="32715" spans="32:32" x14ac:dyDescent="0.2">
      <c r="AF32715" s="12"/>
    </row>
    <row r="32716" spans="32:32" x14ac:dyDescent="0.2">
      <c r="AF32716" s="12"/>
    </row>
    <row r="32717" spans="32:32" x14ac:dyDescent="0.2">
      <c r="AF32717" s="12"/>
    </row>
    <row r="32718" spans="32:32" x14ac:dyDescent="0.2">
      <c r="AF32718" s="12"/>
    </row>
    <row r="32719" spans="32:32" x14ac:dyDescent="0.2">
      <c r="AF32719" s="12"/>
    </row>
    <row r="32720" spans="32:32" x14ac:dyDescent="0.2">
      <c r="AF32720" s="12"/>
    </row>
    <row r="32721" spans="32:32" x14ac:dyDescent="0.2">
      <c r="AF32721" s="12"/>
    </row>
    <row r="32722" spans="32:32" x14ac:dyDescent="0.2">
      <c r="AF32722" s="12"/>
    </row>
    <row r="32723" spans="32:32" x14ac:dyDescent="0.2">
      <c r="AF32723" s="12"/>
    </row>
    <row r="32724" spans="32:32" x14ac:dyDescent="0.2">
      <c r="AF32724" s="12"/>
    </row>
    <row r="32725" spans="32:32" x14ac:dyDescent="0.2">
      <c r="AF32725" s="12"/>
    </row>
    <row r="32726" spans="32:32" x14ac:dyDescent="0.2">
      <c r="AF32726" s="12"/>
    </row>
    <row r="32727" spans="32:32" x14ac:dyDescent="0.2">
      <c r="AF32727" s="12"/>
    </row>
    <row r="32728" spans="32:32" x14ac:dyDescent="0.2">
      <c r="AF32728" s="12"/>
    </row>
    <row r="32729" spans="32:32" x14ac:dyDescent="0.2">
      <c r="AF32729" s="12"/>
    </row>
    <row r="32730" spans="32:32" x14ac:dyDescent="0.2">
      <c r="AF32730" s="12"/>
    </row>
    <row r="32731" spans="32:32" x14ac:dyDescent="0.2">
      <c r="AF32731" s="12"/>
    </row>
    <row r="32732" spans="32:32" x14ac:dyDescent="0.2">
      <c r="AF32732" s="12"/>
    </row>
    <row r="32733" spans="32:32" x14ac:dyDescent="0.2">
      <c r="AF32733" s="12"/>
    </row>
    <row r="32734" spans="32:32" x14ac:dyDescent="0.2">
      <c r="AF32734" s="12"/>
    </row>
    <row r="32735" spans="32:32" x14ac:dyDescent="0.2">
      <c r="AF32735" s="12"/>
    </row>
    <row r="32736" spans="32:32" x14ac:dyDescent="0.2">
      <c r="AF32736" s="12"/>
    </row>
    <row r="32737" spans="32:32" x14ac:dyDescent="0.2">
      <c r="AF32737" s="12"/>
    </row>
    <row r="32738" spans="32:32" x14ac:dyDescent="0.2">
      <c r="AF32738" s="12"/>
    </row>
    <row r="32739" spans="32:32" x14ac:dyDescent="0.2">
      <c r="AF32739" s="12"/>
    </row>
    <row r="32740" spans="32:32" x14ac:dyDescent="0.2">
      <c r="AF32740" s="12"/>
    </row>
    <row r="32741" spans="32:32" x14ac:dyDescent="0.2">
      <c r="AF32741" s="12"/>
    </row>
    <row r="32742" spans="32:32" x14ac:dyDescent="0.2">
      <c r="AF32742" s="12"/>
    </row>
    <row r="32743" spans="32:32" x14ac:dyDescent="0.2">
      <c r="AF32743" s="12"/>
    </row>
    <row r="32744" spans="32:32" x14ac:dyDescent="0.2">
      <c r="AF32744" s="12"/>
    </row>
    <row r="32745" spans="32:32" x14ac:dyDescent="0.2">
      <c r="AF32745" s="12"/>
    </row>
    <row r="32746" spans="32:32" x14ac:dyDescent="0.2">
      <c r="AF32746" s="12"/>
    </row>
    <row r="32747" spans="32:32" x14ac:dyDescent="0.2">
      <c r="AF32747" s="12"/>
    </row>
    <row r="32748" spans="32:32" x14ac:dyDescent="0.2">
      <c r="AF32748" s="12"/>
    </row>
    <row r="32749" spans="32:32" x14ac:dyDescent="0.2">
      <c r="AF32749" s="12"/>
    </row>
    <row r="32750" spans="32:32" x14ac:dyDescent="0.2">
      <c r="AF32750" s="12"/>
    </row>
    <row r="32751" spans="32:32" x14ac:dyDescent="0.2">
      <c r="AF32751" s="12"/>
    </row>
    <row r="32752" spans="32:32" x14ac:dyDescent="0.2">
      <c r="AF32752" s="12"/>
    </row>
    <row r="32753" spans="32:32" x14ac:dyDescent="0.2">
      <c r="AF32753" s="12"/>
    </row>
    <row r="32754" spans="32:32" x14ac:dyDescent="0.2">
      <c r="AF32754" s="12"/>
    </row>
    <row r="32755" spans="32:32" x14ac:dyDescent="0.2">
      <c r="AF32755" s="12"/>
    </row>
    <row r="32756" spans="32:32" x14ac:dyDescent="0.2">
      <c r="AF32756" s="12"/>
    </row>
    <row r="32757" spans="32:32" x14ac:dyDescent="0.2">
      <c r="AF32757" s="12"/>
    </row>
    <row r="32758" spans="32:32" x14ac:dyDescent="0.2">
      <c r="AF32758" s="12"/>
    </row>
    <row r="32759" spans="32:32" x14ac:dyDescent="0.2">
      <c r="AF32759" s="12"/>
    </row>
    <row r="32760" spans="32:32" x14ac:dyDescent="0.2">
      <c r="AF32760" s="12"/>
    </row>
    <row r="32761" spans="32:32" x14ac:dyDescent="0.2">
      <c r="AF32761" s="12"/>
    </row>
    <row r="32762" spans="32:32" x14ac:dyDescent="0.2">
      <c r="AF32762" s="12"/>
    </row>
    <row r="32763" spans="32:32" x14ac:dyDescent="0.2">
      <c r="AF32763" s="12"/>
    </row>
    <row r="32764" spans="32:32" x14ac:dyDescent="0.2">
      <c r="AF32764" s="12"/>
    </row>
    <row r="32765" spans="32:32" x14ac:dyDescent="0.2">
      <c r="AF32765" s="12"/>
    </row>
    <row r="32766" spans="32:32" x14ac:dyDescent="0.2">
      <c r="AF32766" s="12"/>
    </row>
    <row r="32767" spans="32:32" x14ac:dyDescent="0.2">
      <c r="AF32767" s="12"/>
    </row>
    <row r="32768" spans="32:32" x14ac:dyDescent="0.2">
      <c r="AF32768" s="12"/>
    </row>
    <row r="32769" spans="32:32" x14ac:dyDescent="0.2">
      <c r="AF32769" s="12"/>
    </row>
    <row r="32770" spans="32:32" x14ac:dyDescent="0.2">
      <c r="AF32770" s="12"/>
    </row>
    <row r="32771" spans="32:32" x14ac:dyDescent="0.2">
      <c r="AF32771" s="12"/>
    </row>
    <row r="32772" spans="32:32" x14ac:dyDescent="0.2">
      <c r="AF32772" s="12"/>
    </row>
    <row r="32773" spans="32:32" x14ac:dyDescent="0.2">
      <c r="AF32773" s="12"/>
    </row>
    <row r="32774" spans="32:32" x14ac:dyDescent="0.2">
      <c r="AF32774" s="12"/>
    </row>
    <row r="32775" spans="32:32" x14ac:dyDescent="0.2">
      <c r="AF32775" s="12"/>
    </row>
    <row r="32776" spans="32:32" x14ac:dyDescent="0.2">
      <c r="AF32776" s="12"/>
    </row>
    <row r="32777" spans="32:32" x14ac:dyDescent="0.2">
      <c r="AF32777" s="12"/>
    </row>
    <row r="32778" spans="32:32" x14ac:dyDescent="0.2">
      <c r="AF32778" s="12"/>
    </row>
    <row r="32779" spans="32:32" x14ac:dyDescent="0.2">
      <c r="AF32779" s="12"/>
    </row>
    <row r="32780" spans="32:32" x14ac:dyDescent="0.2">
      <c r="AF32780" s="12"/>
    </row>
    <row r="32781" spans="32:32" x14ac:dyDescent="0.2">
      <c r="AF32781" s="12"/>
    </row>
    <row r="32782" spans="32:32" x14ac:dyDescent="0.2">
      <c r="AF32782" s="12"/>
    </row>
    <row r="32783" spans="32:32" x14ac:dyDescent="0.2">
      <c r="AF32783" s="12"/>
    </row>
    <row r="32784" spans="32:32" x14ac:dyDescent="0.2">
      <c r="AF32784" s="12"/>
    </row>
    <row r="32785" spans="32:32" x14ac:dyDescent="0.2">
      <c r="AF32785" s="12"/>
    </row>
    <row r="32786" spans="32:32" x14ac:dyDescent="0.2">
      <c r="AF32786" s="12"/>
    </row>
    <row r="32787" spans="32:32" x14ac:dyDescent="0.2">
      <c r="AF32787" s="12"/>
    </row>
    <row r="32788" spans="32:32" x14ac:dyDescent="0.2">
      <c r="AF32788" s="12"/>
    </row>
    <row r="32789" spans="32:32" x14ac:dyDescent="0.2">
      <c r="AF32789" s="12"/>
    </row>
    <row r="32790" spans="32:32" x14ac:dyDescent="0.2">
      <c r="AF32790" s="12"/>
    </row>
    <row r="32791" spans="32:32" x14ac:dyDescent="0.2">
      <c r="AF32791" s="12"/>
    </row>
    <row r="32792" spans="32:32" x14ac:dyDescent="0.2">
      <c r="AF32792" s="12"/>
    </row>
    <row r="32793" spans="32:32" x14ac:dyDescent="0.2">
      <c r="AF32793" s="12"/>
    </row>
    <row r="32794" spans="32:32" x14ac:dyDescent="0.2">
      <c r="AF32794" s="12"/>
    </row>
    <row r="32795" spans="32:32" x14ac:dyDescent="0.2">
      <c r="AF32795" s="12"/>
    </row>
    <row r="32796" spans="32:32" x14ac:dyDescent="0.2">
      <c r="AF32796" s="12"/>
    </row>
    <row r="32797" spans="32:32" x14ac:dyDescent="0.2">
      <c r="AF32797" s="12"/>
    </row>
    <row r="32798" spans="32:32" x14ac:dyDescent="0.2">
      <c r="AF32798" s="12"/>
    </row>
    <row r="32799" spans="32:32" x14ac:dyDescent="0.2">
      <c r="AF32799" s="12"/>
    </row>
    <row r="32800" spans="32:32" x14ac:dyDescent="0.2">
      <c r="AF32800" s="12"/>
    </row>
    <row r="32801" spans="32:32" x14ac:dyDescent="0.2">
      <c r="AF32801" s="12"/>
    </row>
    <row r="32802" spans="32:32" x14ac:dyDescent="0.2">
      <c r="AF32802" s="12"/>
    </row>
    <row r="32803" spans="32:32" x14ac:dyDescent="0.2">
      <c r="AF32803" s="12"/>
    </row>
    <row r="32804" spans="32:32" x14ac:dyDescent="0.2">
      <c r="AF32804" s="12"/>
    </row>
    <row r="32805" spans="32:32" x14ac:dyDescent="0.2">
      <c r="AF32805" s="12"/>
    </row>
    <row r="32806" spans="32:32" x14ac:dyDescent="0.2">
      <c r="AF32806" s="12"/>
    </row>
    <row r="32807" spans="32:32" x14ac:dyDescent="0.2">
      <c r="AF32807" s="12"/>
    </row>
    <row r="32808" spans="32:32" x14ac:dyDescent="0.2">
      <c r="AF32808" s="12"/>
    </row>
    <row r="32809" spans="32:32" x14ac:dyDescent="0.2">
      <c r="AF32809" s="12"/>
    </row>
    <row r="32810" spans="32:32" x14ac:dyDescent="0.2">
      <c r="AF32810" s="12"/>
    </row>
    <row r="32811" spans="32:32" x14ac:dyDescent="0.2">
      <c r="AF32811" s="12"/>
    </row>
    <row r="32812" spans="32:32" x14ac:dyDescent="0.2">
      <c r="AF32812" s="12"/>
    </row>
    <row r="32813" spans="32:32" x14ac:dyDescent="0.2">
      <c r="AF32813" s="12"/>
    </row>
    <row r="32814" spans="32:32" x14ac:dyDescent="0.2">
      <c r="AF32814" s="12"/>
    </row>
    <row r="32815" spans="32:32" x14ac:dyDescent="0.2">
      <c r="AF32815" s="12"/>
    </row>
    <row r="32816" spans="32:32" x14ac:dyDescent="0.2">
      <c r="AF32816" s="12"/>
    </row>
    <row r="32817" spans="32:32" x14ac:dyDescent="0.2">
      <c r="AF32817" s="12"/>
    </row>
    <row r="32818" spans="32:32" x14ac:dyDescent="0.2">
      <c r="AF32818" s="12"/>
    </row>
    <row r="32819" spans="32:32" x14ac:dyDescent="0.2">
      <c r="AF32819" s="12"/>
    </row>
    <row r="32820" spans="32:32" x14ac:dyDescent="0.2">
      <c r="AF32820" s="12"/>
    </row>
    <row r="32821" spans="32:32" x14ac:dyDescent="0.2">
      <c r="AF32821" s="12"/>
    </row>
    <row r="32822" spans="32:32" x14ac:dyDescent="0.2">
      <c r="AF32822" s="12"/>
    </row>
    <row r="32823" spans="32:32" x14ac:dyDescent="0.2">
      <c r="AF32823" s="12"/>
    </row>
    <row r="32824" spans="32:32" x14ac:dyDescent="0.2">
      <c r="AF32824" s="12"/>
    </row>
    <row r="32825" spans="32:32" x14ac:dyDescent="0.2">
      <c r="AF32825" s="12"/>
    </row>
    <row r="32826" spans="32:32" x14ac:dyDescent="0.2">
      <c r="AF32826" s="12"/>
    </row>
    <row r="32827" spans="32:32" x14ac:dyDescent="0.2">
      <c r="AF32827" s="12"/>
    </row>
    <row r="32828" spans="32:32" x14ac:dyDescent="0.2">
      <c r="AF32828" s="12"/>
    </row>
    <row r="32829" spans="32:32" x14ac:dyDescent="0.2">
      <c r="AF32829" s="12"/>
    </row>
    <row r="32830" spans="32:32" x14ac:dyDescent="0.2">
      <c r="AF32830" s="12"/>
    </row>
    <row r="32831" spans="32:32" x14ac:dyDescent="0.2">
      <c r="AF32831" s="12"/>
    </row>
    <row r="32832" spans="32:32" x14ac:dyDescent="0.2">
      <c r="AF32832" s="12"/>
    </row>
    <row r="32833" spans="32:32" x14ac:dyDescent="0.2">
      <c r="AF32833" s="12"/>
    </row>
    <row r="32834" spans="32:32" x14ac:dyDescent="0.2">
      <c r="AF32834" s="12"/>
    </row>
    <row r="32835" spans="32:32" x14ac:dyDescent="0.2">
      <c r="AF32835" s="12"/>
    </row>
    <row r="32836" spans="32:32" x14ac:dyDescent="0.2">
      <c r="AF32836" s="12"/>
    </row>
    <row r="32837" spans="32:32" x14ac:dyDescent="0.2">
      <c r="AF32837" s="12"/>
    </row>
    <row r="32838" spans="32:32" x14ac:dyDescent="0.2">
      <c r="AF32838" s="12"/>
    </row>
    <row r="32839" spans="32:32" x14ac:dyDescent="0.2">
      <c r="AF32839" s="12"/>
    </row>
    <row r="32840" spans="32:32" x14ac:dyDescent="0.2">
      <c r="AF32840" s="12"/>
    </row>
    <row r="32841" spans="32:32" x14ac:dyDescent="0.2">
      <c r="AF32841" s="12"/>
    </row>
    <row r="32842" spans="32:32" x14ac:dyDescent="0.2">
      <c r="AF32842" s="12"/>
    </row>
    <row r="32843" spans="32:32" x14ac:dyDescent="0.2">
      <c r="AF32843" s="12"/>
    </row>
    <row r="32844" spans="32:32" x14ac:dyDescent="0.2">
      <c r="AF32844" s="12"/>
    </row>
    <row r="32845" spans="32:32" x14ac:dyDescent="0.2">
      <c r="AF32845" s="12"/>
    </row>
    <row r="32846" spans="32:32" x14ac:dyDescent="0.2">
      <c r="AF32846" s="12"/>
    </row>
    <row r="32847" spans="32:32" x14ac:dyDescent="0.2">
      <c r="AF32847" s="12"/>
    </row>
    <row r="32848" spans="32:32" x14ac:dyDescent="0.2">
      <c r="AF32848" s="12"/>
    </row>
    <row r="32849" spans="32:32" x14ac:dyDescent="0.2">
      <c r="AF32849" s="12"/>
    </row>
    <row r="32850" spans="32:32" x14ac:dyDescent="0.2">
      <c r="AF32850" s="12"/>
    </row>
    <row r="32851" spans="32:32" x14ac:dyDescent="0.2">
      <c r="AF32851" s="12"/>
    </row>
    <row r="32852" spans="32:32" x14ac:dyDescent="0.2">
      <c r="AF32852" s="12"/>
    </row>
    <row r="32853" spans="32:32" x14ac:dyDescent="0.2">
      <c r="AF32853" s="12"/>
    </row>
    <row r="32854" spans="32:32" x14ac:dyDescent="0.2">
      <c r="AF32854" s="12"/>
    </row>
    <row r="32855" spans="32:32" x14ac:dyDescent="0.2">
      <c r="AF32855" s="12"/>
    </row>
    <row r="32856" spans="32:32" x14ac:dyDescent="0.2">
      <c r="AF32856" s="12"/>
    </row>
    <row r="32857" spans="32:32" x14ac:dyDescent="0.2">
      <c r="AF32857" s="12"/>
    </row>
    <row r="32858" spans="32:32" x14ac:dyDescent="0.2">
      <c r="AF32858" s="12"/>
    </row>
    <row r="32859" spans="32:32" x14ac:dyDescent="0.2">
      <c r="AF32859" s="12"/>
    </row>
    <row r="32860" spans="32:32" x14ac:dyDescent="0.2">
      <c r="AF32860" s="12"/>
    </row>
    <row r="32861" spans="32:32" x14ac:dyDescent="0.2">
      <c r="AF32861" s="12"/>
    </row>
    <row r="32862" spans="32:32" x14ac:dyDescent="0.2">
      <c r="AF32862" s="12"/>
    </row>
    <row r="32863" spans="32:32" x14ac:dyDescent="0.2">
      <c r="AF32863" s="12"/>
    </row>
    <row r="32864" spans="32:32" x14ac:dyDescent="0.2">
      <c r="AF32864" s="12"/>
    </row>
    <row r="32865" spans="32:32" x14ac:dyDescent="0.2">
      <c r="AF32865" s="12"/>
    </row>
    <row r="32866" spans="32:32" x14ac:dyDescent="0.2">
      <c r="AF32866" s="12"/>
    </row>
    <row r="32867" spans="32:32" x14ac:dyDescent="0.2">
      <c r="AF32867" s="12"/>
    </row>
    <row r="32868" spans="32:32" x14ac:dyDescent="0.2">
      <c r="AF32868" s="12"/>
    </row>
    <row r="32869" spans="32:32" x14ac:dyDescent="0.2">
      <c r="AF32869" s="12"/>
    </row>
    <row r="32870" spans="32:32" x14ac:dyDescent="0.2">
      <c r="AF32870" s="12"/>
    </row>
    <row r="32871" spans="32:32" x14ac:dyDescent="0.2">
      <c r="AF32871" s="12"/>
    </row>
    <row r="32872" spans="32:32" x14ac:dyDescent="0.2">
      <c r="AF32872" s="12"/>
    </row>
    <row r="32873" spans="32:32" x14ac:dyDescent="0.2">
      <c r="AF32873" s="12"/>
    </row>
    <row r="32874" spans="32:32" x14ac:dyDescent="0.2">
      <c r="AF32874" s="12"/>
    </row>
    <row r="32875" spans="32:32" x14ac:dyDescent="0.2">
      <c r="AF32875" s="12"/>
    </row>
    <row r="32876" spans="32:32" x14ac:dyDescent="0.2">
      <c r="AF32876" s="12"/>
    </row>
    <row r="32877" spans="32:32" x14ac:dyDescent="0.2">
      <c r="AF32877" s="12"/>
    </row>
    <row r="32878" spans="32:32" x14ac:dyDescent="0.2">
      <c r="AF32878" s="12"/>
    </row>
    <row r="32879" spans="32:32" x14ac:dyDescent="0.2">
      <c r="AF32879" s="12"/>
    </row>
    <row r="32880" spans="32:32" x14ac:dyDescent="0.2">
      <c r="AF32880" s="12"/>
    </row>
    <row r="32881" spans="32:32" x14ac:dyDescent="0.2">
      <c r="AF32881" s="12"/>
    </row>
    <row r="32882" spans="32:32" x14ac:dyDescent="0.2">
      <c r="AF32882" s="12"/>
    </row>
    <row r="32883" spans="32:32" x14ac:dyDescent="0.2">
      <c r="AF32883" s="12"/>
    </row>
    <row r="32884" spans="32:32" x14ac:dyDescent="0.2">
      <c r="AF32884" s="12"/>
    </row>
    <row r="32885" spans="32:32" x14ac:dyDescent="0.2">
      <c r="AF32885" s="12"/>
    </row>
    <row r="32886" spans="32:32" x14ac:dyDescent="0.2">
      <c r="AF32886" s="12"/>
    </row>
    <row r="32887" spans="32:32" x14ac:dyDescent="0.2">
      <c r="AF32887" s="12"/>
    </row>
    <row r="32888" spans="32:32" x14ac:dyDescent="0.2">
      <c r="AF32888" s="12"/>
    </row>
    <row r="32889" spans="32:32" x14ac:dyDescent="0.2">
      <c r="AF32889" s="12"/>
    </row>
    <row r="32890" spans="32:32" x14ac:dyDescent="0.2">
      <c r="AF32890" s="12"/>
    </row>
    <row r="32891" spans="32:32" x14ac:dyDescent="0.2">
      <c r="AF32891" s="12"/>
    </row>
    <row r="32892" spans="32:32" x14ac:dyDescent="0.2">
      <c r="AF32892" s="12"/>
    </row>
    <row r="32893" spans="32:32" x14ac:dyDescent="0.2">
      <c r="AF32893" s="12"/>
    </row>
    <row r="32894" spans="32:32" x14ac:dyDescent="0.2">
      <c r="AF32894" s="12"/>
    </row>
    <row r="32895" spans="32:32" x14ac:dyDescent="0.2">
      <c r="AF32895" s="12"/>
    </row>
    <row r="32896" spans="32:32" x14ac:dyDescent="0.2">
      <c r="AF32896" s="12"/>
    </row>
    <row r="32897" spans="32:32" x14ac:dyDescent="0.2">
      <c r="AF32897" s="12"/>
    </row>
    <row r="32898" spans="32:32" x14ac:dyDescent="0.2">
      <c r="AF32898" s="12"/>
    </row>
    <row r="32899" spans="32:32" x14ac:dyDescent="0.2">
      <c r="AF32899" s="12"/>
    </row>
    <row r="32900" spans="32:32" x14ac:dyDescent="0.2">
      <c r="AF32900" s="12"/>
    </row>
    <row r="32901" spans="32:32" x14ac:dyDescent="0.2">
      <c r="AF32901" s="12"/>
    </row>
    <row r="32902" spans="32:32" x14ac:dyDescent="0.2">
      <c r="AF32902" s="12"/>
    </row>
    <row r="32903" spans="32:32" x14ac:dyDescent="0.2">
      <c r="AF32903" s="12"/>
    </row>
    <row r="32904" spans="32:32" x14ac:dyDescent="0.2">
      <c r="AF32904" s="12"/>
    </row>
    <row r="32905" spans="32:32" x14ac:dyDescent="0.2">
      <c r="AF32905" s="12"/>
    </row>
    <row r="32906" spans="32:32" x14ac:dyDescent="0.2">
      <c r="AF32906" s="12"/>
    </row>
    <row r="32907" spans="32:32" x14ac:dyDescent="0.2">
      <c r="AF32907" s="12"/>
    </row>
    <row r="32908" spans="32:32" x14ac:dyDescent="0.2">
      <c r="AF32908" s="12"/>
    </row>
    <row r="32909" spans="32:32" x14ac:dyDescent="0.2">
      <c r="AF32909" s="12"/>
    </row>
    <row r="32910" spans="32:32" x14ac:dyDescent="0.2">
      <c r="AF32910" s="12"/>
    </row>
    <row r="32911" spans="32:32" x14ac:dyDescent="0.2">
      <c r="AF32911" s="12"/>
    </row>
    <row r="32912" spans="32:32" x14ac:dyDescent="0.2">
      <c r="AF32912" s="12"/>
    </row>
    <row r="32913" spans="32:32" x14ac:dyDescent="0.2">
      <c r="AF32913" s="12"/>
    </row>
    <row r="32914" spans="32:32" x14ac:dyDescent="0.2">
      <c r="AF32914" s="12"/>
    </row>
    <row r="32915" spans="32:32" x14ac:dyDescent="0.2">
      <c r="AF32915" s="12"/>
    </row>
    <row r="32916" spans="32:32" x14ac:dyDescent="0.2">
      <c r="AF32916" s="12"/>
    </row>
    <row r="32917" spans="32:32" x14ac:dyDescent="0.2">
      <c r="AF32917" s="12"/>
    </row>
    <row r="32918" spans="32:32" x14ac:dyDescent="0.2">
      <c r="AF32918" s="12"/>
    </row>
    <row r="32919" spans="32:32" x14ac:dyDescent="0.2">
      <c r="AF32919" s="12"/>
    </row>
    <row r="32920" spans="32:32" x14ac:dyDescent="0.2">
      <c r="AF32920" s="12"/>
    </row>
    <row r="32921" spans="32:32" x14ac:dyDescent="0.2">
      <c r="AF32921" s="12"/>
    </row>
    <row r="32922" spans="32:32" x14ac:dyDescent="0.2">
      <c r="AF32922" s="12"/>
    </row>
    <row r="32923" spans="32:32" x14ac:dyDescent="0.2">
      <c r="AF32923" s="12"/>
    </row>
    <row r="32924" spans="32:32" x14ac:dyDescent="0.2">
      <c r="AF32924" s="12"/>
    </row>
    <row r="32925" spans="32:32" x14ac:dyDescent="0.2">
      <c r="AF32925" s="12"/>
    </row>
    <row r="32926" spans="32:32" x14ac:dyDescent="0.2">
      <c r="AF32926" s="12"/>
    </row>
    <row r="32927" spans="32:32" x14ac:dyDescent="0.2">
      <c r="AF32927" s="12"/>
    </row>
    <row r="32928" spans="32:32" x14ac:dyDescent="0.2">
      <c r="AF32928" s="12"/>
    </row>
    <row r="32929" spans="32:32" x14ac:dyDescent="0.2">
      <c r="AF32929" s="12"/>
    </row>
    <row r="32930" spans="32:32" x14ac:dyDescent="0.2">
      <c r="AF32930" s="12"/>
    </row>
    <row r="32931" spans="32:32" x14ac:dyDescent="0.2">
      <c r="AF32931" s="12"/>
    </row>
    <row r="32932" spans="32:32" x14ac:dyDescent="0.2">
      <c r="AF32932" s="12"/>
    </row>
    <row r="32933" spans="32:32" x14ac:dyDescent="0.2">
      <c r="AF32933" s="12"/>
    </row>
    <row r="32934" spans="32:32" x14ac:dyDescent="0.2">
      <c r="AF32934" s="12"/>
    </row>
    <row r="32935" spans="32:32" x14ac:dyDescent="0.2">
      <c r="AF32935" s="12"/>
    </row>
    <row r="32936" spans="32:32" x14ac:dyDescent="0.2">
      <c r="AF32936" s="12"/>
    </row>
    <row r="32937" spans="32:32" x14ac:dyDescent="0.2">
      <c r="AF32937" s="12"/>
    </row>
    <row r="32938" spans="32:32" x14ac:dyDescent="0.2">
      <c r="AF32938" s="12"/>
    </row>
    <row r="32939" spans="32:32" x14ac:dyDescent="0.2">
      <c r="AF32939" s="12"/>
    </row>
    <row r="32940" spans="32:32" x14ac:dyDescent="0.2">
      <c r="AF32940" s="12"/>
    </row>
    <row r="32941" spans="32:32" x14ac:dyDescent="0.2">
      <c r="AF32941" s="12"/>
    </row>
    <row r="32942" spans="32:32" x14ac:dyDescent="0.2">
      <c r="AF32942" s="12"/>
    </row>
    <row r="32943" spans="32:32" x14ac:dyDescent="0.2">
      <c r="AF32943" s="12"/>
    </row>
    <row r="32944" spans="32:32" x14ac:dyDescent="0.2">
      <c r="AF32944" s="12"/>
    </row>
    <row r="32945" spans="32:32" x14ac:dyDescent="0.2">
      <c r="AF32945" s="12"/>
    </row>
    <row r="32946" spans="32:32" x14ac:dyDescent="0.2">
      <c r="AF32946" s="12"/>
    </row>
    <row r="32947" spans="32:32" x14ac:dyDescent="0.2">
      <c r="AF32947" s="12"/>
    </row>
    <row r="32948" spans="32:32" x14ac:dyDescent="0.2">
      <c r="AF32948" s="12"/>
    </row>
    <row r="32949" spans="32:32" x14ac:dyDescent="0.2">
      <c r="AF32949" s="12"/>
    </row>
    <row r="32950" spans="32:32" x14ac:dyDescent="0.2">
      <c r="AF32950" s="12"/>
    </row>
    <row r="32951" spans="32:32" x14ac:dyDescent="0.2">
      <c r="AF32951" s="12"/>
    </row>
    <row r="32952" spans="32:32" x14ac:dyDescent="0.2">
      <c r="AF32952" s="12"/>
    </row>
    <row r="32953" spans="32:32" x14ac:dyDescent="0.2">
      <c r="AF32953" s="12"/>
    </row>
    <row r="32954" spans="32:32" x14ac:dyDescent="0.2">
      <c r="AF32954" s="12"/>
    </row>
    <row r="32955" spans="32:32" x14ac:dyDescent="0.2">
      <c r="AF32955" s="12"/>
    </row>
    <row r="32956" spans="32:32" x14ac:dyDescent="0.2">
      <c r="AF32956" s="12"/>
    </row>
    <row r="32957" spans="32:32" x14ac:dyDescent="0.2">
      <c r="AF32957" s="12"/>
    </row>
    <row r="32958" spans="32:32" x14ac:dyDescent="0.2">
      <c r="AF32958" s="12"/>
    </row>
    <row r="32959" spans="32:32" x14ac:dyDescent="0.2">
      <c r="AF32959" s="12"/>
    </row>
    <row r="32960" spans="32:32" x14ac:dyDescent="0.2">
      <c r="AF32960" s="12"/>
    </row>
    <row r="32961" spans="32:32" x14ac:dyDescent="0.2">
      <c r="AF32961" s="12"/>
    </row>
    <row r="32962" spans="32:32" x14ac:dyDescent="0.2">
      <c r="AF32962" s="12"/>
    </row>
    <row r="32963" spans="32:32" x14ac:dyDescent="0.2">
      <c r="AF32963" s="12"/>
    </row>
    <row r="32964" spans="32:32" x14ac:dyDescent="0.2">
      <c r="AF32964" s="12"/>
    </row>
    <row r="32965" spans="32:32" x14ac:dyDescent="0.2">
      <c r="AF32965" s="12"/>
    </row>
    <row r="32966" spans="32:32" x14ac:dyDescent="0.2">
      <c r="AF32966" s="12"/>
    </row>
    <row r="32967" spans="32:32" x14ac:dyDescent="0.2">
      <c r="AF32967" s="12"/>
    </row>
    <row r="32968" spans="32:32" x14ac:dyDescent="0.2">
      <c r="AF32968" s="12"/>
    </row>
    <row r="32969" spans="32:32" x14ac:dyDescent="0.2">
      <c r="AF32969" s="12"/>
    </row>
    <row r="32970" spans="32:32" x14ac:dyDescent="0.2">
      <c r="AF32970" s="12"/>
    </row>
    <row r="32971" spans="32:32" x14ac:dyDescent="0.2">
      <c r="AF32971" s="12"/>
    </row>
    <row r="32972" spans="32:32" x14ac:dyDescent="0.2">
      <c r="AF32972" s="12"/>
    </row>
    <row r="32973" spans="32:32" x14ac:dyDescent="0.2">
      <c r="AF32973" s="12"/>
    </row>
    <row r="32974" spans="32:32" x14ac:dyDescent="0.2">
      <c r="AF32974" s="12"/>
    </row>
    <row r="32975" spans="32:32" x14ac:dyDescent="0.2">
      <c r="AF32975" s="12"/>
    </row>
    <row r="32976" spans="32:32" x14ac:dyDescent="0.2">
      <c r="AF32976" s="12"/>
    </row>
    <row r="32977" spans="32:32" x14ac:dyDescent="0.2">
      <c r="AF32977" s="12"/>
    </row>
    <row r="32978" spans="32:32" x14ac:dyDescent="0.2">
      <c r="AF32978" s="12"/>
    </row>
    <row r="32979" spans="32:32" x14ac:dyDescent="0.2">
      <c r="AF32979" s="12"/>
    </row>
    <row r="32980" spans="32:32" x14ac:dyDescent="0.2">
      <c r="AF32980" s="12"/>
    </row>
    <row r="32981" spans="32:32" x14ac:dyDescent="0.2">
      <c r="AF32981" s="12"/>
    </row>
    <row r="32982" spans="32:32" x14ac:dyDescent="0.2">
      <c r="AF32982" s="12"/>
    </row>
    <row r="32983" spans="32:32" x14ac:dyDescent="0.2">
      <c r="AF32983" s="12"/>
    </row>
    <row r="32984" spans="32:32" x14ac:dyDescent="0.2">
      <c r="AF32984" s="12"/>
    </row>
    <row r="32985" spans="32:32" x14ac:dyDescent="0.2">
      <c r="AF32985" s="12"/>
    </row>
    <row r="32986" spans="32:32" x14ac:dyDescent="0.2">
      <c r="AF32986" s="12"/>
    </row>
    <row r="32987" spans="32:32" x14ac:dyDescent="0.2">
      <c r="AF32987" s="12"/>
    </row>
    <row r="32988" spans="32:32" x14ac:dyDescent="0.2">
      <c r="AF32988" s="12"/>
    </row>
    <row r="32989" spans="32:32" x14ac:dyDescent="0.2">
      <c r="AF32989" s="12"/>
    </row>
    <row r="32990" spans="32:32" x14ac:dyDescent="0.2">
      <c r="AF32990" s="12"/>
    </row>
    <row r="32991" spans="32:32" x14ac:dyDescent="0.2">
      <c r="AF32991" s="12"/>
    </row>
    <row r="32992" spans="32:32" x14ac:dyDescent="0.2">
      <c r="AF32992" s="12"/>
    </row>
    <row r="32993" spans="32:32" x14ac:dyDescent="0.2">
      <c r="AF32993" s="12"/>
    </row>
    <row r="32994" spans="32:32" x14ac:dyDescent="0.2">
      <c r="AF32994" s="12"/>
    </row>
    <row r="32995" spans="32:32" x14ac:dyDescent="0.2">
      <c r="AF32995" s="12"/>
    </row>
    <row r="32996" spans="32:32" x14ac:dyDescent="0.2">
      <c r="AF32996" s="12"/>
    </row>
    <row r="32997" spans="32:32" x14ac:dyDescent="0.2">
      <c r="AF32997" s="12"/>
    </row>
    <row r="32998" spans="32:32" x14ac:dyDescent="0.2">
      <c r="AF32998" s="12"/>
    </row>
    <row r="32999" spans="32:32" x14ac:dyDescent="0.2">
      <c r="AF32999" s="12"/>
    </row>
    <row r="33000" spans="32:32" x14ac:dyDescent="0.2">
      <c r="AF33000" s="12"/>
    </row>
    <row r="33001" spans="32:32" x14ac:dyDescent="0.2">
      <c r="AF33001" s="12"/>
    </row>
    <row r="33002" spans="32:32" x14ac:dyDescent="0.2">
      <c r="AF33002" s="12"/>
    </row>
    <row r="33003" spans="32:32" x14ac:dyDescent="0.2">
      <c r="AF33003" s="12"/>
    </row>
    <row r="33004" spans="32:32" x14ac:dyDescent="0.2">
      <c r="AF33004" s="12"/>
    </row>
    <row r="33005" spans="32:32" x14ac:dyDescent="0.2">
      <c r="AF33005" s="12"/>
    </row>
    <row r="33006" spans="32:32" x14ac:dyDescent="0.2">
      <c r="AF33006" s="12"/>
    </row>
    <row r="33007" spans="32:32" x14ac:dyDescent="0.2">
      <c r="AF33007" s="12"/>
    </row>
    <row r="33008" spans="32:32" x14ac:dyDescent="0.2">
      <c r="AF33008" s="12"/>
    </row>
    <row r="33009" spans="32:32" x14ac:dyDescent="0.2">
      <c r="AF33009" s="12"/>
    </row>
    <row r="33010" spans="32:32" x14ac:dyDescent="0.2">
      <c r="AF33010" s="12"/>
    </row>
    <row r="33011" spans="32:32" x14ac:dyDescent="0.2">
      <c r="AF33011" s="12"/>
    </row>
    <row r="33012" spans="32:32" x14ac:dyDescent="0.2">
      <c r="AF33012" s="12"/>
    </row>
    <row r="33013" spans="32:32" x14ac:dyDescent="0.2">
      <c r="AF33013" s="12"/>
    </row>
    <row r="33014" spans="32:32" x14ac:dyDescent="0.2">
      <c r="AF33014" s="12"/>
    </row>
    <row r="33015" spans="32:32" x14ac:dyDescent="0.2">
      <c r="AF33015" s="12"/>
    </row>
    <row r="33016" spans="32:32" x14ac:dyDescent="0.2">
      <c r="AF33016" s="12"/>
    </row>
    <row r="33017" spans="32:32" x14ac:dyDescent="0.2">
      <c r="AF33017" s="12"/>
    </row>
    <row r="33018" spans="32:32" x14ac:dyDescent="0.2">
      <c r="AF33018" s="12"/>
    </row>
    <row r="33019" spans="32:32" x14ac:dyDescent="0.2">
      <c r="AF33019" s="12"/>
    </row>
    <row r="33020" spans="32:32" x14ac:dyDescent="0.2">
      <c r="AF33020" s="12"/>
    </row>
    <row r="33021" spans="32:32" x14ac:dyDescent="0.2">
      <c r="AF33021" s="12"/>
    </row>
    <row r="33022" spans="32:32" x14ac:dyDescent="0.2">
      <c r="AF33022" s="12"/>
    </row>
    <row r="33023" spans="32:32" x14ac:dyDescent="0.2">
      <c r="AF33023" s="12"/>
    </row>
    <row r="33024" spans="32:32" x14ac:dyDescent="0.2">
      <c r="AF33024" s="12"/>
    </row>
    <row r="33025" spans="32:32" x14ac:dyDescent="0.2">
      <c r="AF33025" s="12"/>
    </row>
    <row r="33026" spans="32:32" x14ac:dyDescent="0.2">
      <c r="AF33026" s="12"/>
    </row>
    <row r="33027" spans="32:32" x14ac:dyDescent="0.2">
      <c r="AF33027" s="12"/>
    </row>
    <row r="33028" spans="32:32" x14ac:dyDescent="0.2">
      <c r="AF33028" s="12"/>
    </row>
    <row r="33029" spans="32:32" x14ac:dyDescent="0.2">
      <c r="AF33029" s="12"/>
    </row>
    <row r="33030" spans="32:32" x14ac:dyDescent="0.2">
      <c r="AF33030" s="12"/>
    </row>
    <row r="33031" spans="32:32" x14ac:dyDescent="0.2">
      <c r="AF33031" s="12"/>
    </row>
    <row r="33032" spans="32:32" x14ac:dyDescent="0.2">
      <c r="AF33032" s="12"/>
    </row>
    <row r="33033" spans="32:32" x14ac:dyDescent="0.2">
      <c r="AF33033" s="12"/>
    </row>
    <row r="33034" spans="32:32" x14ac:dyDescent="0.2">
      <c r="AF33034" s="12"/>
    </row>
    <row r="33035" spans="32:32" x14ac:dyDescent="0.2">
      <c r="AF33035" s="12"/>
    </row>
    <row r="33036" spans="32:32" x14ac:dyDescent="0.2">
      <c r="AF33036" s="12"/>
    </row>
    <row r="33037" spans="32:32" x14ac:dyDescent="0.2">
      <c r="AF33037" s="12"/>
    </row>
    <row r="33038" spans="32:32" x14ac:dyDescent="0.2">
      <c r="AF33038" s="12"/>
    </row>
    <row r="33039" spans="32:32" x14ac:dyDescent="0.2">
      <c r="AF33039" s="12"/>
    </row>
    <row r="33040" spans="32:32" x14ac:dyDescent="0.2">
      <c r="AF33040" s="12"/>
    </row>
    <row r="33041" spans="32:32" x14ac:dyDescent="0.2">
      <c r="AF33041" s="12"/>
    </row>
    <row r="33042" spans="32:32" x14ac:dyDescent="0.2">
      <c r="AF33042" s="12"/>
    </row>
    <row r="33043" spans="32:32" x14ac:dyDescent="0.2">
      <c r="AF33043" s="12"/>
    </row>
    <row r="33044" spans="32:32" x14ac:dyDescent="0.2">
      <c r="AF33044" s="12"/>
    </row>
    <row r="33045" spans="32:32" x14ac:dyDescent="0.2">
      <c r="AF33045" s="12"/>
    </row>
    <row r="33046" spans="32:32" x14ac:dyDescent="0.2">
      <c r="AF33046" s="12"/>
    </row>
    <row r="33047" spans="32:32" x14ac:dyDescent="0.2">
      <c r="AF33047" s="12"/>
    </row>
    <row r="33048" spans="32:32" x14ac:dyDescent="0.2">
      <c r="AF33048" s="12"/>
    </row>
    <row r="33049" spans="32:32" x14ac:dyDescent="0.2">
      <c r="AF33049" s="12"/>
    </row>
    <row r="33050" spans="32:32" x14ac:dyDescent="0.2">
      <c r="AF33050" s="12"/>
    </row>
    <row r="33051" spans="32:32" x14ac:dyDescent="0.2">
      <c r="AF33051" s="12"/>
    </row>
    <row r="33052" spans="32:32" x14ac:dyDescent="0.2">
      <c r="AF33052" s="12"/>
    </row>
    <row r="33053" spans="32:32" x14ac:dyDescent="0.2">
      <c r="AF33053" s="12"/>
    </row>
    <row r="33054" spans="32:32" x14ac:dyDescent="0.2">
      <c r="AF33054" s="12"/>
    </row>
    <row r="33055" spans="32:32" x14ac:dyDescent="0.2">
      <c r="AF33055" s="12"/>
    </row>
    <row r="33056" spans="32:32" x14ac:dyDescent="0.2">
      <c r="AF33056" s="12"/>
    </row>
    <row r="33057" spans="32:32" x14ac:dyDescent="0.2">
      <c r="AF33057" s="12"/>
    </row>
    <row r="33058" spans="32:32" x14ac:dyDescent="0.2">
      <c r="AF33058" s="12"/>
    </row>
    <row r="33059" spans="32:32" x14ac:dyDescent="0.2">
      <c r="AF33059" s="12"/>
    </row>
    <row r="33060" spans="32:32" x14ac:dyDescent="0.2">
      <c r="AF33060" s="12"/>
    </row>
    <row r="33061" spans="32:32" x14ac:dyDescent="0.2">
      <c r="AF33061" s="12"/>
    </row>
    <row r="33062" spans="32:32" x14ac:dyDescent="0.2">
      <c r="AF33062" s="12"/>
    </row>
    <row r="33063" spans="32:32" x14ac:dyDescent="0.2">
      <c r="AF33063" s="12"/>
    </row>
    <row r="33064" spans="32:32" x14ac:dyDescent="0.2">
      <c r="AF33064" s="12"/>
    </row>
    <row r="33065" spans="32:32" x14ac:dyDescent="0.2">
      <c r="AF33065" s="12"/>
    </row>
    <row r="33066" spans="32:32" x14ac:dyDescent="0.2">
      <c r="AF33066" s="12"/>
    </row>
    <row r="33067" spans="32:32" x14ac:dyDescent="0.2">
      <c r="AF33067" s="12"/>
    </row>
    <row r="33068" spans="32:32" x14ac:dyDescent="0.2">
      <c r="AF33068" s="12"/>
    </row>
    <row r="33069" spans="32:32" x14ac:dyDescent="0.2">
      <c r="AF33069" s="12"/>
    </row>
    <row r="33070" spans="32:32" x14ac:dyDescent="0.2">
      <c r="AF33070" s="12"/>
    </row>
    <row r="33071" spans="32:32" x14ac:dyDescent="0.2">
      <c r="AF33071" s="12"/>
    </row>
    <row r="33072" spans="32:32" x14ac:dyDescent="0.2">
      <c r="AF33072" s="12"/>
    </row>
    <row r="33073" spans="32:32" x14ac:dyDescent="0.2">
      <c r="AF33073" s="12"/>
    </row>
    <row r="33074" spans="32:32" x14ac:dyDescent="0.2">
      <c r="AF33074" s="12"/>
    </row>
    <row r="33075" spans="32:32" x14ac:dyDescent="0.2">
      <c r="AF33075" s="12"/>
    </row>
    <row r="33076" spans="32:32" x14ac:dyDescent="0.2">
      <c r="AF33076" s="12"/>
    </row>
    <row r="33077" spans="32:32" x14ac:dyDescent="0.2">
      <c r="AF33077" s="12"/>
    </row>
    <row r="33078" spans="32:32" x14ac:dyDescent="0.2">
      <c r="AF33078" s="12"/>
    </row>
    <row r="33079" spans="32:32" x14ac:dyDescent="0.2">
      <c r="AF33079" s="12"/>
    </row>
    <row r="33080" spans="32:32" x14ac:dyDescent="0.2">
      <c r="AF33080" s="12"/>
    </row>
    <row r="33081" spans="32:32" x14ac:dyDescent="0.2">
      <c r="AF33081" s="12"/>
    </row>
    <row r="33082" spans="32:32" x14ac:dyDescent="0.2">
      <c r="AF33082" s="12"/>
    </row>
    <row r="33083" spans="32:32" x14ac:dyDescent="0.2">
      <c r="AF33083" s="12"/>
    </row>
    <row r="33084" spans="32:32" x14ac:dyDescent="0.2">
      <c r="AF33084" s="12"/>
    </row>
    <row r="33085" spans="32:32" x14ac:dyDescent="0.2">
      <c r="AF33085" s="12"/>
    </row>
    <row r="33086" spans="32:32" x14ac:dyDescent="0.2">
      <c r="AF33086" s="12"/>
    </row>
    <row r="33087" spans="32:32" x14ac:dyDescent="0.2">
      <c r="AF33087" s="12"/>
    </row>
    <row r="33088" spans="32:32" x14ac:dyDescent="0.2">
      <c r="AF33088" s="12"/>
    </row>
    <row r="33089" spans="32:32" x14ac:dyDescent="0.2">
      <c r="AF33089" s="12"/>
    </row>
    <row r="33090" spans="32:32" x14ac:dyDescent="0.2">
      <c r="AF33090" s="12"/>
    </row>
    <row r="33091" spans="32:32" x14ac:dyDescent="0.2">
      <c r="AF33091" s="12"/>
    </row>
    <row r="33092" spans="32:32" x14ac:dyDescent="0.2">
      <c r="AF33092" s="12"/>
    </row>
    <row r="33093" spans="32:32" x14ac:dyDescent="0.2">
      <c r="AF33093" s="12"/>
    </row>
    <row r="33094" spans="32:32" x14ac:dyDescent="0.2">
      <c r="AF33094" s="12"/>
    </row>
    <row r="33095" spans="32:32" x14ac:dyDescent="0.2">
      <c r="AF33095" s="12"/>
    </row>
    <row r="33096" spans="32:32" x14ac:dyDescent="0.2">
      <c r="AF33096" s="12"/>
    </row>
    <row r="33097" spans="32:32" x14ac:dyDescent="0.2">
      <c r="AF33097" s="12"/>
    </row>
    <row r="33098" spans="32:32" x14ac:dyDescent="0.2">
      <c r="AF33098" s="12"/>
    </row>
    <row r="33099" spans="32:32" x14ac:dyDescent="0.2">
      <c r="AF33099" s="12"/>
    </row>
    <row r="33100" spans="32:32" x14ac:dyDescent="0.2">
      <c r="AF33100" s="12"/>
    </row>
    <row r="33101" spans="32:32" x14ac:dyDescent="0.2">
      <c r="AF33101" s="12"/>
    </row>
    <row r="33102" spans="32:32" x14ac:dyDescent="0.2">
      <c r="AF33102" s="12"/>
    </row>
    <row r="33103" spans="32:32" x14ac:dyDescent="0.2">
      <c r="AF33103" s="12"/>
    </row>
    <row r="33104" spans="32:32" x14ac:dyDescent="0.2">
      <c r="AF33104" s="12"/>
    </row>
    <row r="33105" spans="32:32" x14ac:dyDescent="0.2">
      <c r="AF33105" s="12"/>
    </row>
    <row r="33106" spans="32:32" x14ac:dyDescent="0.2">
      <c r="AF33106" s="12"/>
    </row>
    <row r="33107" spans="32:32" x14ac:dyDescent="0.2">
      <c r="AF33107" s="12"/>
    </row>
    <row r="33108" spans="32:32" x14ac:dyDescent="0.2">
      <c r="AF33108" s="12"/>
    </row>
    <row r="33109" spans="32:32" x14ac:dyDescent="0.2">
      <c r="AF33109" s="12"/>
    </row>
    <row r="33110" spans="32:32" x14ac:dyDescent="0.2">
      <c r="AF33110" s="12"/>
    </row>
    <row r="33111" spans="32:32" x14ac:dyDescent="0.2">
      <c r="AF33111" s="12"/>
    </row>
    <row r="33112" spans="32:32" x14ac:dyDescent="0.2">
      <c r="AF33112" s="12"/>
    </row>
    <row r="33113" spans="32:32" x14ac:dyDescent="0.2">
      <c r="AF33113" s="12"/>
    </row>
    <row r="33114" spans="32:32" x14ac:dyDescent="0.2">
      <c r="AF33114" s="12"/>
    </row>
    <row r="33115" spans="32:32" x14ac:dyDescent="0.2">
      <c r="AF33115" s="12"/>
    </row>
    <row r="33116" spans="32:32" x14ac:dyDescent="0.2">
      <c r="AF33116" s="12"/>
    </row>
    <row r="33117" spans="32:32" x14ac:dyDescent="0.2">
      <c r="AF33117" s="12"/>
    </row>
    <row r="33118" spans="32:32" x14ac:dyDescent="0.2">
      <c r="AF33118" s="12"/>
    </row>
    <row r="33119" spans="32:32" x14ac:dyDescent="0.2">
      <c r="AF33119" s="12"/>
    </row>
    <row r="33120" spans="32:32" x14ac:dyDescent="0.2">
      <c r="AF33120" s="12"/>
    </row>
    <row r="33121" spans="32:32" x14ac:dyDescent="0.2">
      <c r="AF33121" s="12"/>
    </row>
    <row r="33122" spans="32:32" x14ac:dyDescent="0.2">
      <c r="AF33122" s="12"/>
    </row>
    <row r="33123" spans="32:32" x14ac:dyDescent="0.2">
      <c r="AF33123" s="12"/>
    </row>
    <row r="33124" spans="32:32" x14ac:dyDescent="0.2">
      <c r="AF33124" s="12"/>
    </row>
    <row r="33125" spans="32:32" x14ac:dyDescent="0.2">
      <c r="AF33125" s="12"/>
    </row>
    <row r="33126" spans="32:32" x14ac:dyDescent="0.2">
      <c r="AF33126" s="12"/>
    </row>
    <row r="33127" spans="32:32" x14ac:dyDescent="0.2">
      <c r="AF33127" s="12"/>
    </row>
    <row r="33128" spans="32:32" x14ac:dyDescent="0.2">
      <c r="AF33128" s="12"/>
    </row>
    <row r="33129" spans="32:32" x14ac:dyDescent="0.2">
      <c r="AF33129" s="12"/>
    </row>
    <row r="33130" spans="32:32" x14ac:dyDescent="0.2">
      <c r="AF33130" s="12"/>
    </row>
    <row r="33131" spans="32:32" x14ac:dyDescent="0.2">
      <c r="AF33131" s="12"/>
    </row>
    <row r="33132" spans="32:32" x14ac:dyDescent="0.2">
      <c r="AF33132" s="12"/>
    </row>
    <row r="33133" spans="32:32" x14ac:dyDescent="0.2">
      <c r="AF33133" s="12"/>
    </row>
    <row r="33134" spans="32:32" x14ac:dyDescent="0.2">
      <c r="AF33134" s="12"/>
    </row>
    <row r="33135" spans="32:32" x14ac:dyDescent="0.2">
      <c r="AF33135" s="12"/>
    </row>
    <row r="33136" spans="32:32" x14ac:dyDescent="0.2">
      <c r="AF33136" s="12"/>
    </row>
    <row r="33137" spans="32:32" x14ac:dyDescent="0.2">
      <c r="AF33137" s="12"/>
    </row>
    <row r="33138" spans="32:32" x14ac:dyDescent="0.2">
      <c r="AF33138" s="12"/>
    </row>
    <row r="33139" spans="32:32" x14ac:dyDescent="0.2">
      <c r="AF33139" s="12"/>
    </row>
    <row r="33140" spans="32:32" x14ac:dyDescent="0.2">
      <c r="AF33140" s="12"/>
    </row>
    <row r="33141" spans="32:32" x14ac:dyDescent="0.2">
      <c r="AF33141" s="12"/>
    </row>
    <row r="33142" spans="32:32" x14ac:dyDescent="0.2">
      <c r="AF33142" s="12"/>
    </row>
    <row r="33143" spans="32:32" x14ac:dyDescent="0.2">
      <c r="AF33143" s="12"/>
    </row>
    <row r="33144" spans="32:32" x14ac:dyDescent="0.2">
      <c r="AF33144" s="12"/>
    </row>
    <row r="33145" spans="32:32" x14ac:dyDescent="0.2">
      <c r="AF33145" s="12"/>
    </row>
    <row r="33146" spans="32:32" x14ac:dyDescent="0.2">
      <c r="AF33146" s="12"/>
    </row>
    <row r="33147" spans="32:32" x14ac:dyDescent="0.2">
      <c r="AF33147" s="12"/>
    </row>
    <row r="33148" spans="32:32" x14ac:dyDescent="0.2">
      <c r="AF33148" s="12"/>
    </row>
    <row r="33149" spans="32:32" x14ac:dyDescent="0.2">
      <c r="AF33149" s="12"/>
    </row>
    <row r="33150" spans="32:32" x14ac:dyDescent="0.2">
      <c r="AF33150" s="12"/>
    </row>
    <row r="33151" spans="32:32" x14ac:dyDescent="0.2">
      <c r="AF33151" s="12"/>
    </row>
    <row r="33152" spans="32:32" x14ac:dyDescent="0.2">
      <c r="AF33152" s="12"/>
    </row>
    <row r="33153" spans="32:32" x14ac:dyDescent="0.2">
      <c r="AF33153" s="12"/>
    </row>
    <row r="33154" spans="32:32" x14ac:dyDescent="0.2">
      <c r="AF33154" s="12"/>
    </row>
    <row r="33155" spans="32:32" x14ac:dyDescent="0.2">
      <c r="AF33155" s="12"/>
    </row>
    <row r="33156" spans="32:32" x14ac:dyDescent="0.2">
      <c r="AF33156" s="12"/>
    </row>
    <row r="33157" spans="32:32" x14ac:dyDescent="0.2">
      <c r="AF33157" s="12"/>
    </row>
    <row r="33158" spans="32:32" x14ac:dyDescent="0.2">
      <c r="AF33158" s="12"/>
    </row>
    <row r="33159" spans="32:32" x14ac:dyDescent="0.2">
      <c r="AF33159" s="12"/>
    </row>
    <row r="33160" spans="32:32" x14ac:dyDescent="0.2">
      <c r="AF33160" s="12"/>
    </row>
    <row r="33161" spans="32:32" x14ac:dyDescent="0.2">
      <c r="AF33161" s="12"/>
    </row>
    <row r="33162" spans="32:32" x14ac:dyDescent="0.2">
      <c r="AF33162" s="12"/>
    </row>
    <row r="33163" spans="32:32" x14ac:dyDescent="0.2">
      <c r="AF33163" s="12"/>
    </row>
    <row r="33164" spans="32:32" x14ac:dyDescent="0.2">
      <c r="AF33164" s="12"/>
    </row>
    <row r="33165" spans="32:32" x14ac:dyDescent="0.2">
      <c r="AF33165" s="12"/>
    </row>
    <row r="33166" spans="32:32" x14ac:dyDescent="0.2">
      <c r="AF33166" s="12"/>
    </row>
    <row r="33167" spans="32:32" x14ac:dyDescent="0.2">
      <c r="AF33167" s="12"/>
    </row>
    <row r="33168" spans="32:32" x14ac:dyDescent="0.2">
      <c r="AF33168" s="12"/>
    </row>
    <row r="33169" spans="32:32" x14ac:dyDescent="0.2">
      <c r="AF33169" s="12"/>
    </row>
    <row r="33170" spans="32:32" x14ac:dyDescent="0.2">
      <c r="AF33170" s="12"/>
    </row>
    <row r="33171" spans="32:32" x14ac:dyDescent="0.2">
      <c r="AF33171" s="12"/>
    </row>
    <row r="33172" spans="32:32" x14ac:dyDescent="0.2">
      <c r="AF33172" s="12"/>
    </row>
    <row r="33173" spans="32:32" x14ac:dyDescent="0.2">
      <c r="AF33173" s="12"/>
    </row>
    <row r="33174" spans="32:32" x14ac:dyDescent="0.2">
      <c r="AF33174" s="12"/>
    </row>
    <row r="33175" spans="32:32" x14ac:dyDescent="0.2">
      <c r="AF33175" s="12"/>
    </row>
    <row r="33176" spans="32:32" x14ac:dyDescent="0.2">
      <c r="AF33176" s="12"/>
    </row>
    <row r="33177" spans="32:32" x14ac:dyDescent="0.2">
      <c r="AF33177" s="12"/>
    </row>
    <row r="33178" spans="32:32" x14ac:dyDescent="0.2">
      <c r="AF33178" s="12"/>
    </row>
    <row r="33179" spans="32:32" x14ac:dyDescent="0.2">
      <c r="AF33179" s="12"/>
    </row>
    <row r="33180" spans="32:32" x14ac:dyDescent="0.2">
      <c r="AF33180" s="12"/>
    </row>
    <row r="33181" spans="32:32" x14ac:dyDescent="0.2">
      <c r="AF33181" s="12"/>
    </row>
    <row r="33182" spans="32:32" x14ac:dyDescent="0.2">
      <c r="AF33182" s="12"/>
    </row>
    <row r="33183" spans="32:32" x14ac:dyDescent="0.2">
      <c r="AF33183" s="12"/>
    </row>
    <row r="33184" spans="32:32" x14ac:dyDescent="0.2">
      <c r="AF33184" s="12"/>
    </row>
    <row r="33185" spans="32:32" x14ac:dyDescent="0.2">
      <c r="AF33185" s="12"/>
    </row>
    <row r="33186" spans="32:32" x14ac:dyDescent="0.2">
      <c r="AF33186" s="12"/>
    </row>
    <row r="33187" spans="32:32" x14ac:dyDescent="0.2">
      <c r="AF33187" s="12"/>
    </row>
    <row r="33188" spans="32:32" x14ac:dyDescent="0.2">
      <c r="AF33188" s="12"/>
    </row>
    <row r="33189" spans="32:32" x14ac:dyDescent="0.2">
      <c r="AF33189" s="12"/>
    </row>
    <row r="33190" spans="32:32" x14ac:dyDescent="0.2">
      <c r="AF33190" s="12"/>
    </row>
    <row r="33191" spans="32:32" x14ac:dyDescent="0.2">
      <c r="AF33191" s="12"/>
    </row>
    <row r="33192" spans="32:32" x14ac:dyDescent="0.2">
      <c r="AF33192" s="12"/>
    </row>
    <row r="33193" spans="32:32" x14ac:dyDescent="0.2">
      <c r="AF33193" s="12"/>
    </row>
    <row r="33194" spans="32:32" x14ac:dyDescent="0.2">
      <c r="AF33194" s="12"/>
    </row>
    <row r="33195" spans="32:32" x14ac:dyDescent="0.2">
      <c r="AF33195" s="12"/>
    </row>
    <row r="33196" spans="32:32" x14ac:dyDescent="0.2">
      <c r="AF33196" s="12"/>
    </row>
    <row r="33197" spans="32:32" x14ac:dyDescent="0.2">
      <c r="AF33197" s="12"/>
    </row>
    <row r="33198" spans="32:32" x14ac:dyDescent="0.2">
      <c r="AF33198" s="12"/>
    </row>
    <row r="33199" spans="32:32" x14ac:dyDescent="0.2">
      <c r="AF33199" s="12"/>
    </row>
    <row r="33200" spans="32:32" x14ac:dyDescent="0.2">
      <c r="AF33200" s="12"/>
    </row>
    <row r="33201" spans="32:32" x14ac:dyDescent="0.2">
      <c r="AF33201" s="12"/>
    </row>
    <row r="33202" spans="32:32" x14ac:dyDescent="0.2">
      <c r="AF33202" s="12"/>
    </row>
    <row r="33203" spans="32:32" x14ac:dyDescent="0.2">
      <c r="AF33203" s="12"/>
    </row>
    <row r="33204" spans="32:32" x14ac:dyDescent="0.2">
      <c r="AF33204" s="12"/>
    </row>
    <row r="33205" spans="32:32" x14ac:dyDescent="0.2">
      <c r="AF33205" s="12"/>
    </row>
    <row r="33206" spans="32:32" x14ac:dyDescent="0.2">
      <c r="AF33206" s="12"/>
    </row>
    <row r="33207" spans="32:32" x14ac:dyDescent="0.2">
      <c r="AF33207" s="12"/>
    </row>
    <row r="33208" spans="32:32" x14ac:dyDescent="0.2">
      <c r="AF33208" s="12"/>
    </row>
    <row r="33209" spans="32:32" x14ac:dyDescent="0.2">
      <c r="AF33209" s="12"/>
    </row>
    <row r="33210" spans="32:32" x14ac:dyDescent="0.2">
      <c r="AF33210" s="12"/>
    </row>
    <row r="33211" spans="32:32" x14ac:dyDescent="0.2">
      <c r="AF33211" s="12"/>
    </row>
    <row r="33212" spans="32:32" x14ac:dyDescent="0.2">
      <c r="AF33212" s="12"/>
    </row>
    <row r="33213" spans="32:32" x14ac:dyDescent="0.2">
      <c r="AF33213" s="12"/>
    </row>
    <row r="33214" spans="32:32" x14ac:dyDescent="0.2">
      <c r="AF33214" s="12"/>
    </row>
    <row r="33215" spans="32:32" x14ac:dyDescent="0.2">
      <c r="AF33215" s="12"/>
    </row>
    <row r="33216" spans="32:32" x14ac:dyDescent="0.2">
      <c r="AF33216" s="12"/>
    </row>
    <row r="33217" spans="32:32" x14ac:dyDescent="0.2">
      <c r="AF33217" s="12"/>
    </row>
    <row r="33218" spans="32:32" x14ac:dyDescent="0.2">
      <c r="AF33218" s="12"/>
    </row>
    <row r="33219" spans="32:32" x14ac:dyDescent="0.2">
      <c r="AF33219" s="12"/>
    </row>
    <row r="33220" spans="32:32" x14ac:dyDescent="0.2">
      <c r="AF33220" s="12"/>
    </row>
    <row r="33221" spans="32:32" x14ac:dyDescent="0.2">
      <c r="AF33221" s="12"/>
    </row>
    <row r="33222" spans="32:32" x14ac:dyDescent="0.2">
      <c r="AF33222" s="12"/>
    </row>
    <row r="33223" spans="32:32" x14ac:dyDescent="0.2">
      <c r="AF33223" s="12"/>
    </row>
    <row r="33224" spans="32:32" x14ac:dyDescent="0.2">
      <c r="AF33224" s="12"/>
    </row>
    <row r="33225" spans="32:32" x14ac:dyDescent="0.2">
      <c r="AF33225" s="12"/>
    </row>
    <row r="33226" spans="32:32" x14ac:dyDescent="0.2">
      <c r="AF33226" s="12"/>
    </row>
    <row r="33227" spans="32:32" x14ac:dyDescent="0.2">
      <c r="AF33227" s="12"/>
    </row>
    <row r="33228" spans="32:32" x14ac:dyDescent="0.2">
      <c r="AF33228" s="12"/>
    </row>
    <row r="33229" spans="32:32" x14ac:dyDescent="0.2">
      <c r="AF33229" s="12"/>
    </row>
    <row r="33230" spans="32:32" x14ac:dyDescent="0.2">
      <c r="AF33230" s="12"/>
    </row>
    <row r="33231" spans="32:32" x14ac:dyDescent="0.2">
      <c r="AF33231" s="12"/>
    </row>
    <row r="33232" spans="32:32" x14ac:dyDescent="0.2">
      <c r="AF33232" s="12"/>
    </row>
    <row r="33233" spans="32:32" x14ac:dyDescent="0.2">
      <c r="AF33233" s="12"/>
    </row>
    <row r="33234" spans="32:32" x14ac:dyDescent="0.2">
      <c r="AF33234" s="12"/>
    </row>
    <row r="33235" spans="32:32" x14ac:dyDescent="0.2">
      <c r="AF33235" s="12"/>
    </row>
    <row r="33236" spans="32:32" x14ac:dyDescent="0.2">
      <c r="AF33236" s="12"/>
    </row>
    <row r="33237" spans="32:32" x14ac:dyDescent="0.2">
      <c r="AF33237" s="12"/>
    </row>
    <row r="33238" spans="32:32" x14ac:dyDescent="0.2">
      <c r="AF33238" s="12"/>
    </row>
    <row r="33239" spans="32:32" x14ac:dyDescent="0.2">
      <c r="AF33239" s="12"/>
    </row>
    <row r="33240" spans="32:32" x14ac:dyDescent="0.2">
      <c r="AF33240" s="12"/>
    </row>
    <row r="33241" spans="32:32" x14ac:dyDescent="0.2">
      <c r="AF33241" s="12"/>
    </row>
    <row r="33242" spans="32:32" x14ac:dyDescent="0.2">
      <c r="AF33242" s="12"/>
    </row>
    <row r="33243" spans="32:32" x14ac:dyDescent="0.2">
      <c r="AF33243" s="12"/>
    </row>
    <row r="33244" spans="32:32" x14ac:dyDescent="0.2">
      <c r="AF33244" s="12"/>
    </row>
    <row r="33245" spans="32:32" x14ac:dyDescent="0.2">
      <c r="AF33245" s="12"/>
    </row>
    <row r="33246" spans="32:32" x14ac:dyDescent="0.2">
      <c r="AF33246" s="12"/>
    </row>
    <row r="33247" spans="32:32" x14ac:dyDescent="0.2">
      <c r="AF33247" s="12"/>
    </row>
    <row r="33248" spans="32:32" x14ac:dyDescent="0.2">
      <c r="AF33248" s="12"/>
    </row>
    <row r="33249" spans="32:32" x14ac:dyDescent="0.2">
      <c r="AF33249" s="12"/>
    </row>
    <row r="33250" spans="32:32" x14ac:dyDescent="0.2">
      <c r="AF33250" s="12"/>
    </row>
    <row r="33251" spans="32:32" x14ac:dyDescent="0.2">
      <c r="AF33251" s="12"/>
    </row>
    <row r="33252" spans="32:32" x14ac:dyDescent="0.2">
      <c r="AF33252" s="12"/>
    </row>
    <row r="33253" spans="32:32" x14ac:dyDescent="0.2">
      <c r="AF33253" s="12"/>
    </row>
    <row r="33254" spans="32:32" x14ac:dyDescent="0.2">
      <c r="AF33254" s="12"/>
    </row>
    <row r="33255" spans="32:32" x14ac:dyDescent="0.2">
      <c r="AF33255" s="12"/>
    </row>
    <row r="33256" spans="32:32" x14ac:dyDescent="0.2">
      <c r="AF33256" s="12"/>
    </row>
    <row r="33257" spans="32:32" x14ac:dyDescent="0.2">
      <c r="AF33257" s="12"/>
    </row>
    <row r="33258" spans="32:32" x14ac:dyDescent="0.2">
      <c r="AF33258" s="12"/>
    </row>
    <row r="33259" spans="32:32" x14ac:dyDescent="0.2">
      <c r="AF33259" s="12"/>
    </row>
    <row r="33260" spans="32:32" x14ac:dyDescent="0.2">
      <c r="AF33260" s="12"/>
    </row>
    <row r="33261" spans="32:32" x14ac:dyDescent="0.2">
      <c r="AF33261" s="12"/>
    </row>
    <row r="33262" spans="32:32" x14ac:dyDescent="0.2">
      <c r="AF33262" s="12"/>
    </row>
    <row r="33263" spans="32:32" x14ac:dyDescent="0.2">
      <c r="AF33263" s="12"/>
    </row>
    <row r="33264" spans="32:32" x14ac:dyDescent="0.2">
      <c r="AF33264" s="12"/>
    </row>
    <row r="33265" spans="32:32" x14ac:dyDescent="0.2">
      <c r="AF33265" s="12"/>
    </row>
    <row r="33266" spans="32:32" x14ac:dyDescent="0.2">
      <c r="AF33266" s="12"/>
    </row>
    <row r="33267" spans="32:32" x14ac:dyDescent="0.2">
      <c r="AF33267" s="12"/>
    </row>
    <row r="33268" spans="32:32" x14ac:dyDescent="0.2">
      <c r="AF33268" s="12"/>
    </row>
    <row r="33269" spans="32:32" x14ac:dyDescent="0.2">
      <c r="AF33269" s="12"/>
    </row>
    <row r="33270" spans="32:32" x14ac:dyDescent="0.2">
      <c r="AF33270" s="12"/>
    </row>
    <row r="33271" spans="32:32" x14ac:dyDescent="0.2">
      <c r="AF33271" s="12"/>
    </row>
    <row r="33272" spans="32:32" x14ac:dyDescent="0.2">
      <c r="AF33272" s="12"/>
    </row>
    <row r="33273" spans="32:32" x14ac:dyDescent="0.2">
      <c r="AF33273" s="12"/>
    </row>
    <row r="33274" spans="32:32" x14ac:dyDescent="0.2">
      <c r="AF33274" s="12"/>
    </row>
    <row r="33275" spans="32:32" x14ac:dyDescent="0.2">
      <c r="AF33275" s="12"/>
    </row>
    <row r="33276" spans="32:32" x14ac:dyDescent="0.2">
      <c r="AF33276" s="12"/>
    </row>
    <row r="33277" spans="32:32" x14ac:dyDescent="0.2">
      <c r="AF33277" s="12"/>
    </row>
    <row r="33278" spans="32:32" x14ac:dyDescent="0.2">
      <c r="AF33278" s="12"/>
    </row>
    <row r="33279" spans="32:32" x14ac:dyDescent="0.2">
      <c r="AF33279" s="12"/>
    </row>
    <row r="33280" spans="32:32" x14ac:dyDescent="0.2">
      <c r="AF33280" s="12"/>
    </row>
    <row r="33281" spans="32:32" x14ac:dyDescent="0.2">
      <c r="AF33281" s="12"/>
    </row>
    <row r="33282" spans="32:32" x14ac:dyDescent="0.2">
      <c r="AF33282" s="12"/>
    </row>
    <row r="33283" spans="32:32" x14ac:dyDescent="0.2">
      <c r="AF33283" s="12"/>
    </row>
    <row r="33284" spans="32:32" x14ac:dyDescent="0.2">
      <c r="AF33284" s="12"/>
    </row>
    <row r="33285" spans="32:32" x14ac:dyDescent="0.2">
      <c r="AF33285" s="12"/>
    </row>
    <row r="33286" spans="32:32" x14ac:dyDescent="0.2">
      <c r="AF33286" s="12"/>
    </row>
    <row r="33287" spans="32:32" x14ac:dyDescent="0.2">
      <c r="AF33287" s="12"/>
    </row>
    <row r="33288" spans="32:32" x14ac:dyDescent="0.2">
      <c r="AF33288" s="12"/>
    </row>
    <row r="33289" spans="32:32" x14ac:dyDescent="0.2">
      <c r="AF33289" s="12"/>
    </row>
    <row r="33290" spans="32:32" x14ac:dyDescent="0.2">
      <c r="AF33290" s="12"/>
    </row>
    <row r="33291" spans="32:32" x14ac:dyDescent="0.2">
      <c r="AF33291" s="12"/>
    </row>
    <row r="33292" spans="32:32" x14ac:dyDescent="0.2">
      <c r="AF33292" s="12"/>
    </row>
    <row r="33293" spans="32:32" x14ac:dyDescent="0.2">
      <c r="AF33293" s="12"/>
    </row>
    <row r="33294" spans="32:32" x14ac:dyDescent="0.2">
      <c r="AF33294" s="12"/>
    </row>
    <row r="33295" spans="32:32" x14ac:dyDescent="0.2">
      <c r="AF33295" s="12"/>
    </row>
    <row r="33296" spans="32:32" x14ac:dyDescent="0.2">
      <c r="AF33296" s="12"/>
    </row>
    <row r="33297" spans="32:32" x14ac:dyDescent="0.2">
      <c r="AF33297" s="12"/>
    </row>
    <row r="33298" spans="32:32" x14ac:dyDescent="0.2">
      <c r="AF33298" s="12"/>
    </row>
    <row r="33299" spans="32:32" x14ac:dyDescent="0.2">
      <c r="AF33299" s="12"/>
    </row>
    <row r="33300" spans="32:32" x14ac:dyDescent="0.2">
      <c r="AF33300" s="12"/>
    </row>
    <row r="33301" spans="32:32" x14ac:dyDescent="0.2">
      <c r="AF33301" s="12"/>
    </row>
    <row r="33302" spans="32:32" x14ac:dyDescent="0.2">
      <c r="AF33302" s="12"/>
    </row>
    <row r="33303" spans="32:32" x14ac:dyDescent="0.2">
      <c r="AF33303" s="12"/>
    </row>
    <row r="33304" spans="32:32" x14ac:dyDescent="0.2">
      <c r="AF33304" s="12"/>
    </row>
    <row r="33305" spans="32:32" x14ac:dyDescent="0.2">
      <c r="AF33305" s="12"/>
    </row>
    <row r="33306" spans="32:32" x14ac:dyDescent="0.2">
      <c r="AF33306" s="12"/>
    </row>
    <row r="33307" spans="32:32" x14ac:dyDescent="0.2">
      <c r="AF33307" s="12"/>
    </row>
    <row r="33308" spans="32:32" x14ac:dyDescent="0.2">
      <c r="AF33308" s="12"/>
    </row>
    <row r="33309" spans="32:32" x14ac:dyDescent="0.2">
      <c r="AF33309" s="12"/>
    </row>
    <row r="33310" spans="32:32" x14ac:dyDescent="0.2">
      <c r="AF33310" s="12"/>
    </row>
    <row r="33311" spans="32:32" x14ac:dyDescent="0.2">
      <c r="AF33311" s="12"/>
    </row>
    <row r="33312" spans="32:32" x14ac:dyDescent="0.2">
      <c r="AF33312" s="12"/>
    </row>
    <row r="33313" spans="32:32" x14ac:dyDescent="0.2">
      <c r="AF33313" s="12"/>
    </row>
    <row r="33314" spans="32:32" x14ac:dyDescent="0.2">
      <c r="AF33314" s="12"/>
    </row>
    <row r="33315" spans="32:32" x14ac:dyDescent="0.2">
      <c r="AF33315" s="12"/>
    </row>
    <row r="33316" spans="32:32" x14ac:dyDescent="0.2">
      <c r="AF33316" s="12"/>
    </row>
    <row r="33317" spans="32:32" x14ac:dyDescent="0.2">
      <c r="AF33317" s="12"/>
    </row>
    <row r="33318" spans="32:32" x14ac:dyDescent="0.2">
      <c r="AF33318" s="12"/>
    </row>
    <row r="33319" spans="32:32" x14ac:dyDescent="0.2">
      <c r="AF33319" s="12"/>
    </row>
    <row r="33320" spans="32:32" x14ac:dyDescent="0.2">
      <c r="AF33320" s="12"/>
    </row>
    <row r="33321" spans="32:32" x14ac:dyDescent="0.2">
      <c r="AF33321" s="12"/>
    </row>
    <row r="33322" spans="32:32" x14ac:dyDescent="0.2">
      <c r="AF33322" s="12"/>
    </row>
    <row r="33323" spans="32:32" x14ac:dyDescent="0.2">
      <c r="AF33323" s="12"/>
    </row>
    <row r="33324" spans="32:32" x14ac:dyDescent="0.2">
      <c r="AF33324" s="12"/>
    </row>
    <row r="33325" spans="32:32" x14ac:dyDescent="0.2">
      <c r="AF33325" s="12"/>
    </row>
    <row r="33326" spans="32:32" x14ac:dyDescent="0.2">
      <c r="AF33326" s="12"/>
    </row>
    <row r="33327" spans="32:32" x14ac:dyDescent="0.2">
      <c r="AF33327" s="12"/>
    </row>
    <row r="33328" spans="32:32" x14ac:dyDescent="0.2">
      <c r="AF33328" s="12"/>
    </row>
    <row r="33329" spans="32:32" x14ac:dyDescent="0.2">
      <c r="AF33329" s="12"/>
    </row>
    <row r="33330" spans="32:32" x14ac:dyDescent="0.2">
      <c r="AF33330" s="12"/>
    </row>
    <row r="33331" spans="32:32" x14ac:dyDescent="0.2">
      <c r="AF33331" s="12"/>
    </row>
    <row r="33332" spans="32:32" x14ac:dyDescent="0.2">
      <c r="AF33332" s="12"/>
    </row>
    <row r="33333" spans="32:32" x14ac:dyDescent="0.2">
      <c r="AF33333" s="12"/>
    </row>
    <row r="33334" spans="32:32" x14ac:dyDescent="0.2">
      <c r="AF33334" s="12"/>
    </row>
    <row r="33335" spans="32:32" x14ac:dyDescent="0.2">
      <c r="AF33335" s="12"/>
    </row>
    <row r="33336" spans="32:32" x14ac:dyDescent="0.2">
      <c r="AF33336" s="12"/>
    </row>
    <row r="33337" spans="32:32" x14ac:dyDescent="0.2">
      <c r="AF33337" s="12"/>
    </row>
    <row r="33338" spans="32:32" x14ac:dyDescent="0.2">
      <c r="AF33338" s="12"/>
    </row>
    <row r="33339" spans="32:32" x14ac:dyDescent="0.2">
      <c r="AF33339" s="12"/>
    </row>
    <row r="33340" spans="32:32" x14ac:dyDescent="0.2">
      <c r="AF33340" s="12"/>
    </row>
    <row r="33341" spans="32:32" x14ac:dyDescent="0.2">
      <c r="AF33341" s="12"/>
    </row>
    <row r="33342" spans="32:32" x14ac:dyDescent="0.2">
      <c r="AF33342" s="12"/>
    </row>
    <row r="33343" spans="32:32" x14ac:dyDescent="0.2">
      <c r="AF33343" s="12"/>
    </row>
    <row r="33344" spans="32:32" x14ac:dyDescent="0.2">
      <c r="AF33344" s="12"/>
    </row>
    <row r="33345" spans="32:32" x14ac:dyDescent="0.2">
      <c r="AF33345" s="12"/>
    </row>
    <row r="33346" spans="32:32" x14ac:dyDescent="0.2">
      <c r="AF33346" s="12"/>
    </row>
    <row r="33347" spans="32:32" x14ac:dyDescent="0.2">
      <c r="AF33347" s="12"/>
    </row>
    <row r="33348" spans="32:32" x14ac:dyDescent="0.2">
      <c r="AF33348" s="12"/>
    </row>
    <row r="33349" spans="32:32" x14ac:dyDescent="0.2">
      <c r="AF33349" s="12"/>
    </row>
    <row r="33350" spans="32:32" x14ac:dyDescent="0.2">
      <c r="AF33350" s="12"/>
    </row>
    <row r="33351" spans="32:32" x14ac:dyDescent="0.2">
      <c r="AF33351" s="12"/>
    </row>
    <row r="33352" spans="32:32" x14ac:dyDescent="0.2">
      <c r="AF33352" s="12"/>
    </row>
    <row r="33353" spans="32:32" x14ac:dyDescent="0.2">
      <c r="AF33353" s="12"/>
    </row>
    <row r="33354" spans="32:32" x14ac:dyDescent="0.2">
      <c r="AF33354" s="12"/>
    </row>
    <row r="33355" spans="32:32" x14ac:dyDescent="0.2">
      <c r="AF33355" s="12"/>
    </row>
    <row r="33356" spans="32:32" x14ac:dyDescent="0.2">
      <c r="AF33356" s="12"/>
    </row>
    <row r="33357" spans="32:32" x14ac:dyDescent="0.2">
      <c r="AF33357" s="12"/>
    </row>
    <row r="33358" spans="32:32" x14ac:dyDescent="0.2">
      <c r="AF33358" s="12"/>
    </row>
    <row r="33359" spans="32:32" x14ac:dyDescent="0.2">
      <c r="AF33359" s="12"/>
    </row>
    <row r="33360" spans="32:32" x14ac:dyDescent="0.2">
      <c r="AF33360" s="12"/>
    </row>
    <row r="33361" spans="32:32" x14ac:dyDescent="0.2">
      <c r="AF33361" s="12"/>
    </row>
    <row r="33362" spans="32:32" x14ac:dyDescent="0.2">
      <c r="AF33362" s="12"/>
    </row>
    <row r="33363" spans="32:32" x14ac:dyDescent="0.2">
      <c r="AF33363" s="12"/>
    </row>
    <row r="33364" spans="32:32" x14ac:dyDescent="0.2">
      <c r="AF33364" s="12"/>
    </row>
    <row r="33365" spans="32:32" x14ac:dyDescent="0.2">
      <c r="AF33365" s="12"/>
    </row>
    <row r="33366" spans="32:32" x14ac:dyDescent="0.2">
      <c r="AF33366" s="12"/>
    </row>
    <row r="33367" spans="32:32" x14ac:dyDescent="0.2">
      <c r="AF33367" s="12"/>
    </row>
    <row r="33368" spans="32:32" x14ac:dyDescent="0.2">
      <c r="AF33368" s="12"/>
    </row>
    <row r="33369" spans="32:32" x14ac:dyDescent="0.2">
      <c r="AF33369" s="12"/>
    </row>
    <row r="33370" spans="32:32" x14ac:dyDescent="0.2">
      <c r="AF33370" s="12"/>
    </row>
    <row r="33371" spans="32:32" x14ac:dyDescent="0.2">
      <c r="AF33371" s="12"/>
    </row>
    <row r="33372" spans="32:32" x14ac:dyDescent="0.2">
      <c r="AF33372" s="12"/>
    </row>
    <row r="33373" spans="32:32" x14ac:dyDescent="0.2">
      <c r="AF33373" s="12"/>
    </row>
    <row r="33374" spans="32:32" x14ac:dyDescent="0.2">
      <c r="AF33374" s="12"/>
    </row>
    <row r="33375" spans="32:32" x14ac:dyDescent="0.2">
      <c r="AF33375" s="12"/>
    </row>
    <row r="33376" spans="32:32" x14ac:dyDescent="0.2">
      <c r="AF33376" s="12"/>
    </row>
    <row r="33377" spans="32:32" x14ac:dyDescent="0.2">
      <c r="AF33377" s="12"/>
    </row>
    <row r="33378" spans="32:32" x14ac:dyDescent="0.2">
      <c r="AF33378" s="12"/>
    </row>
    <row r="33379" spans="32:32" x14ac:dyDescent="0.2">
      <c r="AF33379" s="12"/>
    </row>
    <row r="33380" spans="32:32" x14ac:dyDescent="0.2">
      <c r="AF33380" s="12"/>
    </row>
    <row r="33381" spans="32:32" x14ac:dyDescent="0.2">
      <c r="AF33381" s="12"/>
    </row>
    <row r="33382" spans="32:32" x14ac:dyDescent="0.2">
      <c r="AF33382" s="12"/>
    </row>
    <row r="33383" spans="32:32" x14ac:dyDescent="0.2">
      <c r="AF33383" s="12"/>
    </row>
    <row r="33384" spans="32:32" x14ac:dyDescent="0.2">
      <c r="AF33384" s="12"/>
    </row>
    <row r="33385" spans="32:32" x14ac:dyDescent="0.2">
      <c r="AF33385" s="12"/>
    </row>
    <row r="33386" spans="32:32" x14ac:dyDescent="0.2">
      <c r="AF33386" s="12"/>
    </row>
    <row r="33387" spans="32:32" x14ac:dyDescent="0.2">
      <c r="AF33387" s="12"/>
    </row>
    <row r="33388" spans="32:32" x14ac:dyDescent="0.2">
      <c r="AF33388" s="12"/>
    </row>
    <row r="33389" spans="32:32" x14ac:dyDescent="0.2">
      <c r="AF33389" s="12"/>
    </row>
    <row r="33390" spans="32:32" x14ac:dyDescent="0.2">
      <c r="AF33390" s="12"/>
    </row>
    <row r="33391" spans="32:32" x14ac:dyDescent="0.2">
      <c r="AF33391" s="12"/>
    </row>
    <row r="33392" spans="32:32" x14ac:dyDescent="0.2">
      <c r="AF33392" s="12"/>
    </row>
    <row r="33393" spans="32:32" x14ac:dyDescent="0.2">
      <c r="AF33393" s="12"/>
    </row>
    <row r="33394" spans="32:32" x14ac:dyDescent="0.2">
      <c r="AF33394" s="12"/>
    </row>
    <row r="33395" spans="32:32" x14ac:dyDescent="0.2">
      <c r="AF33395" s="12"/>
    </row>
    <row r="33396" spans="32:32" x14ac:dyDescent="0.2">
      <c r="AF33396" s="12"/>
    </row>
    <row r="33397" spans="32:32" x14ac:dyDescent="0.2">
      <c r="AF33397" s="12"/>
    </row>
    <row r="33398" spans="32:32" x14ac:dyDescent="0.2">
      <c r="AF33398" s="12"/>
    </row>
    <row r="33399" spans="32:32" x14ac:dyDescent="0.2">
      <c r="AF33399" s="12"/>
    </row>
    <row r="33400" spans="32:32" x14ac:dyDescent="0.2">
      <c r="AF33400" s="12"/>
    </row>
    <row r="33401" spans="32:32" x14ac:dyDescent="0.2">
      <c r="AF33401" s="12"/>
    </row>
    <row r="33402" spans="32:32" x14ac:dyDescent="0.2">
      <c r="AF33402" s="12"/>
    </row>
    <row r="33403" spans="32:32" x14ac:dyDescent="0.2">
      <c r="AF33403" s="12"/>
    </row>
    <row r="33404" spans="32:32" x14ac:dyDescent="0.2">
      <c r="AF33404" s="12"/>
    </row>
    <row r="33405" spans="32:32" x14ac:dyDescent="0.2">
      <c r="AF33405" s="12"/>
    </row>
    <row r="33406" spans="32:32" x14ac:dyDescent="0.2">
      <c r="AF33406" s="12"/>
    </row>
    <row r="33407" spans="32:32" x14ac:dyDescent="0.2">
      <c r="AF33407" s="12"/>
    </row>
    <row r="33408" spans="32:32" x14ac:dyDescent="0.2">
      <c r="AF33408" s="12"/>
    </row>
    <row r="33409" spans="32:32" x14ac:dyDescent="0.2">
      <c r="AF33409" s="12"/>
    </row>
    <row r="33410" spans="32:32" x14ac:dyDescent="0.2">
      <c r="AF33410" s="12"/>
    </row>
    <row r="33411" spans="32:32" x14ac:dyDescent="0.2">
      <c r="AF33411" s="12"/>
    </row>
    <row r="33412" spans="32:32" x14ac:dyDescent="0.2">
      <c r="AF33412" s="12"/>
    </row>
    <row r="33413" spans="32:32" x14ac:dyDescent="0.2">
      <c r="AF33413" s="12"/>
    </row>
    <row r="33414" spans="32:32" x14ac:dyDescent="0.2">
      <c r="AF33414" s="12"/>
    </row>
    <row r="33415" spans="32:32" x14ac:dyDescent="0.2">
      <c r="AF33415" s="12"/>
    </row>
    <row r="33416" spans="32:32" x14ac:dyDescent="0.2">
      <c r="AF33416" s="12"/>
    </row>
    <row r="33417" spans="32:32" x14ac:dyDescent="0.2">
      <c r="AF33417" s="12"/>
    </row>
    <row r="33418" spans="32:32" x14ac:dyDescent="0.2">
      <c r="AF33418" s="12"/>
    </row>
    <row r="33419" spans="32:32" x14ac:dyDescent="0.2">
      <c r="AF33419" s="12"/>
    </row>
    <row r="33420" spans="32:32" x14ac:dyDescent="0.2">
      <c r="AF33420" s="12"/>
    </row>
    <row r="33421" spans="32:32" x14ac:dyDescent="0.2">
      <c r="AF33421" s="12"/>
    </row>
    <row r="33422" spans="32:32" x14ac:dyDescent="0.2">
      <c r="AF33422" s="12"/>
    </row>
    <row r="33423" spans="32:32" x14ac:dyDescent="0.2">
      <c r="AF33423" s="12"/>
    </row>
    <row r="33424" spans="32:32" x14ac:dyDescent="0.2">
      <c r="AF33424" s="12"/>
    </row>
    <row r="33425" spans="32:32" x14ac:dyDescent="0.2">
      <c r="AF33425" s="12"/>
    </row>
    <row r="33426" spans="32:32" x14ac:dyDescent="0.2">
      <c r="AF33426" s="12"/>
    </row>
    <row r="33427" spans="32:32" x14ac:dyDescent="0.2">
      <c r="AF33427" s="12"/>
    </row>
    <row r="33428" spans="32:32" x14ac:dyDescent="0.2">
      <c r="AF33428" s="12"/>
    </row>
    <row r="33429" spans="32:32" x14ac:dyDescent="0.2">
      <c r="AF33429" s="12"/>
    </row>
    <row r="33430" spans="32:32" x14ac:dyDescent="0.2">
      <c r="AF33430" s="12"/>
    </row>
    <row r="33431" spans="32:32" x14ac:dyDescent="0.2">
      <c r="AF33431" s="12"/>
    </row>
    <row r="33432" spans="32:32" x14ac:dyDescent="0.2">
      <c r="AF33432" s="12"/>
    </row>
    <row r="33433" spans="32:32" x14ac:dyDescent="0.2">
      <c r="AF33433" s="12"/>
    </row>
    <row r="33434" spans="32:32" x14ac:dyDescent="0.2">
      <c r="AF33434" s="12"/>
    </row>
    <row r="33435" spans="32:32" x14ac:dyDescent="0.2">
      <c r="AF33435" s="12"/>
    </row>
    <row r="33436" spans="32:32" x14ac:dyDescent="0.2">
      <c r="AF33436" s="12"/>
    </row>
    <row r="33437" spans="32:32" x14ac:dyDescent="0.2">
      <c r="AF33437" s="12"/>
    </row>
    <row r="33438" spans="32:32" x14ac:dyDescent="0.2">
      <c r="AF33438" s="12"/>
    </row>
    <row r="33439" spans="32:32" x14ac:dyDescent="0.2">
      <c r="AF33439" s="12"/>
    </row>
    <row r="33440" spans="32:32" x14ac:dyDescent="0.2">
      <c r="AF33440" s="12"/>
    </row>
    <row r="33441" spans="32:32" x14ac:dyDescent="0.2">
      <c r="AF33441" s="12"/>
    </row>
    <row r="33442" spans="32:32" x14ac:dyDescent="0.2">
      <c r="AF33442" s="12"/>
    </row>
    <row r="33443" spans="32:32" x14ac:dyDescent="0.2">
      <c r="AF33443" s="12"/>
    </row>
    <row r="33444" spans="32:32" x14ac:dyDescent="0.2">
      <c r="AF33444" s="12"/>
    </row>
    <row r="33445" spans="32:32" x14ac:dyDescent="0.2">
      <c r="AF33445" s="12"/>
    </row>
    <row r="33446" spans="32:32" x14ac:dyDescent="0.2">
      <c r="AF33446" s="12"/>
    </row>
    <row r="33447" spans="32:32" x14ac:dyDescent="0.2">
      <c r="AF33447" s="12"/>
    </row>
    <row r="33448" spans="32:32" x14ac:dyDescent="0.2">
      <c r="AF33448" s="12"/>
    </row>
    <row r="33449" spans="32:32" x14ac:dyDescent="0.2">
      <c r="AF33449" s="12"/>
    </row>
    <row r="33450" spans="32:32" x14ac:dyDescent="0.2">
      <c r="AF33450" s="12"/>
    </row>
    <row r="33451" spans="32:32" x14ac:dyDescent="0.2">
      <c r="AF33451" s="12"/>
    </row>
    <row r="33452" spans="32:32" x14ac:dyDescent="0.2">
      <c r="AF33452" s="12"/>
    </row>
    <row r="33453" spans="32:32" x14ac:dyDescent="0.2">
      <c r="AF33453" s="12"/>
    </row>
    <row r="33454" spans="32:32" x14ac:dyDescent="0.2">
      <c r="AF33454" s="12"/>
    </row>
    <row r="33455" spans="32:32" x14ac:dyDescent="0.2">
      <c r="AF33455" s="12"/>
    </row>
    <row r="33456" spans="32:32" x14ac:dyDescent="0.2">
      <c r="AF33456" s="12"/>
    </row>
    <row r="33457" spans="32:32" x14ac:dyDescent="0.2">
      <c r="AF33457" s="12"/>
    </row>
    <row r="33458" spans="32:32" x14ac:dyDescent="0.2">
      <c r="AF33458" s="12"/>
    </row>
    <row r="33459" spans="32:32" x14ac:dyDescent="0.2">
      <c r="AF33459" s="12"/>
    </row>
    <row r="33460" spans="32:32" x14ac:dyDescent="0.2">
      <c r="AF33460" s="12"/>
    </row>
    <row r="33461" spans="32:32" x14ac:dyDescent="0.2">
      <c r="AF33461" s="12"/>
    </row>
    <row r="33462" spans="32:32" x14ac:dyDescent="0.2">
      <c r="AF33462" s="12"/>
    </row>
    <row r="33463" spans="32:32" x14ac:dyDescent="0.2">
      <c r="AF33463" s="12"/>
    </row>
    <row r="33464" spans="32:32" x14ac:dyDescent="0.2">
      <c r="AF33464" s="12"/>
    </row>
    <row r="33465" spans="32:32" x14ac:dyDescent="0.2">
      <c r="AF33465" s="12"/>
    </row>
    <row r="33466" spans="32:32" x14ac:dyDescent="0.2">
      <c r="AF33466" s="12"/>
    </row>
    <row r="33467" spans="32:32" x14ac:dyDescent="0.2">
      <c r="AF33467" s="12"/>
    </row>
    <row r="33468" spans="32:32" x14ac:dyDescent="0.2">
      <c r="AF33468" s="12"/>
    </row>
    <row r="33469" spans="32:32" x14ac:dyDescent="0.2">
      <c r="AF33469" s="12"/>
    </row>
    <row r="33470" spans="32:32" x14ac:dyDescent="0.2">
      <c r="AF33470" s="12"/>
    </row>
    <row r="33471" spans="32:32" x14ac:dyDescent="0.2">
      <c r="AF33471" s="12"/>
    </row>
    <row r="33472" spans="32:32" x14ac:dyDescent="0.2">
      <c r="AF33472" s="12"/>
    </row>
    <row r="33473" spans="32:32" x14ac:dyDescent="0.2">
      <c r="AF33473" s="12"/>
    </row>
    <row r="33474" spans="32:32" x14ac:dyDescent="0.2">
      <c r="AF33474" s="12"/>
    </row>
    <row r="33475" spans="32:32" x14ac:dyDescent="0.2">
      <c r="AF33475" s="12"/>
    </row>
    <row r="33476" spans="32:32" x14ac:dyDescent="0.2">
      <c r="AF33476" s="12"/>
    </row>
    <row r="33477" spans="32:32" x14ac:dyDescent="0.2">
      <c r="AF33477" s="12"/>
    </row>
    <row r="33478" spans="32:32" x14ac:dyDescent="0.2">
      <c r="AF33478" s="12"/>
    </row>
    <row r="33479" spans="32:32" x14ac:dyDescent="0.2">
      <c r="AF33479" s="12"/>
    </row>
    <row r="33480" spans="32:32" x14ac:dyDescent="0.2">
      <c r="AF33480" s="12"/>
    </row>
    <row r="33481" spans="32:32" x14ac:dyDescent="0.2">
      <c r="AF33481" s="12"/>
    </row>
    <row r="33482" spans="32:32" x14ac:dyDescent="0.2">
      <c r="AF33482" s="12"/>
    </row>
    <row r="33483" spans="32:32" x14ac:dyDescent="0.2">
      <c r="AF33483" s="12"/>
    </row>
    <row r="33484" spans="32:32" x14ac:dyDescent="0.2">
      <c r="AF33484" s="12"/>
    </row>
    <row r="33485" spans="32:32" x14ac:dyDescent="0.2">
      <c r="AF33485" s="12"/>
    </row>
    <row r="33486" spans="32:32" x14ac:dyDescent="0.2">
      <c r="AF33486" s="12"/>
    </row>
    <row r="33487" spans="32:32" x14ac:dyDescent="0.2">
      <c r="AF33487" s="12"/>
    </row>
    <row r="33488" spans="32:32" x14ac:dyDescent="0.2">
      <c r="AF33488" s="12"/>
    </row>
    <row r="33489" spans="32:32" x14ac:dyDescent="0.2">
      <c r="AF33489" s="12"/>
    </row>
    <row r="33490" spans="32:32" x14ac:dyDescent="0.2">
      <c r="AF33490" s="12"/>
    </row>
    <row r="33491" spans="32:32" x14ac:dyDescent="0.2">
      <c r="AF33491" s="12"/>
    </row>
    <row r="33492" spans="32:32" x14ac:dyDescent="0.2">
      <c r="AF33492" s="12"/>
    </row>
    <row r="33493" spans="32:32" x14ac:dyDescent="0.2">
      <c r="AF33493" s="12"/>
    </row>
    <row r="33494" spans="32:32" x14ac:dyDescent="0.2">
      <c r="AF33494" s="12"/>
    </row>
    <row r="33495" spans="32:32" x14ac:dyDescent="0.2">
      <c r="AF33495" s="12"/>
    </row>
    <row r="33496" spans="32:32" x14ac:dyDescent="0.2">
      <c r="AF33496" s="12"/>
    </row>
    <row r="33497" spans="32:32" x14ac:dyDescent="0.2">
      <c r="AF33497" s="12"/>
    </row>
    <row r="33498" spans="32:32" x14ac:dyDescent="0.2">
      <c r="AF33498" s="12"/>
    </row>
    <row r="33499" spans="32:32" x14ac:dyDescent="0.2">
      <c r="AF33499" s="12"/>
    </row>
    <row r="33500" spans="32:32" x14ac:dyDescent="0.2">
      <c r="AF33500" s="12"/>
    </row>
    <row r="33501" spans="32:32" x14ac:dyDescent="0.2">
      <c r="AF33501" s="12"/>
    </row>
    <row r="33502" spans="32:32" x14ac:dyDescent="0.2">
      <c r="AF33502" s="12"/>
    </row>
    <row r="33503" spans="32:32" x14ac:dyDescent="0.2">
      <c r="AF33503" s="12"/>
    </row>
    <row r="33504" spans="32:32" x14ac:dyDescent="0.2">
      <c r="AF33504" s="12"/>
    </row>
    <row r="33505" spans="32:32" x14ac:dyDescent="0.2">
      <c r="AF33505" s="12"/>
    </row>
    <row r="33506" spans="32:32" x14ac:dyDescent="0.2">
      <c r="AF33506" s="12"/>
    </row>
    <row r="33507" spans="32:32" x14ac:dyDescent="0.2">
      <c r="AF33507" s="12"/>
    </row>
    <row r="33508" spans="32:32" x14ac:dyDescent="0.2">
      <c r="AF33508" s="12"/>
    </row>
    <row r="33509" spans="32:32" x14ac:dyDescent="0.2">
      <c r="AF33509" s="12"/>
    </row>
    <row r="33510" spans="32:32" x14ac:dyDescent="0.2">
      <c r="AF33510" s="12"/>
    </row>
    <row r="33511" spans="32:32" x14ac:dyDescent="0.2">
      <c r="AF33511" s="12"/>
    </row>
    <row r="33512" spans="32:32" x14ac:dyDescent="0.2">
      <c r="AF33512" s="12"/>
    </row>
    <row r="33513" spans="32:32" x14ac:dyDescent="0.2">
      <c r="AF33513" s="12"/>
    </row>
    <row r="33514" spans="32:32" x14ac:dyDescent="0.2">
      <c r="AF33514" s="12"/>
    </row>
    <row r="33515" spans="32:32" x14ac:dyDescent="0.2">
      <c r="AF33515" s="12"/>
    </row>
    <row r="33516" spans="32:32" x14ac:dyDescent="0.2">
      <c r="AF33516" s="12"/>
    </row>
    <row r="33517" spans="32:32" x14ac:dyDescent="0.2">
      <c r="AF33517" s="12"/>
    </row>
    <row r="33518" spans="32:32" x14ac:dyDescent="0.2">
      <c r="AF33518" s="12"/>
    </row>
    <row r="33519" spans="32:32" x14ac:dyDescent="0.2">
      <c r="AF33519" s="12"/>
    </row>
    <row r="33520" spans="32:32" x14ac:dyDescent="0.2">
      <c r="AF33520" s="12"/>
    </row>
    <row r="33521" spans="32:32" x14ac:dyDescent="0.2">
      <c r="AF33521" s="12"/>
    </row>
    <row r="33522" spans="32:32" x14ac:dyDescent="0.2">
      <c r="AF33522" s="12"/>
    </row>
    <row r="33523" spans="32:32" x14ac:dyDescent="0.2">
      <c r="AF33523" s="12"/>
    </row>
    <row r="33524" spans="32:32" x14ac:dyDescent="0.2">
      <c r="AF33524" s="12"/>
    </row>
    <row r="33525" spans="32:32" x14ac:dyDescent="0.2">
      <c r="AF33525" s="12"/>
    </row>
    <row r="33526" spans="32:32" x14ac:dyDescent="0.2">
      <c r="AF33526" s="12"/>
    </row>
    <row r="33527" spans="32:32" x14ac:dyDescent="0.2">
      <c r="AF33527" s="12"/>
    </row>
    <row r="33528" spans="32:32" x14ac:dyDescent="0.2">
      <c r="AF33528" s="12"/>
    </row>
    <row r="33529" spans="32:32" x14ac:dyDescent="0.2">
      <c r="AF33529" s="12"/>
    </row>
    <row r="33530" spans="32:32" x14ac:dyDescent="0.2">
      <c r="AF33530" s="12"/>
    </row>
    <row r="33531" spans="32:32" x14ac:dyDescent="0.2">
      <c r="AF33531" s="12"/>
    </row>
    <row r="33532" spans="32:32" x14ac:dyDescent="0.2">
      <c r="AF33532" s="12"/>
    </row>
    <row r="33533" spans="32:32" x14ac:dyDescent="0.2">
      <c r="AF33533" s="12"/>
    </row>
    <row r="33534" spans="32:32" x14ac:dyDescent="0.2">
      <c r="AF33534" s="12"/>
    </row>
    <row r="33535" spans="32:32" x14ac:dyDescent="0.2">
      <c r="AF33535" s="12"/>
    </row>
    <row r="33536" spans="32:32" x14ac:dyDescent="0.2">
      <c r="AF33536" s="12"/>
    </row>
    <row r="33537" spans="32:32" x14ac:dyDescent="0.2">
      <c r="AF33537" s="12"/>
    </row>
    <row r="33538" spans="32:32" x14ac:dyDescent="0.2">
      <c r="AF33538" s="12"/>
    </row>
    <row r="33539" spans="32:32" x14ac:dyDescent="0.2">
      <c r="AF33539" s="12"/>
    </row>
    <row r="33540" spans="32:32" x14ac:dyDescent="0.2">
      <c r="AF33540" s="12"/>
    </row>
    <row r="33541" spans="32:32" x14ac:dyDescent="0.2">
      <c r="AF33541" s="12"/>
    </row>
    <row r="33542" spans="32:32" x14ac:dyDescent="0.2">
      <c r="AF33542" s="12"/>
    </row>
    <row r="33543" spans="32:32" x14ac:dyDescent="0.2">
      <c r="AF33543" s="12"/>
    </row>
    <row r="33544" spans="32:32" x14ac:dyDescent="0.2">
      <c r="AF33544" s="12"/>
    </row>
    <row r="33545" spans="32:32" x14ac:dyDescent="0.2">
      <c r="AF33545" s="12"/>
    </row>
    <row r="33546" spans="32:32" x14ac:dyDescent="0.2">
      <c r="AF33546" s="12"/>
    </row>
    <row r="33547" spans="32:32" x14ac:dyDescent="0.2">
      <c r="AF33547" s="12"/>
    </row>
    <row r="33548" spans="32:32" x14ac:dyDescent="0.2">
      <c r="AF33548" s="12"/>
    </row>
    <row r="33549" spans="32:32" x14ac:dyDescent="0.2">
      <c r="AF33549" s="12"/>
    </row>
    <row r="33550" spans="32:32" x14ac:dyDescent="0.2">
      <c r="AF33550" s="12"/>
    </row>
    <row r="33551" spans="32:32" x14ac:dyDescent="0.2">
      <c r="AF33551" s="12"/>
    </row>
    <row r="33552" spans="32:32" x14ac:dyDescent="0.2">
      <c r="AF33552" s="12"/>
    </row>
    <row r="33553" spans="32:32" x14ac:dyDescent="0.2">
      <c r="AF33553" s="12"/>
    </row>
    <row r="33554" spans="32:32" x14ac:dyDescent="0.2">
      <c r="AF33554" s="12"/>
    </row>
    <row r="33555" spans="32:32" x14ac:dyDescent="0.2">
      <c r="AF33555" s="12"/>
    </row>
    <row r="33556" spans="32:32" x14ac:dyDescent="0.2">
      <c r="AF33556" s="12"/>
    </row>
    <row r="33557" spans="32:32" x14ac:dyDescent="0.2">
      <c r="AF33557" s="12"/>
    </row>
    <row r="33558" spans="32:32" x14ac:dyDescent="0.2">
      <c r="AF33558" s="12"/>
    </row>
    <row r="33559" spans="32:32" x14ac:dyDescent="0.2">
      <c r="AF33559" s="12"/>
    </row>
    <row r="33560" spans="32:32" x14ac:dyDescent="0.2">
      <c r="AF33560" s="12"/>
    </row>
    <row r="33561" spans="32:32" x14ac:dyDescent="0.2">
      <c r="AF33561" s="12"/>
    </row>
    <row r="33562" spans="32:32" x14ac:dyDescent="0.2">
      <c r="AF33562" s="12"/>
    </row>
    <row r="33563" spans="32:32" x14ac:dyDescent="0.2">
      <c r="AF33563" s="12"/>
    </row>
    <row r="33564" spans="32:32" x14ac:dyDescent="0.2">
      <c r="AF33564" s="12"/>
    </row>
    <row r="33565" spans="32:32" x14ac:dyDescent="0.2">
      <c r="AF33565" s="12"/>
    </row>
    <row r="33566" spans="32:32" x14ac:dyDescent="0.2">
      <c r="AF33566" s="12"/>
    </row>
    <row r="33567" spans="32:32" x14ac:dyDescent="0.2">
      <c r="AF33567" s="12"/>
    </row>
    <row r="33568" spans="32:32" x14ac:dyDescent="0.2">
      <c r="AF33568" s="12"/>
    </row>
    <row r="33569" spans="32:32" x14ac:dyDescent="0.2">
      <c r="AF33569" s="12"/>
    </row>
    <row r="33570" spans="32:32" x14ac:dyDescent="0.2">
      <c r="AF33570" s="12"/>
    </row>
    <row r="33571" spans="32:32" x14ac:dyDescent="0.2">
      <c r="AF33571" s="12"/>
    </row>
    <row r="33572" spans="32:32" x14ac:dyDescent="0.2">
      <c r="AF33572" s="12"/>
    </row>
    <row r="33573" spans="32:32" x14ac:dyDescent="0.2">
      <c r="AF33573" s="12"/>
    </row>
    <row r="33574" spans="32:32" x14ac:dyDescent="0.2">
      <c r="AF33574" s="12"/>
    </row>
    <row r="33575" spans="32:32" x14ac:dyDescent="0.2">
      <c r="AF33575" s="12"/>
    </row>
    <row r="33576" spans="32:32" x14ac:dyDescent="0.2">
      <c r="AF33576" s="12"/>
    </row>
    <row r="33577" spans="32:32" x14ac:dyDescent="0.2">
      <c r="AF33577" s="12"/>
    </row>
    <row r="33578" spans="32:32" x14ac:dyDescent="0.2">
      <c r="AF33578" s="12"/>
    </row>
    <row r="33579" spans="32:32" x14ac:dyDescent="0.2">
      <c r="AF33579" s="12"/>
    </row>
    <row r="33580" spans="32:32" x14ac:dyDescent="0.2">
      <c r="AF33580" s="12"/>
    </row>
    <row r="33581" spans="32:32" x14ac:dyDescent="0.2">
      <c r="AF33581" s="12"/>
    </row>
    <row r="33582" spans="32:32" x14ac:dyDescent="0.2">
      <c r="AF33582" s="12"/>
    </row>
    <row r="33583" spans="32:32" x14ac:dyDescent="0.2">
      <c r="AF33583" s="12"/>
    </row>
    <row r="33584" spans="32:32" x14ac:dyDescent="0.2">
      <c r="AF33584" s="12"/>
    </row>
    <row r="33585" spans="32:32" x14ac:dyDescent="0.2">
      <c r="AF33585" s="12"/>
    </row>
    <row r="33586" spans="32:32" x14ac:dyDescent="0.2">
      <c r="AF33586" s="12"/>
    </row>
    <row r="33587" spans="32:32" x14ac:dyDescent="0.2">
      <c r="AF33587" s="12"/>
    </row>
    <row r="33588" spans="32:32" x14ac:dyDescent="0.2">
      <c r="AF33588" s="12"/>
    </row>
    <row r="33589" spans="32:32" x14ac:dyDescent="0.2">
      <c r="AF33589" s="12"/>
    </row>
    <row r="33590" spans="32:32" x14ac:dyDescent="0.2">
      <c r="AF33590" s="12"/>
    </row>
    <row r="33591" spans="32:32" x14ac:dyDescent="0.2">
      <c r="AF33591" s="12"/>
    </row>
    <row r="33592" spans="32:32" x14ac:dyDescent="0.2">
      <c r="AF33592" s="12"/>
    </row>
    <row r="33593" spans="32:32" x14ac:dyDescent="0.2">
      <c r="AF33593" s="12"/>
    </row>
    <row r="33594" spans="32:32" x14ac:dyDescent="0.2">
      <c r="AF33594" s="12"/>
    </row>
    <row r="33595" spans="32:32" x14ac:dyDescent="0.2">
      <c r="AF33595" s="12"/>
    </row>
    <row r="33596" spans="32:32" x14ac:dyDescent="0.2">
      <c r="AF33596" s="12"/>
    </row>
    <row r="33597" spans="32:32" x14ac:dyDescent="0.2">
      <c r="AF33597" s="12"/>
    </row>
    <row r="33598" spans="32:32" x14ac:dyDescent="0.2">
      <c r="AF33598" s="12"/>
    </row>
    <row r="33599" spans="32:32" x14ac:dyDescent="0.2">
      <c r="AF33599" s="12"/>
    </row>
    <row r="33600" spans="32:32" x14ac:dyDescent="0.2">
      <c r="AF33600" s="12"/>
    </row>
    <row r="33601" spans="32:32" x14ac:dyDescent="0.2">
      <c r="AF33601" s="12"/>
    </row>
    <row r="33602" spans="32:32" x14ac:dyDescent="0.2">
      <c r="AF33602" s="12"/>
    </row>
    <row r="33603" spans="32:32" x14ac:dyDescent="0.2">
      <c r="AF33603" s="12"/>
    </row>
    <row r="33604" spans="32:32" x14ac:dyDescent="0.2">
      <c r="AF33604" s="12"/>
    </row>
    <row r="33605" spans="32:32" x14ac:dyDescent="0.2">
      <c r="AF33605" s="12"/>
    </row>
    <row r="33606" spans="32:32" x14ac:dyDescent="0.2">
      <c r="AF33606" s="12"/>
    </row>
    <row r="33607" spans="32:32" x14ac:dyDescent="0.2">
      <c r="AF33607" s="12"/>
    </row>
    <row r="33608" spans="32:32" x14ac:dyDescent="0.2">
      <c r="AF33608" s="12"/>
    </row>
    <row r="33609" spans="32:32" x14ac:dyDescent="0.2">
      <c r="AF33609" s="12"/>
    </row>
    <row r="33610" spans="32:32" x14ac:dyDescent="0.2">
      <c r="AF33610" s="12"/>
    </row>
    <row r="33611" spans="32:32" x14ac:dyDescent="0.2">
      <c r="AF33611" s="12"/>
    </row>
    <row r="33612" spans="32:32" x14ac:dyDescent="0.2">
      <c r="AF33612" s="12"/>
    </row>
    <row r="33613" spans="32:32" x14ac:dyDescent="0.2">
      <c r="AF33613" s="12"/>
    </row>
    <row r="33614" spans="32:32" x14ac:dyDescent="0.2">
      <c r="AF33614" s="12"/>
    </row>
    <row r="33615" spans="32:32" x14ac:dyDescent="0.2">
      <c r="AF33615" s="12"/>
    </row>
    <row r="33616" spans="32:32" x14ac:dyDescent="0.2">
      <c r="AF33616" s="12"/>
    </row>
    <row r="33617" spans="32:32" x14ac:dyDescent="0.2">
      <c r="AF33617" s="12"/>
    </row>
    <row r="33618" spans="32:32" x14ac:dyDescent="0.2">
      <c r="AF33618" s="12"/>
    </row>
    <row r="33619" spans="32:32" x14ac:dyDescent="0.2">
      <c r="AF33619" s="12"/>
    </row>
    <row r="33620" spans="32:32" x14ac:dyDescent="0.2">
      <c r="AF33620" s="12"/>
    </row>
    <row r="33621" spans="32:32" x14ac:dyDescent="0.2">
      <c r="AF33621" s="12"/>
    </row>
    <row r="33622" spans="32:32" x14ac:dyDescent="0.2">
      <c r="AF33622" s="12"/>
    </row>
    <row r="33623" spans="32:32" x14ac:dyDescent="0.2">
      <c r="AF33623" s="12"/>
    </row>
    <row r="33624" spans="32:32" x14ac:dyDescent="0.2">
      <c r="AF33624" s="12"/>
    </row>
    <row r="33625" spans="32:32" x14ac:dyDescent="0.2">
      <c r="AF33625" s="12"/>
    </row>
    <row r="33626" spans="32:32" x14ac:dyDescent="0.2">
      <c r="AF33626" s="12"/>
    </row>
    <row r="33627" spans="32:32" x14ac:dyDescent="0.2">
      <c r="AF33627" s="12"/>
    </row>
    <row r="33628" spans="32:32" x14ac:dyDescent="0.2">
      <c r="AF33628" s="12"/>
    </row>
    <row r="33629" spans="32:32" x14ac:dyDescent="0.2">
      <c r="AF33629" s="12"/>
    </row>
    <row r="33630" spans="32:32" x14ac:dyDescent="0.2">
      <c r="AF33630" s="12"/>
    </row>
    <row r="33631" spans="32:32" x14ac:dyDescent="0.2">
      <c r="AF33631" s="12"/>
    </row>
    <row r="33632" spans="32:32" x14ac:dyDescent="0.2">
      <c r="AF33632" s="12"/>
    </row>
    <row r="33633" spans="32:32" x14ac:dyDescent="0.2">
      <c r="AF33633" s="12"/>
    </row>
    <row r="33634" spans="32:32" x14ac:dyDescent="0.2">
      <c r="AF33634" s="12"/>
    </row>
    <row r="33635" spans="32:32" x14ac:dyDescent="0.2">
      <c r="AF33635" s="12"/>
    </row>
    <row r="33636" spans="32:32" x14ac:dyDescent="0.2">
      <c r="AF33636" s="12"/>
    </row>
    <row r="33637" spans="32:32" x14ac:dyDescent="0.2">
      <c r="AF33637" s="12"/>
    </row>
    <row r="33638" spans="32:32" x14ac:dyDescent="0.2">
      <c r="AF33638" s="12"/>
    </row>
    <row r="33639" spans="32:32" x14ac:dyDescent="0.2">
      <c r="AF33639" s="12"/>
    </row>
    <row r="33640" spans="32:32" x14ac:dyDescent="0.2">
      <c r="AF33640" s="12"/>
    </row>
    <row r="33641" spans="32:32" x14ac:dyDescent="0.2">
      <c r="AF33641" s="12"/>
    </row>
    <row r="33642" spans="32:32" x14ac:dyDescent="0.2">
      <c r="AF33642" s="12"/>
    </row>
    <row r="33643" spans="32:32" x14ac:dyDescent="0.2">
      <c r="AF33643" s="12"/>
    </row>
    <row r="33644" spans="32:32" x14ac:dyDescent="0.2">
      <c r="AF33644" s="12"/>
    </row>
    <row r="33645" spans="32:32" x14ac:dyDescent="0.2">
      <c r="AF33645" s="12"/>
    </row>
    <row r="33646" spans="32:32" x14ac:dyDescent="0.2">
      <c r="AF33646" s="12"/>
    </row>
    <row r="33647" spans="32:32" x14ac:dyDescent="0.2">
      <c r="AF33647" s="12"/>
    </row>
    <row r="33648" spans="32:32" x14ac:dyDescent="0.2">
      <c r="AF33648" s="12"/>
    </row>
    <row r="33649" spans="32:32" x14ac:dyDescent="0.2">
      <c r="AF33649" s="12"/>
    </row>
    <row r="33650" spans="32:32" x14ac:dyDescent="0.2">
      <c r="AF33650" s="12"/>
    </row>
    <row r="33651" spans="32:32" x14ac:dyDescent="0.2">
      <c r="AF33651" s="12"/>
    </row>
    <row r="33652" spans="32:32" x14ac:dyDescent="0.2">
      <c r="AF33652" s="12"/>
    </row>
    <row r="33653" spans="32:32" x14ac:dyDescent="0.2">
      <c r="AF33653" s="12"/>
    </row>
    <row r="33654" spans="32:32" x14ac:dyDescent="0.2">
      <c r="AF33654" s="12"/>
    </row>
    <row r="33655" spans="32:32" x14ac:dyDescent="0.2">
      <c r="AF33655" s="12"/>
    </row>
    <row r="33656" spans="32:32" x14ac:dyDescent="0.2">
      <c r="AF33656" s="12"/>
    </row>
    <row r="33657" spans="32:32" x14ac:dyDescent="0.2">
      <c r="AF33657" s="12"/>
    </row>
    <row r="33658" spans="32:32" x14ac:dyDescent="0.2">
      <c r="AF33658" s="12"/>
    </row>
    <row r="33659" spans="32:32" x14ac:dyDescent="0.2">
      <c r="AF33659" s="12"/>
    </row>
    <row r="33660" spans="32:32" x14ac:dyDescent="0.2">
      <c r="AF33660" s="12"/>
    </row>
    <row r="33661" spans="32:32" x14ac:dyDescent="0.2">
      <c r="AF33661" s="12"/>
    </row>
    <row r="33662" spans="32:32" x14ac:dyDescent="0.2">
      <c r="AF33662" s="12"/>
    </row>
    <row r="33663" spans="32:32" x14ac:dyDescent="0.2">
      <c r="AF33663" s="12"/>
    </row>
    <row r="33664" spans="32:32" x14ac:dyDescent="0.2">
      <c r="AF33664" s="12"/>
    </row>
    <row r="33665" spans="32:32" x14ac:dyDescent="0.2">
      <c r="AF33665" s="12"/>
    </row>
    <row r="33666" spans="32:32" x14ac:dyDescent="0.2">
      <c r="AF33666" s="12"/>
    </row>
    <row r="33667" spans="32:32" x14ac:dyDescent="0.2">
      <c r="AF33667" s="12"/>
    </row>
    <row r="33668" spans="32:32" x14ac:dyDescent="0.2">
      <c r="AF33668" s="12"/>
    </row>
    <row r="33669" spans="32:32" x14ac:dyDescent="0.2">
      <c r="AF33669" s="12"/>
    </row>
    <row r="33670" spans="32:32" x14ac:dyDescent="0.2">
      <c r="AF33670" s="12"/>
    </row>
    <row r="33671" spans="32:32" x14ac:dyDescent="0.2">
      <c r="AF33671" s="12"/>
    </row>
    <row r="33672" spans="32:32" x14ac:dyDescent="0.2">
      <c r="AF33672" s="12"/>
    </row>
    <row r="33673" spans="32:32" x14ac:dyDescent="0.2">
      <c r="AF33673" s="12"/>
    </row>
    <row r="33674" spans="32:32" x14ac:dyDescent="0.2">
      <c r="AF33674" s="12"/>
    </row>
    <row r="33675" spans="32:32" x14ac:dyDescent="0.2">
      <c r="AF33675" s="12"/>
    </row>
    <row r="33676" spans="32:32" x14ac:dyDescent="0.2">
      <c r="AF33676" s="12"/>
    </row>
    <row r="33677" spans="32:32" x14ac:dyDescent="0.2">
      <c r="AF33677" s="12"/>
    </row>
    <row r="33678" spans="32:32" x14ac:dyDescent="0.2">
      <c r="AF33678" s="12"/>
    </row>
    <row r="33679" spans="32:32" x14ac:dyDescent="0.2">
      <c r="AF33679" s="12"/>
    </row>
    <row r="33680" spans="32:32" x14ac:dyDescent="0.2">
      <c r="AF33680" s="12"/>
    </row>
    <row r="33681" spans="32:32" x14ac:dyDescent="0.2">
      <c r="AF33681" s="12"/>
    </row>
    <row r="33682" spans="32:32" x14ac:dyDescent="0.2">
      <c r="AF33682" s="12"/>
    </row>
    <row r="33683" spans="32:32" x14ac:dyDescent="0.2">
      <c r="AF33683" s="12"/>
    </row>
    <row r="33684" spans="32:32" x14ac:dyDescent="0.2">
      <c r="AF33684" s="12"/>
    </row>
    <row r="33685" spans="32:32" x14ac:dyDescent="0.2">
      <c r="AF33685" s="12"/>
    </row>
    <row r="33686" spans="32:32" x14ac:dyDescent="0.2">
      <c r="AF33686" s="12"/>
    </row>
    <row r="33687" spans="32:32" x14ac:dyDescent="0.2">
      <c r="AF33687" s="12"/>
    </row>
    <row r="33688" spans="32:32" x14ac:dyDescent="0.2">
      <c r="AF33688" s="12"/>
    </row>
    <row r="33689" spans="32:32" x14ac:dyDescent="0.2">
      <c r="AF33689" s="12"/>
    </row>
    <row r="33690" spans="32:32" x14ac:dyDescent="0.2">
      <c r="AF33690" s="12"/>
    </row>
    <row r="33691" spans="32:32" x14ac:dyDescent="0.2">
      <c r="AF33691" s="12"/>
    </row>
    <row r="33692" spans="32:32" x14ac:dyDescent="0.2">
      <c r="AF33692" s="12"/>
    </row>
    <row r="33693" spans="32:32" x14ac:dyDescent="0.2">
      <c r="AF33693" s="12"/>
    </row>
    <row r="33694" spans="32:32" x14ac:dyDescent="0.2">
      <c r="AF33694" s="12"/>
    </row>
    <row r="33695" spans="32:32" x14ac:dyDescent="0.2">
      <c r="AF33695" s="12"/>
    </row>
    <row r="33696" spans="32:32" x14ac:dyDescent="0.2">
      <c r="AF33696" s="12"/>
    </row>
    <row r="33697" spans="32:32" x14ac:dyDescent="0.2">
      <c r="AF33697" s="12"/>
    </row>
    <row r="33698" spans="32:32" x14ac:dyDescent="0.2">
      <c r="AF33698" s="12"/>
    </row>
    <row r="33699" spans="32:32" x14ac:dyDescent="0.2">
      <c r="AF33699" s="12"/>
    </row>
    <row r="33700" spans="32:32" x14ac:dyDescent="0.2">
      <c r="AF33700" s="12"/>
    </row>
    <row r="33701" spans="32:32" x14ac:dyDescent="0.2">
      <c r="AF33701" s="12"/>
    </row>
    <row r="33702" spans="32:32" x14ac:dyDescent="0.2">
      <c r="AF33702" s="12"/>
    </row>
    <row r="33703" spans="32:32" x14ac:dyDescent="0.2">
      <c r="AF33703" s="12"/>
    </row>
    <row r="33704" spans="32:32" x14ac:dyDescent="0.2">
      <c r="AF33704" s="12"/>
    </row>
    <row r="33705" spans="32:32" x14ac:dyDescent="0.2">
      <c r="AF33705" s="12"/>
    </row>
    <row r="33706" spans="32:32" x14ac:dyDescent="0.2">
      <c r="AF33706" s="12"/>
    </row>
    <row r="33707" spans="32:32" x14ac:dyDescent="0.2">
      <c r="AF33707" s="12"/>
    </row>
    <row r="33708" spans="32:32" x14ac:dyDescent="0.2">
      <c r="AF33708" s="12"/>
    </row>
    <row r="33709" spans="32:32" x14ac:dyDescent="0.2">
      <c r="AF33709" s="12"/>
    </row>
    <row r="33710" spans="32:32" x14ac:dyDescent="0.2">
      <c r="AF33710" s="12"/>
    </row>
    <row r="33711" spans="32:32" x14ac:dyDescent="0.2">
      <c r="AF33711" s="12"/>
    </row>
    <row r="33712" spans="32:32" x14ac:dyDescent="0.2">
      <c r="AF33712" s="12"/>
    </row>
    <row r="33713" spans="32:32" x14ac:dyDescent="0.2">
      <c r="AF33713" s="12"/>
    </row>
    <row r="33714" spans="32:32" x14ac:dyDescent="0.2">
      <c r="AF33714" s="12"/>
    </row>
    <row r="33715" spans="32:32" x14ac:dyDescent="0.2">
      <c r="AF33715" s="12"/>
    </row>
    <row r="33716" spans="32:32" x14ac:dyDescent="0.2">
      <c r="AF33716" s="12"/>
    </row>
    <row r="33717" spans="32:32" x14ac:dyDescent="0.2">
      <c r="AF33717" s="12"/>
    </row>
    <row r="33718" spans="32:32" x14ac:dyDescent="0.2">
      <c r="AF33718" s="12"/>
    </row>
    <row r="33719" spans="32:32" x14ac:dyDescent="0.2">
      <c r="AF33719" s="12"/>
    </row>
    <row r="33720" spans="32:32" x14ac:dyDescent="0.2">
      <c r="AF33720" s="12"/>
    </row>
    <row r="33721" spans="32:32" x14ac:dyDescent="0.2">
      <c r="AF33721" s="12"/>
    </row>
    <row r="33722" spans="32:32" x14ac:dyDescent="0.2">
      <c r="AF33722" s="12"/>
    </row>
    <row r="33723" spans="32:32" x14ac:dyDescent="0.2">
      <c r="AF33723" s="12"/>
    </row>
    <row r="33724" spans="32:32" x14ac:dyDescent="0.2">
      <c r="AF33724" s="12"/>
    </row>
    <row r="33725" spans="32:32" x14ac:dyDescent="0.2">
      <c r="AF33725" s="12"/>
    </row>
    <row r="33726" spans="32:32" x14ac:dyDescent="0.2">
      <c r="AF33726" s="12"/>
    </row>
    <row r="33727" spans="32:32" x14ac:dyDescent="0.2">
      <c r="AF33727" s="12"/>
    </row>
    <row r="33728" spans="32:32" x14ac:dyDescent="0.2">
      <c r="AF33728" s="12"/>
    </row>
    <row r="33729" spans="32:32" x14ac:dyDescent="0.2">
      <c r="AF33729" s="12"/>
    </row>
    <row r="33730" spans="32:32" x14ac:dyDescent="0.2">
      <c r="AF33730" s="12"/>
    </row>
    <row r="33731" spans="32:32" x14ac:dyDescent="0.2">
      <c r="AF33731" s="12"/>
    </row>
    <row r="33732" spans="32:32" x14ac:dyDescent="0.2">
      <c r="AF33732" s="12"/>
    </row>
    <row r="33733" spans="32:32" x14ac:dyDescent="0.2">
      <c r="AF33733" s="12"/>
    </row>
    <row r="33734" spans="32:32" x14ac:dyDescent="0.2">
      <c r="AF33734" s="12"/>
    </row>
    <row r="33735" spans="32:32" x14ac:dyDescent="0.2">
      <c r="AF33735" s="12"/>
    </row>
    <row r="33736" spans="32:32" x14ac:dyDescent="0.2">
      <c r="AF33736" s="12"/>
    </row>
    <row r="33737" spans="32:32" x14ac:dyDescent="0.2">
      <c r="AF33737" s="12"/>
    </row>
    <row r="33738" spans="32:32" x14ac:dyDescent="0.2">
      <c r="AF33738" s="12"/>
    </row>
    <row r="33739" spans="32:32" x14ac:dyDescent="0.2">
      <c r="AF33739" s="12"/>
    </row>
    <row r="33740" spans="32:32" x14ac:dyDescent="0.2">
      <c r="AF33740" s="12"/>
    </row>
    <row r="33741" spans="32:32" x14ac:dyDescent="0.2">
      <c r="AF33741" s="12"/>
    </row>
    <row r="33742" spans="32:32" x14ac:dyDescent="0.2">
      <c r="AF33742" s="12"/>
    </row>
    <row r="33743" spans="32:32" x14ac:dyDescent="0.2">
      <c r="AF33743" s="12"/>
    </row>
    <row r="33744" spans="32:32" x14ac:dyDescent="0.2">
      <c r="AF33744" s="12"/>
    </row>
    <row r="33745" spans="32:32" x14ac:dyDescent="0.2">
      <c r="AF33745" s="12"/>
    </row>
    <row r="33746" spans="32:32" x14ac:dyDescent="0.2">
      <c r="AF33746" s="12"/>
    </row>
    <row r="33747" spans="32:32" x14ac:dyDescent="0.2">
      <c r="AF33747" s="12"/>
    </row>
    <row r="33748" spans="32:32" x14ac:dyDescent="0.2">
      <c r="AF33748" s="12"/>
    </row>
    <row r="33749" spans="32:32" x14ac:dyDescent="0.2">
      <c r="AF33749" s="12"/>
    </row>
    <row r="33750" spans="32:32" x14ac:dyDescent="0.2">
      <c r="AF33750" s="12"/>
    </row>
    <row r="33751" spans="32:32" x14ac:dyDescent="0.2">
      <c r="AF33751" s="12"/>
    </row>
    <row r="33752" spans="32:32" x14ac:dyDescent="0.2">
      <c r="AF33752" s="12"/>
    </row>
    <row r="33753" spans="32:32" x14ac:dyDescent="0.2">
      <c r="AF33753" s="12"/>
    </row>
    <row r="33754" spans="32:32" x14ac:dyDescent="0.2">
      <c r="AF33754" s="12"/>
    </row>
    <row r="33755" spans="32:32" x14ac:dyDescent="0.2">
      <c r="AF33755" s="12"/>
    </row>
    <row r="33756" spans="32:32" x14ac:dyDescent="0.2">
      <c r="AF33756" s="12"/>
    </row>
    <row r="33757" spans="32:32" x14ac:dyDescent="0.2">
      <c r="AF33757" s="12"/>
    </row>
    <row r="33758" spans="32:32" x14ac:dyDescent="0.2">
      <c r="AF33758" s="12"/>
    </row>
    <row r="33759" spans="32:32" x14ac:dyDescent="0.2">
      <c r="AF33759" s="12"/>
    </row>
    <row r="33760" spans="32:32" x14ac:dyDescent="0.2">
      <c r="AF33760" s="12"/>
    </row>
    <row r="33761" spans="32:32" x14ac:dyDescent="0.2">
      <c r="AF33761" s="12"/>
    </row>
    <row r="33762" spans="32:32" x14ac:dyDescent="0.2">
      <c r="AF33762" s="12"/>
    </row>
    <row r="33763" spans="32:32" x14ac:dyDescent="0.2">
      <c r="AF33763" s="12"/>
    </row>
    <row r="33764" spans="32:32" x14ac:dyDescent="0.2">
      <c r="AF33764" s="12"/>
    </row>
    <row r="33765" spans="32:32" x14ac:dyDescent="0.2">
      <c r="AF33765" s="12"/>
    </row>
    <row r="33766" spans="32:32" x14ac:dyDescent="0.2">
      <c r="AF33766" s="12"/>
    </row>
    <row r="33767" spans="32:32" x14ac:dyDescent="0.2">
      <c r="AF33767" s="12"/>
    </row>
    <row r="33768" spans="32:32" x14ac:dyDescent="0.2">
      <c r="AF33768" s="12"/>
    </row>
    <row r="33769" spans="32:32" x14ac:dyDescent="0.2">
      <c r="AF33769" s="12"/>
    </row>
    <row r="33770" spans="32:32" x14ac:dyDescent="0.2">
      <c r="AF33770" s="12"/>
    </row>
    <row r="33771" spans="32:32" x14ac:dyDescent="0.2">
      <c r="AF33771" s="12"/>
    </row>
    <row r="33772" spans="32:32" x14ac:dyDescent="0.2">
      <c r="AF33772" s="12"/>
    </row>
    <row r="33773" spans="32:32" x14ac:dyDescent="0.2">
      <c r="AF33773" s="12"/>
    </row>
    <row r="33774" spans="32:32" x14ac:dyDescent="0.2">
      <c r="AF33774" s="12"/>
    </row>
    <row r="33775" spans="32:32" x14ac:dyDescent="0.2">
      <c r="AF33775" s="12"/>
    </row>
    <row r="33776" spans="32:32" x14ac:dyDescent="0.2">
      <c r="AF33776" s="12"/>
    </row>
    <row r="33777" spans="32:32" x14ac:dyDescent="0.2">
      <c r="AF33777" s="12"/>
    </row>
    <row r="33778" spans="32:32" x14ac:dyDescent="0.2">
      <c r="AF33778" s="12"/>
    </row>
    <row r="33779" spans="32:32" x14ac:dyDescent="0.2">
      <c r="AF33779" s="12"/>
    </row>
    <row r="33780" spans="32:32" x14ac:dyDescent="0.2">
      <c r="AF33780" s="12"/>
    </row>
    <row r="33781" spans="32:32" x14ac:dyDescent="0.2">
      <c r="AF33781" s="12"/>
    </row>
    <row r="33782" spans="32:32" x14ac:dyDescent="0.2">
      <c r="AF33782" s="12"/>
    </row>
    <row r="33783" spans="32:32" x14ac:dyDescent="0.2">
      <c r="AF33783" s="12"/>
    </row>
    <row r="33784" spans="32:32" x14ac:dyDescent="0.2">
      <c r="AF33784" s="12"/>
    </row>
    <row r="33785" spans="32:32" x14ac:dyDescent="0.2">
      <c r="AF33785" s="12"/>
    </row>
    <row r="33786" spans="32:32" x14ac:dyDescent="0.2">
      <c r="AF33786" s="12"/>
    </row>
    <row r="33787" spans="32:32" x14ac:dyDescent="0.2">
      <c r="AF33787" s="12"/>
    </row>
    <row r="33788" spans="32:32" x14ac:dyDescent="0.2">
      <c r="AF33788" s="12"/>
    </row>
    <row r="33789" spans="32:32" x14ac:dyDescent="0.2">
      <c r="AF33789" s="12"/>
    </row>
    <row r="33790" spans="32:32" x14ac:dyDescent="0.2">
      <c r="AF33790" s="12"/>
    </row>
    <row r="33791" spans="32:32" x14ac:dyDescent="0.2">
      <c r="AF33791" s="12"/>
    </row>
    <row r="33792" spans="32:32" x14ac:dyDescent="0.2">
      <c r="AF33792" s="12"/>
    </row>
    <row r="33793" spans="32:32" x14ac:dyDescent="0.2">
      <c r="AF33793" s="12"/>
    </row>
    <row r="33794" spans="32:32" x14ac:dyDescent="0.2">
      <c r="AF33794" s="12"/>
    </row>
    <row r="33795" spans="32:32" x14ac:dyDescent="0.2">
      <c r="AF33795" s="12"/>
    </row>
    <row r="33796" spans="32:32" x14ac:dyDescent="0.2">
      <c r="AF33796" s="12"/>
    </row>
    <row r="33797" spans="32:32" x14ac:dyDescent="0.2">
      <c r="AF33797" s="12"/>
    </row>
    <row r="33798" spans="32:32" x14ac:dyDescent="0.2">
      <c r="AF33798" s="12"/>
    </row>
    <row r="33799" spans="32:32" x14ac:dyDescent="0.2">
      <c r="AF33799" s="12"/>
    </row>
    <row r="33800" spans="32:32" x14ac:dyDescent="0.2">
      <c r="AF33800" s="12"/>
    </row>
    <row r="33801" spans="32:32" x14ac:dyDescent="0.2">
      <c r="AF33801" s="12"/>
    </row>
    <row r="33802" spans="32:32" x14ac:dyDescent="0.2">
      <c r="AF33802" s="12"/>
    </row>
    <row r="33803" spans="32:32" x14ac:dyDescent="0.2">
      <c r="AF33803" s="12"/>
    </row>
    <row r="33804" spans="32:32" x14ac:dyDescent="0.2">
      <c r="AF33804" s="12"/>
    </row>
    <row r="33805" spans="32:32" x14ac:dyDescent="0.2">
      <c r="AF33805" s="12"/>
    </row>
    <row r="33806" spans="32:32" x14ac:dyDescent="0.2">
      <c r="AF33806" s="12"/>
    </row>
    <row r="33807" spans="32:32" x14ac:dyDescent="0.2">
      <c r="AF33807" s="12"/>
    </row>
    <row r="33808" spans="32:32" x14ac:dyDescent="0.2">
      <c r="AF33808" s="12"/>
    </row>
    <row r="33809" spans="32:32" x14ac:dyDescent="0.2">
      <c r="AF33809" s="12"/>
    </row>
    <row r="33810" spans="32:32" x14ac:dyDescent="0.2">
      <c r="AF33810" s="12"/>
    </row>
    <row r="33811" spans="32:32" x14ac:dyDescent="0.2">
      <c r="AF33811" s="12"/>
    </row>
    <row r="33812" spans="32:32" x14ac:dyDescent="0.2">
      <c r="AF33812" s="12"/>
    </row>
    <row r="33813" spans="32:32" x14ac:dyDescent="0.2">
      <c r="AF33813" s="12"/>
    </row>
    <row r="33814" spans="32:32" x14ac:dyDescent="0.2">
      <c r="AF33814" s="12"/>
    </row>
    <row r="33815" spans="32:32" x14ac:dyDescent="0.2">
      <c r="AF33815" s="12"/>
    </row>
    <row r="33816" spans="32:32" x14ac:dyDescent="0.2">
      <c r="AF33816" s="12"/>
    </row>
    <row r="33817" spans="32:32" x14ac:dyDescent="0.2">
      <c r="AF33817" s="12"/>
    </row>
    <row r="33818" spans="32:32" x14ac:dyDescent="0.2">
      <c r="AF33818" s="12"/>
    </row>
    <row r="33819" spans="32:32" x14ac:dyDescent="0.2">
      <c r="AF33819" s="12"/>
    </row>
    <row r="33820" spans="32:32" x14ac:dyDescent="0.2">
      <c r="AF33820" s="12"/>
    </row>
    <row r="33821" spans="32:32" x14ac:dyDescent="0.2">
      <c r="AF33821" s="12"/>
    </row>
    <row r="33822" spans="32:32" x14ac:dyDescent="0.2">
      <c r="AF33822" s="12"/>
    </row>
    <row r="33823" spans="32:32" x14ac:dyDescent="0.2">
      <c r="AF33823" s="12"/>
    </row>
    <row r="33824" spans="32:32" x14ac:dyDescent="0.2">
      <c r="AF33824" s="12"/>
    </row>
    <row r="33825" spans="32:32" x14ac:dyDescent="0.2">
      <c r="AF33825" s="12"/>
    </row>
    <row r="33826" spans="32:32" x14ac:dyDescent="0.2">
      <c r="AF33826" s="12"/>
    </row>
    <row r="33827" spans="32:32" x14ac:dyDescent="0.2">
      <c r="AF33827" s="12"/>
    </row>
    <row r="33828" spans="32:32" x14ac:dyDescent="0.2">
      <c r="AF33828" s="12"/>
    </row>
    <row r="33829" spans="32:32" x14ac:dyDescent="0.2">
      <c r="AF33829" s="12"/>
    </row>
    <row r="33830" spans="32:32" x14ac:dyDescent="0.2">
      <c r="AF33830" s="12"/>
    </row>
    <row r="33831" spans="32:32" x14ac:dyDescent="0.2">
      <c r="AF33831" s="12"/>
    </row>
    <row r="33832" spans="32:32" x14ac:dyDescent="0.2">
      <c r="AF33832" s="12"/>
    </row>
    <row r="33833" spans="32:32" x14ac:dyDescent="0.2">
      <c r="AF33833" s="12"/>
    </row>
    <row r="33834" spans="32:32" x14ac:dyDescent="0.2">
      <c r="AF33834" s="12"/>
    </row>
    <row r="33835" spans="32:32" x14ac:dyDescent="0.2">
      <c r="AF33835" s="12"/>
    </row>
    <row r="33836" spans="32:32" x14ac:dyDescent="0.2">
      <c r="AF33836" s="12"/>
    </row>
    <row r="33837" spans="32:32" x14ac:dyDescent="0.2">
      <c r="AF33837" s="12"/>
    </row>
    <row r="33838" spans="32:32" x14ac:dyDescent="0.2">
      <c r="AF33838" s="12"/>
    </row>
    <row r="33839" spans="32:32" x14ac:dyDescent="0.2">
      <c r="AF33839" s="12"/>
    </row>
    <row r="33840" spans="32:32" x14ac:dyDescent="0.2">
      <c r="AF33840" s="12"/>
    </row>
    <row r="33841" spans="32:32" x14ac:dyDescent="0.2">
      <c r="AF33841" s="12"/>
    </row>
    <row r="33842" spans="32:32" x14ac:dyDescent="0.2">
      <c r="AF33842" s="12"/>
    </row>
    <row r="33843" spans="32:32" x14ac:dyDescent="0.2">
      <c r="AF33843" s="12"/>
    </row>
    <row r="33844" spans="32:32" x14ac:dyDescent="0.2">
      <c r="AF33844" s="12"/>
    </row>
    <row r="33845" spans="32:32" x14ac:dyDescent="0.2">
      <c r="AF33845" s="12"/>
    </row>
    <row r="33846" spans="32:32" x14ac:dyDescent="0.2">
      <c r="AF33846" s="12"/>
    </row>
    <row r="33847" spans="32:32" x14ac:dyDescent="0.2">
      <c r="AF33847" s="12"/>
    </row>
    <row r="33848" spans="32:32" x14ac:dyDescent="0.2">
      <c r="AF33848" s="12"/>
    </row>
    <row r="33849" spans="32:32" x14ac:dyDescent="0.2">
      <c r="AF33849" s="12"/>
    </row>
    <row r="33850" spans="32:32" x14ac:dyDescent="0.2">
      <c r="AF33850" s="12"/>
    </row>
    <row r="33851" spans="32:32" x14ac:dyDescent="0.2">
      <c r="AF33851" s="12"/>
    </row>
    <row r="33852" spans="32:32" x14ac:dyDescent="0.2">
      <c r="AF33852" s="12"/>
    </row>
    <row r="33853" spans="32:32" x14ac:dyDescent="0.2">
      <c r="AF33853" s="12"/>
    </row>
    <row r="33854" spans="32:32" x14ac:dyDescent="0.2">
      <c r="AF33854" s="12"/>
    </row>
    <row r="33855" spans="32:32" x14ac:dyDescent="0.2">
      <c r="AF33855" s="12"/>
    </row>
    <row r="33856" spans="32:32" x14ac:dyDescent="0.2">
      <c r="AF33856" s="12"/>
    </row>
    <row r="33857" spans="32:32" x14ac:dyDescent="0.2">
      <c r="AF33857" s="12"/>
    </row>
    <row r="33858" spans="32:32" x14ac:dyDescent="0.2">
      <c r="AF33858" s="12"/>
    </row>
    <row r="33859" spans="32:32" x14ac:dyDescent="0.2">
      <c r="AF33859" s="12"/>
    </row>
    <row r="33860" spans="32:32" x14ac:dyDescent="0.2">
      <c r="AF33860" s="12"/>
    </row>
    <row r="33861" spans="32:32" x14ac:dyDescent="0.2">
      <c r="AF33861" s="12"/>
    </row>
    <row r="33862" spans="32:32" x14ac:dyDescent="0.2">
      <c r="AF33862" s="12"/>
    </row>
    <row r="33863" spans="32:32" x14ac:dyDescent="0.2">
      <c r="AF33863" s="12"/>
    </row>
    <row r="33864" spans="32:32" x14ac:dyDescent="0.2">
      <c r="AF33864" s="12"/>
    </row>
    <row r="33865" spans="32:32" x14ac:dyDescent="0.2">
      <c r="AF33865" s="12"/>
    </row>
    <row r="33866" spans="32:32" x14ac:dyDescent="0.2">
      <c r="AF33866" s="12"/>
    </row>
    <row r="33867" spans="32:32" x14ac:dyDescent="0.2">
      <c r="AF33867" s="12"/>
    </row>
    <row r="33868" spans="32:32" x14ac:dyDescent="0.2">
      <c r="AF33868" s="12"/>
    </row>
    <row r="33869" spans="32:32" x14ac:dyDescent="0.2">
      <c r="AF33869" s="12"/>
    </row>
    <row r="33870" spans="32:32" x14ac:dyDescent="0.2">
      <c r="AF33870" s="12"/>
    </row>
    <row r="33871" spans="32:32" x14ac:dyDescent="0.2">
      <c r="AF33871" s="12"/>
    </row>
    <row r="33872" spans="32:32" x14ac:dyDescent="0.2">
      <c r="AF33872" s="12"/>
    </row>
    <row r="33873" spans="32:32" x14ac:dyDescent="0.2">
      <c r="AF33873" s="12"/>
    </row>
    <row r="33874" spans="32:32" x14ac:dyDescent="0.2">
      <c r="AF33874" s="12"/>
    </row>
    <row r="33875" spans="32:32" x14ac:dyDescent="0.2">
      <c r="AF33875" s="12"/>
    </row>
    <row r="33876" spans="32:32" x14ac:dyDescent="0.2">
      <c r="AF33876" s="12"/>
    </row>
    <row r="33877" spans="32:32" x14ac:dyDescent="0.2">
      <c r="AF33877" s="12"/>
    </row>
    <row r="33878" spans="32:32" x14ac:dyDescent="0.2">
      <c r="AF33878" s="12"/>
    </row>
    <row r="33879" spans="32:32" x14ac:dyDescent="0.2">
      <c r="AF33879" s="12"/>
    </row>
    <row r="33880" spans="32:32" x14ac:dyDescent="0.2">
      <c r="AF33880" s="12"/>
    </row>
    <row r="33881" spans="32:32" x14ac:dyDescent="0.2">
      <c r="AF33881" s="12"/>
    </row>
    <row r="33882" spans="32:32" x14ac:dyDescent="0.2">
      <c r="AF33882" s="12"/>
    </row>
    <row r="33883" spans="32:32" x14ac:dyDescent="0.2">
      <c r="AF33883" s="12"/>
    </row>
    <row r="33884" spans="32:32" x14ac:dyDescent="0.2">
      <c r="AF33884" s="12"/>
    </row>
    <row r="33885" spans="32:32" x14ac:dyDescent="0.2">
      <c r="AF33885" s="12"/>
    </row>
    <row r="33886" spans="32:32" x14ac:dyDescent="0.2">
      <c r="AF33886" s="12"/>
    </row>
    <row r="33887" spans="32:32" x14ac:dyDescent="0.2">
      <c r="AF33887" s="12"/>
    </row>
    <row r="33888" spans="32:32" x14ac:dyDescent="0.2">
      <c r="AF33888" s="12"/>
    </row>
    <row r="33889" spans="32:32" x14ac:dyDescent="0.2">
      <c r="AF33889" s="12"/>
    </row>
    <row r="33890" spans="32:32" x14ac:dyDescent="0.2">
      <c r="AF33890" s="12"/>
    </row>
    <row r="33891" spans="32:32" x14ac:dyDescent="0.2">
      <c r="AF33891" s="12"/>
    </row>
    <row r="33892" spans="32:32" x14ac:dyDescent="0.2">
      <c r="AF33892" s="12"/>
    </row>
    <row r="33893" spans="32:32" x14ac:dyDescent="0.2">
      <c r="AF33893" s="12"/>
    </row>
    <row r="33894" spans="32:32" x14ac:dyDescent="0.2">
      <c r="AF33894" s="12"/>
    </row>
    <row r="33895" spans="32:32" x14ac:dyDescent="0.2">
      <c r="AF33895" s="12"/>
    </row>
    <row r="33896" spans="32:32" x14ac:dyDescent="0.2">
      <c r="AF33896" s="12"/>
    </row>
    <row r="33897" spans="32:32" x14ac:dyDescent="0.2">
      <c r="AF33897" s="12"/>
    </row>
    <row r="33898" spans="32:32" x14ac:dyDescent="0.2">
      <c r="AF33898" s="12"/>
    </row>
    <row r="33899" spans="32:32" x14ac:dyDescent="0.2">
      <c r="AF33899" s="12"/>
    </row>
    <row r="33900" spans="32:32" x14ac:dyDescent="0.2">
      <c r="AF33900" s="12"/>
    </row>
    <row r="33901" spans="32:32" x14ac:dyDescent="0.2">
      <c r="AF33901" s="12"/>
    </row>
    <row r="33902" spans="32:32" x14ac:dyDescent="0.2">
      <c r="AF33902" s="12"/>
    </row>
    <row r="33903" spans="32:32" x14ac:dyDescent="0.2">
      <c r="AF33903" s="12"/>
    </row>
    <row r="33904" spans="32:32" x14ac:dyDescent="0.2">
      <c r="AF33904" s="12"/>
    </row>
    <row r="33905" spans="32:32" x14ac:dyDescent="0.2">
      <c r="AF33905" s="12"/>
    </row>
    <row r="33906" spans="32:32" x14ac:dyDescent="0.2">
      <c r="AF33906" s="12"/>
    </row>
    <row r="33907" spans="32:32" x14ac:dyDescent="0.2">
      <c r="AF33907" s="12"/>
    </row>
    <row r="33908" spans="32:32" x14ac:dyDescent="0.2">
      <c r="AF33908" s="12"/>
    </row>
    <row r="33909" spans="32:32" x14ac:dyDescent="0.2">
      <c r="AF33909" s="12"/>
    </row>
    <row r="33910" spans="32:32" x14ac:dyDescent="0.2">
      <c r="AF33910" s="12"/>
    </row>
    <row r="33911" spans="32:32" x14ac:dyDescent="0.2">
      <c r="AF33911" s="12"/>
    </row>
    <row r="33912" spans="32:32" x14ac:dyDescent="0.2">
      <c r="AF33912" s="12"/>
    </row>
    <row r="33913" spans="32:32" x14ac:dyDescent="0.2">
      <c r="AF33913" s="12"/>
    </row>
    <row r="33914" spans="32:32" x14ac:dyDescent="0.2">
      <c r="AF33914" s="12"/>
    </row>
    <row r="33915" spans="32:32" x14ac:dyDescent="0.2">
      <c r="AF33915" s="12"/>
    </row>
    <row r="33916" spans="32:32" x14ac:dyDescent="0.2">
      <c r="AF33916" s="12"/>
    </row>
    <row r="33917" spans="32:32" x14ac:dyDescent="0.2">
      <c r="AF33917" s="12"/>
    </row>
    <row r="33918" spans="32:32" x14ac:dyDescent="0.2">
      <c r="AF33918" s="12"/>
    </row>
    <row r="33919" spans="32:32" x14ac:dyDescent="0.2">
      <c r="AF33919" s="12"/>
    </row>
    <row r="33920" spans="32:32" x14ac:dyDescent="0.2">
      <c r="AF33920" s="12"/>
    </row>
    <row r="33921" spans="32:32" x14ac:dyDescent="0.2">
      <c r="AF33921" s="12"/>
    </row>
    <row r="33922" spans="32:32" x14ac:dyDescent="0.2">
      <c r="AF33922" s="12"/>
    </row>
    <row r="33923" spans="32:32" x14ac:dyDescent="0.2">
      <c r="AF33923" s="12"/>
    </row>
    <row r="33924" spans="32:32" x14ac:dyDescent="0.2">
      <c r="AF33924" s="12"/>
    </row>
    <row r="33925" spans="32:32" x14ac:dyDescent="0.2">
      <c r="AF33925" s="12"/>
    </row>
    <row r="33926" spans="32:32" x14ac:dyDescent="0.2">
      <c r="AF33926" s="12"/>
    </row>
    <row r="33927" spans="32:32" x14ac:dyDescent="0.2">
      <c r="AF33927" s="12"/>
    </row>
    <row r="33928" spans="32:32" x14ac:dyDescent="0.2">
      <c r="AF33928" s="12"/>
    </row>
    <row r="33929" spans="32:32" x14ac:dyDescent="0.2">
      <c r="AF33929" s="12"/>
    </row>
    <row r="33930" spans="32:32" x14ac:dyDescent="0.2">
      <c r="AF33930" s="12"/>
    </row>
    <row r="33931" spans="32:32" x14ac:dyDescent="0.2">
      <c r="AF33931" s="12"/>
    </row>
    <row r="33932" spans="32:32" x14ac:dyDescent="0.2">
      <c r="AF33932" s="12"/>
    </row>
    <row r="33933" spans="32:32" x14ac:dyDescent="0.2">
      <c r="AF33933" s="12"/>
    </row>
    <row r="33934" spans="32:32" x14ac:dyDescent="0.2">
      <c r="AF33934" s="12"/>
    </row>
    <row r="33935" spans="32:32" x14ac:dyDescent="0.2">
      <c r="AF33935" s="12"/>
    </row>
    <row r="33936" spans="32:32" x14ac:dyDescent="0.2">
      <c r="AF33936" s="12"/>
    </row>
    <row r="33937" spans="32:32" x14ac:dyDescent="0.2">
      <c r="AF33937" s="12"/>
    </row>
    <row r="33938" spans="32:32" x14ac:dyDescent="0.2">
      <c r="AF33938" s="12"/>
    </row>
    <row r="33939" spans="32:32" x14ac:dyDescent="0.2">
      <c r="AF33939" s="12"/>
    </row>
    <row r="33940" spans="32:32" x14ac:dyDescent="0.2">
      <c r="AF33940" s="12"/>
    </row>
    <row r="33941" spans="32:32" x14ac:dyDescent="0.2">
      <c r="AF33941" s="12"/>
    </row>
    <row r="33942" spans="32:32" x14ac:dyDescent="0.2">
      <c r="AF33942" s="12"/>
    </row>
    <row r="33943" spans="32:32" x14ac:dyDescent="0.2">
      <c r="AF33943" s="12"/>
    </row>
    <row r="33944" spans="32:32" x14ac:dyDescent="0.2">
      <c r="AF33944" s="12"/>
    </row>
    <row r="33945" spans="32:32" x14ac:dyDescent="0.2">
      <c r="AF33945" s="12"/>
    </row>
    <row r="33946" spans="32:32" x14ac:dyDescent="0.2">
      <c r="AF33946" s="12"/>
    </row>
    <row r="33947" spans="32:32" x14ac:dyDescent="0.2">
      <c r="AF33947" s="12"/>
    </row>
    <row r="33948" spans="32:32" x14ac:dyDescent="0.2">
      <c r="AF33948" s="12"/>
    </row>
    <row r="33949" spans="32:32" x14ac:dyDescent="0.2">
      <c r="AF33949" s="12"/>
    </row>
    <row r="33950" spans="32:32" x14ac:dyDescent="0.2">
      <c r="AF33950" s="12"/>
    </row>
    <row r="33951" spans="32:32" x14ac:dyDescent="0.2">
      <c r="AF33951" s="12"/>
    </row>
    <row r="33952" spans="32:32" x14ac:dyDescent="0.2">
      <c r="AF33952" s="12"/>
    </row>
    <row r="33953" spans="32:32" x14ac:dyDescent="0.2">
      <c r="AF33953" s="12"/>
    </row>
    <row r="33954" spans="32:32" x14ac:dyDescent="0.2">
      <c r="AF33954" s="12"/>
    </row>
    <row r="33955" spans="32:32" x14ac:dyDescent="0.2">
      <c r="AF33955" s="12"/>
    </row>
    <row r="33956" spans="32:32" x14ac:dyDescent="0.2">
      <c r="AF33956" s="12"/>
    </row>
    <row r="33957" spans="32:32" x14ac:dyDescent="0.2">
      <c r="AF33957" s="12"/>
    </row>
    <row r="33958" spans="32:32" x14ac:dyDescent="0.2">
      <c r="AF33958" s="12"/>
    </row>
    <row r="33959" spans="32:32" x14ac:dyDescent="0.2">
      <c r="AF33959" s="12"/>
    </row>
    <row r="33960" spans="32:32" x14ac:dyDescent="0.2">
      <c r="AF33960" s="12"/>
    </row>
    <row r="33961" spans="32:32" x14ac:dyDescent="0.2">
      <c r="AF33961" s="12"/>
    </row>
    <row r="33962" spans="32:32" x14ac:dyDescent="0.2">
      <c r="AF33962" s="12"/>
    </row>
    <row r="33963" spans="32:32" x14ac:dyDescent="0.2">
      <c r="AF33963" s="12"/>
    </row>
    <row r="33964" spans="32:32" x14ac:dyDescent="0.2">
      <c r="AF33964" s="12"/>
    </row>
    <row r="33965" spans="32:32" x14ac:dyDescent="0.2">
      <c r="AF33965" s="12"/>
    </row>
    <row r="33966" spans="32:32" x14ac:dyDescent="0.2">
      <c r="AF33966" s="12"/>
    </row>
    <row r="33967" spans="32:32" x14ac:dyDescent="0.2">
      <c r="AF33967" s="12"/>
    </row>
    <row r="33968" spans="32:32" x14ac:dyDescent="0.2">
      <c r="AF33968" s="12"/>
    </row>
    <row r="33969" spans="32:32" x14ac:dyDescent="0.2">
      <c r="AF33969" s="12"/>
    </row>
    <row r="33970" spans="32:32" x14ac:dyDescent="0.2">
      <c r="AF33970" s="12"/>
    </row>
    <row r="33971" spans="32:32" x14ac:dyDescent="0.2">
      <c r="AF33971" s="12"/>
    </row>
    <row r="33972" spans="32:32" x14ac:dyDescent="0.2">
      <c r="AF33972" s="12"/>
    </row>
    <row r="33973" spans="32:32" x14ac:dyDescent="0.2">
      <c r="AF33973" s="12"/>
    </row>
    <row r="33974" spans="32:32" x14ac:dyDescent="0.2">
      <c r="AF33974" s="12"/>
    </row>
    <row r="33975" spans="32:32" x14ac:dyDescent="0.2">
      <c r="AF33975" s="12"/>
    </row>
    <row r="33976" spans="32:32" x14ac:dyDescent="0.2">
      <c r="AF33976" s="12"/>
    </row>
    <row r="33977" spans="32:32" x14ac:dyDescent="0.2">
      <c r="AF33977" s="12"/>
    </row>
    <row r="33978" spans="32:32" x14ac:dyDescent="0.2">
      <c r="AF33978" s="12"/>
    </row>
    <row r="33979" spans="32:32" x14ac:dyDescent="0.2">
      <c r="AF33979" s="12"/>
    </row>
    <row r="33980" spans="32:32" x14ac:dyDescent="0.2">
      <c r="AF33980" s="12"/>
    </row>
    <row r="33981" spans="32:32" x14ac:dyDescent="0.2">
      <c r="AF33981" s="12"/>
    </row>
    <row r="33982" spans="32:32" x14ac:dyDescent="0.2">
      <c r="AF33982" s="12"/>
    </row>
    <row r="33983" spans="32:32" x14ac:dyDescent="0.2">
      <c r="AF33983" s="12"/>
    </row>
    <row r="33984" spans="32:32" x14ac:dyDescent="0.2">
      <c r="AF33984" s="12"/>
    </row>
    <row r="33985" spans="32:32" x14ac:dyDescent="0.2">
      <c r="AF33985" s="12"/>
    </row>
    <row r="33986" spans="32:32" x14ac:dyDescent="0.2">
      <c r="AF33986" s="12"/>
    </row>
    <row r="33987" spans="32:32" x14ac:dyDescent="0.2">
      <c r="AF33987" s="12"/>
    </row>
    <row r="33988" spans="32:32" x14ac:dyDescent="0.2">
      <c r="AF33988" s="12"/>
    </row>
    <row r="33989" spans="32:32" x14ac:dyDescent="0.2">
      <c r="AF33989" s="12"/>
    </row>
    <row r="33990" spans="32:32" x14ac:dyDescent="0.2">
      <c r="AF33990" s="12"/>
    </row>
    <row r="33991" spans="32:32" x14ac:dyDescent="0.2">
      <c r="AF33991" s="12"/>
    </row>
    <row r="33992" spans="32:32" x14ac:dyDescent="0.2">
      <c r="AF33992" s="12"/>
    </row>
    <row r="33993" spans="32:32" x14ac:dyDescent="0.2">
      <c r="AF33993" s="12"/>
    </row>
    <row r="33994" spans="32:32" x14ac:dyDescent="0.2">
      <c r="AF33994" s="12"/>
    </row>
    <row r="33995" spans="32:32" x14ac:dyDescent="0.2">
      <c r="AF33995" s="12"/>
    </row>
    <row r="33996" spans="32:32" x14ac:dyDescent="0.2">
      <c r="AF33996" s="12"/>
    </row>
    <row r="33997" spans="32:32" x14ac:dyDescent="0.2">
      <c r="AF33997" s="12"/>
    </row>
    <row r="33998" spans="32:32" x14ac:dyDescent="0.2">
      <c r="AF33998" s="12"/>
    </row>
    <row r="33999" spans="32:32" x14ac:dyDescent="0.2">
      <c r="AF33999" s="12"/>
    </row>
    <row r="34000" spans="32:32" x14ac:dyDescent="0.2">
      <c r="AF34000" s="12"/>
    </row>
    <row r="34001" spans="32:32" x14ac:dyDescent="0.2">
      <c r="AF34001" s="12"/>
    </row>
    <row r="34002" spans="32:32" x14ac:dyDescent="0.2">
      <c r="AF34002" s="12"/>
    </row>
    <row r="34003" spans="32:32" x14ac:dyDescent="0.2">
      <c r="AF34003" s="12"/>
    </row>
    <row r="34004" spans="32:32" x14ac:dyDescent="0.2">
      <c r="AF34004" s="12"/>
    </row>
    <row r="34005" spans="32:32" x14ac:dyDescent="0.2">
      <c r="AF34005" s="12"/>
    </row>
    <row r="34006" spans="32:32" x14ac:dyDescent="0.2">
      <c r="AF34006" s="12"/>
    </row>
    <row r="34007" spans="32:32" x14ac:dyDescent="0.2">
      <c r="AF34007" s="12"/>
    </row>
    <row r="34008" spans="32:32" x14ac:dyDescent="0.2">
      <c r="AF34008" s="12"/>
    </row>
    <row r="34009" spans="32:32" x14ac:dyDescent="0.2">
      <c r="AF34009" s="12"/>
    </row>
    <row r="34010" spans="32:32" x14ac:dyDescent="0.2">
      <c r="AF34010" s="12"/>
    </row>
    <row r="34011" spans="32:32" x14ac:dyDescent="0.2">
      <c r="AF34011" s="12"/>
    </row>
    <row r="34012" spans="32:32" x14ac:dyDescent="0.2">
      <c r="AF34012" s="12"/>
    </row>
    <row r="34013" spans="32:32" x14ac:dyDescent="0.2">
      <c r="AF34013" s="12"/>
    </row>
    <row r="34014" spans="32:32" x14ac:dyDescent="0.2">
      <c r="AF34014" s="12"/>
    </row>
    <row r="34015" spans="32:32" x14ac:dyDescent="0.2">
      <c r="AF34015" s="12"/>
    </row>
    <row r="34016" spans="32:32" x14ac:dyDescent="0.2">
      <c r="AF34016" s="12"/>
    </row>
    <row r="34017" spans="32:32" x14ac:dyDescent="0.2">
      <c r="AF34017" s="12"/>
    </row>
    <row r="34018" spans="32:32" x14ac:dyDescent="0.2">
      <c r="AF34018" s="12"/>
    </row>
    <row r="34019" spans="32:32" x14ac:dyDescent="0.2">
      <c r="AF34019" s="12"/>
    </row>
    <row r="34020" spans="32:32" x14ac:dyDescent="0.2">
      <c r="AF34020" s="12"/>
    </row>
    <row r="34021" spans="32:32" x14ac:dyDescent="0.2">
      <c r="AF34021" s="12"/>
    </row>
    <row r="34022" spans="32:32" x14ac:dyDescent="0.2">
      <c r="AF34022" s="12"/>
    </row>
    <row r="34023" spans="32:32" x14ac:dyDescent="0.2">
      <c r="AF34023" s="12"/>
    </row>
    <row r="34024" spans="32:32" x14ac:dyDescent="0.2">
      <c r="AF34024" s="12"/>
    </row>
    <row r="34025" spans="32:32" x14ac:dyDescent="0.2">
      <c r="AF34025" s="12"/>
    </row>
    <row r="34026" spans="32:32" x14ac:dyDescent="0.2">
      <c r="AF34026" s="12"/>
    </row>
    <row r="34027" spans="32:32" x14ac:dyDescent="0.2">
      <c r="AF34027" s="12"/>
    </row>
    <row r="34028" spans="32:32" x14ac:dyDescent="0.2">
      <c r="AF34028" s="12"/>
    </row>
    <row r="34029" spans="32:32" x14ac:dyDescent="0.2">
      <c r="AF34029" s="12"/>
    </row>
    <row r="34030" spans="32:32" x14ac:dyDescent="0.2">
      <c r="AF34030" s="12"/>
    </row>
    <row r="34031" spans="32:32" x14ac:dyDescent="0.2">
      <c r="AF34031" s="12"/>
    </row>
    <row r="34032" spans="32:32" x14ac:dyDescent="0.2">
      <c r="AF34032" s="12"/>
    </row>
    <row r="34033" spans="32:32" x14ac:dyDescent="0.2">
      <c r="AF34033" s="12"/>
    </row>
    <row r="34034" spans="32:32" x14ac:dyDescent="0.2">
      <c r="AF34034" s="12"/>
    </row>
    <row r="34035" spans="32:32" x14ac:dyDescent="0.2">
      <c r="AF34035" s="12"/>
    </row>
    <row r="34036" spans="32:32" x14ac:dyDescent="0.2">
      <c r="AF34036" s="12"/>
    </row>
    <row r="34037" spans="32:32" x14ac:dyDescent="0.2">
      <c r="AF34037" s="12"/>
    </row>
    <row r="34038" spans="32:32" x14ac:dyDescent="0.2">
      <c r="AF34038" s="12"/>
    </row>
    <row r="34039" spans="32:32" x14ac:dyDescent="0.2">
      <c r="AF34039" s="12"/>
    </row>
    <row r="34040" spans="32:32" x14ac:dyDescent="0.2">
      <c r="AF34040" s="12"/>
    </row>
    <row r="34041" spans="32:32" x14ac:dyDescent="0.2">
      <c r="AF34041" s="12"/>
    </row>
    <row r="34042" spans="32:32" x14ac:dyDescent="0.2">
      <c r="AF34042" s="12"/>
    </row>
    <row r="34043" spans="32:32" x14ac:dyDescent="0.2">
      <c r="AF34043" s="12"/>
    </row>
    <row r="34044" spans="32:32" x14ac:dyDescent="0.2">
      <c r="AF34044" s="12"/>
    </row>
    <row r="34045" spans="32:32" x14ac:dyDescent="0.2">
      <c r="AF34045" s="12"/>
    </row>
    <row r="34046" spans="32:32" x14ac:dyDescent="0.2">
      <c r="AF34046" s="12"/>
    </row>
    <row r="34047" spans="32:32" x14ac:dyDescent="0.2">
      <c r="AF34047" s="12"/>
    </row>
    <row r="34048" spans="32:32" x14ac:dyDescent="0.2">
      <c r="AF34048" s="12"/>
    </row>
    <row r="34049" spans="32:32" x14ac:dyDescent="0.2">
      <c r="AF34049" s="12"/>
    </row>
    <row r="34050" spans="32:32" x14ac:dyDescent="0.2">
      <c r="AF34050" s="12"/>
    </row>
    <row r="34051" spans="32:32" x14ac:dyDescent="0.2">
      <c r="AF34051" s="12"/>
    </row>
    <row r="34052" spans="32:32" x14ac:dyDescent="0.2">
      <c r="AF34052" s="12"/>
    </row>
    <row r="34053" spans="32:32" x14ac:dyDescent="0.2">
      <c r="AF34053" s="12"/>
    </row>
    <row r="34054" spans="32:32" x14ac:dyDescent="0.2">
      <c r="AF34054" s="12"/>
    </row>
    <row r="34055" spans="32:32" x14ac:dyDescent="0.2">
      <c r="AF34055" s="12"/>
    </row>
    <row r="34056" spans="32:32" x14ac:dyDescent="0.2">
      <c r="AF34056" s="12"/>
    </row>
    <row r="34057" spans="32:32" x14ac:dyDescent="0.2">
      <c r="AF34057" s="12"/>
    </row>
    <row r="34058" spans="32:32" x14ac:dyDescent="0.2">
      <c r="AF34058" s="12"/>
    </row>
    <row r="34059" spans="32:32" x14ac:dyDescent="0.2">
      <c r="AF34059" s="12"/>
    </row>
    <row r="34060" spans="32:32" x14ac:dyDescent="0.2">
      <c r="AF34060" s="12"/>
    </row>
    <row r="34061" spans="32:32" x14ac:dyDescent="0.2">
      <c r="AF34061" s="12"/>
    </row>
    <row r="34062" spans="32:32" x14ac:dyDescent="0.2">
      <c r="AF34062" s="12"/>
    </row>
    <row r="34063" spans="32:32" x14ac:dyDescent="0.2">
      <c r="AF34063" s="12"/>
    </row>
    <row r="34064" spans="32:32" x14ac:dyDescent="0.2">
      <c r="AF34064" s="12"/>
    </row>
    <row r="34065" spans="32:32" x14ac:dyDescent="0.2">
      <c r="AF34065" s="12"/>
    </row>
    <row r="34066" spans="32:32" x14ac:dyDescent="0.2">
      <c r="AF34066" s="12"/>
    </row>
    <row r="34067" spans="32:32" x14ac:dyDescent="0.2">
      <c r="AF34067" s="12"/>
    </row>
    <row r="34068" spans="32:32" x14ac:dyDescent="0.2">
      <c r="AF34068" s="12"/>
    </row>
    <row r="34069" spans="32:32" x14ac:dyDescent="0.2">
      <c r="AF34069" s="12"/>
    </row>
    <row r="34070" spans="32:32" x14ac:dyDescent="0.2">
      <c r="AF34070" s="12"/>
    </row>
    <row r="34071" spans="32:32" x14ac:dyDescent="0.2">
      <c r="AF34071" s="12"/>
    </row>
    <row r="34072" spans="32:32" x14ac:dyDescent="0.2">
      <c r="AF34072" s="12"/>
    </row>
    <row r="34073" spans="32:32" x14ac:dyDescent="0.2">
      <c r="AF34073" s="12"/>
    </row>
    <row r="34074" spans="32:32" x14ac:dyDescent="0.2">
      <c r="AF34074" s="12"/>
    </row>
    <row r="34075" spans="32:32" x14ac:dyDescent="0.2">
      <c r="AF34075" s="12"/>
    </row>
    <row r="34076" spans="32:32" x14ac:dyDescent="0.2">
      <c r="AF34076" s="12"/>
    </row>
    <row r="34077" spans="32:32" x14ac:dyDescent="0.2">
      <c r="AF34077" s="12"/>
    </row>
    <row r="34078" spans="32:32" x14ac:dyDescent="0.2">
      <c r="AF34078" s="12"/>
    </row>
    <row r="34079" spans="32:32" x14ac:dyDescent="0.2">
      <c r="AF34079" s="12"/>
    </row>
    <row r="34080" spans="32:32" x14ac:dyDescent="0.2">
      <c r="AF34080" s="12"/>
    </row>
    <row r="34081" spans="32:32" x14ac:dyDescent="0.2">
      <c r="AF34081" s="12"/>
    </row>
    <row r="34082" spans="32:32" x14ac:dyDescent="0.2">
      <c r="AF34082" s="12"/>
    </row>
    <row r="34083" spans="32:32" x14ac:dyDescent="0.2">
      <c r="AF34083" s="12"/>
    </row>
    <row r="34084" spans="32:32" x14ac:dyDescent="0.2">
      <c r="AF34084" s="12"/>
    </row>
    <row r="34085" spans="32:32" x14ac:dyDescent="0.2">
      <c r="AF34085" s="12"/>
    </row>
    <row r="34086" spans="32:32" x14ac:dyDescent="0.2">
      <c r="AF34086" s="12"/>
    </row>
    <row r="34087" spans="32:32" x14ac:dyDescent="0.2">
      <c r="AF34087" s="12"/>
    </row>
    <row r="34088" spans="32:32" x14ac:dyDescent="0.2">
      <c r="AF34088" s="12"/>
    </row>
    <row r="34089" spans="32:32" x14ac:dyDescent="0.2">
      <c r="AF34089" s="12"/>
    </row>
    <row r="34090" spans="32:32" x14ac:dyDescent="0.2">
      <c r="AF34090" s="12"/>
    </row>
    <row r="34091" spans="32:32" x14ac:dyDescent="0.2">
      <c r="AF34091" s="12"/>
    </row>
    <row r="34092" spans="32:32" x14ac:dyDescent="0.2">
      <c r="AF34092" s="12"/>
    </row>
    <row r="34093" spans="32:32" x14ac:dyDescent="0.2">
      <c r="AF34093" s="12"/>
    </row>
    <row r="34094" spans="32:32" x14ac:dyDescent="0.2">
      <c r="AF34094" s="12"/>
    </row>
    <row r="34095" spans="32:32" x14ac:dyDescent="0.2">
      <c r="AF34095" s="12"/>
    </row>
    <row r="34096" spans="32:32" x14ac:dyDescent="0.2">
      <c r="AF34096" s="12"/>
    </row>
    <row r="34097" spans="32:32" x14ac:dyDescent="0.2">
      <c r="AF34097" s="12"/>
    </row>
    <row r="34098" spans="32:32" x14ac:dyDescent="0.2">
      <c r="AF34098" s="12"/>
    </row>
    <row r="34099" spans="32:32" x14ac:dyDescent="0.2">
      <c r="AF34099" s="12"/>
    </row>
    <row r="34100" spans="32:32" x14ac:dyDescent="0.2">
      <c r="AF34100" s="12"/>
    </row>
    <row r="34101" spans="32:32" x14ac:dyDescent="0.2">
      <c r="AF34101" s="12"/>
    </row>
    <row r="34102" spans="32:32" x14ac:dyDescent="0.2">
      <c r="AF34102" s="12"/>
    </row>
    <row r="34103" spans="32:32" x14ac:dyDescent="0.2">
      <c r="AF34103" s="12"/>
    </row>
    <row r="34104" spans="32:32" x14ac:dyDescent="0.2">
      <c r="AF34104" s="12"/>
    </row>
    <row r="34105" spans="32:32" x14ac:dyDescent="0.2">
      <c r="AF34105" s="12"/>
    </row>
    <row r="34106" spans="32:32" x14ac:dyDescent="0.2">
      <c r="AF34106" s="12"/>
    </row>
    <row r="34107" spans="32:32" x14ac:dyDescent="0.2">
      <c r="AF34107" s="12"/>
    </row>
    <row r="34108" spans="32:32" x14ac:dyDescent="0.2">
      <c r="AF34108" s="12"/>
    </row>
    <row r="34109" spans="32:32" x14ac:dyDescent="0.2">
      <c r="AF34109" s="12"/>
    </row>
    <row r="34110" spans="32:32" x14ac:dyDescent="0.2">
      <c r="AF34110" s="12"/>
    </row>
    <row r="34111" spans="32:32" x14ac:dyDescent="0.2">
      <c r="AF34111" s="12"/>
    </row>
    <row r="34112" spans="32:32" x14ac:dyDescent="0.2">
      <c r="AF34112" s="12"/>
    </row>
    <row r="34113" spans="32:32" x14ac:dyDescent="0.2">
      <c r="AF34113" s="12"/>
    </row>
    <row r="34114" spans="32:32" x14ac:dyDescent="0.2">
      <c r="AF34114" s="12"/>
    </row>
    <row r="34115" spans="32:32" x14ac:dyDescent="0.2">
      <c r="AF34115" s="12"/>
    </row>
    <row r="34116" spans="32:32" x14ac:dyDescent="0.2">
      <c r="AF34116" s="12"/>
    </row>
    <row r="34117" spans="32:32" x14ac:dyDescent="0.2">
      <c r="AF34117" s="12"/>
    </row>
    <row r="34118" spans="32:32" x14ac:dyDescent="0.2">
      <c r="AF34118" s="12"/>
    </row>
    <row r="34119" spans="32:32" x14ac:dyDescent="0.2">
      <c r="AF34119" s="12"/>
    </row>
    <row r="34120" spans="32:32" x14ac:dyDescent="0.2">
      <c r="AF34120" s="12"/>
    </row>
    <row r="34121" spans="32:32" x14ac:dyDescent="0.2">
      <c r="AF34121" s="12"/>
    </row>
    <row r="34122" spans="32:32" x14ac:dyDescent="0.2">
      <c r="AF34122" s="12"/>
    </row>
    <row r="34123" spans="32:32" x14ac:dyDescent="0.2">
      <c r="AF34123" s="12"/>
    </row>
    <row r="34124" spans="32:32" x14ac:dyDescent="0.2">
      <c r="AF34124" s="12"/>
    </row>
    <row r="34125" spans="32:32" x14ac:dyDescent="0.2">
      <c r="AF34125" s="12"/>
    </row>
    <row r="34126" spans="32:32" x14ac:dyDescent="0.2">
      <c r="AF34126" s="12"/>
    </row>
    <row r="34127" spans="32:32" x14ac:dyDescent="0.2">
      <c r="AF34127" s="12"/>
    </row>
    <row r="34128" spans="32:32" x14ac:dyDescent="0.2">
      <c r="AF34128" s="12"/>
    </row>
    <row r="34129" spans="32:32" x14ac:dyDescent="0.2">
      <c r="AF34129" s="12"/>
    </row>
    <row r="34130" spans="32:32" x14ac:dyDescent="0.2">
      <c r="AF34130" s="12"/>
    </row>
    <row r="34131" spans="32:32" x14ac:dyDescent="0.2">
      <c r="AF34131" s="12"/>
    </row>
    <row r="34132" spans="32:32" x14ac:dyDescent="0.2">
      <c r="AF34132" s="12"/>
    </row>
    <row r="34133" spans="32:32" x14ac:dyDescent="0.2">
      <c r="AF34133" s="12"/>
    </row>
    <row r="34134" spans="32:32" x14ac:dyDescent="0.2">
      <c r="AF34134" s="12"/>
    </row>
    <row r="34135" spans="32:32" x14ac:dyDescent="0.2">
      <c r="AF34135" s="12"/>
    </row>
    <row r="34136" spans="32:32" x14ac:dyDescent="0.2">
      <c r="AF34136" s="12"/>
    </row>
    <row r="34137" spans="32:32" x14ac:dyDescent="0.2">
      <c r="AF34137" s="12"/>
    </row>
    <row r="34138" spans="32:32" x14ac:dyDescent="0.2">
      <c r="AF34138" s="12"/>
    </row>
    <row r="34139" spans="32:32" x14ac:dyDescent="0.2">
      <c r="AF34139" s="12"/>
    </row>
    <row r="34140" spans="32:32" x14ac:dyDescent="0.2">
      <c r="AF34140" s="12"/>
    </row>
    <row r="34141" spans="32:32" x14ac:dyDescent="0.2">
      <c r="AF34141" s="12"/>
    </row>
    <row r="34142" spans="32:32" x14ac:dyDescent="0.2">
      <c r="AF34142" s="12"/>
    </row>
    <row r="34143" spans="32:32" x14ac:dyDescent="0.2">
      <c r="AF34143" s="12"/>
    </row>
    <row r="34144" spans="32:32" x14ac:dyDescent="0.2">
      <c r="AF34144" s="12"/>
    </row>
    <row r="34145" spans="32:32" x14ac:dyDescent="0.2">
      <c r="AF34145" s="12"/>
    </row>
    <row r="34146" spans="32:32" x14ac:dyDescent="0.2">
      <c r="AF34146" s="12"/>
    </row>
    <row r="34147" spans="32:32" x14ac:dyDescent="0.2">
      <c r="AF34147" s="12"/>
    </row>
    <row r="34148" spans="32:32" x14ac:dyDescent="0.2">
      <c r="AF34148" s="12"/>
    </row>
    <row r="34149" spans="32:32" x14ac:dyDescent="0.2">
      <c r="AF34149" s="12"/>
    </row>
    <row r="34150" spans="32:32" x14ac:dyDescent="0.2">
      <c r="AF34150" s="12"/>
    </row>
    <row r="34151" spans="32:32" x14ac:dyDescent="0.2">
      <c r="AF34151" s="12"/>
    </row>
    <row r="34152" spans="32:32" x14ac:dyDescent="0.2">
      <c r="AF34152" s="12"/>
    </row>
    <row r="34153" spans="32:32" x14ac:dyDescent="0.2">
      <c r="AF34153" s="12"/>
    </row>
    <row r="34154" spans="32:32" x14ac:dyDescent="0.2">
      <c r="AF34154" s="12"/>
    </row>
    <row r="34155" spans="32:32" x14ac:dyDescent="0.2">
      <c r="AF34155" s="12"/>
    </row>
    <row r="34156" spans="32:32" x14ac:dyDescent="0.2">
      <c r="AF34156" s="12"/>
    </row>
    <row r="34157" spans="32:32" x14ac:dyDescent="0.2">
      <c r="AF34157" s="12"/>
    </row>
    <row r="34158" spans="32:32" x14ac:dyDescent="0.2">
      <c r="AF34158" s="12"/>
    </row>
    <row r="34159" spans="32:32" x14ac:dyDescent="0.2">
      <c r="AF34159" s="12"/>
    </row>
    <row r="34160" spans="32:32" x14ac:dyDescent="0.2">
      <c r="AF34160" s="12"/>
    </row>
    <row r="34161" spans="32:32" x14ac:dyDescent="0.2">
      <c r="AF34161" s="12"/>
    </row>
    <row r="34162" spans="32:32" x14ac:dyDescent="0.2">
      <c r="AF34162" s="12"/>
    </row>
    <row r="34163" spans="32:32" x14ac:dyDescent="0.2">
      <c r="AF34163" s="12"/>
    </row>
    <row r="34164" spans="32:32" x14ac:dyDescent="0.2">
      <c r="AF34164" s="12"/>
    </row>
    <row r="34165" spans="32:32" x14ac:dyDescent="0.2">
      <c r="AF34165" s="12"/>
    </row>
    <row r="34166" spans="32:32" x14ac:dyDescent="0.2">
      <c r="AF34166" s="12"/>
    </row>
    <row r="34167" spans="32:32" x14ac:dyDescent="0.2">
      <c r="AF34167" s="12"/>
    </row>
    <row r="34168" spans="32:32" x14ac:dyDescent="0.2">
      <c r="AF34168" s="12"/>
    </row>
    <row r="34169" spans="32:32" x14ac:dyDescent="0.2">
      <c r="AF34169" s="12"/>
    </row>
    <row r="34170" spans="32:32" x14ac:dyDescent="0.2">
      <c r="AF34170" s="12"/>
    </row>
    <row r="34171" spans="32:32" x14ac:dyDescent="0.2">
      <c r="AF34171" s="12"/>
    </row>
    <row r="34172" spans="32:32" x14ac:dyDescent="0.2">
      <c r="AF34172" s="12"/>
    </row>
    <row r="34173" spans="32:32" x14ac:dyDescent="0.2">
      <c r="AF34173" s="12"/>
    </row>
    <row r="34174" spans="32:32" x14ac:dyDescent="0.2">
      <c r="AF34174" s="12"/>
    </row>
    <row r="34175" spans="32:32" x14ac:dyDescent="0.2">
      <c r="AF34175" s="12"/>
    </row>
    <row r="34176" spans="32:32" x14ac:dyDescent="0.2">
      <c r="AF34176" s="12"/>
    </row>
    <row r="34177" spans="32:32" x14ac:dyDescent="0.2">
      <c r="AF34177" s="12"/>
    </row>
    <row r="34178" spans="32:32" x14ac:dyDescent="0.2">
      <c r="AF34178" s="12"/>
    </row>
    <row r="34179" spans="32:32" x14ac:dyDescent="0.2">
      <c r="AF34179" s="12"/>
    </row>
    <row r="34180" spans="32:32" x14ac:dyDescent="0.2">
      <c r="AF34180" s="12"/>
    </row>
    <row r="34181" spans="32:32" x14ac:dyDescent="0.2">
      <c r="AF34181" s="12"/>
    </row>
    <row r="34182" spans="32:32" x14ac:dyDescent="0.2">
      <c r="AF34182" s="12"/>
    </row>
    <row r="34183" spans="32:32" x14ac:dyDescent="0.2">
      <c r="AF34183" s="12"/>
    </row>
    <row r="34184" spans="32:32" x14ac:dyDescent="0.2">
      <c r="AF34184" s="12"/>
    </row>
    <row r="34185" spans="32:32" x14ac:dyDescent="0.2">
      <c r="AF34185" s="12"/>
    </row>
    <row r="34186" spans="32:32" x14ac:dyDescent="0.2">
      <c r="AF34186" s="12"/>
    </row>
    <row r="34187" spans="32:32" x14ac:dyDescent="0.2">
      <c r="AF34187" s="12"/>
    </row>
    <row r="34188" spans="32:32" x14ac:dyDescent="0.2">
      <c r="AF34188" s="12"/>
    </row>
    <row r="34189" spans="32:32" x14ac:dyDescent="0.2">
      <c r="AF34189" s="12"/>
    </row>
    <row r="34190" spans="32:32" x14ac:dyDescent="0.2">
      <c r="AF34190" s="12"/>
    </row>
    <row r="34191" spans="32:32" x14ac:dyDescent="0.2">
      <c r="AF34191" s="12"/>
    </row>
    <row r="34192" spans="32:32" x14ac:dyDescent="0.2">
      <c r="AF34192" s="12"/>
    </row>
    <row r="34193" spans="32:32" x14ac:dyDescent="0.2">
      <c r="AF34193" s="12"/>
    </row>
    <row r="34194" spans="32:32" x14ac:dyDescent="0.2">
      <c r="AF34194" s="12"/>
    </row>
    <row r="34195" spans="32:32" x14ac:dyDescent="0.2">
      <c r="AF34195" s="12"/>
    </row>
    <row r="34196" spans="32:32" x14ac:dyDescent="0.2">
      <c r="AF34196" s="12"/>
    </row>
    <row r="34197" spans="32:32" x14ac:dyDescent="0.2">
      <c r="AF34197" s="12"/>
    </row>
    <row r="34198" spans="32:32" x14ac:dyDescent="0.2">
      <c r="AF34198" s="12"/>
    </row>
    <row r="34199" spans="32:32" x14ac:dyDescent="0.2">
      <c r="AF34199" s="12"/>
    </row>
    <row r="34200" spans="32:32" x14ac:dyDescent="0.2">
      <c r="AF34200" s="12"/>
    </row>
    <row r="34201" spans="32:32" x14ac:dyDescent="0.2">
      <c r="AF34201" s="12"/>
    </row>
    <row r="34202" spans="32:32" x14ac:dyDescent="0.2">
      <c r="AF34202" s="12"/>
    </row>
    <row r="34203" spans="32:32" x14ac:dyDescent="0.2">
      <c r="AF34203" s="12"/>
    </row>
    <row r="34204" spans="32:32" x14ac:dyDescent="0.2">
      <c r="AF34204" s="12"/>
    </row>
    <row r="34205" spans="32:32" x14ac:dyDescent="0.2">
      <c r="AF34205" s="12"/>
    </row>
    <row r="34206" spans="32:32" x14ac:dyDescent="0.2">
      <c r="AF34206" s="12"/>
    </row>
    <row r="34207" spans="32:32" x14ac:dyDescent="0.2">
      <c r="AF34207" s="12"/>
    </row>
    <row r="34208" spans="32:32" x14ac:dyDescent="0.2">
      <c r="AF34208" s="12"/>
    </row>
    <row r="34209" spans="32:32" x14ac:dyDescent="0.2">
      <c r="AF34209" s="12"/>
    </row>
    <row r="34210" spans="32:32" x14ac:dyDescent="0.2">
      <c r="AF34210" s="12"/>
    </row>
    <row r="34211" spans="32:32" x14ac:dyDescent="0.2">
      <c r="AF34211" s="12"/>
    </row>
    <row r="34212" spans="32:32" x14ac:dyDescent="0.2">
      <c r="AF34212" s="12"/>
    </row>
    <row r="34213" spans="32:32" x14ac:dyDescent="0.2">
      <c r="AF34213" s="12"/>
    </row>
    <row r="34214" spans="32:32" x14ac:dyDescent="0.2">
      <c r="AF34214" s="12"/>
    </row>
    <row r="34215" spans="32:32" x14ac:dyDescent="0.2">
      <c r="AF34215" s="12"/>
    </row>
    <row r="34216" spans="32:32" x14ac:dyDescent="0.2">
      <c r="AF34216" s="12"/>
    </row>
    <row r="34217" spans="32:32" x14ac:dyDescent="0.2">
      <c r="AF34217" s="12"/>
    </row>
    <row r="34218" spans="32:32" x14ac:dyDescent="0.2">
      <c r="AF34218" s="12"/>
    </row>
    <row r="34219" spans="32:32" x14ac:dyDescent="0.2">
      <c r="AF34219" s="12"/>
    </row>
    <row r="34220" spans="32:32" x14ac:dyDescent="0.2">
      <c r="AF34220" s="12"/>
    </row>
    <row r="34221" spans="32:32" x14ac:dyDescent="0.2">
      <c r="AF34221" s="12"/>
    </row>
    <row r="34222" spans="32:32" x14ac:dyDescent="0.2">
      <c r="AF34222" s="12"/>
    </row>
    <row r="34223" spans="32:32" x14ac:dyDescent="0.2">
      <c r="AF34223" s="12"/>
    </row>
    <row r="34224" spans="32:32" x14ac:dyDescent="0.2">
      <c r="AF34224" s="12"/>
    </row>
    <row r="34225" spans="32:32" x14ac:dyDescent="0.2">
      <c r="AF34225" s="12"/>
    </row>
    <row r="34226" spans="32:32" x14ac:dyDescent="0.2">
      <c r="AF34226" s="12"/>
    </row>
    <row r="34227" spans="32:32" x14ac:dyDescent="0.2">
      <c r="AF34227" s="12"/>
    </row>
    <row r="34228" spans="32:32" x14ac:dyDescent="0.2">
      <c r="AF34228" s="12"/>
    </row>
    <row r="34229" spans="32:32" x14ac:dyDescent="0.2">
      <c r="AF34229" s="12"/>
    </row>
    <row r="34230" spans="32:32" x14ac:dyDescent="0.2">
      <c r="AF34230" s="12"/>
    </row>
    <row r="34231" spans="32:32" x14ac:dyDescent="0.2">
      <c r="AF34231" s="12"/>
    </row>
    <row r="34232" spans="32:32" x14ac:dyDescent="0.2">
      <c r="AF34232" s="12"/>
    </row>
    <row r="34233" spans="32:32" x14ac:dyDescent="0.2">
      <c r="AF34233" s="12"/>
    </row>
    <row r="34234" spans="32:32" x14ac:dyDescent="0.2">
      <c r="AF34234" s="12"/>
    </row>
    <row r="34235" spans="32:32" x14ac:dyDescent="0.2">
      <c r="AF34235" s="12"/>
    </row>
    <row r="34236" spans="32:32" x14ac:dyDescent="0.2">
      <c r="AF34236" s="12"/>
    </row>
    <row r="34237" spans="32:32" x14ac:dyDescent="0.2">
      <c r="AF34237" s="12"/>
    </row>
    <row r="34238" spans="32:32" x14ac:dyDescent="0.2">
      <c r="AF34238" s="12"/>
    </row>
    <row r="34239" spans="32:32" x14ac:dyDescent="0.2">
      <c r="AF34239" s="12"/>
    </row>
    <row r="34240" spans="32:32" x14ac:dyDescent="0.2">
      <c r="AF34240" s="12"/>
    </row>
    <row r="34241" spans="32:32" x14ac:dyDescent="0.2">
      <c r="AF34241" s="12"/>
    </row>
    <row r="34242" spans="32:32" x14ac:dyDescent="0.2">
      <c r="AF34242" s="12"/>
    </row>
    <row r="34243" spans="32:32" x14ac:dyDescent="0.2">
      <c r="AF34243" s="12"/>
    </row>
    <row r="34244" spans="32:32" x14ac:dyDescent="0.2">
      <c r="AF34244" s="12"/>
    </row>
    <row r="34245" spans="32:32" x14ac:dyDescent="0.2">
      <c r="AF34245" s="12"/>
    </row>
    <row r="34246" spans="32:32" x14ac:dyDescent="0.2">
      <c r="AF34246" s="12"/>
    </row>
    <row r="34247" spans="32:32" x14ac:dyDescent="0.2">
      <c r="AF34247" s="12"/>
    </row>
    <row r="34248" spans="32:32" x14ac:dyDescent="0.2">
      <c r="AF34248" s="12"/>
    </row>
    <row r="34249" spans="32:32" x14ac:dyDescent="0.2">
      <c r="AF34249" s="12"/>
    </row>
    <row r="34250" spans="32:32" x14ac:dyDescent="0.2">
      <c r="AF34250" s="12"/>
    </row>
    <row r="34251" spans="32:32" x14ac:dyDescent="0.2">
      <c r="AF34251" s="12"/>
    </row>
    <row r="34252" spans="32:32" x14ac:dyDescent="0.2">
      <c r="AF34252" s="12"/>
    </row>
    <row r="34253" spans="32:32" x14ac:dyDescent="0.2">
      <c r="AF34253" s="12"/>
    </row>
    <row r="34254" spans="32:32" x14ac:dyDescent="0.2">
      <c r="AF34254" s="12"/>
    </row>
    <row r="34255" spans="32:32" x14ac:dyDescent="0.2">
      <c r="AF34255" s="12"/>
    </row>
    <row r="34256" spans="32:32" x14ac:dyDescent="0.2">
      <c r="AF34256" s="12"/>
    </row>
    <row r="34257" spans="32:32" x14ac:dyDescent="0.2">
      <c r="AF34257" s="12"/>
    </row>
    <row r="34258" spans="32:32" x14ac:dyDescent="0.2">
      <c r="AF34258" s="12"/>
    </row>
    <row r="34259" spans="32:32" x14ac:dyDescent="0.2">
      <c r="AF34259" s="12"/>
    </row>
    <row r="34260" spans="32:32" x14ac:dyDescent="0.2">
      <c r="AF34260" s="12"/>
    </row>
    <row r="34261" spans="32:32" x14ac:dyDescent="0.2">
      <c r="AF34261" s="12"/>
    </row>
    <row r="34262" spans="32:32" x14ac:dyDescent="0.2">
      <c r="AF34262" s="12"/>
    </row>
    <row r="34263" spans="32:32" x14ac:dyDescent="0.2">
      <c r="AF34263" s="12"/>
    </row>
    <row r="34264" spans="32:32" x14ac:dyDescent="0.2">
      <c r="AF34264" s="12"/>
    </row>
    <row r="34265" spans="32:32" x14ac:dyDescent="0.2">
      <c r="AF34265" s="12"/>
    </row>
    <row r="34266" spans="32:32" x14ac:dyDescent="0.2">
      <c r="AF34266" s="12"/>
    </row>
    <row r="34267" spans="32:32" x14ac:dyDescent="0.2">
      <c r="AF34267" s="12"/>
    </row>
    <row r="34268" spans="32:32" x14ac:dyDescent="0.2">
      <c r="AF34268" s="12"/>
    </row>
    <row r="34269" spans="32:32" x14ac:dyDescent="0.2">
      <c r="AF34269" s="12"/>
    </row>
    <row r="34270" spans="32:32" x14ac:dyDescent="0.2">
      <c r="AF34270" s="12"/>
    </row>
    <row r="34271" spans="32:32" x14ac:dyDescent="0.2">
      <c r="AF34271" s="12"/>
    </row>
    <row r="34272" spans="32:32" x14ac:dyDescent="0.2">
      <c r="AF34272" s="12"/>
    </row>
    <row r="34273" spans="32:32" x14ac:dyDescent="0.2">
      <c r="AF34273" s="12"/>
    </row>
    <row r="34274" spans="32:32" x14ac:dyDescent="0.2">
      <c r="AF34274" s="12"/>
    </row>
    <row r="34275" spans="32:32" x14ac:dyDescent="0.2">
      <c r="AF34275" s="12"/>
    </row>
    <row r="34276" spans="32:32" x14ac:dyDescent="0.2">
      <c r="AF34276" s="12"/>
    </row>
    <row r="34277" spans="32:32" x14ac:dyDescent="0.2">
      <c r="AF34277" s="12"/>
    </row>
    <row r="34278" spans="32:32" x14ac:dyDescent="0.2">
      <c r="AF34278" s="12"/>
    </row>
    <row r="34279" spans="32:32" x14ac:dyDescent="0.2">
      <c r="AF34279" s="12"/>
    </row>
    <row r="34280" spans="32:32" x14ac:dyDescent="0.2">
      <c r="AF34280" s="12"/>
    </row>
    <row r="34281" spans="32:32" x14ac:dyDescent="0.2">
      <c r="AF34281" s="12"/>
    </row>
    <row r="34282" spans="32:32" x14ac:dyDescent="0.2">
      <c r="AF34282" s="12"/>
    </row>
    <row r="34283" spans="32:32" x14ac:dyDescent="0.2">
      <c r="AF34283" s="12"/>
    </row>
    <row r="34284" spans="32:32" x14ac:dyDescent="0.2">
      <c r="AF34284" s="12"/>
    </row>
    <row r="34285" spans="32:32" x14ac:dyDescent="0.2">
      <c r="AF34285" s="12"/>
    </row>
    <row r="34286" spans="32:32" x14ac:dyDescent="0.2">
      <c r="AF34286" s="12"/>
    </row>
    <row r="34287" spans="32:32" x14ac:dyDescent="0.2">
      <c r="AF34287" s="12"/>
    </row>
    <row r="34288" spans="32:32" x14ac:dyDescent="0.2">
      <c r="AF34288" s="12"/>
    </row>
    <row r="34289" spans="32:32" x14ac:dyDescent="0.2">
      <c r="AF34289" s="12"/>
    </row>
    <row r="34290" spans="32:32" x14ac:dyDescent="0.2">
      <c r="AF34290" s="12"/>
    </row>
    <row r="34291" spans="32:32" x14ac:dyDescent="0.2">
      <c r="AF34291" s="12"/>
    </row>
    <row r="34292" spans="32:32" x14ac:dyDescent="0.2">
      <c r="AF34292" s="12"/>
    </row>
    <row r="34293" spans="32:32" x14ac:dyDescent="0.2">
      <c r="AF34293" s="12"/>
    </row>
    <row r="34294" spans="32:32" x14ac:dyDescent="0.2">
      <c r="AF34294" s="12"/>
    </row>
    <row r="34295" spans="32:32" x14ac:dyDescent="0.2">
      <c r="AF34295" s="12"/>
    </row>
    <row r="34296" spans="32:32" x14ac:dyDescent="0.2">
      <c r="AF34296" s="12"/>
    </row>
    <row r="34297" spans="32:32" x14ac:dyDescent="0.2">
      <c r="AF34297" s="12"/>
    </row>
    <row r="34298" spans="32:32" x14ac:dyDescent="0.2">
      <c r="AF34298" s="12"/>
    </row>
    <row r="34299" spans="32:32" x14ac:dyDescent="0.2">
      <c r="AF34299" s="12"/>
    </row>
    <row r="34300" spans="32:32" x14ac:dyDescent="0.2">
      <c r="AF34300" s="12"/>
    </row>
    <row r="34301" spans="32:32" x14ac:dyDescent="0.2">
      <c r="AF34301" s="12"/>
    </row>
    <row r="34302" spans="32:32" x14ac:dyDescent="0.2">
      <c r="AF34302" s="12"/>
    </row>
    <row r="34303" spans="32:32" x14ac:dyDescent="0.2">
      <c r="AF34303" s="12"/>
    </row>
    <row r="34304" spans="32:32" x14ac:dyDescent="0.2">
      <c r="AF34304" s="12"/>
    </row>
    <row r="34305" spans="32:32" x14ac:dyDescent="0.2">
      <c r="AF34305" s="12"/>
    </row>
    <row r="34306" spans="32:32" x14ac:dyDescent="0.2">
      <c r="AF34306" s="12"/>
    </row>
    <row r="34307" spans="32:32" x14ac:dyDescent="0.2">
      <c r="AF34307" s="12"/>
    </row>
    <row r="34308" spans="32:32" x14ac:dyDescent="0.2">
      <c r="AF34308" s="12"/>
    </row>
    <row r="34309" spans="32:32" x14ac:dyDescent="0.2">
      <c r="AF34309" s="12"/>
    </row>
    <row r="34310" spans="32:32" x14ac:dyDescent="0.2">
      <c r="AF34310" s="12"/>
    </row>
    <row r="34311" spans="32:32" x14ac:dyDescent="0.2">
      <c r="AF34311" s="12"/>
    </row>
    <row r="34312" spans="32:32" x14ac:dyDescent="0.2">
      <c r="AF34312" s="12"/>
    </row>
    <row r="34313" spans="32:32" x14ac:dyDescent="0.2">
      <c r="AF34313" s="12"/>
    </row>
    <row r="34314" spans="32:32" x14ac:dyDescent="0.2">
      <c r="AF34314" s="12"/>
    </row>
    <row r="34315" spans="32:32" x14ac:dyDescent="0.2">
      <c r="AF34315" s="12"/>
    </row>
    <row r="34316" spans="32:32" x14ac:dyDescent="0.2">
      <c r="AF34316" s="12"/>
    </row>
    <row r="34317" spans="32:32" x14ac:dyDescent="0.2">
      <c r="AF34317" s="12"/>
    </row>
    <row r="34318" spans="32:32" x14ac:dyDescent="0.2">
      <c r="AF34318" s="12"/>
    </row>
    <row r="34319" spans="32:32" x14ac:dyDescent="0.2">
      <c r="AF34319" s="12"/>
    </row>
    <row r="34320" spans="32:32" x14ac:dyDescent="0.2">
      <c r="AF34320" s="12"/>
    </row>
    <row r="34321" spans="32:32" x14ac:dyDescent="0.2">
      <c r="AF34321" s="12"/>
    </row>
    <row r="34322" spans="32:32" x14ac:dyDescent="0.2">
      <c r="AF34322" s="12"/>
    </row>
    <row r="34323" spans="32:32" x14ac:dyDescent="0.2">
      <c r="AF34323" s="12"/>
    </row>
    <row r="34324" spans="32:32" x14ac:dyDescent="0.2">
      <c r="AF34324" s="12"/>
    </row>
    <row r="34325" spans="32:32" x14ac:dyDescent="0.2">
      <c r="AF34325" s="12"/>
    </row>
    <row r="34326" spans="32:32" x14ac:dyDescent="0.2">
      <c r="AF34326" s="12"/>
    </row>
    <row r="34327" spans="32:32" x14ac:dyDescent="0.2">
      <c r="AF34327" s="12"/>
    </row>
    <row r="34328" spans="32:32" x14ac:dyDescent="0.2">
      <c r="AF34328" s="12"/>
    </row>
    <row r="34329" spans="32:32" x14ac:dyDescent="0.2">
      <c r="AF34329" s="12"/>
    </row>
    <row r="34330" spans="32:32" x14ac:dyDescent="0.2">
      <c r="AF34330" s="12"/>
    </row>
    <row r="34331" spans="32:32" x14ac:dyDescent="0.2">
      <c r="AF34331" s="12"/>
    </row>
    <row r="34332" spans="32:32" x14ac:dyDescent="0.2">
      <c r="AF34332" s="12"/>
    </row>
    <row r="34333" spans="32:32" x14ac:dyDescent="0.2">
      <c r="AF34333" s="12"/>
    </row>
    <row r="34334" spans="32:32" x14ac:dyDescent="0.2">
      <c r="AF34334" s="12"/>
    </row>
    <row r="34335" spans="32:32" x14ac:dyDescent="0.2">
      <c r="AF34335" s="12"/>
    </row>
    <row r="34336" spans="32:32" x14ac:dyDescent="0.2">
      <c r="AF34336" s="12"/>
    </row>
    <row r="34337" spans="32:32" x14ac:dyDescent="0.2">
      <c r="AF34337" s="12"/>
    </row>
    <row r="34338" spans="32:32" x14ac:dyDescent="0.2">
      <c r="AF34338" s="12"/>
    </row>
    <row r="34339" spans="32:32" x14ac:dyDescent="0.2">
      <c r="AF34339" s="12"/>
    </row>
    <row r="34340" spans="32:32" x14ac:dyDescent="0.2">
      <c r="AF34340" s="12"/>
    </row>
    <row r="34341" spans="32:32" x14ac:dyDescent="0.2">
      <c r="AF34341" s="12"/>
    </row>
    <row r="34342" spans="32:32" x14ac:dyDescent="0.2">
      <c r="AF34342" s="12"/>
    </row>
    <row r="34343" spans="32:32" x14ac:dyDescent="0.2">
      <c r="AF34343" s="12"/>
    </row>
    <row r="34344" spans="32:32" x14ac:dyDescent="0.2">
      <c r="AF34344" s="12"/>
    </row>
    <row r="34345" spans="32:32" x14ac:dyDescent="0.2">
      <c r="AF34345" s="12"/>
    </row>
    <row r="34346" spans="32:32" x14ac:dyDescent="0.2">
      <c r="AF34346" s="12"/>
    </row>
    <row r="34347" spans="32:32" x14ac:dyDescent="0.2">
      <c r="AF34347" s="12"/>
    </row>
    <row r="34348" spans="32:32" x14ac:dyDescent="0.2">
      <c r="AF34348" s="12"/>
    </row>
    <row r="34349" spans="32:32" x14ac:dyDescent="0.2">
      <c r="AF34349" s="12"/>
    </row>
    <row r="34350" spans="32:32" x14ac:dyDescent="0.2">
      <c r="AF34350" s="12"/>
    </row>
    <row r="34351" spans="32:32" x14ac:dyDescent="0.2">
      <c r="AF34351" s="12"/>
    </row>
    <row r="34352" spans="32:32" x14ac:dyDescent="0.2">
      <c r="AF34352" s="12"/>
    </row>
    <row r="34353" spans="32:32" x14ac:dyDescent="0.2">
      <c r="AF34353" s="12"/>
    </row>
    <row r="34354" spans="32:32" x14ac:dyDescent="0.2">
      <c r="AF34354" s="12"/>
    </row>
    <row r="34355" spans="32:32" x14ac:dyDescent="0.2">
      <c r="AF34355" s="12"/>
    </row>
    <row r="34356" spans="32:32" x14ac:dyDescent="0.2">
      <c r="AF34356" s="12"/>
    </row>
    <row r="34357" spans="32:32" x14ac:dyDescent="0.2">
      <c r="AF34357" s="12"/>
    </row>
    <row r="34358" spans="32:32" x14ac:dyDescent="0.2">
      <c r="AF34358" s="12"/>
    </row>
    <row r="34359" spans="32:32" x14ac:dyDescent="0.2">
      <c r="AF34359" s="12"/>
    </row>
    <row r="34360" spans="32:32" x14ac:dyDescent="0.2">
      <c r="AF34360" s="12"/>
    </row>
    <row r="34361" spans="32:32" x14ac:dyDescent="0.2">
      <c r="AF34361" s="12"/>
    </row>
    <row r="34362" spans="32:32" x14ac:dyDescent="0.2">
      <c r="AF34362" s="12"/>
    </row>
    <row r="34363" spans="32:32" x14ac:dyDescent="0.2">
      <c r="AF34363" s="12"/>
    </row>
    <row r="34364" spans="32:32" x14ac:dyDescent="0.2">
      <c r="AF34364" s="12"/>
    </row>
    <row r="34365" spans="32:32" x14ac:dyDescent="0.2">
      <c r="AF34365" s="12"/>
    </row>
    <row r="34366" spans="32:32" x14ac:dyDescent="0.2">
      <c r="AF34366" s="12"/>
    </row>
    <row r="34367" spans="32:32" x14ac:dyDescent="0.2">
      <c r="AF34367" s="12"/>
    </row>
    <row r="34368" spans="32:32" x14ac:dyDescent="0.2">
      <c r="AF34368" s="12"/>
    </row>
    <row r="34369" spans="32:32" x14ac:dyDescent="0.2">
      <c r="AF34369" s="12"/>
    </row>
    <row r="34370" spans="32:32" x14ac:dyDescent="0.2">
      <c r="AF34370" s="12"/>
    </row>
    <row r="34371" spans="32:32" x14ac:dyDescent="0.2">
      <c r="AF34371" s="12"/>
    </row>
    <row r="34372" spans="32:32" x14ac:dyDescent="0.2">
      <c r="AF34372" s="12"/>
    </row>
    <row r="34373" spans="32:32" x14ac:dyDescent="0.2">
      <c r="AF34373" s="12"/>
    </row>
    <row r="34374" spans="32:32" x14ac:dyDescent="0.2">
      <c r="AF34374" s="12"/>
    </row>
    <row r="34375" spans="32:32" x14ac:dyDescent="0.2">
      <c r="AF34375" s="12"/>
    </row>
    <row r="34376" spans="32:32" x14ac:dyDescent="0.2">
      <c r="AF34376" s="12"/>
    </row>
    <row r="34377" spans="32:32" x14ac:dyDescent="0.2">
      <c r="AF34377" s="12"/>
    </row>
    <row r="34378" spans="32:32" x14ac:dyDescent="0.2">
      <c r="AF34378" s="12"/>
    </row>
    <row r="34379" spans="32:32" x14ac:dyDescent="0.2">
      <c r="AF34379" s="12"/>
    </row>
    <row r="34380" spans="32:32" x14ac:dyDescent="0.2">
      <c r="AF34380" s="12"/>
    </row>
    <row r="34381" spans="32:32" x14ac:dyDescent="0.2">
      <c r="AF34381" s="12"/>
    </row>
    <row r="34382" spans="32:32" x14ac:dyDescent="0.2">
      <c r="AF34382" s="12"/>
    </row>
    <row r="34383" spans="32:32" x14ac:dyDescent="0.2">
      <c r="AF34383" s="12"/>
    </row>
    <row r="34384" spans="32:32" x14ac:dyDescent="0.2">
      <c r="AF34384" s="12"/>
    </row>
    <row r="34385" spans="32:32" x14ac:dyDescent="0.2">
      <c r="AF34385" s="12"/>
    </row>
    <row r="34386" spans="32:32" x14ac:dyDescent="0.2">
      <c r="AF34386" s="12"/>
    </row>
    <row r="34387" spans="32:32" x14ac:dyDescent="0.2">
      <c r="AF34387" s="12"/>
    </row>
    <row r="34388" spans="32:32" x14ac:dyDescent="0.2">
      <c r="AF34388" s="12"/>
    </row>
    <row r="34389" spans="32:32" x14ac:dyDescent="0.2">
      <c r="AF34389" s="12"/>
    </row>
    <row r="34390" spans="32:32" x14ac:dyDescent="0.2">
      <c r="AF34390" s="12"/>
    </row>
    <row r="34391" spans="32:32" x14ac:dyDescent="0.2">
      <c r="AF34391" s="12"/>
    </row>
    <row r="34392" spans="32:32" x14ac:dyDescent="0.2">
      <c r="AF34392" s="12"/>
    </row>
    <row r="34393" spans="32:32" x14ac:dyDescent="0.2">
      <c r="AF34393" s="12"/>
    </row>
    <row r="34394" spans="32:32" x14ac:dyDescent="0.2">
      <c r="AF34394" s="12"/>
    </row>
    <row r="34395" spans="32:32" x14ac:dyDescent="0.2">
      <c r="AF34395" s="12"/>
    </row>
    <row r="34396" spans="32:32" x14ac:dyDescent="0.2">
      <c r="AF34396" s="12"/>
    </row>
    <row r="34397" spans="32:32" x14ac:dyDescent="0.2">
      <c r="AF34397" s="12"/>
    </row>
    <row r="34398" spans="32:32" x14ac:dyDescent="0.2">
      <c r="AF34398" s="12"/>
    </row>
    <row r="34399" spans="32:32" x14ac:dyDescent="0.2">
      <c r="AF34399" s="12"/>
    </row>
    <row r="34400" spans="32:32" x14ac:dyDescent="0.2">
      <c r="AF34400" s="12"/>
    </row>
    <row r="34401" spans="32:32" x14ac:dyDescent="0.2">
      <c r="AF34401" s="12"/>
    </row>
    <row r="34402" spans="32:32" x14ac:dyDescent="0.2">
      <c r="AF34402" s="12"/>
    </row>
    <row r="34403" spans="32:32" x14ac:dyDescent="0.2">
      <c r="AF34403" s="12"/>
    </row>
    <row r="34404" spans="32:32" x14ac:dyDescent="0.2">
      <c r="AF34404" s="12"/>
    </row>
    <row r="34405" spans="32:32" x14ac:dyDescent="0.2">
      <c r="AF34405" s="12"/>
    </row>
    <row r="34406" spans="32:32" x14ac:dyDescent="0.2">
      <c r="AF34406" s="12"/>
    </row>
    <row r="34407" spans="32:32" x14ac:dyDescent="0.2">
      <c r="AF34407" s="12"/>
    </row>
    <row r="34408" spans="32:32" x14ac:dyDescent="0.2">
      <c r="AF34408" s="12"/>
    </row>
    <row r="34409" spans="32:32" x14ac:dyDescent="0.2">
      <c r="AF34409" s="12"/>
    </row>
    <row r="34410" spans="32:32" x14ac:dyDescent="0.2">
      <c r="AF34410" s="12"/>
    </row>
    <row r="34411" spans="32:32" x14ac:dyDescent="0.2">
      <c r="AF34411" s="12"/>
    </row>
    <row r="34412" spans="32:32" x14ac:dyDescent="0.2">
      <c r="AF34412" s="12"/>
    </row>
    <row r="34413" spans="32:32" x14ac:dyDescent="0.2">
      <c r="AF34413" s="12"/>
    </row>
    <row r="34414" spans="32:32" x14ac:dyDescent="0.2">
      <c r="AF34414" s="12"/>
    </row>
    <row r="34415" spans="32:32" x14ac:dyDescent="0.2">
      <c r="AF34415" s="12"/>
    </row>
    <row r="34416" spans="32:32" x14ac:dyDescent="0.2">
      <c r="AF34416" s="12"/>
    </row>
    <row r="34417" spans="32:32" x14ac:dyDescent="0.2">
      <c r="AF34417" s="12"/>
    </row>
    <row r="34418" spans="32:32" x14ac:dyDescent="0.2">
      <c r="AF34418" s="12"/>
    </row>
    <row r="34419" spans="32:32" x14ac:dyDescent="0.2">
      <c r="AF34419" s="12"/>
    </row>
    <row r="34420" spans="32:32" x14ac:dyDescent="0.2">
      <c r="AF34420" s="12"/>
    </row>
    <row r="34421" spans="32:32" x14ac:dyDescent="0.2">
      <c r="AF34421" s="12"/>
    </row>
    <row r="34422" spans="32:32" x14ac:dyDescent="0.2">
      <c r="AF34422" s="12"/>
    </row>
    <row r="34423" spans="32:32" x14ac:dyDescent="0.2">
      <c r="AF34423" s="12"/>
    </row>
    <row r="34424" spans="32:32" x14ac:dyDescent="0.2">
      <c r="AF34424" s="12"/>
    </row>
    <row r="34425" spans="32:32" x14ac:dyDescent="0.2">
      <c r="AF34425" s="12"/>
    </row>
    <row r="34426" spans="32:32" x14ac:dyDescent="0.2">
      <c r="AF34426" s="12"/>
    </row>
    <row r="34427" spans="32:32" x14ac:dyDescent="0.2">
      <c r="AF34427" s="12"/>
    </row>
    <row r="34428" spans="32:32" x14ac:dyDescent="0.2">
      <c r="AF34428" s="12"/>
    </row>
    <row r="34429" spans="32:32" x14ac:dyDescent="0.2">
      <c r="AF34429" s="12"/>
    </row>
    <row r="34430" spans="32:32" x14ac:dyDescent="0.2">
      <c r="AF34430" s="12"/>
    </row>
    <row r="34431" spans="32:32" x14ac:dyDescent="0.2">
      <c r="AF34431" s="12"/>
    </row>
    <row r="34432" spans="32:32" x14ac:dyDescent="0.2">
      <c r="AF34432" s="12"/>
    </row>
    <row r="34433" spans="32:32" x14ac:dyDescent="0.2">
      <c r="AF34433" s="12"/>
    </row>
    <row r="34434" spans="32:32" x14ac:dyDescent="0.2">
      <c r="AF34434" s="12"/>
    </row>
    <row r="34435" spans="32:32" x14ac:dyDescent="0.2">
      <c r="AF34435" s="12"/>
    </row>
    <row r="34436" spans="32:32" x14ac:dyDescent="0.2">
      <c r="AF34436" s="12"/>
    </row>
    <row r="34437" spans="32:32" x14ac:dyDescent="0.2">
      <c r="AF34437" s="12"/>
    </row>
    <row r="34438" spans="32:32" x14ac:dyDescent="0.2">
      <c r="AF34438" s="12"/>
    </row>
    <row r="34439" spans="32:32" x14ac:dyDescent="0.2">
      <c r="AF34439" s="12"/>
    </row>
    <row r="34440" spans="32:32" x14ac:dyDescent="0.2">
      <c r="AF34440" s="12"/>
    </row>
    <row r="34441" spans="32:32" x14ac:dyDescent="0.2">
      <c r="AF34441" s="12"/>
    </row>
    <row r="34442" spans="32:32" x14ac:dyDescent="0.2">
      <c r="AF34442" s="12"/>
    </row>
    <row r="34443" spans="32:32" x14ac:dyDescent="0.2">
      <c r="AF34443" s="12"/>
    </row>
    <row r="34444" spans="32:32" x14ac:dyDescent="0.2">
      <c r="AF34444" s="12"/>
    </row>
    <row r="34445" spans="32:32" x14ac:dyDescent="0.2">
      <c r="AF34445" s="12"/>
    </row>
    <row r="34446" spans="32:32" x14ac:dyDescent="0.2">
      <c r="AF34446" s="12"/>
    </row>
    <row r="34447" spans="32:32" x14ac:dyDescent="0.2">
      <c r="AF34447" s="12"/>
    </row>
    <row r="34448" spans="32:32" x14ac:dyDescent="0.2">
      <c r="AF34448" s="12"/>
    </row>
    <row r="34449" spans="32:32" x14ac:dyDescent="0.2">
      <c r="AF34449" s="12"/>
    </row>
    <row r="34450" spans="32:32" x14ac:dyDescent="0.2">
      <c r="AF34450" s="12"/>
    </row>
    <row r="34451" spans="32:32" x14ac:dyDescent="0.2">
      <c r="AF34451" s="12"/>
    </row>
    <row r="34452" spans="32:32" x14ac:dyDescent="0.2">
      <c r="AF34452" s="12"/>
    </row>
    <row r="34453" spans="32:32" x14ac:dyDescent="0.2">
      <c r="AF34453" s="12"/>
    </row>
    <row r="34454" spans="32:32" x14ac:dyDescent="0.2">
      <c r="AF34454" s="12"/>
    </row>
    <row r="34455" spans="32:32" x14ac:dyDescent="0.2">
      <c r="AF34455" s="12"/>
    </row>
    <row r="34456" spans="32:32" x14ac:dyDescent="0.2">
      <c r="AF34456" s="12"/>
    </row>
    <row r="34457" spans="32:32" x14ac:dyDescent="0.2">
      <c r="AF34457" s="12"/>
    </row>
    <row r="34458" spans="32:32" x14ac:dyDescent="0.2">
      <c r="AF34458" s="12"/>
    </row>
    <row r="34459" spans="32:32" x14ac:dyDescent="0.2">
      <c r="AF34459" s="12"/>
    </row>
    <row r="34460" spans="32:32" x14ac:dyDescent="0.2">
      <c r="AF34460" s="12"/>
    </row>
    <row r="34461" spans="32:32" x14ac:dyDescent="0.2">
      <c r="AF34461" s="12"/>
    </row>
    <row r="34462" spans="32:32" x14ac:dyDescent="0.2">
      <c r="AF34462" s="12"/>
    </row>
    <row r="34463" spans="32:32" x14ac:dyDescent="0.2">
      <c r="AF34463" s="12"/>
    </row>
    <row r="34464" spans="32:32" x14ac:dyDescent="0.2">
      <c r="AF34464" s="12"/>
    </row>
    <row r="34465" spans="32:32" x14ac:dyDescent="0.2">
      <c r="AF34465" s="12"/>
    </row>
    <row r="34466" spans="32:32" x14ac:dyDescent="0.2">
      <c r="AF34466" s="12"/>
    </row>
    <row r="34467" spans="32:32" x14ac:dyDescent="0.2">
      <c r="AF34467" s="12"/>
    </row>
    <row r="34468" spans="32:32" x14ac:dyDescent="0.2">
      <c r="AF34468" s="12"/>
    </row>
    <row r="34469" spans="32:32" x14ac:dyDescent="0.2">
      <c r="AF34469" s="12"/>
    </row>
    <row r="34470" spans="32:32" x14ac:dyDescent="0.2">
      <c r="AF34470" s="12"/>
    </row>
    <row r="34471" spans="32:32" x14ac:dyDescent="0.2">
      <c r="AF34471" s="12"/>
    </row>
    <row r="34472" spans="32:32" x14ac:dyDescent="0.2">
      <c r="AF34472" s="12"/>
    </row>
    <row r="34473" spans="32:32" x14ac:dyDescent="0.2">
      <c r="AF34473" s="12"/>
    </row>
    <row r="34474" spans="32:32" x14ac:dyDescent="0.2">
      <c r="AF34474" s="12"/>
    </row>
    <row r="34475" spans="32:32" x14ac:dyDescent="0.2">
      <c r="AF34475" s="12"/>
    </row>
    <row r="34476" spans="32:32" x14ac:dyDescent="0.2">
      <c r="AF34476" s="12"/>
    </row>
    <row r="34477" spans="32:32" x14ac:dyDescent="0.2">
      <c r="AF34477" s="12"/>
    </row>
    <row r="34478" spans="32:32" x14ac:dyDescent="0.2">
      <c r="AF34478" s="12"/>
    </row>
    <row r="34479" spans="32:32" x14ac:dyDescent="0.2">
      <c r="AF34479" s="12"/>
    </row>
    <row r="34480" spans="32:32" x14ac:dyDescent="0.2">
      <c r="AF34480" s="12"/>
    </row>
    <row r="34481" spans="32:32" x14ac:dyDescent="0.2">
      <c r="AF34481" s="12"/>
    </row>
    <row r="34482" spans="32:32" x14ac:dyDescent="0.2">
      <c r="AF34482" s="12"/>
    </row>
    <row r="34483" spans="32:32" x14ac:dyDescent="0.2">
      <c r="AF34483" s="12"/>
    </row>
    <row r="34484" spans="32:32" x14ac:dyDescent="0.2">
      <c r="AF34484" s="12"/>
    </row>
    <row r="34485" spans="32:32" x14ac:dyDescent="0.2">
      <c r="AF34485" s="12"/>
    </row>
    <row r="34486" spans="32:32" x14ac:dyDescent="0.2">
      <c r="AF34486" s="12"/>
    </row>
    <row r="34487" spans="32:32" x14ac:dyDescent="0.2">
      <c r="AF34487" s="12"/>
    </row>
    <row r="34488" spans="32:32" x14ac:dyDescent="0.2">
      <c r="AF34488" s="12"/>
    </row>
    <row r="34489" spans="32:32" x14ac:dyDescent="0.2">
      <c r="AF34489" s="12"/>
    </row>
    <row r="34490" spans="32:32" x14ac:dyDescent="0.2">
      <c r="AF34490" s="12"/>
    </row>
    <row r="34491" spans="32:32" x14ac:dyDescent="0.2">
      <c r="AF34491" s="12"/>
    </row>
    <row r="34492" spans="32:32" x14ac:dyDescent="0.2">
      <c r="AF34492" s="12"/>
    </row>
    <row r="34493" spans="32:32" x14ac:dyDescent="0.2">
      <c r="AF34493" s="12"/>
    </row>
    <row r="34494" spans="32:32" x14ac:dyDescent="0.2">
      <c r="AF34494" s="12"/>
    </row>
    <row r="34495" spans="32:32" x14ac:dyDescent="0.2">
      <c r="AF34495" s="12"/>
    </row>
    <row r="34496" spans="32:32" x14ac:dyDescent="0.2">
      <c r="AF34496" s="12"/>
    </row>
    <row r="34497" spans="32:32" x14ac:dyDescent="0.2">
      <c r="AF34497" s="12"/>
    </row>
    <row r="34498" spans="32:32" x14ac:dyDescent="0.2">
      <c r="AF34498" s="12"/>
    </row>
    <row r="34499" spans="32:32" x14ac:dyDescent="0.2">
      <c r="AF34499" s="12"/>
    </row>
    <row r="34500" spans="32:32" x14ac:dyDescent="0.2">
      <c r="AF34500" s="12"/>
    </row>
    <row r="34501" spans="32:32" x14ac:dyDescent="0.2">
      <c r="AF34501" s="12"/>
    </row>
    <row r="34502" spans="32:32" x14ac:dyDescent="0.2">
      <c r="AF34502" s="12"/>
    </row>
    <row r="34503" spans="32:32" x14ac:dyDescent="0.2">
      <c r="AF34503" s="12"/>
    </row>
    <row r="34504" spans="32:32" x14ac:dyDescent="0.2">
      <c r="AF34504" s="12"/>
    </row>
    <row r="34505" spans="32:32" x14ac:dyDescent="0.2">
      <c r="AF34505" s="12"/>
    </row>
    <row r="34506" spans="32:32" x14ac:dyDescent="0.2">
      <c r="AF34506" s="12"/>
    </row>
    <row r="34507" spans="32:32" x14ac:dyDescent="0.2">
      <c r="AF34507" s="12"/>
    </row>
    <row r="34508" spans="32:32" x14ac:dyDescent="0.2">
      <c r="AF34508" s="12"/>
    </row>
    <row r="34509" spans="32:32" x14ac:dyDescent="0.2">
      <c r="AF34509" s="12"/>
    </row>
    <row r="34510" spans="32:32" x14ac:dyDescent="0.2">
      <c r="AF34510" s="12"/>
    </row>
    <row r="34511" spans="32:32" x14ac:dyDescent="0.2">
      <c r="AF34511" s="12"/>
    </row>
    <row r="34512" spans="32:32" x14ac:dyDescent="0.2">
      <c r="AF34512" s="12"/>
    </row>
    <row r="34513" spans="32:32" x14ac:dyDescent="0.2">
      <c r="AF34513" s="12"/>
    </row>
    <row r="34514" spans="32:32" x14ac:dyDescent="0.2">
      <c r="AF34514" s="12"/>
    </row>
    <row r="34515" spans="32:32" x14ac:dyDescent="0.2">
      <c r="AF34515" s="12"/>
    </row>
    <row r="34516" spans="32:32" x14ac:dyDescent="0.2">
      <c r="AF34516" s="12"/>
    </row>
    <row r="34517" spans="32:32" x14ac:dyDescent="0.2">
      <c r="AF34517" s="12"/>
    </row>
    <row r="34518" spans="32:32" x14ac:dyDescent="0.2">
      <c r="AF34518" s="12"/>
    </row>
    <row r="34519" spans="32:32" x14ac:dyDescent="0.2">
      <c r="AF34519" s="12"/>
    </row>
    <row r="34520" spans="32:32" x14ac:dyDescent="0.2">
      <c r="AF34520" s="12"/>
    </row>
    <row r="34521" spans="32:32" x14ac:dyDescent="0.2">
      <c r="AF34521" s="12"/>
    </row>
    <row r="34522" spans="32:32" x14ac:dyDescent="0.2">
      <c r="AF34522" s="12"/>
    </row>
    <row r="34523" spans="32:32" x14ac:dyDescent="0.2">
      <c r="AF34523" s="12"/>
    </row>
    <row r="34524" spans="32:32" x14ac:dyDescent="0.2">
      <c r="AF34524" s="12"/>
    </row>
    <row r="34525" spans="32:32" x14ac:dyDescent="0.2">
      <c r="AF34525" s="12"/>
    </row>
    <row r="34526" spans="32:32" x14ac:dyDescent="0.2">
      <c r="AF34526" s="12"/>
    </row>
    <row r="34527" spans="32:32" x14ac:dyDescent="0.2">
      <c r="AF34527" s="12"/>
    </row>
    <row r="34528" spans="32:32" x14ac:dyDescent="0.2">
      <c r="AF34528" s="12"/>
    </row>
    <row r="34529" spans="32:32" x14ac:dyDescent="0.2">
      <c r="AF34529" s="12"/>
    </row>
    <row r="34530" spans="32:32" x14ac:dyDescent="0.2">
      <c r="AF34530" s="12"/>
    </row>
    <row r="34531" spans="32:32" x14ac:dyDescent="0.2">
      <c r="AF34531" s="12"/>
    </row>
    <row r="34532" spans="32:32" x14ac:dyDescent="0.2">
      <c r="AF34532" s="12"/>
    </row>
    <row r="34533" spans="32:32" x14ac:dyDescent="0.2">
      <c r="AF34533" s="12"/>
    </row>
    <row r="34534" spans="32:32" x14ac:dyDescent="0.2">
      <c r="AF34534" s="12"/>
    </row>
    <row r="34535" spans="32:32" x14ac:dyDescent="0.2">
      <c r="AF34535" s="12"/>
    </row>
    <row r="34536" spans="32:32" x14ac:dyDescent="0.2">
      <c r="AF34536" s="12"/>
    </row>
    <row r="34537" spans="32:32" x14ac:dyDescent="0.2">
      <c r="AF34537" s="12"/>
    </row>
    <row r="34538" spans="32:32" x14ac:dyDescent="0.2">
      <c r="AF34538" s="12"/>
    </row>
    <row r="34539" spans="32:32" x14ac:dyDescent="0.2">
      <c r="AF34539" s="12"/>
    </row>
    <row r="34540" spans="32:32" x14ac:dyDescent="0.2">
      <c r="AF34540" s="12"/>
    </row>
    <row r="34541" spans="32:32" x14ac:dyDescent="0.2">
      <c r="AF34541" s="12"/>
    </row>
    <row r="34542" spans="32:32" x14ac:dyDescent="0.2">
      <c r="AF34542" s="12"/>
    </row>
    <row r="34543" spans="32:32" x14ac:dyDescent="0.2">
      <c r="AF34543" s="12"/>
    </row>
    <row r="34544" spans="32:32" x14ac:dyDescent="0.2">
      <c r="AF34544" s="12"/>
    </row>
    <row r="34545" spans="32:32" x14ac:dyDescent="0.2">
      <c r="AF34545" s="12"/>
    </row>
    <row r="34546" spans="32:32" x14ac:dyDescent="0.2">
      <c r="AF34546" s="12"/>
    </row>
    <row r="34547" spans="32:32" x14ac:dyDescent="0.2">
      <c r="AF34547" s="12"/>
    </row>
    <row r="34548" spans="32:32" x14ac:dyDescent="0.2">
      <c r="AF34548" s="12"/>
    </row>
    <row r="34549" spans="32:32" x14ac:dyDescent="0.2">
      <c r="AF34549" s="12"/>
    </row>
    <row r="34550" spans="32:32" x14ac:dyDescent="0.2">
      <c r="AF34550" s="12"/>
    </row>
    <row r="34551" spans="32:32" x14ac:dyDescent="0.2">
      <c r="AF34551" s="12"/>
    </row>
    <row r="34552" spans="32:32" x14ac:dyDescent="0.2">
      <c r="AF34552" s="12"/>
    </row>
    <row r="34553" spans="32:32" x14ac:dyDescent="0.2">
      <c r="AF34553" s="12"/>
    </row>
    <row r="34554" spans="32:32" x14ac:dyDescent="0.2">
      <c r="AF34554" s="12"/>
    </row>
    <row r="34555" spans="32:32" x14ac:dyDescent="0.2">
      <c r="AF34555" s="12"/>
    </row>
    <row r="34556" spans="32:32" x14ac:dyDescent="0.2">
      <c r="AF34556" s="12"/>
    </row>
    <row r="34557" spans="32:32" x14ac:dyDescent="0.2">
      <c r="AF34557" s="12"/>
    </row>
    <row r="34558" spans="32:32" x14ac:dyDescent="0.2">
      <c r="AF34558" s="12"/>
    </row>
    <row r="34559" spans="32:32" x14ac:dyDescent="0.2">
      <c r="AF34559" s="12"/>
    </row>
    <row r="34560" spans="32:32" x14ac:dyDescent="0.2">
      <c r="AF34560" s="12"/>
    </row>
    <row r="34561" spans="32:32" x14ac:dyDescent="0.2">
      <c r="AF34561" s="12"/>
    </row>
    <row r="34562" spans="32:32" x14ac:dyDescent="0.2">
      <c r="AF34562" s="12"/>
    </row>
    <row r="34563" spans="32:32" x14ac:dyDescent="0.2">
      <c r="AF34563" s="12"/>
    </row>
    <row r="34564" spans="32:32" x14ac:dyDescent="0.2">
      <c r="AF34564" s="12"/>
    </row>
    <row r="34565" spans="32:32" x14ac:dyDescent="0.2">
      <c r="AF34565" s="12"/>
    </row>
    <row r="34566" spans="32:32" x14ac:dyDescent="0.2">
      <c r="AF34566" s="12"/>
    </row>
    <row r="34567" spans="32:32" x14ac:dyDescent="0.2">
      <c r="AF34567" s="12"/>
    </row>
    <row r="34568" spans="32:32" x14ac:dyDescent="0.2">
      <c r="AF34568" s="12"/>
    </row>
    <row r="34569" spans="32:32" x14ac:dyDescent="0.2">
      <c r="AF34569" s="12"/>
    </row>
    <row r="34570" spans="32:32" x14ac:dyDescent="0.2">
      <c r="AF34570" s="12"/>
    </row>
    <row r="34571" spans="32:32" x14ac:dyDescent="0.2">
      <c r="AF34571" s="12"/>
    </row>
    <row r="34572" spans="32:32" x14ac:dyDescent="0.2">
      <c r="AF34572" s="12"/>
    </row>
    <row r="34573" spans="32:32" x14ac:dyDescent="0.2">
      <c r="AF34573" s="12"/>
    </row>
    <row r="34574" spans="32:32" x14ac:dyDescent="0.2">
      <c r="AF34574" s="12"/>
    </row>
    <row r="34575" spans="32:32" x14ac:dyDescent="0.2">
      <c r="AF34575" s="12"/>
    </row>
    <row r="34576" spans="32:32" x14ac:dyDescent="0.2">
      <c r="AF34576" s="12"/>
    </row>
    <row r="34577" spans="32:32" x14ac:dyDescent="0.2">
      <c r="AF34577" s="12"/>
    </row>
    <row r="34578" spans="32:32" x14ac:dyDescent="0.2">
      <c r="AF34578" s="12"/>
    </row>
    <row r="34579" spans="32:32" x14ac:dyDescent="0.2">
      <c r="AF34579" s="12"/>
    </row>
    <row r="34580" spans="32:32" x14ac:dyDescent="0.2">
      <c r="AF34580" s="12"/>
    </row>
    <row r="34581" spans="32:32" x14ac:dyDescent="0.2">
      <c r="AF34581" s="12"/>
    </row>
    <row r="34582" spans="32:32" x14ac:dyDescent="0.2">
      <c r="AF34582" s="12"/>
    </row>
    <row r="34583" spans="32:32" x14ac:dyDescent="0.2">
      <c r="AF34583" s="12"/>
    </row>
    <row r="34584" spans="32:32" x14ac:dyDescent="0.2">
      <c r="AF34584" s="12"/>
    </row>
    <row r="34585" spans="32:32" x14ac:dyDescent="0.2">
      <c r="AF34585" s="12"/>
    </row>
    <row r="34586" spans="32:32" x14ac:dyDescent="0.2">
      <c r="AF34586" s="12"/>
    </row>
    <row r="34587" spans="32:32" x14ac:dyDescent="0.2">
      <c r="AF34587" s="12"/>
    </row>
    <row r="34588" spans="32:32" x14ac:dyDescent="0.2">
      <c r="AF34588" s="12"/>
    </row>
    <row r="34589" spans="32:32" x14ac:dyDescent="0.2">
      <c r="AF34589" s="12"/>
    </row>
    <row r="34590" spans="32:32" x14ac:dyDescent="0.2">
      <c r="AF34590" s="12"/>
    </row>
    <row r="34591" spans="32:32" x14ac:dyDescent="0.2">
      <c r="AF34591" s="12"/>
    </row>
    <row r="34592" spans="32:32" x14ac:dyDescent="0.2">
      <c r="AF34592" s="12"/>
    </row>
    <row r="34593" spans="32:32" x14ac:dyDescent="0.2">
      <c r="AF34593" s="12"/>
    </row>
    <row r="34594" spans="32:32" x14ac:dyDescent="0.2">
      <c r="AF34594" s="12"/>
    </row>
    <row r="34595" spans="32:32" x14ac:dyDescent="0.2">
      <c r="AF34595" s="12"/>
    </row>
    <row r="34596" spans="32:32" x14ac:dyDescent="0.2">
      <c r="AF34596" s="12"/>
    </row>
    <row r="34597" spans="32:32" x14ac:dyDescent="0.2">
      <c r="AF34597" s="12"/>
    </row>
    <row r="34598" spans="32:32" x14ac:dyDescent="0.2">
      <c r="AF34598" s="12"/>
    </row>
    <row r="34599" spans="32:32" x14ac:dyDescent="0.2">
      <c r="AF34599" s="12"/>
    </row>
    <row r="34600" spans="32:32" x14ac:dyDescent="0.2">
      <c r="AF34600" s="12"/>
    </row>
    <row r="34601" spans="32:32" x14ac:dyDescent="0.2">
      <c r="AF34601" s="12"/>
    </row>
    <row r="34602" spans="32:32" x14ac:dyDescent="0.2">
      <c r="AF34602" s="12"/>
    </row>
    <row r="34603" spans="32:32" x14ac:dyDescent="0.2">
      <c r="AF34603" s="12"/>
    </row>
    <row r="34604" spans="32:32" x14ac:dyDescent="0.2">
      <c r="AF34604" s="12"/>
    </row>
    <row r="34605" spans="32:32" x14ac:dyDescent="0.2">
      <c r="AF34605" s="12"/>
    </row>
    <row r="34606" spans="32:32" x14ac:dyDescent="0.2">
      <c r="AF34606" s="12"/>
    </row>
    <row r="34607" spans="32:32" x14ac:dyDescent="0.2">
      <c r="AF34607" s="12"/>
    </row>
    <row r="34608" spans="32:32" x14ac:dyDescent="0.2">
      <c r="AF34608" s="12"/>
    </row>
    <row r="34609" spans="32:32" x14ac:dyDescent="0.2">
      <c r="AF34609" s="12"/>
    </row>
    <row r="34610" spans="32:32" x14ac:dyDescent="0.2">
      <c r="AF34610" s="12"/>
    </row>
    <row r="34611" spans="32:32" x14ac:dyDescent="0.2">
      <c r="AF34611" s="12"/>
    </row>
    <row r="34612" spans="32:32" x14ac:dyDescent="0.2">
      <c r="AF34612" s="12"/>
    </row>
    <row r="34613" spans="32:32" x14ac:dyDescent="0.2">
      <c r="AF34613" s="12"/>
    </row>
    <row r="34614" spans="32:32" x14ac:dyDescent="0.2">
      <c r="AF34614" s="12"/>
    </row>
    <row r="34615" spans="32:32" x14ac:dyDescent="0.2">
      <c r="AF34615" s="12"/>
    </row>
    <row r="34616" spans="32:32" x14ac:dyDescent="0.2">
      <c r="AF34616" s="12"/>
    </row>
    <row r="34617" spans="32:32" x14ac:dyDescent="0.2">
      <c r="AF34617" s="12"/>
    </row>
    <row r="34618" spans="32:32" x14ac:dyDescent="0.2">
      <c r="AF34618" s="12"/>
    </row>
    <row r="34619" spans="32:32" x14ac:dyDescent="0.2">
      <c r="AF34619" s="12"/>
    </row>
    <row r="34620" spans="32:32" x14ac:dyDescent="0.2">
      <c r="AF34620" s="12"/>
    </row>
    <row r="34621" spans="32:32" x14ac:dyDescent="0.2">
      <c r="AF34621" s="12"/>
    </row>
    <row r="34622" spans="32:32" x14ac:dyDescent="0.2">
      <c r="AF34622" s="12"/>
    </row>
    <row r="34623" spans="32:32" x14ac:dyDescent="0.2">
      <c r="AF34623" s="12"/>
    </row>
    <row r="34624" spans="32:32" x14ac:dyDescent="0.2">
      <c r="AF34624" s="12"/>
    </row>
    <row r="34625" spans="32:32" x14ac:dyDescent="0.2">
      <c r="AF34625" s="12"/>
    </row>
    <row r="34626" spans="32:32" x14ac:dyDescent="0.2">
      <c r="AF34626" s="12"/>
    </row>
    <row r="34627" spans="32:32" x14ac:dyDescent="0.2">
      <c r="AF34627" s="12"/>
    </row>
    <row r="34628" spans="32:32" x14ac:dyDescent="0.2">
      <c r="AF34628" s="12"/>
    </row>
    <row r="34629" spans="32:32" x14ac:dyDescent="0.2">
      <c r="AF34629" s="12"/>
    </row>
    <row r="34630" spans="32:32" x14ac:dyDescent="0.2">
      <c r="AF34630" s="12"/>
    </row>
    <row r="34631" spans="32:32" x14ac:dyDescent="0.2">
      <c r="AF34631" s="12"/>
    </row>
    <row r="34632" spans="32:32" x14ac:dyDescent="0.2">
      <c r="AF34632" s="12"/>
    </row>
    <row r="34633" spans="32:32" x14ac:dyDescent="0.2">
      <c r="AF34633" s="12"/>
    </row>
    <row r="34634" spans="32:32" x14ac:dyDescent="0.2">
      <c r="AF34634" s="12"/>
    </row>
    <row r="34635" spans="32:32" x14ac:dyDescent="0.2">
      <c r="AF34635" s="12"/>
    </row>
    <row r="34636" spans="32:32" x14ac:dyDescent="0.2">
      <c r="AF34636" s="12"/>
    </row>
    <row r="34637" spans="32:32" x14ac:dyDescent="0.2">
      <c r="AF34637" s="12"/>
    </row>
    <row r="34638" spans="32:32" x14ac:dyDescent="0.2">
      <c r="AF34638" s="12"/>
    </row>
    <row r="34639" spans="32:32" x14ac:dyDescent="0.2">
      <c r="AF34639" s="12"/>
    </row>
    <row r="34640" spans="32:32" x14ac:dyDescent="0.2">
      <c r="AF34640" s="12"/>
    </row>
    <row r="34641" spans="32:32" x14ac:dyDescent="0.2">
      <c r="AF34641" s="12"/>
    </row>
    <row r="34642" spans="32:32" x14ac:dyDescent="0.2">
      <c r="AF34642" s="12"/>
    </row>
    <row r="34643" spans="32:32" x14ac:dyDescent="0.2">
      <c r="AF34643" s="12"/>
    </row>
    <row r="34644" spans="32:32" x14ac:dyDescent="0.2">
      <c r="AF34644" s="12"/>
    </row>
    <row r="34645" spans="32:32" x14ac:dyDescent="0.2">
      <c r="AF34645" s="12"/>
    </row>
    <row r="34646" spans="32:32" x14ac:dyDescent="0.2">
      <c r="AF34646" s="12"/>
    </row>
    <row r="34647" spans="32:32" x14ac:dyDescent="0.2">
      <c r="AF34647" s="12"/>
    </row>
    <row r="34648" spans="32:32" x14ac:dyDescent="0.2">
      <c r="AF34648" s="12"/>
    </row>
    <row r="34649" spans="32:32" x14ac:dyDescent="0.2">
      <c r="AF34649" s="12"/>
    </row>
    <row r="34650" spans="32:32" x14ac:dyDescent="0.2">
      <c r="AF34650" s="12"/>
    </row>
    <row r="34651" spans="32:32" x14ac:dyDescent="0.2">
      <c r="AF34651" s="12"/>
    </row>
    <row r="34652" spans="32:32" x14ac:dyDescent="0.2">
      <c r="AF34652" s="12"/>
    </row>
    <row r="34653" spans="32:32" x14ac:dyDescent="0.2">
      <c r="AF34653" s="12"/>
    </row>
    <row r="34654" spans="32:32" x14ac:dyDescent="0.2">
      <c r="AF34654" s="12"/>
    </row>
    <row r="34655" spans="32:32" x14ac:dyDescent="0.2">
      <c r="AF34655" s="12"/>
    </row>
    <row r="34656" spans="32:32" x14ac:dyDescent="0.2">
      <c r="AF34656" s="12"/>
    </row>
    <row r="34657" spans="32:32" x14ac:dyDescent="0.2">
      <c r="AF34657" s="12"/>
    </row>
    <row r="34658" spans="32:32" x14ac:dyDescent="0.2">
      <c r="AF34658" s="12"/>
    </row>
    <row r="34659" spans="32:32" x14ac:dyDescent="0.2">
      <c r="AF34659" s="12"/>
    </row>
    <row r="34660" spans="32:32" x14ac:dyDescent="0.2">
      <c r="AF34660" s="12"/>
    </row>
    <row r="34661" spans="32:32" x14ac:dyDescent="0.2">
      <c r="AF34661" s="12"/>
    </row>
    <row r="34662" spans="32:32" x14ac:dyDescent="0.2">
      <c r="AF34662" s="12"/>
    </row>
    <row r="34663" spans="32:32" x14ac:dyDescent="0.2">
      <c r="AF34663" s="12"/>
    </row>
    <row r="34664" spans="32:32" x14ac:dyDescent="0.2">
      <c r="AF34664" s="12"/>
    </row>
    <row r="34665" spans="32:32" x14ac:dyDescent="0.2">
      <c r="AF34665" s="12"/>
    </row>
    <row r="34666" spans="32:32" x14ac:dyDescent="0.2">
      <c r="AF34666" s="12"/>
    </row>
    <row r="34667" spans="32:32" x14ac:dyDescent="0.2">
      <c r="AF34667" s="12"/>
    </row>
    <row r="34668" spans="32:32" x14ac:dyDescent="0.2">
      <c r="AF34668" s="12"/>
    </row>
    <row r="34669" spans="32:32" x14ac:dyDescent="0.2">
      <c r="AF34669" s="12"/>
    </row>
    <row r="34670" spans="32:32" x14ac:dyDescent="0.2">
      <c r="AF34670" s="12"/>
    </row>
    <row r="34671" spans="32:32" x14ac:dyDescent="0.2">
      <c r="AF34671" s="12"/>
    </row>
    <row r="34672" spans="32:32" x14ac:dyDescent="0.2">
      <c r="AF34672" s="12"/>
    </row>
    <row r="34673" spans="32:32" x14ac:dyDescent="0.2">
      <c r="AF34673" s="12"/>
    </row>
    <row r="34674" spans="32:32" x14ac:dyDescent="0.2">
      <c r="AF34674" s="12"/>
    </row>
    <row r="34675" spans="32:32" x14ac:dyDescent="0.2">
      <c r="AF34675" s="12"/>
    </row>
    <row r="34676" spans="32:32" x14ac:dyDescent="0.2">
      <c r="AF34676" s="12"/>
    </row>
    <row r="34677" spans="32:32" x14ac:dyDescent="0.2">
      <c r="AF34677" s="12"/>
    </row>
    <row r="34678" spans="32:32" x14ac:dyDescent="0.2">
      <c r="AF34678" s="12"/>
    </row>
    <row r="34679" spans="32:32" x14ac:dyDescent="0.2">
      <c r="AF34679" s="12"/>
    </row>
    <row r="34680" spans="32:32" x14ac:dyDescent="0.2">
      <c r="AF34680" s="12"/>
    </row>
    <row r="34681" spans="32:32" x14ac:dyDescent="0.2">
      <c r="AF34681" s="12"/>
    </row>
    <row r="34682" spans="32:32" x14ac:dyDescent="0.2">
      <c r="AF34682" s="12"/>
    </row>
    <row r="34683" spans="32:32" x14ac:dyDescent="0.2">
      <c r="AF34683" s="12"/>
    </row>
    <row r="34684" spans="32:32" x14ac:dyDescent="0.2">
      <c r="AF34684" s="12"/>
    </row>
    <row r="34685" spans="32:32" x14ac:dyDescent="0.2">
      <c r="AF34685" s="12"/>
    </row>
    <row r="34686" spans="32:32" x14ac:dyDescent="0.2">
      <c r="AF34686" s="12"/>
    </row>
    <row r="34687" spans="32:32" x14ac:dyDescent="0.2">
      <c r="AF34687" s="12"/>
    </row>
    <row r="34688" spans="32:32" x14ac:dyDescent="0.2">
      <c r="AF34688" s="12"/>
    </row>
    <row r="34689" spans="32:32" x14ac:dyDescent="0.2">
      <c r="AF34689" s="12"/>
    </row>
    <row r="34690" spans="32:32" x14ac:dyDescent="0.2">
      <c r="AF34690" s="12"/>
    </row>
    <row r="34691" spans="32:32" x14ac:dyDescent="0.2">
      <c r="AF34691" s="12"/>
    </row>
    <row r="34692" spans="32:32" x14ac:dyDescent="0.2">
      <c r="AF34692" s="12"/>
    </row>
    <row r="34693" spans="32:32" x14ac:dyDescent="0.2">
      <c r="AF34693" s="12"/>
    </row>
    <row r="34694" spans="32:32" x14ac:dyDescent="0.2">
      <c r="AF34694" s="12"/>
    </row>
    <row r="34695" spans="32:32" x14ac:dyDescent="0.2">
      <c r="AF34695" s="12"/>
    </row>
    <row r="34696" spans="32:32" x14ac:dyDescent="0.2">
      <c r="AF34696" s="12"/>
    </row>
    <row r="34697" spans="32:32" x14ac:dyDescent="0.2">
      <c r="AF34697" s="12"/>
    </row>
    <row r="34698" spans="32:32" x14ac:dyDescent="0.2">
      <c r="AF34698" s="12"/>
    </row>
    <row r="34699" spans="32:32" x14ac:dyDescent="0.2">
      <c r="AF34699" s="12"/>
    </row>
    <row r="34700" spans="32:32" x14ac:dyDescent="0.2">
      <c r="AF34700" s="12"/>
    </row>
    <row r="34701" spans="32:32" x14ac:dyDescent="0.2">
      <c r="AF34701" s="12"/>
    </row>
    <row r="34702" spans="32:32" x14ac:dyDescent="0.2">
      <c r="AF34702" s="12"/>
    </row>
    <row r="34703" spans="32:32" x14ac:dyDescent="0.2">
      <c r="AF34703" s="12"/>
    </row>
    <row r="34704" spans="32:32" x14ac:dyDescent="0.2">
      <c r="AF34704" s="12"/>
    </row>
    <row r="34705" spans="32:32" x14ac:dyDescent="0.2">
      <c r="AF34705" s="12"/>
    </row>
    <row r="34706" spans="32:32" x14ac:dyDescent="0.2">
      <c r="AF34706" s="12"/>
    </row>
    <row r="34707" spans="32:32" x14ac:dyDescent="0.2">
      <c r="AF34707" s="12"/>
    </row>
    <row r="34708" spans="32:32" x14ac:dyDescent="0.2">
      <c r="AF34708" s="12"/>
    </row>
    <row r="34709" spans="32:32" x14ac:dyDescent="0.2">
      <c r="AF34709" s="12"/>
    </row>
    <row r="34710" spans="32:32" x14ac:dyDescent="0.2">
      <c r="AF34710" s="12"/>
    </row>
    <row r="34711" spans="32:32" x14ac:dyDescent="0.2">
      <c r="AF34711" s="12"/>
    </row>
    <row r="34712" spans="32:32" x14ac:dyDescent="0.2">
      <c r="AF34712" s="12"/>
    </row>
    <row r="34713" spans="32:32" x14ac:dyDescent="0.2">
      <c r="AF34713" s="12"/>
    </row>
    <row r="34714" spans="32:32" x14ac:dyDescent="0.2">
      <c r="AF34714" s="12"/>
    </row>
    <row r="34715" spans="32:32" x14ac:dyDescent="0.2">
      <c r="AF34715" s="12"/>
    </row>
    <row r="34716" spans="32:32" x14ac:dyDescent="0.2">
      <c r="AF34716" s="12"/>
    </row>
    <row r="34717" spans="32:32" x14ac:dyDescent="0.2">
      <c r="AF34717" s="12"/>
    </row>
    <row r="34718" spans="32:32" x14ac:dyDescent="0.2">
      <c r="AF34718" s="12"/>
    </row>
    <row r="34719" spans="32:32" x14ac:dyDescent="0.2">
      <c r="AF34719" s="12"/>
    </row>
    <row r="34720" spans="32:32" x14ac:dyDescent="0.2">
      <c r="AF34720" s="12"/>
    </row>
    <row r="34721" spans="32:32" x14ac:dyDescent="0.2">
      <c r="AF34721" s="12"/>
    </row>
    <row r="34722" spans="32:32" x14ac:dyDescent="0.2">
      <c r="AF34722" s="12"/>
    </row>
    <row r="34723" spans="32:32" x14ac:dyDescent="0.2">
      <c r="AF34723" s="12"/>
    </row>
    <row r="34724" spans="32:32" x14ac:dyDescent="0.2">
      <c r="AF34724" s="12"/>
    </row>
    <row r="34725" spans="32:32" x14ac:dyDescent="0.2">
      <c r="AF34725" s="12"/>
    </row>
    <row r="34726" spans="32:32" x14ac:dyDescent="0.2">
      <c r="AF34726" s="12"/>
    </row>
    <row r="34727" spans="32:32" x14ac:dyDescent="0.2">
      <c r="AF34727" s="12"/>
    </row>
    <row r="34728" spans="32:32" x14ac:dyDescent="0.2">
      <c r="AF34728" s="12"/>
    </row>
    <row r="34729" spans="32:32" x14ac:dyDescent="0.2">
      <c r="AF34729" s="12"/>
    </row>
    <row r="34730" spans="32:32" x14ac:dyDescent="0.2">
      <c r="AF34730" s="12"/>
    </row>
    <row r="34731" spans="32:32" x14ac:dyDescent="0.2">
      <c r="AF34731" s="12"/>
    </row>
    <row r="34732" spans="32:32" x14ac:dyDescent="0.2">
      <c r="AF34732" s="12"/>
    </row>
    <row r="34733" spans="32:32" x14ac:dyDescent="0.2">
      <c r="AF34733" s="12"/>
    </row>
    <row r="34734" spans="32:32" x14ac:dyDescent="0.2">
      <c r="AF34734" s="12"/>
    </row>
    <row r="34735" spans="32:32" x14ac:dyDescent="0.2">
      <c r="AF34735" s="12"/>
    </row>
    <row r="34736" spans="32:32" x14ac:dyDescent="0.2">
      <c r="AF34736" s="12"/>
    </row>
    <row r="34737" spans="32:32" x14ac:dyDescent="0.2">
      <c r="AF34737" s="12"/>
    </row>
    <row r="34738" spans="32:32" x14ac:dyDescent="0.2">
      <c r="AF34738" s="12"/>
    </row>
    <row r="34739" spans="32:32" x14ac:dyDescent="0.2">
      <c r="AF34739" s="12"/>
    </row>
    <row r="34740" spans="32:32" x14ac:dyDescent="0.2">
      <c r="AF34740" s="12"/>
    </row>
    <row r="34741" spans="32:32" x14ac:dyDescent="0.2">
      <c r="AF34741" s="12"/>
    </row>
    <row r="34742" spans="32:32" x14ac:dyDescent="0.2">
      <c r="AF34742" s="12"/>
    </row>
    <row r="34743" spans="32:32" x14ac:dyDescent="0.2">
      <c r="AF34743" s="12"/>
    </row>
    <row r="34744" spans="32:32" x14ac:dyDescent="0.2">
      <c r="AF34744" s="12"/>
    </row>
    <row r="34745" spans="32:32" x14ac:dyDescent="0.2">
      <c r="AF34745" s="12"/>
    </row>
    <row r="34746" spans="32:32" x14ac:dyDescent="0.2">
      <c r="AF34746" s="12"/>
    </row>
    <row r="34747" spans="32:32" x14ac:dyDescent="0.2">
      <c r="AF34747" s="12"/>
    </row>
    <row r="34748" spans="32:32" x14ac:dyDescent="0.2">
      <c r="AF34748" s="12"/>
    </row>
    <row r="34749" spans="32:32" x14ac:dyDescent="0.2">
      <c r="AF34749" s="12"/>
    </row>
    <row r="34750" spans="32:32" x14ac:dyDescent="0.2">
      <c r="AF34750" s="12"/>
    </row>
    <row r="34751" spans="32:32" x14ac:dyDescent="0.2">
      <c r="AF34751" s="12"/>
    </row>
    <row r="34752" spans="32:32" x14ac:dyDescent="0.2">
      <c r="AF34752" s="12"/>
    </row>
    <row r="34753" spans="32:32" x14ac:dyDescent="0.2">
      <c r="AF34753" s="12"/>
    </row>
    <row r="34754" spans="32:32" x14ac:dyDescent="0.2">
      <c r="AF34754" s="12"/>
    </row>
    <row r="34755" spans="32:32" x14ac:dyDescent="0.2">
      <c r="AF34755" s="12"/>
    </row>
    <row r="34756" spans="32:32" x14ac:dyDescent="0.2">
      <c r="AF34756" s="12"/>
    </row>
    <row r="34757" spans="32:32" x14ac:dyDescent="0.2">
      <c r="AF34757" s="12"/>
    </row>
    <row r="34758" spans="32:32" x14ac:dyDescent="0.2">
      <c r="AF34758" s="12"/>
    </row>
    <row r="34759" spans="32:32" x14ac:dyDescent="0.2">
      <c r="AF34759" s="12"/>
    </row>
    <row r="34760" spans="32:32" x14ac:dyDescent="0.2">
      <c r="AF34760" s="12"/>
    </row>
    <row r="34761" spans="32:32" x14ac:dyDescent="0.2">
      <c r="AF34761" s="12"/>
    </row>
    <row r="34762" spans="32:32" x14ac:dyDescent="0.2">
      <c r="AF34762" s="12"/>
    </row>
    <row r="34763" spans="32:32" x14ac:dyDescent="0.2">
      <c r="AF34763" s="12"/>
    </row>
    <row r="34764" spans="32:32" x14ac:dyDescent="0.2">
      <c r="AF34764" s="12"/>
    </row>
    <row r="34765" spans="32:32" x14ac:dyDescent="0.2">
      <c r="AF34765" s="12"/>
    </row>
    <row r="34766" spans="32:32" x14ac:dyDescent="0.2">
      <c r="AF34766" s="12"/>
    </row>
    <row r="34767" spans="32:32" x14ac:dyDescent="0.2">
      <c r="AF34767" s="12"/>
    </row>
    <row r="34768" spans="32:32" x14ac:dyDescent="0.2">
      <c r="AF34768" s="12"/>
    </row>
    <row r="34769" spans="32:32" x14ac:dyDescent="0.2">
      <c r="AF34769" s="12"/>
    </row>
    <row r="34770" spans="32:32" x14ac:dyDescent="0.2">
      <c r="AF34770" s="12"/>
    </row>
    <row r="34771" spans="32:32" x14ac:dyDescent="0.2">
      <c r="AF34771" s="12"/>
    </row>
    <row r="34772" spans="32:32" x14ac:dyDescent="0.2">
      <c r="AF34772" s="12"/>
    </row>
    <row r="34773" spans="32:32" x14ac:dyDescent="0.2">
      <c r="AF34773" s="12"/>
    </row>
    <row r="34774" spans="32:32" x14ac:dyDescent="0.2">
      <c r="AF34774" s="12"/>
    </row>
    <row r="34775" spans="32:32" x14ac:dyDescent="0.2">
      <c r="AF34775" s="12"/>
    </row>
    <row r="34776" spans="32:32" x14ac:dyDescent="0.2">
      <c r="AF34776" s="12"/>
    </row>
    <row r="34777" spans="32:32" x14ac:dyDescent="0.2">
      <c r="AF34777" s="12"/>
    </row>
    <row r="34778" spans="32:32" x14ac:dyDescent="0.2">
      <c r="AF34778" s="12"/>
    </row>
    <row r="34779" spans="32:32" x14ac:dyDescent="0.2">
      <c r="AF34779" s="12"/>
    </row>
    <row r="34780" spans="32:32" x14ac:dyDescent="0.2">
      <c r="AF34780" s="12"/>
    </row>
    <row r="34781" spans="32:32" x14ac:dyDescent="0.2">
      <c r="AF34781" s="12"/>
    </row>
    <row r="34782" spans="32:32" x14ac:dyDescent="0.2">
      <c r="AF34782" s="12"/>
    </row>
    <row r="34783" spans="32:32" x14ac:dyDescent="0.2">
      <c r="AF34783" s="12"/>
    </row>
    <row r="34784" spans="32:32" x14ac:dyDescent="0.2">
      <c r="AF34784" s="12"/>
    </row>
    <row r="34785" spans="32:32" x14ac:dyDescent="0.2">
      <c r="AF34785" s="12"/>
    </row>
    <row r="34786" spans="32:32" x14ac:dyDescent="0.2">
      <c r="AF34786" s="12"/>
    </row>
    <row r="34787" spans="32:32" x14ac:dyDescent="0.2">
      <c r="AF34787" s="12"/>
    </row>
    <row r="34788" spans="32:32" x14ac:dyDescent="0.2">
      <c r="AF34788" s="12"/>
    </row>
    <row r="34789" spans="32:32" x14ac:dyDescent="0.2">
      <c r="AF34789" s="12"/>
    </row>
    <row r="34790" spans="32:32" x14ac:dyDescent="0.2">
      <c r="AF34790" s="12"/>
    </row>
    <row r="34791" spans="32:32" x14ac:dyDescent="0.2">
      <c r="AF34791" s="12"/>
    </row>
    <row r="34792" spans="32:32" x14ac:dyDescent="0.2">
      <c r="AF34792" s="12"/>
    </row>
    <row r="34793" spans="32:32" x14ac:dyDescent="0.2">
      <c r="AF34793" s="12"/>
    </row>
    <row r="34794" spans="32:32" x14ac:dyDescent="0.2">
      <c r="AF34794" s="12"/>
    </row>
    <row r="34795" spans="32:32" x14ac:dyDescent="0.2">
      <c r="AF34795" s="12"/>
    </row>
    <row r="34796" spans="32:32" x14ac:dyDescent="0.2">
      <c r="AF34796" s="12"/>
    </row>
    <row r="34797" spans="32:32" x14ac:dyDescent="0.2">
      <c r="AF34797" s="12"/>
    </row>
    <row r="34798" spans="32:32" x14ac:dyDescent="0.2">
      <c r="AF34798" s="12"/>
    </row>
    <row r="34799" spans="32:32" x14ac:dyDescent="0.2">
      <c r="AF34799" s="12"/>
    </row>
    <row r="34800" spans="32:32" x14ac:dyDescent="0.2">
      <c r="AF34800" s="12"/>
    </row>
    <row r="34801" spans="32:32" x14ac:dyDescent="0.2">
      <c r="AF34801" s="12"/>
    </row>
    <row r="34802" spans="32:32" x14ac:dyDescent="0.2">
      <c r="AF34802" s="12"/>
    </row>
    <row r="34803" spans="32:32" x14ac:dyDescent="0.2">
      <c r="AF34803" s="12"/>
    </row>
    <row r="34804" spans="32:32" x14ac:dyDescent="0.2">
      <c r="AF34804" s="12"/>
    </row>
    <row r="34805" spans="32:32" x14ac:dyDescent="0.2">
      <c r="AF34805" s="12"/>
    </row>
    <row r="34806" spans="32:32" x14ac:dyDescent="0.2">
      <c r="AF34806" s="12"/>
    </row>
    <row r="34807" spans="32:32" x14ac:dyDescent="0.2">
      <c r="AF34807" s="12"/>
    </row>
    <row r="34808" spans="32:32" x14ac:dyDescent="0.2">
      <c r="AF34808" s="12"/>
    </row>
    <row r="34809" spans="32:32" x14ac:dyDescent="0.2">
      <c r="AF34809" s="12"/>
    </row>
    <row r="34810" spans="32:32" x14ac:dyDescent="0.2">
      <c r="AF34810" s="12"/>
    </row>
    <row r="34811" spans="32:32" x14ac:dyDescent="0.2">
      <c r="AF34811" s="12"/>
    </row>
    <row r="34812" spans="32:32" x14ac:dyDescent="0.2">
      <c r="AF34812" s="12"/>
    </row>
    <row r="34813" spans="32:32" x14ac:dyDescent="0.2">
      <c r="AF34813" s="12"/>
    </row>
    <row r="34814" spans="32:32" x14ac:dyDescent="0.2">
      <c r="AF34814" s="12"/>
    </row>
    <row r="34815" spans="32:32" x14ac:dyDescent="0.2">
      <c r="AF34815" s="12"/>
    </row>
    <row r="34816" spans="32:32" x14ac:dyDescent="0.2">
      <c r="AF34816" s="12"/>
    </row>
    <row r="34817" spans="32:32" x14ac:dyDescent="0.2">
      <c r="AF34817" s="12"/>
    </row>
    <row r="34818" spans="32:32" x14ac:dyDescent="0.2">
      <c r="AF34818" s="12"/>
    </row>
    <row r="34819" spans="32:32" x14ac:dyDescent="0.2">
      <c r="AF34819" s="12"/>
    </row>
    <row r="34820" spans="32:32" x14ac:dyDescent="0.2">
      <c r="AF34820" s="12"/>
    </row>
    <row r="34821" spans="32:32" x14ac:dyDescent="0.2">
      <c r="AF34821" s="12"/>
    </row>
    <row r="34822" spans="32:32" x14ac:dyDescent="0.2">
      <c r="AF34822" s="12"/>
    </row>
    <row r="34823" spans="32:32" x14ac:dyDescent="0.2">
      <c r="AF34823" s="12"/>
    </row>
    <row r="34824" spans="32:32" x14ac:dyDescent="0.2">
      <c r="AF34824" s="12"/>
    </row>
    <row r="34825" spans="32:32" x14ac:dyDescent="0.2">
      <c r="AF34825" s="12"/>
    </row>
    <row r="34826" spans="32:32" x14ac:dyDescent="0.2">
      <c r="AF34826" s="12"/>
    </row>
    <row r="34827" spans="32:32" x14ac:dyDescent="0.2">
      <c r="AF34827" s="12"/>
    </row>
    <row r="34828" spans="32:32" x14ac:dyDescent="0.2">
      <c r="AF34828" s="12"/>
    </row>
    <row r="34829" spans="32:32" x14ac:dyDescent="0.2">
      <c r="AF34829" s="12"/>
    </row>
    <row r="34830" spans="32:32" x14ac:dyDescent="0.2">
      <c r="AF34830" s="12"/>
    </row>
    <row r="34831" spans="32:32" x14ac:dyDescent="0.2">
      <c r="AF34831" s="12"/>
    </row>
    <row r="34832" spans="32:32" x14ac:dyDescent="0.2">
      <c r="AF34832" s="12"/>
    </row>
    <row r="34833" spans="32:32" x14ac:dyDescent="0.2">
      <c r="AF34833" s="12"/>
    </row>
    <row r="34834" spans="32:32" x14ac:dyDescent="0.2">
      <c r="AF34834" s="12"/>
    </row>
    <row r="34835" spans="32:32" x14ac:dyDescent="0.2">
      <c r="AF34835" s="12"/>
    </row>
    <row r="34836" spans="32:32" x14ac:dyDescent="0.2">
      <c r="AF34836" s="12"/>
    </row>
    <row r="34837" spans="32:32" x14ac:dyDescent="0.2">
      <c r="AF34837" s="12"/>
    </row>
    <row r="34838" spans="32:32" x14ac:dyDescent="0.2">
      <c r="AF34838" s="12"/>
    </row>
    <row r="34839" spans="32:32" x14ac:dyDescent="0.2">
      <c r="AF34839" s="12"/>
    </row>
    <row r="34840" spans="32:32" x14ac:dyDescent="0.2">
      <c r="AF34840" s="12"/>
    </row>
    <row r="34841" spans="32:32" x14ac:dyDescent="0.2">
      <c r="AF34841" s="12"/>
    </row>
    <row r="34842" spans="32:32" x14ac:dyDescent="0.2">
      <c r="AF34842" s="12"/>
    </row>
    <row r="34843" spans="32:32" x14ac:dyDescent="0.2">
      <c r="AF34843" s="12"/>
    </row>
    <row r="34844" spans="32:32" x14ac:dyDescent="0.2">
      <c r="AF34844" s="12"/>
    </row>
    <row r="34845" spans="32:32" x14ac:dyDescent="0.2">
      <c r="AF34845" s="12"/>
    </row>
    <row r="34846" spans="32:32" x14ac:dyDescent="0.2">
      <c r="AF34846" s="12"/>
    </row>
    <row r="34847" spans="32:32" x14ac:dyDescent="0.2">
      <c r="AF34847" s="12"/>
    </row>
    <row r="34848" spans="32:32" x14ac:dyDescent="0.2">
      <c r="AF34848" s="12"/>
    </row>
    <row r="34849" spans="32:32" x14ac:dyDescent="0.2">
      <c r="AF34849" s="12"/>
    </row>
    <row r="34850" spans="32:32" x14ac:dyDescent="0.2">
      <c r="AF34850" s="12"/>
    </row>
    <row r="34851" spans="32:32" x14ac:dyDescent="0.2">
      <c r="AF34851" s="12"/>
    </row>
    <row r="34852" spans="32:32" x14ac:dyDescent="0.2">
      <c r="AF34852" s="12"/>
    </row>
    <row r="34853" spans="32:32" x14ac:dyDescent="0.2">
      <c r="AF34853" s="12"/>
    </row>
    <row r="34854" spans="32:32" x14ac:dyDescent="0.2">
      <c r="AF34854" s="12"/>
    </row>
    <row r="34855" spans="32:32" x14ac:dyDescent="0.2">
      <c r="AF34855" s="12"/>
    </row>
    <row r="34856" spans="32:32" x14ac:dyDescent="0.2">
      <c r="AF34856" s="12"/>
    </row>
    <row r="34857" spans="32:32" x14ac:dyDescent="0.2">
      <c r="AF34857" s="12"/>
    </row>
    <row r="34858" spans="32:32" x14ac:dyDescent="0.2">
      <c r="AF34858" s="12"/>
    </row>
    <row r="34859" spans="32:32" x14ac:dyDescent="0.2">
      <c r="AF34859" s="12"/>
    </row>
    <row r="34860" spans="32:32" x14ac:dyDescent="0.2">
      <c r="AF34860" s="12"/>
    </row>
    <row r="34861" spans="32:32" x14ac:dyDescent="0.2">
      <c r="AF34861" s="12"/>
    </row>
    <row r="34862" spans="32:32" x14ac:dyDescent="0.2">
      <c r="AF34862" s="12"/>
    </row>
    <row r="34863" spans="32:32" x14ac:dyDescent="0.2">
      <c r="AF34863" s="12"/>
    </row>
    <row r="34864" spans="32:32" x14ac:dyDescent="0.2">
      <c r="AF34864" s="12"/>
    </row>
    <row r="34865" spans="32:32" x14ac:dyDescent="0.2">
      <c r="AF34865" s="12"/>
    </row>
    <row r="34866" spans="32:32" x14ac:dyDescent="0.2">
      <c r="AF34866" s="12"/>
    </row>
    <row r="34867" spans="32:32" x14ac:dyDescent="0.2">
      <c r="AF34867" s="12"/>
    </row>
    <row r="34868" spans="32:32" x14ac:dyDescent="0.2">
      <c r="AF34868" s="12"/>
    </row>
    <row r="34869" spans="32:32" x14ac:dyDescent="0.2">
      <c r="AF34869" s="12"/>
    </row>
    <row r="34870" spans="32:32" x14ac:dyDescent="0.2">
      <c r="AF34870" s="12"/>
    </row>
    <row r="34871" spans="32:32" x14ac:dyDescent="0.2">
      <c r="AF34871" s="12"/>
    </row>
    <row r="34872" spans="32:32" x14ac:dyDescent="0.2">
      <c r="AF34872" s="12"/>
    </row>
    <row r="34873" spans="32:32" x14ac:dyDescent="0.2">
      <c r="AF34873" s="12"/>
    </row>
    <row r="34874" spans="32:32" x14ac:dyDescent="0.2">
      <c r="AF34874" s="12"/>
    </row>
    <row r="34875" spans="32:32" x14ac:dyDescent="0.2">
      <c r="AF34875" s="12"/>
    </row>
    <row r="34876" spans="32:32" x14ac:dyDescent="0.2">
      <c r="AF34876" s="12"/>
    </row>
    <row r="34877" spans="32:32" x14ac:dyDescent="0.2">
      <c r="AF34877" s="12"/>
    </row>
    <row r="34878" spans="32:32" x14ac:dyDescent="0.2">
      <c r="AF34878" s="12"/>
    </row>
    <row r="34879" spans="32:32" x14ac:dyDescent="0.2">
      <c r="AF34879" s="12"/>
    </row>
    <row r="34880" spans="32:32" x14ac:dyDescent="0.2">
      <c r="AF34880" s="12"/>
    </row>
    <row r="34881" spans="32:32" x14ac:dyDescent="0.2">
      <c r="AF34881" s="12"/>
    </row>
    <row r="34882" spans="32:32" x14ac:dyDescent="0.2">
      <c r="AF34882" s="12"/>
    </row>
    <row r="34883" spans="32:32" x14ac:dyDescent="0.2">
      <c r="AF34883" s="12"/>
    </row>
    <row r="34884" spans="32:32" x14ac:dyDescent="0.2">
      <c r="AF34884" s="12"/>
    </row>
    <row r="34885" spans="32:32" x14ac:dyDescent="0.2">
      <c r="AF34885" s="12"/>
    </row>
    <row r="34886" spans="32:32" x14ac:dyDescent="0.2">
      <c r="AF34886" s="12"/>
    </row>
    <row r="34887" spans="32:32" x14ac:dyDescent="0.2">
      <c r="AF34887" s="12"/>
    </row>
    <row r="34888" spans="32:32" x14ac:dyDescent="0.2">
      <c r="AF34888" s="12"/>
    </row>
    <row r="34889" spans="32:32" x14ac:dyDescent="0.2">
      <c r="AF34889" s="12"/>
    </row>
    <row r="34890" spans="32:32" x14ac:dyDescent="0.2">
      <c r="AF34890" s="12"/>
    </row>
    <row r="34891" spans="32:32" x14ac:dyDescent="0.2">
      <c r="AF34891" s="12"/>
    </row>
    <row r="34892" spans="32:32" x14ac:dyDescent="0.2">
      <c r="AF34892" s="12"/>
    </row>
    <row r="34893" spans="32:32" x14ac:dyDescent="0.2">
      <c r="AF34893" s="12"/>
    </row>
    <row r="34894" spans="32:32" x14ac:dyDescent="0.2">
      <c r="AF34894" s="12"/>
    </row>
    <row r="34895" spans="32:32" x14ac:dyDescent="0.2">
      <c r="AF34895" s="12"/>
    </row>
    <row r="34896" spans="32:32" x14ac:dyDescent="0.2">
      <c r="AF34896" s="12"/>
    </row>
    <row r="34897" spans="32:32" x14ac:dyDescent="0.2">
      <c r="AF34897" s="12"/>
    </row>
    <row r="34898" spans="32:32" x14ac:dyDescent="0.2">
      <c r="AF34898" s="12"/>
    </row>
    <row r="34899" spans="32:32" x14ac:dyDescent="0.2">
      <c r="AF34899" s="12"/>
    </row>
    <row r="34900" spans="32:32" x14ac:dyDescent="0.2">
      <c r="AF34900" s="12"/>
    </row>
    <row r="34901" spans="32:32" x14ac:dyDescent="0.2">
      <c r="AF34901" s="12"/>
    </row>
    <row r="34902" spans="32:32" x14ac:dyDescent="0.2">
      <c r="AF34902" s="12"/>
    </row>
    <row r="34903" spans="32:32" x14ac:dyDescent="0.2">
      <c r="AF34903" s="12"/>
    </row>
    <row r="34904" spans="32:32" x14ac:dyDescent="0.2">
      <c r="AF34904" s="12"/>
    </row>
    <row r="34905" spans="32:32" x14ac:dyDescent="0.2">
      <c r="AF34905" s="12"/>
    </row>
    <row r="34906" spans="32:32" x14ac:dyDescent="0.2">
      <c r="AF34906" s="12"/>
    </row>
    <row r="34907" spans="32:32" x14ac:dyDescent="0.2">
      <c r="AF34907" s="12"/>
    </row>
    <row r="34908" spans="32:32" x14ac:dyDescent="0.2">
      <c r="AF34908" s="12"/>
    </row>
    <row r="34909" spans="32:32" x14ac:dyDescent="0.2">
      <c r="AF34909" s="12"/>
    </row>
    <row r="34910" spans="32:32" x14ac:dyDescent="0.2">
      <c r="AF34910" s="12"/>
    </row>
    <row r="34911" spans="32:32" x14ac:dyDescent="0.2">
      <c r="AF34911" s="12"/>
    </row>
    <row r="34912" spans="32:32" x14ac:dyDescent="0.2">
      <c r="AF34912" s="12"/>
    </row>
    <row r="34913" spans="32:32" x14ac:dyDescent="0.2">
      <c r="AF34913" s="12"/>
    </row>
    <row r="34914" spans="32:32" x14ac:dyDescent="0.2">
      <c r="AF34914" s="12"/>
    </row>
    <row r="34915" spans="32:32" x14ac:dyDescent="0.2">
      <c r="AF34915" s="12"/>
    </row>
    <row r="34916" spans="32:32" x14ac:dyDescent="0.2">
      <c r="AF34916" s="12"/>
    </row>
    <row r="34917" spans="32:32" x14ac:dyDescent="0.2">
      <c r="AF34917" s="12"/>
    </row>
    <row r="34918" spans="32:32" x14ac:dyDescent="0.2">
      <c r="AF34918" s="12"/>
    </row>
    <row r="34919" spans="32:32" x14ac:dyDescent="0.2">
      <c r="AF34919" s="12"/>
    </row>
    <row r="34920" spans="32:32" x14ac:dyDescent="0.2">
      <c r="AF34920" s="12"/>
    </row>
    <row r="34921" spans="32:32" x14ac:dyDescent="0.2">
      <c r="AF34921" s="12"/>
    </row>
    <row r="34922" spans="32:32" x14ac:dyDescent="0.2">
      <c r="AF34922" s="12"/>
    </row>
    <row r="34923" spans="32:32" x14ac:dyDescent="0.2">
      <c r="AF34923" s="12"/>
    </row>
    <row r="34924" spans="32:32" x14ac:dyDescent="0.2">
      <c r="AF34924" s="12"/>
    </row>
    <row r="34925" spans="32:32" x14ac:dyDescent="0.2">
      <c r="AF34925" s="12"/>
    </row>
    <row r="34926" spans="32:32" x14ac:dyDescent="0.2">
      <c r="AF34926" s="12"/>
    </row>
    <row r="34927" spans="32:32" x14ac:dyDescent="0.2">
      <c r="AF34927" s="12"/>
    </row>
    <row r="34928" spans="32:32" x14ac:dyDescent="0.2">
      <c r="AF34928" s="12"/>
    </row>
    <row r="34929" spans="32:32" x14ac:dyDescent="0.2">
      <c r="AF34929" s="12"/>
    </row>
    <row r="34930" spans="32:32" x14ac:dyDescent="0.2">
      <c r="AF34930" s="12"/>
    </row>
    <row r="34931" spans="32:32" x14ac:dyDescent="0.2">
      <c r="AF34931" s="12"/>
    </row>
    <row r="34932" spans="32:32" x14ac:dyDescent="0.2">
      <c r="AF34932" s="12"/>
    </row>
    <row r="34933" spans="32:32" x14ac:dyDescent="0.2">
      <c r="AF34933" s="12"/>
    </row>
    <row r="34934" spans="32:32" x14ac:dyDescent="0.2">
      <c r="AF34934" s="12"/>
    </row>
    <row r="34935" spans="32:32" x14ac:dyDescent="0.2">
      <c r="AF34935" s="12"/>
    </row>
    <row r="34936" spans="32:32" x14ac:dyDescent="0.2">
      <c r="AF34936" s="12"/>
    </row>
    <row r="34937" spans="32:32" x14ac:dyDescent="0.2">
      <c r="AF34937" s="12"/>
    </row>
    <row r="34938" spans="32:32" x14ac:dyDescent="0.2">
      <c r="AF34938" s="12"/>
    </row>
    <row r="34939" spans="32:32" x14ac:dyDescent="0.2">
      <c r="AF34939" s="12"/>
    </row>
    <row r="34940" spans="32:32" x14ac:dyDescent="0.2">
      <c r="AF34940" s="12"/>
    </row>
    <row r="34941" spans="32:32" x14ac:dyDescent="0.2">
      <c r="AF34941" s="12"/>
    </row>
    <row r="34942" spans="32:32" x14ac:dyDescent="0.2">
      <c r="AF34942" s="12"/>
    </row>
    <row r="34943" spans="32:32" x14ac:dyDescent="0.2">
      <c r="AF34943" s="12"/>
    </row>
    <row r="34944" spans="32:32" x14ac:dyDescent="0.2">
      <c r="AF34944" s="12"/>
    </row>
    <row r="34945" spans="32:32" x14ac:dyDescent="0.2">
      <c r="AF34945" s="12"/>
    </row>
    <row r="34946" spans="32:32" x14ac:dyDescent="0.2">
      <c r="AF34946" s="12"/>
    </row>
    <row r="34947" spans="32:32" x14ac:dyDescent="0.2">
      <c r="AF34947" s="12"/>
    </row>
    <row r="34948" spans="32:32" x14ac:dyDescent="0.2">
      <c r="AF34948" s="12"/>
    </row>
    <row r="34949" spans="32:32" x14ac:dyDescent="0.2">
      <c r="AF34949" s="12"/>
    </row>
    <row r="34950" spans="32:32" x14ac:dyDescent="0.2">
      <c r="AF34950" s="12"/>
    </row>
    <row r="34951" spans="32:32" x14ac:dyDescent="0.2">
      <c r="AF34951" s="12"/>
    </row>
    <row r="34952" spans="32:32" x14ac:dyDescent="0.2">
      <c r="AF34952" s="12"/>
    </row>
    <row r="34953" spans="32:32" x14ac:dyDescent="0.2">
      <c r="AF34953" s="12"/>
    </row>
    <row r="34954" spans="32:32" x14ac:dyDescent="0.2">
      <c r="AF34954" s="12"/>
    </row>
    <row r="34955" spans="32:32" x14ac:dyDescent="0.2">
      <c r="AF34955" s="12"/>
    </row>
    <row r="34956" spans="32:32" x14ac:dyDescent="0.2">
      <c r="AF34956" s="12"/>
    </row>
    <row r="34957" spans="32:32" x14ac:dyDescent="0.2">
      <c r="AF34957" s="12"/>
    </row>
    <row r="34958" spans="32:32" x14ac:dyDescent="0.2">
      <c r="AF34958" s="12"/>
    </row>
    <row r="34959" spans="32:32" x14ac:dyDescent="0.2">
      <c r="AF34959" s="12"/>
    </row>
    <row r="34960" spans="32:32" x14ac:dyDescent="0.2">
      <c r="AF34960" s="12"/>
    </row>
    <row r="34961" spans="32:32" x14ac:dyDescent="0.2">
      <c r="AF34961" s="12"/>
    </row>
    <row r="34962" spans="32:32" x14ac:dyDescent="0.2">
      <c r="AF34962" s="12"/>
    </row>
    <row r="34963" spans="32:32" x14ac:dyDescent="0.2">
      <c r="AF34963" s="12"/>
    </row>
    <row r="34964" spans="32:32" x14ac:dyDescent="0.2">
      <c r="AF34964" s="12"/>
    </row>
    <row r="34965" spans="32:32" x14ac:dyDescent="0.2">
      <c r="AF34965" s="12"/>
    </row>
    <row r="34966" spans="32:32" x14ac:dyDescent="0.2">
      <c r="AF34966" s="12"/>
    </row>
    <row r="34967" spans="32:32" x14ac:dyDescent="0.2">
      <c r="AF34967" s="12"/>
    </row>
    <row r="34968" spans="32:32" x14ac:dyDescent="0.2">
      <c r="AF34968" s="12"/>
    </row>
    <row r="34969" spans="32:32" x14ac:dyDescent="0.2">
      <c r="AF34969" s="12"/>
    </row>
    <row r="34970" spans="32:32" x14ac:dyDescent="0.2">
      <c r="AF34970" s="12"/>
    </row>
    <row r="34971" spans="32:32" x14ac:dyDescent="0.2">
      <c r="AF34971" s="12"/>
    </row>
    <row r="34972" spans="32:32" x14ac:dyDescent="0.2">
      <c r="AF34972" s="12"/>
    </row>
    <row r="34973" spans="32:32" x14ac:dyDescent="0.2">
      <c r="AF34973" s="12"/>
    </row>
    <row r="34974" spans="32:32" x14ac:dyDescent="0.2">
      <c r="AF34974" s="12"/>
    </row>
    <row r="34975" spans="32:32" x14ac:dyDescent="0.2">
      <c r="AF34975" s="12"/>
    </row>
    <row r="34976" spans="32:32" x14ac:dyDescent="0.2">
      <c r="AF34976" s="12"/>
    </row>
    <row r="34977" spans="32:32" x14ac:dyDescent="0.2">
      <c r="AF34977" s="12"/>
    </row>
    <row r="34978" spans="32:32" x14ac:dyDescent="0.2">
      <c r="AF34978" s="12"/>
    </row>
    <row r="34979" spans="32:32" x14ac:dyDescent="0.2">
      <c r="AF34979" s="12"/>
    </row>
    <row r="34980" spans="32:32" x14ac:dyDescent="0.2">
      <c r="AF34980" s="12"/>
    </row>
    <row r="34981" spans="32:32" x14ac:dyDescent="0.2">
      <c r="AF34981" s="12"/>
    </row>
    <row r="34982" spans="32:32" x14ac:dyDescent="0.2">
      <c r="AF34982" s="12"/>
    </row>
    <row r="34983" spans="32:32" x14ac:dyDescent="0.2">
      <c r="AF34983" s="12"/>
    </row>
    <row r="34984" spans="32:32" x14ac:dyDescent="0.2">
      <c r="AF34984" s="12"/>
    </row>
    <row r="34985" spans="32:32" x14ac:dyDescent="0.2">
      <c r="AF34985" s="12"/>
    </row>
    <row r="34986" spans="32:32" x14ac:dyDescent="0.2">
      <c r="AF34986" s="12"/>
    </row>
    <row r="34987" spans="32:32" x14ac:dyDescent="0.2">
      <c r="AF34987" s="12"/>
    </row>
    <row r="34988" spans="32:32" x14ac:dyDescent="0.2">
      <c r="AF34988" s="12"/>
    </row>
    <row r="34989" spans="32:32" x14ac:dyDescent="0.2">
      <c r="AF34989" s="12"/>
    </row>
    <row r="34990" spans="32:32" x14ac:dyDescent="0.2">
      <c r="AF34990" s="12"/>
    </row>
    <row r="34991" spans="32:32" x14ac:dyDescent="0.2">
      <c r="AF34991" s="12"/>
    </row>
    <row r="34992" spans="32:32" x14ac:dyDescent="0.2">
      <c r="AF34992" s="12"/>
    </row>
    <row r="34993" spans="32:32" x14ac:dyDescent="0.2">
      <c r="AF34993" s="12"/>
    </row>
    <row r="34994" spans="32:32" x14ac:dyDescent="0.2">
      <c r="AF34994" s="12"/>
    </row>
    <row r="34995" spans="32:32" x14ac:dyDescent="0.2">
      <c r="AF34995" s="12"/>
    </row>
    <row r="34996" spans="32:32" x14ac:dyDescent="0.2">
      <c r="AF34996" s="12"/>
    </row>
    <row r="34997" spans="32:32" x14ac:dyDescent="0.2">
      <c r="AF34997" s="12"/>
    </row>
    <row r="34998" spans="32:32" x14ac:dyDescent="0.2">
      <c r="AF34998" s="12"/>
    </row>
    <row r="34999" spans="32:32" x14ac:dyDescent="0.2">
      <c r="AF34999" s="12"/>
    </row>
    <row r="35000" spans="32:32" x14ac:dyDescent="0.2">
      <c r="AF35000" s="12"/>
    </row>
    <row r="35001" spans="32:32" x14ac:dyDescent="0.2">
      <c r="AF35001" s="12"/>
    </row>
    <row r="35002" spans="32:32" x14ac:dyDescent="0.2">
      <c r="AF35002" s="12"/>
    </row>
    <row r="35003" spans="32:32" x14ac:dyDescent="0.2">
      <c r="AF35003" s="12"/>
    </row>
    <row r="35004" spans="32:32" x14ac:dyDescent="0.2">
      <c r="AF35004" s="12"/>
    </row>
    <row r="35005" spans="32:32" x14ac:dyDescent="0.2">
      <c r="AF35005" s="12"/>
    </row>
    <row r="35006" spans="32:32" x14ac:dyDescent="0.2">
      <c r="AF35006" s="12"/>
    </row>
    <row r="35007" spans="32:32" x14ac:dyDescent="0.2">
      <c r="AF35007" s="12"/>
    </row>
    <row r="35008" spans="32:32" x14ac:dyDescent="0.2">
      <c r="AF35008" s="12"/>
    </row>
    <row r="35009" spans="32:32" x14ac:dyDescent="0.2">
      <c r="AF35009" s="12"/>
    </row>
    <row r="35010" spans="32:32" x14ac:dyDescent="0.2">
      <c r="AF35010" s="12"/>
    </row>
    <row r="35011" spans="32:32" x14ac:dyDescent="0.2">
      <c r="AF35011" s="12"/>
    </row>
    <row r="35012" spans="32:32" x14ac:dyDescent="0.2">
      <c r="AF35012" s="12"/>
    </row>
    <row r="35013" spans="32:32" x14ac:dyDescent="0.2">
      <c r="AF35013" s="12"/>
    </row>
    <row r="35014" spans="32:32" x14ac:dyDescent="0.2">
      <c r="AF35014" s="12"/>
    </row>
    <row r="35015" spans="32:32" x14ac:dyDescent="0.2">
      <c r="AF35015" s="12"/>
    </row>
    <row r="35016" spans="32:32" x14ac:dyDescent="0.2">
      <c r="AF35016" s="12"/>
    </row>
    <row r="35017" spans="32:32" x14ac:dyDescent="0.2">
      <c r="AF35017" s="12"/>
    </row>
    <row r="35018" spans="32:32" x14ac:dyDescent="0.2">
      <c r="AF35018" s="12"/>
    </row>
    <row r="35019" spans="32:32" x14ac:dyDescent="0.2">
      <c r="AF35019" s="12"/>
    </row>
    <row r="35020" spans="32:32" x14ac:dyDescent="0.2">
      <c r="AF35020" s="12"/>
    </row>
    <row r="35021" spans="32:32" x14ac:dyDescent="0.2">
      <c r="AF35021" s="12"/>
    </row>
    <row r="35022" spans="32:32" x14ac:dyDescent="0.2">
      <c r="AF35022" s="12"/>
    </row>
    <row r="35023" spans="32:32" x14ac:dyDescent="0.2">
      <c r="AF35023" s="12"/>
    </row>
    <row r="35024" spans="32:32" x14ac:dyDescent="0.2">
      <c r="AF35024" s="12"/>
    </row>
    <row r="35025" spans="32:32" x14ac:dyDescent="0.2">
      <c r="AF35025" s="12"/>
    </row>
    <row r="35026" spans="32:32" x14ac:dyDescent="0.2">
      <c r="AF35026" s="12"/>
    </row>
    <row r="35027" spans="32:32" x14ac:dyDescent="0.2">
      <c r="AF35027" s="12"/>
    </row>
    <row r="35028" spans="32:32" x14ac:dyDescent="0.2">
      <c r="AF35028" s="12"/>
    </row>
    <row r="35029" spans="32:32" x14ac:dyDescent="0.2">
      <c r="AF35029" s="12"/>
    </row>
    <row r="35030" spans="32:32" x14ac:dyDescent="0.2">
      <c r="AF35030" s="12"/>
    </row>
    <row r="35031" spans="32:32" x14ac:dyDescent="0.2">
      <c r="AF35031" s="12"/>
    </row>
    <row r="35032" spans="32:32" x14ac:dyDescent="0.2">
      <c r="AF35032" s="12"/>
    </row>
    <row r="35033" spans="32:32" x14ac:dyDescent="0.2">
      <c r="AF35033" s="12"/>
    </row>
    <row r="35034" spans="32:32" x14ac:dyDescent="0.2">
      <c r="AF35034" s="12"/>
    </row>
    <row r="35035" spans="32:32" x14ac:dyDescent="0.2">
      <c r="AF35035" s="12"/>
    </row>
    <row r="35036" spans="32:32" x14ac:dyDescent="0.2">
      <c r="AF35036" s="12"/>
    </row>
    <row r="35037" spans="32:32" x14ac:dyDescent="0.2">
      <c r="AF35037" s="12"/>
    </row>
    <row r="35038" spans="32:32" x14ac:dyDescent="0.2">
      <c r="AF35038" s="12"/>
    </row>
    <row r="35039" spans="32:32" x14ac:dyDescent="0.2">
      <c r="AF35039" s="12"/>
    </row>
    <row r="35040" spans="32:32" x14ac:dyDescent="0.2">
      <c r="AF35040" s="12"/>
    </row>
    <row r="35041" spans="32:32" x14ac:dyDescent="0.2">
      <c r="AF35041" s="12"/>
    </row>
    <row r="35042" spans="32:32" x14ac:dyDescent="0.2">
      <c r="AF35042" s="12"/>
    </row>
    <row r="35043" spans="32:32" x14ac:dyDescent="0.2">
      <c r="AF35043" s="12"/>
    </row>
    <row r="35044" spans="32:32" x14ac:dyDescent="0.2">
      <c r="AF35044" s="12"/>
    </row>
    <row r="35045" spans="32:32" x14ac:dyDescent="0.2">
      <c r="AF35045" s="12"/>
    </row>
    <row r="35046" spans="32:32" x14ac:dyDescent="0.2">
      <c r="AF35046" s="12"/>
    </row>
    <row r="35047" spans="32:32" x14ac:dyDescent="0.2">
      <c r="AF35047" s="12"/>
    </row>
    <row r="35048" spans="32:32" x14ac:dyDescent="0.2">
      <c r="AF35048" s="12"/>
    </row>
    <row r="35049" spans="32:32" x14ac:dyDescent="0.2">
      <c r="AF35049" s="12"/>
    </row>
    <row r="35050" spans="32:32" x14ac:dyDescent="0.2">
      <c r="AF35050" s="12"/>
    </row>
    <row r="35051" spans="32:32" x14ac:dyDescent="0.2">
      <c r="AF35051" s="12"/>
    </row>
    <row r="35052" spans="32:32" x14ac:dyDescent="0.2">
      <c r="AF35052" s="12"/>
    </row>
    <row r="35053" spans="32:32" x14ac:dyDescent="0.2">
      <c r="AF35053" s="12"/>
    </row>
    <row r="35054" spans="32:32" x14ac:dyDescent="0.2">
      <c r="AF35054" s="12"/>
    </row>
    <row r="35055" spans="32:32" x14ac:dyDescent="0.2">
      <c r="AF35055" s="12"/>
    </row>
    <row r="35056" spans="32:32" x14ac:dyDescent="0.2">
      <c r="AF35056" s="12"/>
    </row>
    <row r="35057" spans="32:32" x14ac:dyDescent="0.2">
      <c r="AF35057" s="12"/>
    </row>
    <row r="35058" spans="32:32" x14ac:dyDescent="0.2">
      <c r="AF35058" s="12"/>
    </row>
    <row r="35059" spans="32:32" x14ac:dyDescent="0.2">
      <c r="AF35059" s="12"/>
    </row>
    <row r="35060" spans="32:32" x14ac:dyDescent="0.2">
      <c r="AF35060" s="12"/>
    </row>
    <row r="35061" spans="32:32" x14ac:dyDescent="0.2">
      <c r="AF35061" s="12"/>
    </row>
    <row r="35062" spans="32:32" x14ac:dyDescent="0.2">
      <c r="AF35062" s="12"/>
    </row>
    <row r="35063" spans="32:32" x14ac:dyDescent="0.2">
      <c r="AF35063" s="12"/>
    </row>
    <row r="35064" spans="32:32" x14ac:dyDescent="0.2">
      <c r="AF35064" s="12"/>
    </row>
    <row r="35065" spans="32:32" x14ac:dyDescent="0.2">
      <c r="AF35065" s="12"/>
    </row>
    <row r="35066" spans="32:32" x14ac:dyDescent="0.2">
      <c r="AF35066" s="12"/>
    </row>
    <row r="35067" spans="32:32" x14ac:dyDescent="0.2">
      <c r="AF35067" s="12"/>
    </row>
    <row r="35068" spans="32:32" x14ac:dyDescent="0.2">
      <c r="AF35068" s="12"/>
    </row>
    <row r="35069" spans="32:32" x14ac:dyDescent="0.2">
      <c r="AF35069" s="12"/>
    </row>
    <row r="35070" spans="32:32" x14ac:dyDescent="0.2">
      <c r="AF35070" s="12"/>
    </row>
    <row r="35071" spans="32:32" x14ac:dyDescent="0.2">
      <c r="AF35071" s="12"/>
    </row>
    <row r="35072" spans="32:32" x14ac:dyDescent="0.2">
      <c r="AF35072" s="12"/>
    </row>
    <row r="35073" spans="32:32" x14ac:dyDescent="0.2">
      <c r="AF35073" s="12"/>
    </row>
    <row r="35074" spans="32:32" x14ac:dyDescent="0.2">
      <c r="AF35074" s="12"/>
    </row>
    <row r="35075" spans="32:32" x14ac:dyDescent="0.2">
      <c r="AF35075" s="12"/>
    </row>
    <row r="35076" spans="32:32" x14ac:dyDescent="0.2">
      <c r="AF35076" s="12"/>
    </row>
    <row r="35077" spans="32:32" x14ac:dyDescent="0.2">
      <c r="AF35077" s="12"/>
    </row>
    <row r="35078" spans="32:32" x14ac:dyDescent="0.2">
      <c r="AF35078" s="12"/>
    </row>
    <row r="35079" spans="32:32" x14ac:dyDescent="0.2">
      <c r="AF35079" s="12"/>
    </row>
    <row r="35080" spans="32:32" x14ac:dyDescent="0.2">
      <c r="AF35080" s="12"/>
    </row>
    <row r="35081" spans="32:32" x14ac:dyDescent="0.2">
      <c r="AF35081" s="12"/>
    </row>
    <row r="35082" spans="32:32" x14ac:dyDescent="0.2">
      <c r="AF35082" s="12"/>
    </row>
    <row r="35083" spans="32:32" x14ac:dyDescent="0.2">
      <c r="AF35083" s="12"/>
    </row>
    <row r="35084" spans="32:32" x14ac:dyDescent="0.2">
      <c r="AF35084" s="12"/>
    </row>
    <row r="35085" spans="32:32" x14ac:dyDescent="0.2">
      <c r="AF35085" s="12"/>
    </row>
    <row r="35086" spans="32:32" x14ac:dyDescent="0.2">
      <c r="AF35086" s="12"/>
    </row>
    <row r="35087" spans="32:32" x14ac:dyDescent="0.2">
      <c r="AF35087" s="12"/>
    </row>
    <row r="35088" spans="32:32" x14ac:dyDescent="0.2">
      <c r="AF35088" s="12"/>
    </row>
    <row r="35089" spans="32:32" x14ac:dyDescent="0.2">
      <c r="AF35089" s="12"/>
    </row>
    <row r="35090" spans="32:32" x14ac:dyDescent="0.2">
      <c r="AF35090" s="12"/>
    </row>
    <row r="35091" spans="32:32" x14ac:dyDescent="0.2">
      <c r="AF35091" s="12"/>
    </row>
    <row r="35092" spans="32:32" x14ac:dyDescent="0.2">
      <c r="AF35092" s="12"/>
    </row>
    <row r="35093" spans="32:32" x14ac:dyDescent="0.2">
      <c r="AF35093" s="12"/>
    </row>
    <row r="35094" spans="32:32" x14ac:dyDescent="0.2">
      <c r="AF35094" s="12"/>
    </row>
    <row r="35095" spans="32:32" x14ac:dyDescent="0.2">
      <c r="AF35095" s="12"/>
    </row>
    <row r="35096" spans="32:32" x14ac:dyDescent="0.2">
      <c r="AF35096" s="12"/>
    </row>
    <row r="35097" spans="32:32" x14ac:dyDescent="0.2">
      <c r="AF35097" s="12"/>
    </row>
    <row r="35098" spans="32:32" x14ac:dyDescent="0.2">
      <c r="AF35098" s="12"/>
    </row>
    <row r="35099" spans="32:32" x14ac:dyDescent="0.2">
      <c r="AF35099" s="12"/>
    </row>
    <row r="35100" spans="32:32" x14ac:dyDescent="0.2">
      <c r="AF35100" s="12"/>
    </row>
    <row r="35101" spans="32:32" x14ac:dyDescent="0.2">
      <c r="AF35101" s="12"/>
    </row>
    <row r="35102" spans="32:32" x14ac:dyDescent="0.2">
      <c r="AF35102" s="12"/>
    </row>
    <row r="35103" spans="32:32" x14ac:dyDescent="0.2">
      <c r="AF35103" s="12"/>
    </row>
    <row r="35104" spans="32:32" x14ac:dyDescent="0.2">
      <c r="AF35104" s="12"/>
    </row>
    <row r="35105" spans="32:32" x14ac:dyDescent="0.2">
      <c r="AF35105" s="12"/>
    </row>
    <row r="35106" spans="32:32" x14ac:dyDescent="0.2">
      <c r="AF35106" s="12"/>
    </row>
    <row r="35107" spans="32:32" x14ac:dyDescent="0.2">
      <c r="AF35107" s="12"/>
    </row>
    <row r="35108" spans="32:32" x14ac:dyDescent="0.2">
      <c r="AF35108" s="12"/>
    </row>
    <row r="35109" spans="32:32" x14ac:dyDescent="0.2">
      <c r="AF35109" s="12"/>
    </row>
    <row r="35110" spans="32:32" x14ac:dyDescent="0.2">
      <c r="AF35110" s="12"/>
    </row>
    <row r="35111" spans="32:32" x14ac:dyDescent="0.2">
      <c r="AF35111" s="12"/>
    </row>
    <row r="35112" spans="32:32" x14ac:dyDescent="0.2">
      <c r="AF35112" s="12"/>
    </row>
    <row r="35113" spans="32:32" x14ac:dyDescent="0.2">
      <c r="AF35113" s="12"/>
    </row>
    <row r="35114" spans="32:32" x14ac:dyDescent="0.2">
      <c r="AF35114" s="12"/>
    </row>
    <row r="35115" spans="32:32" x14ac:dyDescent="0.2">
      <c r="AF35115" s="12"/>
    </row>
    <row r="35116" spans="32:32" x14ac:dyDescent="0.2">
      <c r="AF35116" s="12"/>
    </row>
    <row r="35117" spans="32:32" x14ac:dyDescent="0.2">
      <c r="AF35117" s="12"/>
    </row>
    <row r="35118" spans="32:32" x14ac:dyDescent="0.2">
      <c r="AF35118" s="12"/>
    </row>
    <row r="35119" spans="32:32" x14ac:dyDescent="0.2">
      <c r="AF35119" s="12"/>
    </row>
    <row r="35120" spans="32:32" x14ac:dyDescent="0.2">
      <c r="AF35120" s="12"/>
    </row>
    <row r="35121" spans="32:32" x14ac:dyDescent="0.2">
      <c r="AF35121" s="12"/>
    </row>
    <row r="35122" spans="32:32" x14ac:dyDescent="0.2">
      <c r="AF35122" s="12"/>
    </row>
    <row r="35123" spans="32:32" x14ac:dyDescent="0.2">
      <c r="AF35123" s="12"/>
    </row>
    <row r="35124" spans="32:32" x14ac:dyDescent="0.2">
      <c r="AF35124" s="12"/>
    </row>
    <row r="35125" spans="32:32" x14ac:dyDescent="0.2">
      <c r="AF35125" s="12"/>
    </row>
    <row r="35126" spans="32:32" x14ac:dyDescent="0.2">
      <c r="AF35126" s="12"/>
    </row>
    <row r="35127" spans="32:32" x14ac:dyDescent="0.2">
      <c r="AF35127" s="12"/>
    </row>
    <row r="35128" spans="32:32" x14ac:dyDescent="0.2">
      <c r="AF35128" s="12"/>
    </row>
    <row r="35129" spans="32:32" x14ac:dyDescent="0.2">
      <c r="AF35129" s="12"/>
    </row>
    <row r="35130" spans="32:32" x14ac:dyDescent="0.2">
      <c r="AF35130" s="12"/>
    </row>
    <row r="35131" spans="32:32" x14ac:dyDescent="0.2">
      <c r="AF35131" s="12"/>
    </row>
    <row r="35132" spans="32:32" x14ac:dyDescent="0.2">
      <c r="AF35132" s="12"/>
    </row>
    <row r="35133" spans="32:32" x14ac:dyDescent="0.2">
      <c r="AF35133" s="12"/>
    </row>
    <row r="35134" spans="32:32" x14ac:dyDescent="0.2">
      <c r="AF35134" s="12"/>
    </row>
    <row r="35135" spans="32:32" x14ac:dyDescent="0.2">
      <c r="AF35135" s="12"/>
    </row>
    <row r="35136" spans="32:32" x14ac:dyDescent="0.2">
      <c r="AF35136" s="12"/>
    </row>
    <row r="35137" spans="32:32" x14ac:dyDescent="0.2">
      <c r="AF35137" s="12"/>
    </row>
    <row r="35138" spans="32:32" x14ac:dyDescent="0.2">
      <c r="AF35138" s="12"/>
    </row>
    <row r="35139" spans="32:32" x14ac:dyDescent="0.2">
      <c r="AF35139" s="12"/>
    </row>
    <row r="35140" spans="32:32" x14ac:dyDescent="0.2">
      <c r="AF35140" s="12"/>
    </row>
    <row r="35141" spans="32:32" x14ac:dyDescent="0.2">
      <c r="AF35141" s="12"/>
    </row>
    <row r="35142" spans="32:32" x14ac:dyDescent="0.2">
      <c r="AF35142" s="12"/>
    </row>
    <row r="35143" spans="32:32" x14ac:dyDescent="0.2">
      <c r="AF35143" s="12"/>
    </row>
    <row r="35144" spans="32:32" x14ac:dyDescent="0.2">
      <c r="AF35144" s="12"/>
    </row>
    <row r="35145" spans="32:32" x14ac:dyDescent="0.2">
      <c r="AF35145" s="12"/>
    </row>
    <row r="35146" spans="32:32" x14ac:dyDescent="0.2">
      <c r="AF35146" s="12"/>
    </row>
    <row r="35147" spans="32:32" x14ac:dyDescent="0.2">
      <c r="AF35147" s="12"/>
    </row>
    <row r="35148" spans="32:32" x14ac:dyDescent="0.2">
      <c r="AF35148" s="12"/>
    </row>
    <row r="35149" spans="32:32" x14ac:dyDescent="0.2">
      <c r="AF35149" s="12"/>
    </row>
    <row r="35150" spans="32:32" x14ac:dyDescent="0.2">
      <c r="AF35150" s="12"/>
    </row>
    <row r="35151" spans="32:32" x14ac:dyDescent="0.2">
      <c r="AF35151" s="12"/>
    </row>
    <row r="35152" spans="32:32" x14ac:dyDescent="0.2">
      <c r="AF35152" s="12"/>
    </row>
    <row r="35153" spans="32:32" x14ac:dyDescent="0.2">
      <c r="AF35153" s="12"/>
    </row>
    <row r="35154" spans="32:32" x14ac:dyDescent="0.2">
      <c r="AF35154" s="12"/>
    </row>
    <row r="35155" spans="32:32" x14ac:dyDescent="0.2">
      <c r="AF35155" s="12"/>
    </row>
    <row r="35156" spans="32:32" x14ac:dyDescent="0.2">
      <c r="AF35156" s="12"/>
    </row>
    <row r="35157" spans="32:32" x14ac:dyDescent="0.2">
      <c r="AF35157" s="12"/>
    </row>
    <row r="35158" spans="32:32" x14ac:dyDescent="0.2">
      <c r="AF35158" s="12"/>
    </row>
    <row r="35159" spans="32:32" x14ac:dyDescent="0.2">
      <c r="AF35159" s="12"/>
    </row>
    <row r="35160" spans="32:32" x14ac:dyDescent="0.2">
      <c r="AF35160" s="12"/>
    </row>
    <row r="35161" spans="32:32" x14ac:dyDescent="0.2">
      <c r="AF35161" s="12"/>
    </row>
    <row r="35162" spans="32:32" x14ac:dyDescent="0.2">
      <c r="AF35162" s="12"/>
    </row>
    <row r="35163" spans="32:32" x14ac:dyDescent="0.2">
      <c r="AF35163" s="12"/>
    </row>
    <row r="35164" spans="32:32" x14ac:dyDescent="0.2">
      <c r="AF35164" s="12"/>
    </row>
    <row r="35165" spans="32:32" x14ac:dyDescent="0.2">
      <c r="AF35165" s="12"/>
    </row>
    <row r="35166" spans="32:32" x14ac:dyDescent="0.2">
      <c r="AF35166" s="12"/>
    </row>
    <row r="35167" spans="32:32" x14ac:dyDescent="0.2">
      <c r="AF35167" s="12"/>
    </row>
    <row r="35168" spans="32:32" x14ac:dyDescent="0.2">
      <c r="AF35168" s="12"/>
    </row>
    <row r="35169" spans="32:32" x14ac:dyDescent="0.2">
      <c r="AF35169" s="12"/>
    </row>
    <row r="35170" spans="32:32" x14ac:dyDescent="0.2">
      <c r="AF35170" s="12"/>
    </row>
    <row r="35171" spans="32:32" x14ac:dyDescent="0.2">
      <c r="AF35171" s="12"/>
    </row>
    <row r="35172" spans="32:32" x14ac:dyDescent="0.2">
      <c r="AF35172" s="12"/>
    </row>
    <row r="35173" spans="32:32" x14ac:dyDescent="0.2">
      <c r="AF35173" s="12"/>
    </row>
    <row r="35174" spans="32:32" x14ac:dyDescent="0.2">
      <c r="AF35174" s="12"/>
    </row>
    <row r="35175" spans="32:32" x14ac:dyDescent="0.2">
      <c r="AF35175" s="12"/>
    </row>
    <row r="35176" spans="32:32" x14ac:dyDescent="0.2">
      <c r="AF35176" s="12"/>
    </row>
    <row r="35177" spans="32:32" x14ac:dyDescent="0.2">
      <c r="AF35177" s="12"/>
    </row>
    <row r="35178" spans="32:32" x14ac:dyDescent="0.2">
      <c r="AF35178" s="12"/>
    </row>
    <row r="35179" spans="32:32" x14ac:dyDescent="0.2">
      <c r="AF35179" s="12"/>
    </row>
    <row r="35180" spans="32:32" x14ac:dyDescent="0.2">
      <c r="AF35180" s="12"/>
    </row>
    <row r="35181" spans="32:32" x14ac:dyDescent="0.2">
      <c r="AF35181" s="12"/>
    </row>
    <row r="35182" spans="32:32" x14ac:dyDescent="0.2">
      <c r="AF35182" s="12"/>
    </row>
    <row r="35183" spans="32:32" x14ac:dyDescent="0.2">
      <c r="AF35183" s="12"/>
    </row>
    <row r="35184" spans="32:32" x14ac:dyDescent="0.2">
      <c r="AF35184" s="12"/>
    </row>
    <row r="35185" spans="32:32" x14ac:dyDescent="0.2">
      <c r="AF35185" s="12"/>
    </row>
    <row r="35186" spans="32:32" x14ac:dyDescent="0.2">
      <c r="AF35186" s="12"/>
    </row>
    <row r="35187" spans="32:32" x14ac:dyDescent="0.2">
      <c r="AF35187" s="12"/>
    </row>
    <row r="35188" spans="32:32" x14ac:dyDescent="0.2">
      <c r="AF35188" s="12"/>
    </row>
    <row r="35189" spans="32:32" x14ac:dyDescent="0.2">
      <c r="AF35189" s="12"/>
    </row>
    <row r="35190" spans="32:32" x14ac:dyDescent="0.2">
      <c r="AF35190" s="12"/>
    </row>
    <row r="35191" spans="32:32" x14ac:dyDescent="0.2">
      <c r="AF35191" s="12"/>
    </row>
    <row r="35192" spans="32:32" x14ac:dyDescent="0.2">
      <c r="AF35192" s="12"/>
    </row>
    <row r="35193" spans="32:32" x14ac:dyDescent="0.2">
      <c r="AF35193" s="12"/>
    </row>
    <row r="35194" spans="32:32" x14ac:dyDescent="0.2">
      <c r="AF35194" s="12"/>
    </row>
    <row r="35195" spans="32:32" x14ac:dyDescent="0.2">
      <c r="AF35195" s="12"/>
    </row>
    <row r="35196" spans="32:32" x14ac:dyDescent="0.2">
      <c r="AF35196" s="12"/>
    </row>
    <row r="35197" spans="32:32" x14ac:dyDescent="0.2">
      <c r="AF35197" s="12"/>
    </row>
    <row r="35198" spans="32:32" x14ac:dyDescent="0.2">
      <c r="AF35198" s="12"/>
    </row>
    <row r="35199" spans="32:32" x14ac:dyDescent="0.2">
      <c r="AF35199" s="12"/>
    </row>
    <row r="35200" spans="32:32" x14ac:dyDescent="0.2">
      <c r="AF35200" s="12"/>
    </row>
    <row r="35201" spans="32:32" x14ac:dyDescent="0.2">
      <c r="AF35201" s="12"/>
    </row>
    <row r="35202" spans="32:32" x14ac:dyDescent="0.2">
      <c r="AF35202" s="12"/>
    </row>
    <row r="35203" spans="32:32" x14ac:dyDescent="0.2">
      <c r="AF35203" s="12"/>
    </row>
    <row r="35204" spans="32:32" x14ac:dyDescent="0.2">
      <c r="AF35204" s="12"/>
    </row>
    <row r="35205" spans="32:32" x14ac:dyDescent="0.2">
      <c r="AF35205" s="12"/>
    </row>
    <row r="35206" spans="32:32" x14ac:dyDescent="0.2">
      <c r="AF35206" s="12"/>
    </row>
    <row r="35207" spans="32:32" x14ac:dyDescent="0.2">
      <c r="AF35207" s="12"/>
    </row>
    <row r="35208" spans="32:32" x14ac:dyDescent="0.2">
      <c r="AF35208" s="12"/>
    </row>
    <row r="35209" spans="32:32" x14ac:dyDescent="0.2">
      <c r="AF35209" s="12"/>
    </row>
    <row r="35210" spans="32:32" x14ac:dyDescent="0.2">
      <c r="AF35210" s="12"/>
    </row>
    <row r="35211" spans="32:32" x14ac:dyDescent="0.2">
      <c r="AF35211" s="12"/>
    </row>
    <row r="35212" spans="32:32" x14ac:dyDescent="0.2">
      <c r="AF35212" s="12"/>
    </row>
    <row r="35213" spans="32:32" x14ac:dyDescent="0.2">
      <c r="AF35213" s="12"/>
    </row>
    <row r="35214" spans="32:32" x14ac:dyDescent="0.2">
      <c r="AF35214" s="12"/>
    </row>
    <row r="35215" spans="32:32" x14ac:dyDescent="0.2">
      <c r="AF35215" s="12"/>
    </row>
    <row r="35216" spans="32:32" x14ac:dyDescent="0.2">
      <c r="AF35216" s="12"/>
    </row>
    <row r="35217" spans="32:32" x14ac:dyDescent="0.2">
      <c r="AF35217" s="12"/>
    </row>
    <row r="35218" spans="32:32" x14ac:dyDescent="0.2">
      <c r="AF35218" s="12"/>
    </row>
    <row r="35219" spans="32:32" x14ac:dyDescent="0.2">
      <c r="AF35219" s="12"/>
    </row>
    <row r="35220" spans="32:32" x14ac:dyDescent="0.2">
      <c r="AF35220" s="12"/>
    </row>
    <row r="35221" spans="32:32" x14ac:dyDescent="0.2">
      <c r="AF35221" s="12"/>
    </row>
    <row r="35222" spans="32:32" x14ac:dyDescent="0.2">
      <c r="AF35222" s="12"/>
    </row>
    <row r="35223" spans="32:32" x14ac:dyDescent="0.2">
      <c r="AF35223" s="12"/>
    </row>
    <row r="35224" spans="32:32" x14ac:dyDescent="0.2">
      <c r="AF35224" s="12"/>
    </row>
    <row r="35225" spans="32:32" x14ac:dyDescent="0.2">
      <c r="AF35225" s="12"/>
    </row>
    <row r="35226" spans="32:32" x14ac:dyDescent="0.2">
      <c r="AF35226" s="12"/>
    </row>
    <row r="35227" spans="32:32" x14ac:dyDescent="0.2">
      <c r="AF35227" s="12"/>
    </row>
    <row r="35228" spans="32:32" x14ac:dyDescent="0.2">
      <c r="AF35228" s="12"/>
    </row>
    <row r="35229" spans="32:32" x14ac:dyDescent="0.2">
      <c r="AF35229" s="12"/>
    </row>
    <row r="35230" spans="32:32" x14ac:dyDescent="0.2">
      <c r="AF35230" s="12"/>
    </row>
    <row r="35231" spans="32:32" x14ac:dyDescent="0.2">
      <c r="AF35231" s="12"/>
    </row>
    <row r="35232" spans="32:32" x14ac:dyDescent="0.2">
      <c r="AF35232" s="12"/>
    </row>
    <row r="35233" spans="32:32" x14ac:dyDescent="0.2">
      <c r="AF35233" s="12"/>
    </row>
    <row r="35234" spans="32:32" x14ac:dyDescent="0.2">
      <c r="AF35234" s="12"/>
    </row>
    <row r="35235" spans="32:32" x14ac:dyDescent="0.2">
      <c r="AF35235" s="12"/>
    </row>
    <row r="35236" spans="32:32" x14ac:dyDescent="0.2">
      <c r="AF35236" s="12"/>
    </row>
    <row r="35237" spans="32:32" x14ac:dyDescent="0.2">
      <c r="AF35237" s="12"/>
    </row>
    <row r="35238" spans="32:32" x14ac:dyDescent="0.2">
      <c r="AF35238" s="12"/>
    </row>
    <row r="35239" spans="32:32" x14ac:dyDescent="0.2">
      <c r="AF35239" s="12"/>
    </row>
    <row r="35240" spans="32:32" x14ac:dyDescent="0.2">
      <c r="AF35240" s="12"/>
    </row>
    <row r="35241" spans="32:32" x14ac:dyDescent="0.2">
      <c r="AF35241" s="12"/>
    </row>
    <row r="35242" spans="32:32" x14ac:dyDescent="0.2">
      <c r="AF35242" s="12"/>
    </row>
    <row r="35243" spans="32:32" x14ac:dyDescent="0.2">
      <c r="AF35243" s="12"/>
    </row>
    <row r="35244" spans="32:32" x14ac:dyDescent="0.2">
      <c r="AF35244" s="12"/>
    </row>
    <row r="35245" spans="32:32" x14ac:dyDescent="0.2">
      <c r="AF35245" s="12"/>
    </row>
    <row r="35246" spans="32:32" x14ac:dyDescent="0.2">
      <c r="AF35246" s="12"/>
    </row>
    <row r="35247" spans="32:32" x14ac:dyDescent="0.2">
      <c r="AF35247" s="12"/>
    </row>
    <row r="35248" spans="32:32" x14ac:dyDescent="0.2">
      <c r="AF35248" s="12"/>
    </row>
    <row r="35249" spans="32:32" x14ac:dyDescent="0.2">
      <c r="AF35249" s="12"/>
    </row>
    <row r="35250" spans="32:32" x14ac:dyDescent="0.2">
      <c r="AF35250" s="12"/>
    </row>
    <row r="35251" spans="32:32" x14ac:dyDescent="0.2">
      <c r="AF35251" s="12"/>
    </row>
    <row r="35252" spans="32:32" x14ac:dyDescent="0.2">
      <c r="AF35252" s="12"/>
    </row>
    <row r="35253" spans="32:32" x14ac:dyDescent="0.2">
      <c r="AF35253" s="12"/>
    </row>
    <row r="35254" spans="32:32" x14ac:dyDescent="0.2">
      <c r="AF35254" s="12"/>
    </row>
    <row r="35255" spans="32:32" x14ac:dyDescent="0.2">
      <c r="AF35255" s="12"/>
    </row>
    <row r="35256" spans="32:32" x14ac:dyDescent="0.2">
      <c r="AF35256" s="12"/>
    </row>
    <row r="35257" spans="32:32" x14ac:dyDescent="0.2">
      <c r="AF35257" s="12"/>
    </row>
    <row r="35258" spans="32:32" x14ac:dyDescent="0.2">
      <c r="AF35258" s="12"/>
    </row>
    <row r="35259" spans="32:32" x14ac:dyDescent="0.2">
      <c r="AF35259" s="12"/>
    </row>
    <row r="35260" spans="32:32" x14ac:dyDescent="0.2">
      <c r="AF35260" s="12"/>
    </row>
    <row r="35261" spans="32:32" x14ac:dyDescent="0.2">
      <c r="AF35261" s="12"/>
    </row>
    <row r="35262" spans="32:32" x14ac:dyDescent="0.2">
      <c r="AF35262" s="12"/>
    </row>
    <row r="35263" spans="32:32" x14ac:dyDescent="0.2">
      <c r="AF35263" s="12"/>
    </row>
    <row r="35264" spans="32:32" x14ac:dyDescent="0.2">
      <c r="AF35264" s="12"/>
    </row>
    <row r="35265" spans="32:32" x14ac:dyDescent="0.2">
      <c r="AF35265" s="12"/>
    </row>
    <row r="35266" spans="32:32" x14ac:dyDescent="0.2">
      <c r="AF35266" s="12"/>
    </row>
    <row r="35267" spans="32:32" x14ac:dyDescent="0.2">
      <c r="AF35267" s="12"/>
    </row>
    <row r="35268" spans="32:32" x14ac:dyDescent="0.2">
      <c r="AF35268" s="12"/>
    </row>
    <row r="35269" spans="32:32" x14ac:dyDescent="0.2">
      <c r="AF35269" s="12"/>
    </row>
    <row r="35270" spans="32:32" x14ac:dyDescent="0.2">
      <c r="AF35270" s="12"/>
    </row>
    <row r="35271" spans="32:32" x14ac:dyDescent="0.2">
      <c r="AF35271" s="12"/>
    </row>
    <row r="35272" spans="32:32" x14ac:dyDescent="0.2">
      <c r="AF35272" s="12"/>
    </row>
    <row r="35273" spans="32:32" x14ac:dyDescent="0.2">
      <c r="AF35273" s="12"/>
    </row>
    <row r="35274" spans="32:32" x14ac:dyDescent="0.2">
      <c r="AF35274" s="12"/>
    </row>
    <row r="35275" spans="32:32" x14ac:dyDescent="0.2">
      <c r="AF35275" s="12"/>
    </row>
    <row r="35276" spans="32:32" x14ac:dyDescent="0.2">
      <c r="AF35276" s="12"/>
    </row>
    <row r="35277" spans="32:32" x14ac:dyDescent="0.2">
      <c r="AF35277" s="12"/>
    </row>
    <row r="35278" spans="32:32" x14ac:dyDescent="0.2">
      <c r="AF35278" s="12"/>
    </row>
    <row r="35279" spans="32:32" x14ac:dyDescent="0.2">
      <c r="AF35279" s="12"/>
    </row>
    <row r="35280" spans="32:32" x14ac:dyDescent="0.2">
      <c r="AF35280" s="12"/>
    </row>
    <row r="35281" spans="32:32" x14ac:dyDescent="0.2">
      <c r="AF35281" s="12"/>
    </row>
    <row r="35282" spans="32:32" x14ac:dyDescent="0.2">
      <c r="AF35282" s="12"/>
    </row>
    <row r="35283" spans="32:32" x14ac:dyDescent="0.2">
      <c r="AF35283" s="12"/>
    </row>
    <row r="35284" spans="32:32" x14ac:dyDescent="0.2">
      <c r="AF35284" s="12"/>
    </row>
    <row r="35285" spans="32:32" x14ac:dyDescent="0.2">
      <c r="AF35285" s="12"/>
    </row>
    <row r="35286" spans="32:32" x14ac:dyDescent="0.2">
      <c r="AF35286" s="12"/>
    </row>
    <row r="35287" spans="32:32" x14ac:dyDescent="0.2">
      <c r="AF35287" s="12"/>
    </row>
    <row r="35288" spans="32:32" x14ac:dyDescent="0.2">
      <c r="AF35288" s="12"/>
    </row>
    <row r="35289" spans="32:32" x14ac:dyDescent="0.2">
      <c r="AF35289" s="12"/>
    </row>
    <row r="35290" spans="32:32" x14ac:dyDescent="0.2">
      <c r="AF35290" s="12"/>
    </row>
    <row r="35291" spans="32:32" x14ac:dyDescent="0.2">
      <c r="AF35291" s="12"/>
    </row>
    <row r="35292" spans="32:32" x14ac:dyDescent="0.2">
      <c r="AF35292" s="12"/>
    </row>
    <row r="35293" spans="32:32" x14ac:dyDescent="0.2">
      <c r="AF35293" s="12"/>
    </row>
    <row r="35294" spans="32:32" x14ac:dyDescent="0.2">
      <c r="AF35294" s="12"/>
    </row>
    <row r="35295" spans="32:32" x14ac:dyDescent="0.2">
      <c r="AF35295" s="12"/>
    </row>
    <row r="35296" spans="32:32" x14ac:dyDescent="0.2">
      <c r="AF35296" s="12"/>
    </row>
    <row r="35297" spans="32:32" x14ac:dyDescent="0.2">
      <c r="AF35297" s="12"/>
    </row>
    <row r="35298" spans="32:32" x14ac:dyDescent="0.2">
      <c r="AF35298" s="12"/>
    </row>
    <row r="35299" spans="32:32" x14ac:dyDescent="0.2">
      <c r="AF35299" s="12"/>
    </row>
    <row r="35300" spans="32:32" x14ac:dyDescent="0.2">
      <c r="AF35300" s="12"/>
    </row>
    <row r="35301" spans="32:32" x14ac:dyDescent="0.2">
      <c r="AF35301" s="12"/>
    </row>
    <row r="35302" spans="32:32" x14ac:dyDescent="0.2">
      <c r="AF35302" s="12"/>
    </row>
    <row r="35303" spans="32:32" x14ac:dyDescent="0.2">
      <c r="AF35303" s="12"/>
    </row>
    <row r="35304" spans="32:32" x14ac:dyDescent="0.2">
      <c r="AF35304" s="12"/>
    </row>
    <row r="35305" spans="32:32" x14ac:dyDescent="0.2">
      <c r="AF35305" s="12"/>
    </row>
    <row r="35306" spans="32:32" x14ac:dyDescent="0.2">
      <c r="AF35306" s="12"/>
    </row>
    <row r="35307" spans="32:32" x14ac:dyDescent="0.2">
      <c r="AF35307" s="12"/>
    </row>
    <row r="35308" spans="32:32" x14ac:dyDescent="0.2">
      <c r="AF35308" s="12"/>
    </row>
    <row r="35309" spans="32:32" x14ac:dyDescent="0.2">
      <c r="AF35309" s="12"/>
    </row>
    <row r="35310" spans="32:32" x14ac:dyDescent="0.2">
      <c r="AF35310" s="12"/>
    </row>
    <row r="35311" spans="32:32" x14ac:dyDescent="0.2">
      <c r="AF35311" s="12"/>
    </row>
    <row r="35312" spans="32:32" x14ac:dyDescent="0.2">
      <c r="AF35312" s="12"/>
    </row>
    <row r="35313" spans="32:32" x14ac:dyDescent="0.2">
      <c r="AF35313" s="12"/>
    </row>
    <row r="35314" spans="32:32" x14ac:dyDescent="0.2">
      <c r="AF35314" s="12"/>
    </row>
    <row r="35315" spans="32:32" x14ac:dyDescent="0.2">
      <c r="AF35315" s="12"/>
    </row>
    <row r="35316" spans="32:32" x14ac:dyDescent="0.2">
      <c r="AF35316" s="12"/>
    </row>
    <row r="35317" spans="32:32" x14ac:dyDescent="0.2">
      <c r="AF35317" s="12"/>
    </row>
    <row r="35318" spans="32:32" x14ac:dyDescent="0.2">
      <c r="AF35318" s="12"/>
    </row>
    <row r="35319" spans="32:32" x14ac:dyDescent="0.2">
      <c r="AF35319" s="12"/>
    </row>
    <row r="35320" spans="32:32" x14ac:dyDescent="0.2">
      <c r="AF35320" s="12"/>
    </row>
    <row r="35321" spans="32:32" x14ac:dyDescent="0.2">
      <c r="AF35321" s="12"/>
    </row>
    <row r="35322" spans="32:32" x14ac:dyDescent="0.2">
      <c r="AF35322" s="12"/>
    </row>
    <row r="35323" spans="32:32" x14ac:dyDescent="0.2">
      <c r="AF35323" s="12"/>
    </row>
    <row r="35324" spans="32:32" x14ac:dyDescent="0.2">
      <c r="AF35324" s="12"/>
    </row>
    <row r="35325" spans="32:32" x14ac:dyDescent="0.2">
      <c r="AF35325" s="12"/>
    </row>
    <row r="35326" spans="32:32" x14ac:dyDescent="0.2">
      <c r="AF35326" s="12"/>
    </row>
    <row r="35327" spans="32:32" x14ac:dyDescent="0.2">
      <c r="AF35327" s="12"/>
    </row>
    <row r="35328" spans="32:32" x14ac:dyDescent="0.2">
      <c r="AF35328" s="12"/>
    </row>
    <row r="35329" spans="32:32" x14ac:dyDescent="0.2">
      <c r="AF35329" s="12"/>
    </row>
    <row r="35330" spans="32:32" x14ac:dyDescent="0.2">
      <c r="AF35330" s="12"/>
    </row>
    <row r="35331" spans="32:32" x14ac:dyDescent="0.2">
      <c r="AF35331" s="12"/>
    </row>
    <row r="35332" spans="32:32" x14ac:dyDescent="0.2">
      <c r="AF35332" s="12"/>
    </row>
    <row r="35333" spans="32:32" x14ac:dyDescent="0.2">
      <c r="AF35333" s="12"/>
    </row>
    <row r="35334" spans="32:32" x14ac:dyDescent="0.2">
      <c r="AF35334" s="12"/>
    </row>
    <row r="35335" spans="32:32" x14ac:dyDescent="0.2">
      <c r="AF35335" s="12"/>
    </row>
    <row r="35336" spans="32:32" x14ac:dyDescent="0.2">
      <c r="AF35336" s="12"/>
    </row>
    <row r="35337" spans="32:32" x14ac:dyDescent="0.2">
      <c r="AF35337" s="12"/>
    </row>
    <row r="35338" spans="32:32" x14ac:dyDescent="0.2">
      <c r="AF35338" s="12"/>
    </row>
    <row r="35339" spans="32:32" x14ac:dyDescent="0.2">
      <c r="AF35339" s="12"/>
    </row>
    <row r="35340" spans="32:32" x14ac:dyDescent="0.2">
      <c r="AF35340" s="12"/>
    </row>
    <row r="35341" spans="32:32" x14ac:dyDescent="0.2">
      <c r="AF35341" s="12"/>
    </row>
    <row r="35342" spans="32:32" x14ac:dyDescent="0.2">
      <c r="AF35342" s="12"/>
    </row>
    <row r="35343" spans="32:32" x14ac:dyDescent="0.2">
      <c r="AF35343" s="12"/>
    </row>
    <row r="35344" spans="32:32" x14ac:dyDescent="0.2">
      <c r="AF35344" s="12"/>
    </row>
    <row r="35345" spans="32:32" x14ac:dyDescent="0.2">
      <c r="AF35345" s="12"/>
    </row>
    <row r="35346" spans="32:32" x14ac:dyDescent="0.2">
      <c r="AF35346" s="12"/>
    </row>
    <row r="35347" spans="32:32" x14ac:dyDescent="0.2">
      <c r="AF35347" s="12"/>
    </row>
    <row r="35348" spans="32:32" x14ac:dyDescent="0.2">
      <c r="AF35348" s="12"/>
    </row>
    <row r="35349" spans="32:32" x14ac:dyDescent="0.2">
      <c r="AF35349" s="12"/>
    </row>
    <row r="35350" spans="32:32" x14ac:dyDescent="0.2">
      <c r="AF35350" s="12"/>
    </row>
    <row r="35351" spans="32:32" x14ac:dyDescent="0.2">
      <c r="AF35351" s="12"/>
    </row>
    <row r="35352" spans="32:32" x14ac:dyDescent="0.2">
      <c r="AF35352" s="12"/>
    </row>
    <row r="35353" spans="32:32" x14ac:dyDescent="0.2">
      <c r="AF35353" s="12"/>
    </row>
    <row r="35354" spans="32:32" x14ac:dyDescent="0.2">
      <c r="AF35354" s="12"/>
    </row>
    <row r="35355" spans="32:32" x14ac:dyDescent="0.2">
      <c r="AF35355" s="12"/>
    </row>
    <row r="35356" spans="32:32" x14ac:dyDescent="0.2">
      <c r="AF35356" s="12"/>
    </row>
    <row r="35357" spans="32:32" x14ac:dyDescent="0.2">
      <c r="AF35357" s="12"/>
    </row>
    <row r="35358" spans="32:32" x14ac:dyDescent="0.2">
      <c r="AF35358" s="12"/>
    </row>
    <row r="35359" spans="32:32" x14ac:dyDescent="0.2">
      <c r="AF35359" s="12"/>
    </row>
    <row r="35360" spans="32:32" x14ac:dyDescent="0.2">
      <c r="AF35360" s="12"/>
    </row>
    <row r="35361" spans="32:32" x14ac:dyDescent="0.2">
      <c r="AF35361" s="12"/>
    </row>
    <row r="35362" spans="32:32" x14ac:dyDescent="0.2">
      <c r="AF35362" s="12"/>
    </row>
    <row r="35363" spans="32:32" x14ac:dyDescent="0.2">
      <c r="AF35363" s="12"/>
    </row>
    <row r="35364" spans="32:32" x14ac:dyDescent="0.2">
      <c r="AF35364" s="12"/>
    </row>
    <row r="35365" spans="32:32" x14ac:dyDescent="0.2">
      <c r="AF35365" s="12"/>
    </row>
    <row r="35366" spans="32:32" x14ac:dyDescent="0.2">
      <c r="AF35366" s="12"/>
    </row>
    <row r="35367" spans="32:32" x14ac:dyDescent="0.2">
      <c r="AF35367" s="12"/>
    </row>
    <row r="35368" spans="32:32" x14ac:dyDescent="0.2">
      <c r="AF35368" s="12"/>
    </row>
    <row r="35369" spans="32:32" x14ac:dyDescent="0.2">
      <c r="AF35369" s="12"/>
    </row>
    <row r="35370" spans="32:32" x14ac:dyDescent="0.2">
      <c r="AF35370" s="12"/>
    </row>
    <row r="35371" spans="32:32" x14ac:dyDescent="0.2">
      <c r="AF35371" s="12"/>
    </row>
    <row r="35372" spans="32:32" x14ac:dyDescent="0.2">
      <c r="AF35372" s="12"/>
    </row>
    <row r="35373" spans="32:32" x14ac:dyDescent="0.2">
      <c r="AF35373" s="12"/>
    </row>
    <row r="35374" spans="32:32" x14ac:dyDescent="0.2">
      <c r="AF35374" s="12"/>
    </row>
    <row r="35375" spans="32:32" x14ac:dyDescent="0.2">
      <c r="AF35375" s="12"/>
    </row>
    <row r="35376" spans="32:32" x14ac:dyDescent="0.2">
      <c r="AF35376" s="12"/>
    </row>
    <row r="35377" spans="32:32" x14ac:dyDescent="0.2">
      <c r="AF35377" s="12"/>
    </row>
    <row r="35378" spans="32:32" x14ac:dyDescent="0.2">
      <c r="AF35378" s="12"/>
    </row>
    <row r="35379" spans="32:32" x14ac:dyDescent="0.2">
      <c r="AF35379" s="12"/>
    </row>
    <row r="35380" spans="32:32" x14ac:dyDescent="0.2">
      <c r="AF35380" s="12"/>
    </row>
    <row r="35381" spans="32:32" x14ac:dyDescent="0.2">
      <c r="AF35381" s="12"/>
    </row>
    <row r="35382" spans="32:32" x14ac:dyDescent="0.2">
      <c r="AF35382" s="12"/>
    </row>
    <row r="35383" spans="32:32" x14ac:dyDescent="0.2">
      <c r="AF35383" s="12"/>
    </row>
    <row r="35384" spans="32:32" x14ac:dyDescent="0.2">
      <c r="AF35384" s="12"/>
    </row>
    <row r="35385" spans="32:32" x14ac:dyDescent="0.2">
      <c r="AF35385" s="12"/>
    </row>
    <row r="35386" spans="32:32" x14ac:dyDescent="0.2">
      <c r="AF35386" s="12"/>
    </row>
    <row r="35387" spans="32:32" x14ac:dyDescent="0.2">
      <c r="AF35387" s="12"/>
    </row>
    <row r="35388" spans="32:32" x14ac:dyDescent="0.2">
      <c r="AF35388" s="12"/>
    </row>
    <row r="35389" spans="32:32" x14ac:dyDescent="0.2">
      <c r="AF35389" s="12"/>
    </row>
    <row r="35390" spans="32:32" x14ac:dyDescent="0.2">
      <c r="AF35390" s="12"/>
    </row>
    <row r="35391" spans="32:32" x14ac:dyDescent="0.2">
      <c r="AF35391" s="12"/>
    </row>
    <row r="35392" spans="32:32" x14ac:dyDescent="0.2">
      <c r="AF35392" s="12"/>
    </row>
    <row r="35393" spans="32:32" x14ac:dyDescent="0.2">
      <c r="AF35393" s="12"/>
    </row>
    <row r="35394" spans="32:32" x14ac:dyDescent="0.2">
      <c r="AF35394" s="12"/>
    </row>
    <row r="35395" spans="32:32" x14ac:dyDescent="0.2">
      <c r="AF35395" s="12"/>
    </row>
    <row r="35396" spans="32:32" x14ac:dyDescent="0.2">
      <c r="AF35396" s="12"/>
    </row>
    <row r="35397" spans="32:32" x14ac:dyDescent="0.2">
      <c r="AF35397" s="12"/>
    </row>
    <row r="35398" spans="32:32" x14ac:dyDescent="0.2">
      <c r="AF35398" s="12"/>
    </row>
    <row r="35399" spans="32:32" x14ac:dyDescent="0.2">
      <c r="AF35399" s="12"/>
    </row>
    <row r="35400" spans="32:32" x14ac:dyDescent="0.2">
      <c r="AF35400" s="12"/>
    </row>
    <row r="35401" spans="32:32" x14ac:dyDescent="0.2">
      <c r="AF35401" s="12"/>
    </row>
    <row r="35402" spans="32:32" x14ac:dyDescent="0.2">
      <c r="AF35402" s="12"/>
    </row>
    <row r="35403" spans="32:32" x14ac:dyDescent="0.2">
      <c r="AF35403" s="12"/>
    </row>
    <row r="35404" spans="32:32" x14ac:dyDescent="0.2">
      <c r="AF35404" s="12"/>
    </row>
    <row r="35405" spans="32:32" x14ac:dyDescent="0.2">
      <c r="AF35405" s="12"/>
    </row>
    <row r="35406" spans="32:32" x14ac:dyDescent="0.2">
      <c r="AF35406" s="12"/>
    </row>
    <row r="35407" spans="32:32" x14ac:dyDescent="0.2">
      <c r="AF35407" s="12"/>
    </row>
    <row r="35408" spans="32:32" x14ac:dyDescent="0.2">
      <c r="AF35408" s="12"/>
    </row>
    <row r="35409" spans="32:32" x14ac:dyDescent="0.2">
      <c r="AF35409" s="12"/>
    </row>
    <row r="35410" spans="32:32" x14ac:dyDescent="0.2">
      <c r="AF35410" s="12"/>
    </row>
    <row r="35411" spans="32:32" x14ac:dyDescent="0.2">
      <c r="AF35411" s="12"/>
    </row>
    <row r="35412" spans="32:32" x14ac:dyDescent="0.2">
      <c r="AF35412" s="12"/>
    </row>
    <row r="35413" spans="32:32" x14ac:dyDescent="0.2">
      <c r="AF35413" s="12"/>
    </row>
    <row r="35414" spans="32:32" x14ac:dyDescent="0.2">
      <c r="AF35414" s="12"/>
    </row>
    <row r="35415" spans="32:32" x14ac:dyDescent="0.2">
      <c r="AF35415" s="12"/>
    </row>
    <row r="35416" spans="32:32" x14ac:dyDescent="0.2">
      <c r="AF35416" s="12"/>
    </row>
    <row r="35417" spans="32:32" x14ac:dyDescent="0.2">
      <c r="AF35417" s="12"/>
    </row>
    <row r="35418" spans="32:32" x14ac:dyDescent="0.2">
      <c r="AF35418" s="12"/>
    </row>
    <row r="35419" spans="32:32" x14ac:dyDescent="0.2">
      <c r="AF35419" s="12"/>
    </row>
    <row r="35420" spans="32:32" x14ac:dyDescent="0.2">
      <c r="AF35420" s="12"/>
    </row>
    <row r="35421" spans="32:32" x14ac:dyDescent="0.2">
      <c r="AF35421" s="12"/>
    </row>
    <row r="35422" spans="32:32" x14ac:dyDescent="0.2">
      <c r="AF35422" s="12"/>
    </row>
    <row r="35423" spans="32:32" x14ac:dyDescent="0.2">
      <c r="AF35423" s="12"/>
    </row>
    <row r="35424" spans="32:32" x14ac:dyDescent="0.2">
      <c r="AF35424" s="12"/>
    </row>
    <row r="35425" spans="32:32" x14ac:dyDescent="0.2">
      <c r="AF35425" s="12"/>
    </row>
    <row r="35426" spans="32:32" x14ac:dyDescent="0.2">
      <c r="AF35426" s="12"/>
    </row>
    <row r="35427" spans="32:32" x14ac:dyDescent="0.2">
      <c r="AF35427" s="12"/>
    </row>
    <row r="35428" spans="32:32" x14ac:dyDescent="0.2">
      <c r="AF35428" s="12"/>
    </row>
    <row r="35429" spans="32:32" x14ac:dyDescent="0.2">
      <c r="AF35429" s="12"/>
    </row>
    <row r="35430" spans="32:32" x14ac:dyDescent="0.2">
      <c r="AF35430" s="12"/>
    </row>
    <row r="35431" spans="32:32" x14ac:dyDescent="0.2">
      <c r="AF35431" s="12"/>
    </row>
    <row r="35432" spans="32:32" x14ac:dyDescent="0.2">
      <c r="AF35432" s="12"/>
    </row>
    <row r="35433" spans="32:32" x14ac:dyDescent="0.2">
      <c r="AF35433" s="12"/>
    </row>
    <row r="35434" spans="32:32" x14ac:dyDescent="0.2">
      <c r="AF35434" s="12"/>
    </row>
    <row r="35435" spans="32:32" x14ac:dyDescent="0.2">
      <c r="AF35435" s="12"/>
    </row>
    <row r="35436" spans="32:32" x14ac:dyDescent="0.2">
      <c r="AF35436" s="12"/>
    </row>
    <row r="35437" spans="32:32" x14ac:dyDescent="0.2">
      <c r="AF35437" s="12"/>
    </row>
    <row r="35438" spans="32:32" x14ac:dyDescent="0.2">
      <c r="AF35438" s="12"/>
    </row>
    <row r="35439" spans="32:32" x14ac:dyDescent="0.2">
      <c r="AF35439" s="12"/>
    </row>
    <row r="35440" spans="32:32" x14ac:dyDescent="0.2">
      <c r="AF35440" s="12"/>
    </row>
    <row r="35441" spans="32:32" x14ac:dyDescent="0.2">
      <c r="AF35441" s="12"/>
    </row>
    <row r="35442" spans="32:32" x14ac:dyDescent="0.2">
      <c r="AF35442" s="12"/>
    </row>
    <row r="35443" spans="32:32" x14ac:dyDescent="0.2">
      <c r="AF35443" s="12"/>
    </row>
    <row r="35444" spans="32:32" x14ac:dyDescent="0.2">
      <c r="AF35444" s="12"/>
    </row>
    <row r="35445" spans="32:32" x14ac:dyDescent="0.2">
      <c r="AF35445" s="12"/>
    </row>
    <row r="35446" spans="32:32" x14ac:dyDescent="0.2">
      <c r="AF35446" s="12"/>
    </row>
    <row r="35447" spans="32:32" x14ac:dyDescent="0.2">
      <c r="AF35447" s="12"/>
    </row>
    <row r="35448" spans="32:32" x14ac:dyDescent="0.2">
      <c r="AF35448" s="12"/>
    </row>
    <row r="35449" spans="32:32" x14ac:dyDescent="0.2">
      <c r="AF35449" s="12"/>
    </row>
    <row r="35450" spans="32:32" x14ac:dyDescent="0.2">
      <c r="AF35450" s="12"/>
    </row>
    <row r="35451" spans="32:32" x14ac:dyDescent="0.2">
      <c r="AF35451" s="12"/>
    </row>
    <row r="35452" spans="32:32" x14ac:dyDescent="0.2">
      <c r="AF35452" s="12"/>
    </row>
    <row r="35453" spans="32:32" x14ac:dyDescent="0.2">
      <c r="AF35453" s="12"/>
    </row>
    <row r="35454" spans="32:32" x14ac:dyDescent="0.2">
      <c r="AF35454" s="12"/>
    </row>
    <row r="35455" spans="32:32" x14ac:dyDescent="0.2">
      <c r="AF35455" s="12"/>
    </row>
    <row r="35456" spans="32:32" x14ac:dyDescent="0.2">
      <c r="AF35456" s="12"/>
    </row>
    <row r="35457" spans="32:32" x14ac:dyDescent="0.2">
      <c r="AF35457" s="12"/>
    </row>
    <row r="35458" spans="32:32" x14ac:dyDescent="0.2">
      <c r="AF35458" s="12"/>
    </row>
    <row r="35459" spans="32:32" x14ac:dyDescent="0.2">
      <c r="AF35459" s="12"/>
    </row>
    <row r="35460" spans="32:32" x14ac:dyDescent="0.2">
      <c r="AF35460" s="12"/>
    </row>
    <row r="35461" spans="32:32" x14ac:dyDescent="0.2">
      <c r="AF35461" s="12"/>
    </row>
    <row r="35462" spans="32:32" x14ac:dyDescent="0.2">
      <c r="AF35462" s="12"/>
    </row>
    <row r="35463" spans="32:32" x14ac:dyDescent="0.2">
      <c r="AF35463" s="12"/>
    </row>
    <row r="35464" spans="32:32" x14ac:dyDescent="0.2">
      <c r="AF35464" s="12"/>
    </row>
    <row r="35465" spans="32:32" x14ac:dyDescent="0.2">
      <c r="AF35465" s="12"/>
    </row>
    <row r="35466" spans="32:32" x14ac:dyDescent="0.2">
      <c r="AF35466" s="12"/>
    </row>
    <row r="35467" spans="32:32" x14ac:dyDescent="0.2">
      <c r="AF35467" s="12"/>
    </row>
    <row r="35468" spans="32:32" x14ac:dyDescent="0.2">
      <c r="AF35468" s="12"/>
    </row>
    <row r="35469" spans="32:32" x14ac:dyDescent="0.2">
      <c r="AF35469" s="12"/>
    </row>
    <row r="35470" spans="32:32" x14ac:dyDescent="0.2">
      <c r="AF35470" s="12"/>
    </row>
    <row r="35471" spans="32:32" x14ac:dyDescent="0.2">
      <c r="AF35471" s="12"/>
    </row>
    <row r="35472" spans="32:32" x14ac:dyDescent="0.2">
      <c r="AF35472" s="12"/>
    </row>
    <row r="35473" spans="32:32" x14ac:dyDescent="0.2">
      <c r="AF35473" s="12"/>
    </row>
    <row r="35474" spans="32:32" x14ac:dyDescent="0.2">
      <c r="AF35474" s="12"/>
    </row>
    <row r="35475" spans="32:32" x14ac:dyDescent="0.2">
      <c r="AF35475" s="12"/>
    </row>
    <row r="35476" spans="32:32" x14ac:dyDescent="0.2">
      <c r="AF35476" s="12"/>
    </row>
    <row r="35477" spans="32:32" x14ac:dyDescent="0.2">
      <c r="AF35477" s="12"/>
    </row>
    <row r="35478" spans="32:32" x14ac:dyDescent="0.2">
      <c r="AF35478" s="12"/>
    </row>
    <row r="35479" spans="32:32" x14ac:dyDescent="0.2">
      <c r="AF35479" s="12"/>
    </row>
    <row r="35480" spans="32:32" x14ac:dyDescent="0.2">
      <c r="AF35480" s="12"/>
    </row>
    <row r="35481" spans="32:32" x14ac:dyDescent="0.2">
      <c r="AF35481" s="12"/>
    </row>
    <row r="35482" spans="32:32" x14ac:dyDescent="0.2">
      <c r="AF35482" s="12"/>
    </row>
    <row r="35483" spans="32:32" x14ac:dyDescent="0.2">
      <c r="AF35483" s="12"/>
    </row>
    <row r="35484" spans="32:32" x14ac:dyDescent="0.2">
      <c r="AF35484" s="12"/>
    </row>
    <row r="35485" spans="32:32" x14ac:dyDescent="0.2">
      <c r="AF35485" s="12"/>
    </row>
    <row r="35486" spans="32:32" x14ac:dyDescent="0.2">
      <c r="AF35486" s="12"/>
    </row>
    <row r="35487" spans="32:32" x14ac:dyDescent="0.2">
      <c r="AF35487" s="12"/>
    </row>
    <row r="35488" spans="32:32" x14ac:dyDescent="0.2">
      <c r="AF35488" s="12"/>
    </row>
    <row r="35489" spans="32:32" x14ac:dyDescent="0.2">
      <c r="AF35489" s="12"/>
    </row>
    <row r="35490" spans="32:32" x14ac:dyDescent="0.2">
      <c r="AF35490" s="12"/>
    </row>
    <row r="35491" spans="32:32" x14ac:dyDescent="0.2">
      <c r="AF35491" s="12"/>
    </row>
    <row r="35492" spans="32:32" x14ac:dyDescent="0.2">
      <c r="AF35492" s="12"/>
    </row>
    <row r="35493" spans="32:32" x14ac:dyDescent="0.2">
      <c r="AF35493" s="12"/>
    </row>
    <row r="35494" spans="32:32" x14ac:dyDescent="0.2">
      <c r="AF35494" s="12"/>
    </row>
    <row r="35495" spans="32:32" x14ac:dyDescent="0.2">
      <c r="AF35495" s="12"/>
    </row>
    <row r="35496" spans="32:32" x14ac:dyDescent="0.2">
      <c r="AF35496" s="12"/>
    </row>
    <row r="35497" spans="32:32" x14ac:dyDescent="0.2">
      <c r="AF35497" s="12"/>
    </row>
    <row r="35498" spans="32:32" x14ac:dyDescent="0.2">
      <c r="AF35498" s="12"/>
    </row>
    <row r="35499" spans="32:32" x14ac:dyDescent="0.2">
      <c r="AF35499" s="12"/>
    </row>
    <row r="35500" spans="32:32" x14ac:dyDescent="0.2">
      <c r="AF35500" s="12"/>
    </row>
    <row r="35501" spans="32:32" x14ac:dyDescent="0.2">
      <c r="AF35501" s="12"/>
    </row>
    <row r="35502" spans="32:32" x14ac:dyDescent="0.2">
      <c r="AF35502" s="12"/>
    </row>
    <row r="35503" spans="32:32" x14ac:dyDescent="0.2">
      <c r="AF35503" s="12"/>
    </row>
    <row r="35504" spans="32:32" x14ac:dyDescent="0.2">
      <c r="AF35504" s="12"/>
    </row>
    <row r="35505" spans="32:32" x14ac:dyDescent="0.2">
      <c r="AF35505" s="12"/>
    </row>
    <row r="35506" spans="32:32" x14ac:dyDescent="0.2">
      <c r="AF35506" s="12"/>
    </row>
    <row r="35507" spans="32:32" x14ac:dyDescent="0.2">
      <c r="AF35507" s="12"/>
    </row>
    <row r="35508" spans="32:32" x14ac:dyDescent="0.2">
      <c r="AF35508" s="12"/>
    </row>
    <row r="35509" spans="32:32" x14ac:dyDescent="0.2">
      <c r="AF35509" s="12"/>
    </row>
    <row r="35510" spans="32:32" x14ac:dyDescent="0.2">
      <c r="AF35510" s="12"/>
    </row>
    <row r="35511" spans="32:32" x14ac:dyDescent="0.2">
      <c r="AF35511" s="12"/>
    </row>
    <row r="35512" spans="32:32" x14ac:dyDescent="0.2">
      <c r="AF35512" s="12"/>
    </row>
    <row r="35513" spans="32:32" x14ac:dyDescent="0.2">
      <c r="AF35513" s="12"/>
    </row>
    <row r="35514" spans="32:32" x14ac:dyDescent="0.2">
      <c r="AF35514" s="12"/>
    </row>
    <row r="35515" spans="32:32" x14ac:dyDescent="0.2">
      <c r="AF35515" s="12"/>
    </row>
    <row r="35516" spans="32:32" x14ac:dyDescent="0.2">
      <c r="AF35516" s="12"/>
    </row>
    <row r="35517" spans="32:32" x14ac:dyDescent="0.2">
      <c r="AF35517" s="12"/>
    </row>
    <row r="35518" spans="32:32" x14ac:dyDescent="0.2">
      <c r="AF35518" s="12"/>
    </row>
    <row r="35519" spans="32:32" x14ac:dyDescent="0.2">
      <c r="AF35519" s="12"/>
    </row>
    <row r="35520" spans="32:32" x14ac:dyDescent="0.2">
      <c r="AF35520" s="12"/>
    </row>
    <row r="35521" spans="32:32" x14ac:dyDescent="0.2">
      <c r="AF35521" s="12"/>
    </row>
    <row r="35522" spans="32:32" x14ac:dyDescent="0.2">
      <c r="AF35522" s="12"/>
    </row>
    <row r="35523" spans="32:32" x14ac:dyDescent="0.2">
      <c r="AF35523" s="12"/>
    </row>
    <row r="35524" spans="32:32" x14ac:dyDescent="0.2">
      <c r="AF35524" s="12"/>
    </row>
    <row r="35525" spans="32:32" x14ac:dyDescent="0.2">
      <c r="AF35525" s="12"/>
    </row>
    <row r="35526" spans="32:32" x14ac:dyDescent="0.2">
      <c r="AF35526" s="12"/>
    </row>
    <row r="35527" spans="32:32" x14ac:dyDescent="0.2">
      <c r="AF35527" s="12"/>
    </row>
    <row r="35528" spans="32:32" x14ac:dyDescent="0.2">
      <c r="AF35528" s="12"/>
    </row>
    <row r="35529" spans="32:32" x14ac:dyDescent="0.2">
      <c r="AF35529" s="12"/>
    </row>
    <row r="35530" spans="32:32" x14ac:dyDescent="0.2">
      <c r="AF35530" s="12"/>
    </row>
    <row r="35531" spans="32:32" x14ac:dyDescent="0.2">
      <c r="AF35531" s="12"/>
    </row>
    <row r="35532" spans="32:32" x14ac:dyDescent="0.2">
      <c r="AF35532" s="12"/>
    </row>
    <row r="35533" spans="32:32" x14ac:dyDescent="0.2">
      <c r="AF35533" s="12"/>
    </row>
    <row r="35534" spans="32:32" x14ac:dyDescent="0.2">
      <c r="AF35534" s="12"/>
    </row>
    <row r="35535" spans="32:32" x14ac:dyDescent="0.2">
      <c r="AF35535" s="12"/>
    </row>
    <row r="35536" spans="32:32" x14ac:dyDescent="0.2">
      <c r="AF35536" s="12"/>
    </row>
    <row r="35537" spans="32:32" x14ac:dyDescent="0.2">
      <c r="AF35537" s="12"/>
    </row>
    <row r="35538" spans="32:32" x14ac:dyDescent="0.2">
      <c r="AF35538" s="12"/>
    </row>
    <row r="35539" spans="32:32" x14ac:dyDescent="0.2">
      <c r="AF35539" s="12"/>
    </row>
    <row r="35540" spans="32:32" x14ac:dyDescent="0.2">
      <c r="AF35540" s="12"/>
    </row>
    <row r="35541" spans="32:32" x14ac:dyDescent="0.2">
      <c r="AF35541" s="12"/>
    </row>
    <row r="35542" spans="32:32" x14ac:dyDescent="0.2">
      <c r="AF35542" s="12"/>
    </row>
    <row r="35543" spans="32:32" x14ac:dyDescent="0.2">
      <c r="AF35543" s="12"/>
    </row>
    <row r="35544" spans="32:32" x14ac:dyDescent="0.2">
      <c r="AF35544" s="12"/>
    </row>
    <row r="35545" spans="32:32" x14ac:dyDescent="0.2">
      <c r="AF35545" s="12"/>
    </row>
    <row r="35546" spans="32:32" x14ac:dyDescent="0.2">
      <c r="AF35546" s="12"/>
    </row>
    <row r="35547" spans="32:32" x14ac:dyDescent="0.2">
      <c r="AF35547" s="12"/>
    </row>
    <row r="35548" spans="32:32" x14ac:dyDescent="0.2">
      <c r="AF35548" s="12"/>
    </row>
    <row r="35549" spans="32:32" x14ac:dyDescent="0.2">
      <c r="AF35549" s="12"/>
    </row>
    <row r="35550" spans="32:32" x14ac:dyDescent="0.2">
      <c r="AF35550" s="12"/>
    </row>
    <row r="35551" spans="32:32" x14ac:dyDescent="0.2">
      <c r="AF35551" s="12"/>
    </row>
    <row r="35552" spans="32:32" x14ac:dyDescent="0.2">
      <c r="AF35552" s="12"/>
    </row>
    <row r="35553" spans="32:32" x14ac:dyDescent="0.2">
      <c r="AF35553" s="12"/>
    </row>
    <row r="35554" spans="32:32" x14ac:dyDescent="0.2">
      <c r="AF35554" s="12"/>
    </row>
    <row r="35555" spans="32:32" x14ac:dyDescent="0.2">
      <c r="AF35555" s="12"/>
    </row>
    <row r="35556" spans="32:32" x14ac:dyDescent="0.2">
      <c r="AF35556" s="12"/>
    </row>
    <row r="35557" spans="32:32" x14ac:dyDescent="0.2">
      <c r="AF35557" s="12"/>
    </row>
    <row r="35558" spans="32:32" x14ac:dyDescent="0.2">
      <c r="AF35558" s="12"/>
    </row>
    <row r="35559" spans="32:32" x14ac:dyDescent="0.2">
      <c r="AF35559" s="12"/>
    </row>
    <row r="35560" spans="32:32" x14ac:dyDescent="0.2">
      <c r="AF35560" s="12"/>
    </row>
    <row r="35561" spans="32:32" x14ac:dyDescent="0.2">
      <c r="AF35561" s="12"/>
    </row>
    <row r="35562" spans="32:32" x14ac:dyDescent="0.2">
      <c r="AF35562" s="12"/>
    </row>
    <row r="35563" spans="32:32" x14ac:dyDescent="0.2">
      <c r="AF35563" s="12"/>
    </row>
    <row r="35564" spans="32:32" x14ac:dyDescent="0.2">
      <c r="AF35564" s="12"/>
    </row>
    <row r="35565" spans="32:32" x14ac:dyDescent="0.2">
      <c r="AF35565" s="12"/>
    </row>
    <row r="35566" spans="32:32" x14ac:dyDescent="0.2">
      <c r="AF35566" s="12"/>
    </row>
    <row r="35567" spans="32:32" x14ac:dyDescent="0.2">
      <c r="AF35567" s="12"/>
    </row>
    <row r="35568" spans="32:32" x14ac:dyDescent="0.2">
      <c r="AF35568" s="12"/>
    </row>
    <row r="35569" spans="32:32" x14ac:dyDescent="0.2">
      <c r="AF35569" s="12"/>
    </row>
    <row r="35570" spans="32:32" x14ac:dyDescent="0.2">
      <c r="AF35570" s="12"/>
    </row>
    <row r="35571" spans="32:32" x14ac:dyDescent="0.2">
      <c r="AF35571" s="12"/>
    </row>
    <row r="35572" spans="32:32" x14ac:dyDescent="0.2">
      <c r="AF35572" s="12"/>
    </row>
    <row r="35573" spans="32:32" x14ac:dyDescent="0.2">
      <c r="AF35573" s="12"/>
    </row>
    <row r="35574" spans="32:32" x14ac:dyDescent="0.2">
      <c r="AF35574" s="12"/>
    </row>
    <row r="35575" spans="32:32" x14ac:dyDescent="0.2">
      <c r="AF35575" s="12"/>
    </row>
    <row r="35576" spans="32:32" x14ac:dyDescent="0.2">
      <c r="AF35576" s="12"/>
    </row>
    <row r="35577" spans="32:32" x14ac:dyDescent="0.2">
      <c r="AF35577" s="12"/>
    </row>
    <row r="35578" spans="32:32" x14ac:dyDescent="0.2">
      <c r="AF35578" s="12"/>
    </row>
    <row r="35579" spans="32:32" x14ac:dyDescent="0.2">
      <c r="AF35579" s="12"/>
    </row>
    <row r="35580" spans="32:32" x14ac:dyDescent="0.2">
      <c r="AF35580" s="12"/>
    </row>
    <row r="35581" spans="32:32" x14ac:dyDescent="0.2">
      <c r="AF35581" s="12"/>
    </row>
    <row r="35582" spans="32:32" x14ac:dyDescent="0.2">
      <c r="AF35582" s="12"/>
    </row>
    <row r="35583" spans="32:32" x14ac:dyDescent="0.2">
      <c r="AF35583" s="12"/>
    </row>
    <row r="35584" spans="32:32" x14ac:dyDescent="0.2">
      <c r="AF35584" s="12"/>
    </row>
    <row r="35585" spans="32:32" x14ac:dyDescent="0.2">
      <c r="AF35585" s="12"/>
    </row>
    <row r="35586" spans="32:32" x14ac:dyDescent="0.2">
      <c r="AF35586" s="12"/>
    </row>
    <row r="35587" spans="32:32" x14ac:dyDescent="0.2">
      <c r="AF35587" s="12"/>
    </row>
    <row r="35588" spans="32:32" x14ac:dyDescent="0.2">
      <c r="AF35588" s="12"/>
    </row>
    <row r="35589" spans="32:32" x14ac:dyDescent="0.2">
      <c r="AF35589" s="12"/>
    </row>
    <row r="35590" spans="32:32" x14ac:dyDescent="0.2">
      <c r="AF35590" s="12"/>
    </row>
    <row r="35591" spans="32:32" x14ac:dyDescent="0.2">
      <c r="AF35591" s="12"/>
    </row>
    <row r="35592" spans="32:32" x14ac:dyDescent="0.2">
      <c r="AF35592" s="12"/>
    </row>
    <row r="35593" spans="32:32" x14ac:dyDescent="0.2">
      <c r="AF35593" s="12"/>
    </row>
    <row r="35594" spans="32:32" x14ac:dyDescent="0.2">
      <c r="AF35594" s="12"/>
    </row>
    <row r="35595" spans="32:32" x14ac:dyDescent="0.2">
      <c r="AF35595" s="12"/>
    </row>
    <row r="35596" spans="32:32" x14ac:dyDescent="0.2">
      <c r="AF35596" s="12"/>
    </row>
    <row r="35597" spans="32:32" x14ac:dyDescent="0.2">
      <c r="AF35597" s="12"/>
    </row>
    <row r="35598" spans="32:32" x14ac:dyDescent="0.2">
      <c r="AF35598" s="12"/>
    </row>
    <row r="35599" spans="32:32" x14ac:dyDescent="0.2">
      <c r="AF35599" s="12"/>
    </row>
    <row r="35600" spans="32:32" x14ac:dyDescent="0.2">
      <c r="AF35600" s="12"/>
    </row>
    <row r="35601" spans="32:32" x14ac:dyDescent="0.2">
      <c r="AF35601" s="12"/>
    </row>
    <row r="35602" spans="32:32" x14ac:dyDescent="0.2">
      <c r="AF35602" s="12"/>
    </row>
    <row r="35603" spans="32:32" x14ac:dyDescent="0.2">
      <c r="AF35603" s="12"/>
    </row>
    <row r="35604" spans="32:32" x14ac:dyDescent="0.2">
      <c r="AF35604" s="12"/>
    </row>
    <row r="35605" spans="32:32" x14ac:dyDescent="0.2">
      <c r="AF35605" s="12"/>
    </row>
    <row r="35606" spans="32:32" x14ac:dyDescent="0.2">
      <c r="AF35606" s="12"/>
    </row>
    <row r="35607" spans="32:32" x14ac:dyDescent="0.2">
      <c r="AF35607" s="12"/>
    </row>
    <row r="35608" spans="32:32" x14ac:dyDescent="0.2">
      <c r="AF35608" s="12"/>
    </row>
    <row r="35609" spans="32:32" x14ac:dyDescent="0.2">
      <c r="AF35609" s="12"/>
    </row>
    <row r="35610" spans="32:32" x14ac:dyDescent="0.2">
      <c r="AF35610" s="12"/>
    </row>
    <row r="35611" spans="32:32" x14ac:dyDescent="0.2">
      <c r="AF35611" s="12"/>
    </row>
    <row r="35612" spans="32:32" x14ac:dyDescent="0.2">
      <c r="AF35612" s="12"/>
    </row>
    <row r="35613" spans="32:32" x14ac:dyDescent="0.2">
      <c r="AF35613" s="12"/>
    </row>
    <row r="35614" spans="32:32" x14ac:dyDescent="0.2">
      <c r="AF35614" s="12"/>
    </row>
    <row r="35615" spans="32:32" x14ac:dyDescent="0.2">
      <c r="AF35615" s="12"/>
    </row>
    <row r="35616" spans="32:32" x14ac:dyDescent="0.2">
      <c r="AF35616" s="12"/>
    </row>
    <row r="35617" spans="32:32" x14ac:dyDescent="0.2">
      <c r="AF35617" s="12"/>
    </row>
    <row r="35618" spans="32:32" x14ac:dyDescent="0.2">
      <c r="AF35618" s="12"/>
    </row>
    <row r="35619" spans="32:32" x14ac:dyDescent="0.2">
      <c r="AF35619" s="12"/>
    </row>
    <row r="35620" spans="32:32" x14ac:dyDescent="0.2">
      <c r="AF35620" s="12"/>
    </row>
    <row r="35621" spans="32:32" x14ac:dyDescent="0.2">
      <c r="AF35621" s="12"/>
    </row>
    <row r="35622" spans="32:32" x14ac:dyDescent="0.2">
      <c r="AF35622" s="12"/>
    </row>
    <row r="35623" spans="32:32" x14ac:dyDescent="0.2">
      <c r="AF35623" s="12"/>
    </row>
    <row r="35624" spans="32:32" x14ac:dyDescent="0.2">
      <c r="AF35624" s="12"/>
    </row>
    <row r="35625" spans="32:32" x14ac:dyDescent="0.2">
      <c r="AF35625" s="12"/>
    </row>
    <row r="35626" spans="32:32" x14ac:dyDescent="0.2">
      <c r="AF35626" s="12"/>
    </row>
    <row r="35627" spans="32:32" x14ac:dyDescent="0.2">
      <c r="AF35627" s="12"/>
    </row>
    <row r="35628" spans="32:32" x14ac:dyDescent="0.2">
      <c r="AF35628" s="12"/>
    </row>
    <row r="35629" spans="32:32" x14ac:dyDescent="0.2">
      <c r="AF35629" s="12"/>
    </row>
    <row r="35630" spans="32:32" x14ac:dyDescent="0.2">
      <c r="AF35630" s="12"/>
    </row>
    <row r="35631" spans="32:32" x14ac:dyDescent="0.2">
      <c r="AF35631" s="12"/>
    </row>
    <row r="35632" spans="32:32" x14ac:dyDescent="0.2">
      <c r="AF35632" s="12"/>
    </row>
    <row r="35633" spans="32:32" x14ac:dyDescent="0.2">
      <c r="AF35633" s="12"/>
    </row>
    <row r="35634" spans="32:32" x14ac:dyDescent="0.2">
      <c r="AF35634" s="12"/>
    </row>
    <row r="35635" spans="32:32" x14ac:dyDescent="0.2">
      <c r="AF35635" s="12"/>
    </row>
    <row r="35636" spans="32:32" x14ac:dyDescent="0.2">
      <c r="AF35636" s="12"/>
    </row>
    <row r="35637" spans="32:32" x14ac:dyDescent="0.2">
      <c r="AF35637" s="12"/>
    </row>
    <row r="35638" spans="32:32" x14ac:dyDescent="0.2">
      <c r="AF35638" s="12"/>
    </row>
    <row r="35639" spans="32:32" x14ac:dyDescent="0.2">
      <c r="AF35639" s="12"/>
    </row>
    <row r="35640" spans="32:32" x14ac:dyDescent="0.2">
      <c r="AF35640" s="12"/>
    </row>
    <row r="35641" spans="32:32" x14ac:dyDescent="0.2">
      <c r="AF35641" s="12"/>
    </row>
    <row r="35642" spans="32:32" x14ac:dyDescent="0.2">
      <c r="AF35642" s="12"/>
    </row>
    <row r="35643" spans="32:32" x14ac:dyDescent="0.2">
      <c r="AF35643" s="12"/>
    </row>
    <row r="35644" spans="32:32" x14ac:dyDescent="0.2">
      <c r="AF35644" s="12"/>
    </row>
    <row r="35645" spans="32:32" x14ac:dyDescent="0.2">
      <c r="AF35645" s="12"/>
    </row>
    <row r="35646" spans="32:32" x14ac:dyDescent="0.2">
      <c r="AF35646" s="12"/>
    </row>
    <row r="35647" spans="32:32" x14ac:dyDescent="0.2">
      <c r="AF35647" s="12"/>
    </row>
    <row r="35648" spans="32:32" x14ac:dyDescent="0.2">
      <c r="AF35648" s="12"/>
    </row>
    <row r="35649" spans="32:32" x14ac:dyDescent="0.2">
      <c r="AF35649" s="12"/>
    </row>
    <row r="35650" spans="32:32" x14ac:dyDescent="0.2">
      <c r="AF35650" s="12"/>
    </row>
    <row r="35651" spans="32:32" x14ac:dyDescent="0.2">
      <c r="AF35651" s="12"/>
    </row>
    <row r="35652" spans="32:32" x14ac:dyDescent="0.2">
      <c r="AF35652" s="12"/>
    </row>
    <row r="35653" spans="32:32" x14ac:dyDescent="0.2">
      <c r="AF35653" s="12"/>
    </row>
    <row r="35654" spans="32:32" x14ac:dyDescent="0.2">
      <c r="AF35654" s="12"/>
    </row>
    <row r="35655" spans="32:32" x14ac:dyDescent="0.2">
      <c r="AF35655" s="12"/>
    </row>
    <row r="35656" spans="32:32" x14ac:dyDescent="0.2">
      <c r="AF35656" s="12"/>
    </row>
    <row r="35657" spans="32:32" x14ac:dyDescent="0.2">
      <c r="AF35657" s="12"/>
    </row>
    <row r="35658" spans="32:32" x14ac:dyDescent="0.2">
      <c r="AF35658" s="12"/>
    </row>
    <row r="35659" spans="32:32" x14ac:dyDescent="0.2">
      <c r="AF35659" s="12"/>
    </row>
    <row r="35660" spans="32:32" x14ac:dyDescent="0.2">
      <c r="AF35660" s="12"/>
    </row>
    <row r="35661" spans="32:32" x14ac:dyDescent="0.2">
      <c r="AF35661" s="12"/>
    </row>
    <row r="35662" spans="32:32" x14ac:dyDescent="0.2">
      <c r="AF35662" s="12"/>
    </row>
    <row r="35663" spans="32:32" x14ac:dyDescent="0.2">
      <c r="AF35663" s="12"/>
    </row>
    <row r="35664" spans="32:32" x14ac:dyDescent="0.2">
      <c r="AF35664" s="12"/>
    </row>
    <row r="35665" spans="32:32" x14ac:dyDescent="0.2">
      <c r="AF35665" s="12"/>
    </row>
    <row r="35666" spans="32:32" x14ac:dyDescent="0.2">
      <c r="AF35666" s="12"/>
    </row>
    <row r="35667" spans="32:32" x14ac:dyDescent="0.2">
      <c r="AF35667" s="12"/>
    </row>
    <row r="35668" spans="32:32" x14ac:dyDescent="0.2">
      <c r="AF35668" s="12"/>
    </row>
    <row r="35669" spans="32:32" x14ac:dyDescent="0.2">
      <c r="AF35669" s="12"/>
    </row>
    <row r="35670" spans="32:32" x14ac:dyDescent="0.2">
      <c r="AF35670" s="12"/>
    </row>
    <row r="35671" spans="32:32" x14ac:dyDescent="0.2">
      <c r="AF35671" s="12"/>
    </row>
    <row r="35672" spans="32:32" x14ac:dyDescent="0.2">
      <c r="AF35672" s="12"/>
    </row>
    <row r="35673" spans="32:32" x14ac:dyDescent="0.2">
      <c r="AF35673" s="12"/>
    </row>
    <row r="35674" spans="32:32" x14ac:dyDescent="0.2">
      <c r="AF35674" s="12"/>
    </row>
    <row r="35675" spans="32:32" x14ac:dyDescent="0.2">
      <c r="AF35675" s="12"/>
    </row>
    <row r="35676" spans="32:32" x14ac:dyDescent="0.2">
      <c r="AF35676" s="12"/>
    </row>
    <row r="35677" spans="32:32" x14ac:dyDescent="0.2">
      <c r="AF35677" s="12"/>
    </row>
    <row r="35678" spans="32:32" x14ac:dyDescent="0.2">
      <c r="AF35678" s="12"/>
    </row>
    <row r="35679" spans="32:32" x14ac:dyDescent="0.2">
      <c r="AF35679" s="12"/>
    </row>
    <row r="35680" spans="32:32" x14ac:dyDescent="0.2">
      <c r="AF35680" s="12"/>
    </row>
    <row r="35681" spans="32:32" x14ac:dyDescent="0.2">
      <c r="AF35681" s="12"/>
    </row>
    <row r="35682" spans="32:32" x14ac:dyDescent="0.2">
      <c r="AF35682" s="12"/>
    </row>
    <row r="35683" spans="32:32" x14ac:dyDescent="0.2">
      <c r="AF35683" s="12"/>
    </row>
    <row r="35684" spans="32:32" x14ac:dyDescent="0.2">
      <c r="AF35684" s="12"/>
    </row>
    <row r="35685" spans="32:32" x14ac:dyDescent="0.2">
      <c r="AF35685" s="12"/>
    </row>
    <row r="35686" spans="32:32" x14ac:dyDescent="0.2">
      <c r="AF35686" s="12"/>
    </row>
    <row r="35687" spans="32:32" x14ac:dyDescent="0.2">
      <c r="AF35687" s="12"/>
    </row>
    <row r="35688" spans="32:32" x14ac:dyDescent="0.2">
      <c r="AF35688" s="12"/>
    </row>
    <row r="35689" spans="32:32" x14ac:dyDescent="0.2">
      <c r="AF35689" s="12"/>
    </row>
    <row r="35690" spans="32:32" x14ac:dyDescent="0.2">
      <c r="AF35690" s="12"/>
    </row>
    <row r="35691" spans="32:32" x14ac:dyDescent="0.2">
      <c r="AF35691" s="12"/>
    </row>
    <row r="35692" spans="32:32" x14ac:dyDescent="0.2">
      <c r="AF35692" s="12"/>
    </row>
    <row r="35693" spans="32:32" x14ac:dyDescent="0.2">
      <c r="AF35693" s="12"/>
    </row>
    <row r="35694" spans="32:32" x14ac:dyDescent="0.2">
      <c r="AF35694" s="12"/>
    </row>
    <row r="35695" spans="32:32" x14ac:dyDescent="0.2">
      <c r="AF35695" s="12"/>
    </row>
    <row r="35696" spans="32:32" x14ac:dyDescent="0.2">
      <c r="AF35696" s="12"/>
    </row>
    <row r="35697" spans="32:32" x14ac:dyDescent="0.2">
      <c r="AF35697" s="12"/>
    </row>
    <row r="35698" spans="32:32" x14ac:dyDescent="0.2">
      <c r="AF35698" s="12"/>
    </row>
    <row r="35699" spans="32:32" x14ac:dyDescent="0.2">
      <c r="AF35699" s="12"/>
    </row>
    <row r="35700" spans="32:32" x14ac:dyDescent="0.2">
      <c r="AF35700" s="12"/>
    </row>
    <row r="35701" spans="32:32" x14ac:dyDescent="0.2">
      <c r="AF35701" s="12"/>
    </row>
    <row r="35702" spans="32:32" x14ac:dyDescent="0.2">
      <c r="AF35702" s="12"/>
    </row>
    <row r="35703" spans="32:32" x14ac:dyDescent="0.2">
      <c r="AF35703" s="12"/>
    </row>
    <row r="35704" spans="32:32" x14ac:dyDescent="0.2">
      <c r="AF35704" s="12"/>
    </row>
    <row r="35705" spans="32:32" x14ac:dyDescent="0.2">
      <c r="AF35705" s="12"/>
    </row>
    <row r="35706" spans="32:32" x14ac:dyDescent="0.2">
      <c r="AF35706" s="12"/>
    </row>
    <row r="35707" spans="32:32" x14ac:dyDescent="0.2">
      <c r="AF35707" s="12"/>
    </row>
    <row r="35708" spans="32:32" x14ac:dyDescent="0.2">
      <c r="AF35708" s="12"/>
    </row>
    <row r="35709" spans="32:32" x14ac:dyDescent="0.2">
      <c r="AF35709" s="12"/>
    </row>
    <row r="35710" spans="32:32" x14ac:dyDescent="0.2">
      <c r="AF35710" s="12"/>
    </row>
    <row r="35711" spans="32:32" x14ac:dyDescent="0.2">
      <c r="AF35711" s="12"/>
    </row>
    <row r="35712" spans="32:32" x14ac:dyDescent="0.2">
      <c r="AF35712" s="12"/>
    </row>
    <row r="35713" spans="32:32" x14ac:dyDescent="0.2">
      <c r="AF35713" s="12"/>
    </row>
    <row r="35714" spans="32:32" x14ac:dyDescent="0.2">
      <c r="AF35714" s="12"/>
    </row>
    <row r="35715" spans="32:32" x14ac:dyDescent="0.2">
      <c r="AF35715" s="12"/>
    </row>
    <row r="35716" spans="32:32" x14ac:dyDescent="0.2">
      <c r="AF35716" s="12"/>
    </row>
    <row r="35717" spans="32:32" x14ac:dyDescent="0.2">
      <c r="AF35717" s="12"/>
    </row>
    <row r="35718" spans="32:32" x14ac:dyDescent="0.2">
      <c r="AF35718" s="12"/>
    </row>
    <row r="35719" spans="32:32" x14ac:dyDescent="0.2">
      <c r="AF35719" s="12"/>
    </row>
    <row r="35720" spans="32:32" x14ac:dyDescent="0.2">
      <c r="AF35720" s="12"/>
    </row>
    <row r="35721" spans="32:32" x14ac:dyDescent="0.2">
      <c r="AF35721" s="12"/>
    </row>
    <row r="35722" spans="32:32" x14ac:dyDescent="0.2">
      <c r="AF35722" s="12"/>
    </row>
    <row r="35723" spans="32:32" x14ac:dyDescent="0.2">
      <c r="AF35723" s="12"/>
    </row>
    <row r="35724" spans="32:32" x14ac:dyDescent="0.2">
      <c r="AF35724" s="12"/>
    </row>
    <row r="35725" spans="32:32" x14ac:dyDescent="0.2">
      <c r="AF35725" s="12"/>
    </row>
    <row r="35726" spans="32:32" x14ac:dyDescent="0.2">
      <c r="AF35726" s="12"/>
    </row>
    <row r="35727" spans="32:32" x14ac:dyDescent="0.2">
      <c r="AF35727" s="12"/>
    </row>
    <row r="35728" spans="32:32" x14ac:dyDescent="0.2">
      <c r="AF35728" s="12"/>
    </row>
    <row r="35729" spans="32:32" x14ac:dyDescent="0.2">
      <c r="AF35729" s="12"/>
    </row>
    <row r="35730" spans="32:32" x14ac:dyDescent="0.2">
      <c r="AF35730" s="12"/>
    </row>
    <row r="35731" spans="32:32" x14ac:dyDescent="0.2">
      <c r="AF35731" s="12"/>
    </row>
    <row r="35732" spans="32:32" x14ac:dyDescent="0.2">
      <c r="AF35732" s="12"/>
    </row>
    <row r="35733" spans="32:32" x14ac:dyDescent="0.2">
      <c r="AF35733" s="12"/>
    </row>
    <row r="35734" spans="32:32" x14ac:dyDescent="0.2">
      <c r="AF35734" s="12"/>
    </row>
    <row r="35735" spans="32:32" x14ac:dyDescent="0.2">
      <c r="AF35735" s="12"/>
    </row>
    <row r="35736" spans="32:32" x14ac:dyDescent="0.2">
      <c r="AF35736" s="12"/>
    </row>
    <row r="35737" spans="32:32" x14ac:dyDescent="0.2">
      <c r="AF35737" s="12"/>
    </row>
    <row r="35738" spans="32:32" x14ac:dyDescent="0.2">
      <c r="AF35738" s="12"/>
    </row>
    <row r="35739" spans="32:32" x14ac:dyDescent="0.2">
      <c r="AF35739" s="12"/>
    </row>
    <row r="35740" spans="32:32" x14ac:dyDescent="0.2">
      <c r="AF35740" s="12"/>
    </row>
    <row r="35741" spans="32:32" x14ac:dyDescent="0.2">
      <c r="AF35741" s="12"/>
    </row>
    <row r="35742" spans="32:32" x14ac:dyDescent="0.2">
      <c r="AF35742" s="12"/>
    </row>
    <row r="35743" spans="32:32" x14ac:dyDescent="0.2">
      <c r="AF35743" s="12"/>
    </row>
    <row r="35744" spans="32:32" x14ac:dyDescent="0.2">
      <c r="AF35744" s="12"/>
    </row>
    <row r="35745" spans="32:32" x14ac:dyDescent="0.2">
      <c r="AF35745" s="12"/>
    </row>
    <row r="35746" spans="32:32" x14ac:dyDescent="0.2">
      <c r="AF35746" s="12"/>
    </row>
    <row r="35747" spans="32:32" x14ac:dyDescent="0.2">
      <c r="AF35747" s="12"/>
    </row>
    <row r="35748" spans="32:32" x14ac:dyDescent="0.2">
      <c r="AF35748" s="12"/>
    </row>
    <row r="35749" spans="32:32" x14ac:dyDescent="0.2">
      <c r="AF35749" s="12"/>
    </row>
    <row r="35750" spans="32:32" x14ac:dyDescent="0.2">
      <c r="AF35750" s="12"/>
    </row>
    <row r="35751" spans="32:32" x14ac:dyDescent="0.2">
      <c r="AF35751" s="12"/>
    </row>
    <row r="35752" spans="32:32" x14ac:dyDescent="0.2">
      <c r="AF35752" s="12"/>
    </row>
    <row r="35753" spans="32:32" x14ac:dyDescent="0.2">
      <c r="AF35753" s="12"/>
    </row>
    <row r="35754" spans="32:32" x14ac:dyDescent="0.2">
      <c r="AF35754" s="12"/>
    </row>
    <row r="35755" spans="32:32" x14ac:dyDescent="0.2">
      <c r="AF35755" s="12"/>
    </row>
    <row r="35756" spans="32:32" x14ac:dyDescent="0.2">
      <c r="AF35756" s="12"/>
    </row>
    <row r="35757" spans="32:32" x14ac:dyDescent="0.2">
      <c r="AF35757" s="12"/>
    </row>
    <row r="35758" spans="32:32" x14ac:dyDescent="0.2">
      <c r="AF35758" s="12"/>
    </row>
    <row r="35759" spans="32:32" x14ac:dyDescent="0.2">
      <c r="AF35759" s="12"/>
    </row>
    <row r="35760" spans="32:32" x14ac:dyDescent="0.2">
      <c r="AF35760" s="12"/>
    </row>
    <row r="35761" spans="32:32" x14ac:dyDescent="0.2">
      <c r="AF35761" s="12"/>
    </row>
    <row r="35762" spans="32:32" x14ac:dyDescent="0.2">
      <c r="AF35762" s="12"/>
    </row>
    <row r="35763" spans="32:32" x14ac:dyDescent="0.2">
      <c r="AF35763" s="12"/>
    </row>
    <row r="35764" spans="32:32" x14ac:dyDescent="0.2">
      <c r="AF35764" s="12"/>
    </row>
    <row r="35765" spans="32:32" x14ac:dyDescent="0.2">
      <c r="AF35765" s="12"/>
    </row>
    <row r="35766" spans="32:32" x14ac:dyDescent="0.2">
      <c r="AF35766" s="12"/>
    </row>
    <row r="35767" spans="32:32" x14ac:dyDescent="0.2">
      <c r="AF35767" s="12"/>
    </row>
    <row r="35768" spans="32:32" x14ac:dyDescent="0.2">
      <c r="AF35768" s="12"/>
    </row>
    <row r="35769" spans="32:32" x14ac:dyDescent="0.2">
      <c r="AF35769" s="12"/>
    </row>
    <row r="35770" spans="32:32" x14ac:dyDescent="0.2">
      <c r="AF35770" s="12"/>
    </row>
    <row r="35771" spans="32:32" x14ac:dyDescent="0.2">
      <c r="AF35771" s="12"/>
    </row>
    <row r="35772" spans="32:32" x14ac:dyDescent="0.2">
      <c r="AF35772" s="12"/>
    </row>
    <row r="35773" spans="32:32" x14ac:dyDescent="0.2">
      <c r="AF35773" s="12"/>
    </row>
    <row r="35774" spans="32:32" x14ac:dyDescent="0.2">
      <c r="AF35774" s="12"/>
    </row>
    <row r="35775" spans="32:32" x14ac:dyDescent="0.2">
      <c r="AF35775" s="12"/>
    </row>
    <row r="35776" spans="32:32" x14ac:dyDescent="0.2">
      <c r="AF35776" s="12"/>
    </row>
    <row r="35777" spans="32:32" x14ac:dyDescent="0.2">
      <c r="AF35777" s="12"/>
    </row>
    <row r="35778" spans="32:32" x14ac:dyDescent="0.2">
      <c r="AF35778" s="12"/>
    </row>
    <row r="35779" spans="32:32" x14ac:dyDescent="0.2">
      <c r="AF35779" s="12"/>
    </row>
    <row r="35780" spans="32:32" x14ac:dyDescent="0.2">
      <c r="AF35780" s="12"/>
    </row>
    <row r="35781" spans="32:32" x14ac:dyDescent="0.2">
      <c r="AF35781" s="12"/>
    </row>
    <row r="35782" spans="32:32" x14ac:dyDescent="0.2">
      <c r="AF35782" s="12"/>
    </row>
    <row r="35783" spans="32:32" x14ac:dyDescent="0.2">
      <c r="AF35783" s="12"/>
    </row>
    <row r="35784" spans="32:32" x14ac:dyDescent="0.2">
      <c r="AF35784" s="12"/>
    </row>
    <row r="35785" spans="32:32" x14ac:dyDescent="0.2">
      <c r="AF35785" s="12"/>
    </row>
    <row r="35786" spans="32:32" x14ac:dyDescent="0.2">
      <c r="AF35786" s="12"/>
    </row>
    <row r="35787" spans="32:32" x14ac:dyDescent="0.2">
      <c r="AF35787" s="12"/>
    </row>
    <row r="35788" spans="32:32" x14ac:dyDescent="0.2">
      <c r="AF35788" s="12"/>
    </row>
    <row r="35789" spans="32:32" x14ac:dyDescent="0.2">
      <c r="AF35789" s="12"/>
    </row>
    <row r="35790" spans="32:32" x14ac:dyDescent="0.2">
      <c r="AF35790" s="12"/>
    </row>
    <row r="35791" spans="32:32" x14ac:dyDescent="0.2">
      <c r="AF35791" s="12"/>
    </row>
    <row r="35792" spans="32:32" x14ac:dyDescent="0.2">
      <c r="AF35792" s="12"/>
    </row>
    <row r="35793" spans="32:32" x14ac:dyDescent="0.2">
      <c r="AF35793" s="12"/>
    </row>
    <row r="35794" spans="32:32" x14ac:dyDescent="0.2">
      <c r="AF35794" s="12"/>
    </row>
    <row r="35795" spans="32:32" x14ac:dyDescent="0.2">
      <c r="AF35795" s="12"/>
    </row>
    <row r="35796" spans="32:32" x14ac:dyDescent="0.2">
      <c r="AF35796" s="12"/>
    </row>
    <row r="35797" spans="32:32" x14ac:dyDescent="0.2">
      <c r="AF35797" s="12"/>
    </row>
    <row r="35798" spans="32:32" x14ac:dyDescent="0.2">
      <c r="AF35798" s="12"/>
    </row>
    <row r="35799" spans="32:32" x14ac:dyDescent="0.2">
      <c r="AF35799" s="12"/>
    </row>
    <row r="35800" spans="32:32" x14ac:dyDescent="0.2">
      <c r="AF35800" s="12"/>
    </row>
    <row r="35801" spans="32:32" x14ac:dyDescent="0.2">
      <c r="AF35801" s="12"/>
    </row>
    <row r="35802" spans="32:32" x14ac:dyDescent="0.2">
      <c r="AF35802" s="12"/>
    </row>
    <row r="35803" spans="32:32" x14ac:dyDescent="0.2">
      <c r="AF35803" s="12"/>
    </row>
    <row r="35804" spans="32:32" x14ac:dyDescent="0.2">
      <c r="AF35804" s="12"/>
    </row>
    <row r="35805" spans="32:32" x14ac:dyDescent="0.2">
      <c r="AF35805" s="12"/>
    </row>
    <row r="35806" spans="32:32" x14ac:dyDescent="0.2">
      <c r="AF35806" s="12"/>
    </row>
    <row r="35807" spans="32:32" x14ac:dyDescent="0.2">
      <c r="AF35807" s="12"/>
    </row>
    <row r="35808" spans="32:32" x14ac:dyDescent="0.2">
      <c r="AF35808" s="12"/>
    </row>
    <row r="35809" spans="32:32" x14ac:dyDescent="0.2">
      <c r="AF35809" s="12"/>
    </row>
    <row r="35810" spans="32:32" x14ac:dyDescent="0.2">
      <c r="AF35810" s="12"/>
    </row>
    <row r="35811" spans="32:32" x14ac:dyDescent="0.2">
      <c r="AF35811" s="12"/>
    </row>
    <row r="35812" spans="32:32" x14ac:dyDescent="0.2">
      <c r="AF35812" s="12"/>
    </row>
    <row r="35813" spans="32:32" x14ac:dyDescent="0.2">
      <c r="AF35813" s="12"/>
    </row>
    <row r="35814" spans="32:32" x14ac:dyDescent="0.2">
      <c r="AF35814" s="12"/>
    </row>
    <row r="35815" spans="32:32" x14ac:dyDescent="0.2">
      <c r="AF35815" s="12"/>
    </row>
    <row r="35816" spans="32:32" x14ac:dyDescent="0.2">
      <c r="AF35816" s="12"/>
    </row>
    <row r="35817" spans="32:32" x14ac:dyDescent="0.2">
      <c r="AF35817" s="12"/>
    </row>
    <row r="35818" spans="32:32" x14ac:dyDescent="0.2">
      <c r="AF35818" s="12"/>
    </row>
    <row r="35819" spans="32:32" x14ac:dyDescent="0.2">
      <c r="AF35819" s="12"/>
    </row>
    <row r="35820" spans="32:32" x14ac:dyDescent="0.2">
      <c r="AF35820" s="12"/>
    </row>
    <row r="35821" spans="32:32" x14ac:dyDescent="0.2">
      <c r="AF35821" s="12"/>
    </row>
    <row r="35822" spans="32:32" x14ac:dyDescent="0.2">
      <c r="AF35822" s="12"/>
    </row>
    <row r="35823" spans="32:32" x14ac:dyDescent="0.2">
      <c r="AF35823" s="12"/>
    </row>
    <row r="35824" spans="32:32" x14ac:dyDescent="0.2">
      <c r="AF35824" s="12"/>
    </row>
    <row r="35825" spans="32:32" x14ac:dyDescent="0.2">
      <c r="AF35825" s="12"/>
    </row>
    <row r="35826" spans="32:32" x14ac:dyDescent="0.2">
      <c r="AF35826" s="12"/>
    </row>
    <row r="35827" spans="32:32" x14ac:dyDescent="0.2">
      <c r="AF35827" s="12"/>
    </row>
    <row r="35828" spans="32:32" x14ac:dyDescent="0.2">
      <c r="AF35828" s="12"/>
    </row>
    <row r="35829" spans="32:32" x14ac:dyDescent="0.2">
      <c r="AF35829" s="12"/>
    </row>
    <row r="35830" spans="32:32" x14ac:dyDescent="0.2">
      <c r="AF35830" s="12"/>
    </row>
    <row r="35831" spans="32:32" x14ac:dyDescent="0.2">
      <c r="AF35831" s="12"/>
    </row>
    <row r="35832" spans="32:32" x14ac:dyDescent="0.2">
      <c r="AF35832" s="12"/>
    </row>
    <row r="35833" spans="32:32" x14ac:dyDescent="0.2">
      <c r="AF35833" s="12"/>
    </row>
    <row r="35834" spans="32:32" x14ac:dyDescent="0.2">
      <c r="AF35834" s="12"/>
    </row>
    <row r="35835" spans="32:32" x14ac:dyDescent="0.2">
      <c r="AF35835" s="12"/>
    </row>
    <row r="35836" spans="32:32" x14ac:dyDescent="0.2">
      <c r="AF35836" s="12"/>
    </row>
    <row r="35837" spans="32:32" x14ac:dyDescent="0.2">
      <c r="AF35837" s="12"/>
    </row>
    <row r="35838" spans="32:32" x14ac:dyDescent="0.2">
      <c r="AF35838" s="12"/>
    </row>
    <row r="35839" spans="32:32" x14ac:dyDescent="0.2">
      <c r="AF35839" s="12"/>
    </row>
    <row r="35840" spans="32:32" x14ac:dyDescent="0.2">
      <c r="AF35840" s="12"/>
    </row>
    <row r="35841" spans="32:32" x14ac:dyDescent="0.2">
      <c r="AF35841" s="12"/>
    </row>
    <row r="35842" spans="32:32" x14ac:dyDescent="0.2">
      <c r="AF35842" s="12"/>
    </row>
    <row r="35843" spans="32:32" x14ac:dyDescent="0.2">
      <c r="AF35843" s="12"/>
    </row>
    <row r="35844" spans="32:32" x14ac:dyDescent="0.2">
      <c r="AF35844" s="12"/>
    </row>
    <row r="35845" spans="32:32" x14ac:dyDescent="0.2">
      <c r="AF35845" s="12"/>
    </row>
    <row r="35846" spans="32:32" x14ac:dyDescent="0.2">
      <c r="AF35846" s="12"/>
    </row>
    <row r="35847" spans="32:32" x14ac:dyDescent="0.2">
      <c r="AF35847" s="12"/>
    </row>
    <row r="35848" spans="32:32" x14ac:dyDescent="0.2">
      <c r="AF35848" s="12"/>
    </row>
    <row r="35849" spans="32:32" x14ac:dyDescent="0.2">
      <c r="AF35849" s="12"/>
    </row>
    <row r="35850" spans="32:32" x14ac:dyDescent="0.2">
      <c r="AF35850" s="12"/>
    </row>
    <row r="35851" spans="32:32" x14ac:dyDescent="0.2">
      <c r="AF35851" s="12"/>
    </row>
    <row r="35852" spans="32:32" x14ac:dyDescent="0.2">
      <c r="AF35852" s="12"/>
    </row>
    <row r="35853" spans="32:32" x14ac:dyDescent="0.2">
      <c r="AF35853" s="12"/>
    </row>
    <row r="35854" spans="32:32" x14ac:dyDescent="0.2">
      <c r="AF35854" s="12"/>
    </row>
    <row r="35855" spans="32:32" x14ac:dyDescent="0.2">
      <c r="AF35855" s="12"/>
    </row>
    <row r="35856" spans="32:32" x14ac:dyDescent="0.2">
      <c r="AF35856" s="12"/>
    </row>
    <row r="35857" spans="32:32" x14ac:dyDescent="0.2">
      <c r="AF35857" s="12"/>
    </row>
    <row r="35858" spans="32:32" x14ac:dyDescent="0.2">
      <c r="AF35858" s="12"/>
    </row>
    <row r="35859" spans="32:32" x14ac:dyDescent="0.2">
      <c r="AF35859" s="12"/>
    </row>
    <row r="35860" spans="32:32" x14ac:dyDescent="0.2">
      <c r="AF35860" s="12"/>
    </row>
    <row r="35861" spans="32:32" x14ac:dyDescent="0.2">
      <c r="AF35861" s="12"/>
    </row>
    <row r="35862" spans="32:32" x14ac:dyDescent="0.2">
      <c r="AF35862" s="12"/>
    </row>
    <row r="35863" spans="32:32" x14ac:dyDescent="0.2">
      <c r="AF35863" s="12"/>
    </row>
    <row r="35864" spans="32:32" x14ac:dyDescent="0.2">
      <c r="AF35864" s="12"/>
    </row>
    <row r="35865" spans="32:32" x14ac:dyDescent="0.2">
      <c r="AF35865" s="12"/>
    </row>
    <row r="35866" spans="32:32" x14ac:dyDescent="0.2">
      <c r="AF35866" s="12"/>
    </row>
    <row r="35867" spans="32:32" x14ac:dyDescent="0.2">
      <c r="AF35867" s="12"/>
    </row>
    <row r="35868" spans="32:32" x14ac:dyDescent="0.2">
      <c r="AF35868" s="12"/>
    </row>
    <row r="35869" spans="32:32" x14ac:dyDescent="0.2">
      <c r="AF35869" s="12"/>
    </row>
    <row r="35870" spans="32:32" x14ac:dyDescent="0.2">
      <c r="AF35870" s="12"/>
    </row>
    <row r="35871" spans="32:32" x14ac:dyDescent="0.2">
      <c r="AF35871" s="12"/>
    </row>
    <row r="35872" spans="32:32" x14ac:dyDescent="0.2">
      <c r="AF35872" s="12"/>
    </row>
    <row r="35873" spans="32:32" x14ac:dyDescent="0.2">
      <c r="AF35873" s="12"/>
    </row>
    <row r="35874" spans="32:32" x14ac:dyDescent="0.2">
      <c r="AF35874" s="12"/>
    </row>
    <row r="35875" spans="32:32" x14ac:dyDescent="0.2">
      <c r="AF35875" s="12"/>
    </row>
    <row r="35876" spans="32:32" x14ac:dyDescent="0.2">
      <c r="AF35876" s="12"/>
    </row>
    <row r="35877" spans="32:32" x14ac:dyDescent="0.2">
      <c r="AF35877" s="12"/>
    </row>
    <row r="35878" spans="32:32" x14ac:dyDescent="0.2">
      <c r="AF35878" s="12"/>
    </row>
    <row r="35879" spans="32:32" x14ac:dyDescent="0.2">
      <c r="AF35879" s="12"/>
    </row>
    <row r="35880" spans="32:32" x14ac:dyDescent="0.2">
      <c r="AF35880" s="12"/>
    </row>
    <row r="35881" spans="32:32" x14ac:dyDescent="0.2">
      <c r="AF35881" s="12"/>
    </row>
    <row r="35882" spans="32:32" x14ac:dyDescent="0.2">
      <c r="AF35882" s="12"/>
    </row>
    <row r="35883" spans="32:32" x14ac:dyDescent="0.2">
      <c r="AF35883" s="12"/>
    </row>
    <row r="35884" spans="32:32" x14ac:dyDescent="0.2">
      <c r="AF35884" s="12"/>
    </row>
    <row r="35885" spans="32:32" x14ac:dyDescent="0.2">
      <c r="AF35885" s="12"/>
    </row>
    <row r="35886" spans="32:32" x14ac:dyDescent="0.2">
      <c r="AF35886" s="12"/>
    </row>
    <row r="35887" spans="32:32" x14ac:dyDescent="0.2">
      <c r="AF35887" s="12"/>
    </row>
    <row r="35888" spans="32:32" x14ac:dyDescent="0.2">
      <c r="AF35888" s="12"/>
    </row>
    <row r="35889" spans="32:32" x14ac:dyDescent="0.2">
      <c r="AF35889" s="12"/>
    </row>
    <row r="35890" spans="32:32" x14ac:dyDescent="0.2">
      <c r="AF35890" s="12"/>
    </row>
    <row r="35891" spans="32:32" x14ac:dyDescent="0.2">
      <c r="AF35891" s="12"/>
    </row>
    <row r="35892" spans="32:32" x14ac:dyDescent="0.2">
      <c r="AF35892" s="12"/>
    </row>
    <row r="35893" spans="32:32" x14ac:dyDescent="0.2">
      <c r="AF35893" s="12"/>
    </row>
    <row r="35894" spans="32:32" x14ac:dyDescent="0.2">
      <c r="AF35894" s="12"/>
    </row>
    <row r="35895" spans="32:32" x14ac:dyDescent="0.2">
      <c r="AF35895" s="12"/>
    </row>
    <row r="35896" spans="32:32" x14ac:dyDescent="0.2">
      <c r="AF35896" s="12"/>
    </row>
    <row r="35897" spans="32:32" x14ac:dyDescent="0.2">
      <c r="AF35897" s="12"/>
    </row>
    <row r="35898" spans="32:32" x14ac:dyDescent="0.2">
      <c r="AF35898" s="12"/>
    </row>
    <row r="35899" spans="32:32" x14ac:dyDescent="0.2">
      <c r="AF35899" s="12"/>
    </row>
    <row r="35900" spans="32:32" x14ac:dyDescent="0.2">
      <c r="AF35900" s="12"/>
    </row>
    <row r="35901" spans="32:32" x14ac:dyDescent="0.2">
      <c r="AF35901" s="12"/>
    </row>
    <row r="35902" spans="32:32" x14ac:dyDescent="0.2">
      <c r="AF35902" s="12"/>
    </row>
    <row r="35903" spans="32:32" x14ac:dyDescent="0.2">
      <c r="AF35903" s="12"/>
    </row>
    <row r="35904" spans="32:32" x14ac:dyDescent="0.2">
      <c r="AF35904" s="12"/>
    </row>
    <row r="35905" spans="32:32" x14ac:dyDescent="0.2">
      <c r="AF35905" s="12"/>
    </row>
    <row r="35906" spans="32:32" x14ac:dyDescent="0.2">
      <c r="AF35906" s="12"/>
    </row>
    <row r="35907" spans="32:32" x14ac:dyDescent="0.2">
      <c r="AF35907" s="12"/>
    </row>
    <row r="35908" spans="32:32" x14ac:dyDescent="0.2">
      <c r="AF35908" s="12"/>
    </row>
    <row r="35909" spans="32:32" x14ac:dyDescent="0.2">
      <c r="AF35909" s="12"/>
    </row>
    <row r="35910" spans="32:32" x14ac:dyDescent="0.2">
      <c r="AF35910" s="12"/>
    </row>
    <row r="35911" spans="32:32" x14ac:dyDescent="0.2">
      <c r="AF35911" s="12"/>
    </row>
    <row r="35912" spans="32:32" x14ac:dyDescent="0.2">
      <c r="AF35912" s="12"/>
    </row>
    <row r="35913" spans="32:32" x14ac:dyDescent="0.2">
      <c r="AF35913" s="12"/>
    </row>
    <row r="35914" spans="32:32" x14ac:dyDescent="0.2">
      <c r="AF35914" s="12"/>
    </row>
    <row r="35915" spans="32:32" x14ac:dyDescent="0.2">
      <c r="AF35915" s="12"/>
    </row>
    <row r="35916" spans="32:32" x14ac:dyDescent="0.2">
      <c r="AF35916" s="12"/>
    </row>
    <row r="35917" spans="32:32" x14ac:dyDescent="0.2">
      <c r="AF35917" s="12"/>
    </row>
    <row r="35918" spans="32:32" x14ac:dyDescent="0.2">
      <c r="AF35918" s="12"/>
    </row>
    <row r="35919" spans="32:32" x14ac:dyDescent="0.2">
      <c r="AF35919" s="12"/>
    </row>
    <row r="35920" spans="32:32" x14ac:dyDescent="0.2">
      <c r="AF35920" s="12"/>
    </row>
    <row r="35921" spans="32:32" x14ac:dyDescent="0.2">
      <c r="AF35921" s="12"/>
    </row>
    <row r="35922" spans="32:32" x14ac:dyDescent="0.2">
      <c r="AF35922" s="12"/>
    </row>
    <row r="35923" spans="32:32" x14ac:dyDescent="0.2">
      <c r="AF35923" s="12"/>
    </row>
    <row r="35924" spans="32:32" x14ac:dyDescent="0.2">
      <c r="AF35924" s="12"/>
    </row>
    <row r="35925" spans="32:32" x14ac:dyDescent="0.2">
      <c r="AF35925" s="12"/>
    </row>
    <row r="35926" spans="32:32" x14ac:dyDescent="0.2">
      <c r="AF35926" s="12"/>
    </row>
    <row r="35927" spans="32:32" x14ac:dyDescent="0.2">
      <c r="AF35927" s="12"/>
    </row>
    <row r="35928" spans="32:32" x14ac:dyDescent="0.2">
      <c r="AF35928" s="12"/>
    </row>
    <row r="35929" spans="32:32" x14ac:dyDescent="0.2">
      <c r="AF35929" s="12"/>
    </row>
    <row r="35930" spans="32:32" x14ac:dyDescent="0.2">
      <c r="AF35930" s="12"/>
    </row>
    <row r="35931" spans="32:32" x14ac:dyDescent="0.2">
      <c r="AF35931" s="12"/>
    </row>
    <row r="35932" spans="32:32" x14ac:dyDescent="0.2">
      <c r="AF35932" s="12"/>
    </row>
    <row r="35933" spans="32:32" x14ac:dyDescent="0.2">
      <c r="AF35933" s="12"/>
    </row>
    <row r="35934" spans="32:32" x14ac:dyDescent="0.2">
      <c r="AF35934" s="12"/>
    </row>
    <row r="35935" spans="32:32" x14ac:dyDescent="0.2">
      <c r="AF35935" s="12"/>
    </row>
    <row r="35936" spans="32:32" x14ac:dyDescent="0.2">
      <c r="AF35936" s="12"/>
    </row>
    <row r="35937" spans="32:32" x14ac:dyDescent="0.2">
      <c r="AF35937" s="12"/>
    </row>
    <row r="35938" spans="32:32" x14ac:dyDescent="0.2">
      <c r="AF35938" s="12"/>
    </row>
    <row r="35939" spans="32:32" x14ac:dyDescent="0.2">
      <c r="AF35939" s="12"/>
    </row>
    <row r="35940" spans="32:32" x14ac:dyDescent="0.2">
      <c r="AF35940" s="12"/>
    </row>
    <row r="35941" spans="32:32" x14ac:dyDescent="0.2">
      <c r="AF35941" s="12"/>
    </row>
    <row r="35942" spans="32:32" x14ac:dyDescent="0.2">
      <c r="AF35942" s="12"/>
    </row>
    <row r="35943" spans="32:32" x14ac:dyDescent="0.2">
      <c r="AF35943" s="12"/>
    </row>
    <row r="35944" spans="32:32" x14ac:dyDescent="0.2">
      <c r="AF35944" s="12"/>
    </row>
    <row r="35945" spans="32:32" x14ac:dyDescent="0.2">
      <c r="AF35945" s="12"/>
    </row>
    <row r="35946" spans="32:32" x14ac:dyDescent="0.2">
      <c r="AF35946" s="12"/>
    </row>
    <row r="35947" spans="32:32" x14ac:dyDescent="0.2">
      <c r="AF35947" s="12"/>
    </row>
    <row r="35948" spans="32:32" x14ac:dyDescent="0.2">
      <c r="AF35948" s="12"/>
    </row>
    <row r="35949" spans="32:32" x14ac:dyDescent="0.2">
      <c r="AF35949" s="12"/>
    </row>
    <row r="35950" spans="32:32" x14ac:dyDescent="0.2">
      <c r="AF35950" s="12"/>
    </row>
    <row r="35951" spans="32:32" x14ac:dyDescent="0.2">
      <c r="AF35951" s="12"/>
    </row>
    <row r="35952" spans="32:32" x14ac:dyDescent="0.2">
      <c r="AF35952" s="12"/>
    </row>
    <row r="35953" spans="32:32" x14ac:dyDescent="0.2">
      <c r="AF35953" s="12"/>
    </row>
    <row r="35954" spans="32:32" x14ac:dyDescent="0.2">
      <c r="AF35954" s="12"/>
    </row>
    <row r="35955" spans="32:32" x14ac:dyDescent="0.2">
      <c r="AF35955" s="12"/>
    </row>
    <row r="35956" spans="32:32" x14ac:dyDescent="0.2">
      <c r="AF35956" s="12"/>
    </row>
    <row r="35957" spans="32:32" x14ac:dyDescent="0.2">
      <c r="AF35957" s="12"/>
    </row>
    <row r="35958" spans="32:32" x14ac:dyDescent="0.2">
      <c r="AF35958" s="12"/>
    </row>
    <row r="35959" spans="32:32" x14ac:dyDescent="0.2">
      <c r="AF35959" s="12"/>
    </row>
    <row r="35960" spans="32:32" x14ac:dyDescent="0.2">
      <c r="AF35960" s="12"/>
    </row>
    <row r="35961" spans="32:32" x14ac:dyDescent="0.2">
      <c r="AF35961" s="12"/>
    </row>
    <row r="35962" spans="32:32" x14ac:dyDescent="0.2">
      <c r="AF35962" s="12"/>
    </row>
    <row r="35963" spans="32:32" x14ac:dyDescent="0.2">
      <c r="AF35963" s="12"/>
    </row>
    <row r="35964" spans="32:32" x14ac:dyDescent="0.2">
      <c r="AF35964" s="12"/>
    </row>
    <row r="35965" spans="32:32" x14ac:dyDescent="0.2">
      <c r="AF35965" s="12"/>
    </row>
    <row r="35966" spans="32:32" x14ac:dyDescent="0.2">
      <c r="AF35966" s="12"/>
    </row>
    <row r="35967" spans="32:32" x14ac:dyDescent="0.2">
      <c r="AF35967" s="12"/>
    </row>
    <row r="35968" spans="32:32" x14ac:dyDescent="0.2">
      <c r="AF35968" s="12"/>
    </row>
    <row r="35969" spans="32:32" x14ac:dyDescent="0.2">
      <c r="AF35969" s="12"/>
    </row>
    <row r="35970" spans="32:32" x14ac:dyDescent="0.2">
      <c r="AF35970" s="12"/>
    </row>
    <row r="35971" spans="32:32" x14ac:dyDescent="0.2">
      <c r="AF35971" s="12"/>
    </row>
    <row r="35972" spans="32:32" x14ac:dyDescent="0.2">
      <c r="AF35972" s="12"/>
    </row>
    <row r="35973" spans="32:32" x14ac:dyDescent="0.2">
      <c r="AF35973" s="12"/>
    </row>
    <row r="35974" spans="32:32" x14ac:dyDescent="0.2">
      <c r="AF35974" s="12"/>
    </row>
    <row r="35975" spans="32:32" x14ac:dyDescent="0.2">
      <c r="AF35975" s="12"/>
    </row>
    <row r="35976" spans="32:32" x14ac:dyDescent="0.2">
      <c r="AF35976" s="12"/>
    </row>
    <row r="35977" spans="32:32" x14ac:dyDescent="0.2">
      <c r="AF35977" s="12"/>
    </row>
    <row r="35978" spans="32:32" x14ac:dyDescent="0.2">
      <c r="AF35978" s="12"/>
    </row>
    <row r="35979" spans="32:32" x14ac:dyDescent="0.2">
      <c r="AF35979" s="12"/>
    </row>
    <row r="35980" spans="32:32" x14ac:dyDescent="0.2">
      <c r="AF35980" s="12"/>
    </row>
    <row r="35981" spans="32:32" x14ac:dyDescent="0.2">
      <c r="AF35981" s="12"/>
    </row>
    <row r="35982" spans="32:32" x14ac:dyDescent="0.2">
      <c r="AF35982" s="12"/>
    </row>
    <row r="35983" spans="32:32" x14ac:dyDescent="0.2">
      <c r="AF35983" s="12"/>
    </row>
    <row r="35984" spans="32:32" x14ac:dyDescent="0.2">
      <c r="AF35984" s="12"/>
    </row>
    <row r="35985" spans="32:32" x14ac:dyDescent="0.2">
      <c r="AF35985" s="12"/>
    </row>
    <row r="35986" spans="32:32" x14ac:dyDescent="0.2">
      <c r="AF35986" s="12"/>
    </row>
    <row r="35987" spans="32:32" x14ac:dyDescent="0.2">
      <c r="AF35987" s="12"/>
    </row>
    <row r="35988" spans="32:32" x14ac:dyDescent="0.2">
      <c r="AF35988" s="12"/>
    </row>
    <row r="35989" spans="32:32" x14ac:dyDescent="0.2">
      <c r="AF35989" s="12"/>
    </row>
    <row r="35990" spans="32:32" x14ac:dyDescent="0.2">
      <c r="AF35990" s="12"/>
    </row>
    <row r="35991" spans="32:32" x14ac:dyDescent="0.2">
      <c r="AF35991" s="12"/>
    </row>
    <row r="35992" spans="32:32" x14ac:dyDescent="0.2">
      <c r="AF35992" s="12"/>
    </row>
    <row r="35993" spans="32:32" x14ac:dyDescent="0.2">
      <c r="AF35993" s="12"/>
    </row>
    <row r="35994" spans="32:32" x14ac:dyDescent="0.2">
      <c r="AF35994" s="12"/>
    </row>
    <row r="35995" spans="32:32" x14ac:dyDescent="0.2">
      <c r="AF35995" s="12"/>
    </row>
    <row r="35996" spans="32:32" x14ac:dyDescent="0.2">
      <c r="AF35996" s="12"/>
    </row>
    <row r="35997" spans="32:32" x14ac:dyDescent="0.2">
      <c r="AF35997" s="12"/>
    </row>
    <row r="35998" spans="32:32" x14ac:dyDescent="0.2">
      <c r="AF35998" s="12"/>
    </row>
    <row r="35999" spans="32:32" x14ac:dyDescent="0.2">
      <c r="AF35999" s="12"/>
    </row>
    <row r="36000" spans="32:32" x14ac:dyDescent="0.2">
      <c r="AF36000" s="12"/>
    </row>
    <row r="36001" spans="32:32" x14ac:dyDescent="0.2">
      <c r="AF36001" s="12"/>
    </row>
    <row r="36002" spans="32:32" x14ac:dyDescent="0.2">
      <c r="AF36002" s="12"/>
    </row>
    <row r="36003" spans="32:32" x14ac:dyDescent="0.2">
      <c r="AF36003" s="12"/>
    </row>
    <row r="36004" spans="32:32" x14ac:dyDescent="0.2">
      <c r="AF36004" s="12"/>
    </row>
    <row r="36005" spans="32:32" x14ac:dyDescent="0.2">
      <c r="AF36005" s="12"/>
    </row>
    <row r="36006" spans="32:32" x14ac:dyDescent="0.2">
      <c r="AF36006" s="12"/>
    </row>
    <row r="36007" spans="32:32" x14ac:dyDescent="0.2">
      <c r="AF36007" s="12"/>
    </row>
    <row r="36008" spans="32:32" x14ac:dyDescent="0.2">
      <c r="AF36008" s="12"/>
    </row>
    <row r="36009" spans="32:32" x14ac:dyDescent="0.2">
      <c r="AF36009" s="12"/>
    </row>
    <row r="36010" spans="32:32" x14ac:dyDescent="0.2">
      <c r="AF36010" s="12"/>
    </row>
    <row r="36011" spans="32:32" x14ac:dyDescent="0.2">
      <c r="AF36011" s="12"/>
    </row>
    <row r="36012" spans="32:32" x14ac:dyDescent="0.2">
      <c r="AF36012" s="12"/>
    </row>
    <row r="36013" spans="32:32" x14ac:dyDescent="0.2">
      <c r="AF36013" s="12"/>
    </row>
    <row r="36014" spans="32:32" x14ac:dyDescent="0.2">
      <c r="AF36014" s="12"/>
    </row>
    <row r="36015" spans="32:32" x14ac:dyDescent="0.2">
      <c r="AF36015" s="12"/>
    </row>
    <row r="36016" spans="32:32" x14ac:dyDescent="0.2">
      <c r="AF36016" s="12"/>
    </row>
    <row r="36017" spans="32:32" x14ac:dyDescent="0.2">
      <c r="AF36017" s="12"/>
    </row>
    <row r="36018" spans="32:32" x14ac:dyDescent="0.2">
      <c r="AF36018" s="12"/>
    </row>
    <row r="36019" spans="32:32" x14ac:dyDescent="0.2">
      <c r="AF36019" s="12"/>
    </row>
    <row r="36020" spans="32:32" x14ac:dyDescent="0.2">
      <c r="AF36020" s="12"/>
    </row>
    <row r="36021" spans="32:32" x14ac:dyDescent="0.2">
      <c r="AF36021" s="12"/>
    </row>
    <row r="36022" spans="32:32" x14ac:dyDescent="0.2">
      <c r="AF36022" s="12"/>
    </row>
    <row r="36023" spans="32:32" x14ac:dyDescent="0.2">
      <c r="AF36023" s="12"/>
    </row>
    <row r="36024" spans="32:32" x14ac:dyDescent="0.2">
      <c r="AF36024" s="12"/>
    </row>
    <row r="36025" spans="32:32" x14ac:dyDescent="0.2">
      <c r="AF36025" s="12"/>
    </row>
    <row r="36026" spans="32:32" x14ac:dyDescent="0.2">
      <c r="AF36026" s="12"/>
    </row>
    <row r="36027" spans="32:32" x14ac:dyDescent="0.2">
      <c r="AF36027" s="12"/>
    </row>
    <row r="36028" spans="32:32" x14ac:dyDescent="0.2">
      <c r="AF36028" s="12"/>
    </row>
    <row r="36029" spans="32:32" x14ac:dyDescent="0.2">
      <c r="AF36029" s="12"/>
    </row>
    <row r="36030" spans="32:32" x14ac:dyDescent="0.2">
      <c r="AF36030" s="12"/>
    </row>
    <row r="36031" spans="32:32" x14ac:dyDescent="0.2">
      <c r="AF36031" s="12"/>
    </row>
    <row r="36032" spans="32:32" x14ac:dyDescent="0.2">
      <c r="AF36032" s="12"/>
    </row>
    <row r="36033" spans="32:32" x14ac:dyDescent="0.2">
      <c r="AF36033" s="12"/>
    </row>
    <row r="36034" spans="32:32" x14ac:dyDescent="0.2">
      <c r="AF36034" s="12"/>
    </row>
    <row r="36035" spans="32:32" x14ac:dyDescent="0.2">
      <c r="AF36035" s="12"/>
    </row>
    <row r="36036" spans="32:32" x14ac:dyDescent="0.2">
      <c r="AF36036" s="12"/>
    </row>
    <row r="36037" spans="32:32" x14ac:dyDescent="0.2">
      <c r="AF36037" s="12"/>
    </row>
    <row r="36038" spans="32:32" x14ac:dyDescent="0.2">
      <c r="AF36038" s="12"/>
    </row>
    <row r="36039" spans="32:32" x14ac:dyDescent="0.2">
      <c r="AF36039" s="12"/>
    </row>
    <row r="36040" spans="32:32" x14ac:dyDescent="0.2">
      <c r="AF36040" s="12"/>
    </row>
    <row r="36041" spans="32:32" x14ac:dyDescent="0.2">
      <c r="AF36041" s="12"/>
    </row>
    <row r="36042" spans="32:32" x14ac:dyDescent="0.2">
      <c r="AF36042" s="12"/>
    </row>
    <row r="36043" spans="32:32" x14ac:dyDescent="0.2">
      <c r="AF36043" s="12"/>
    </row>
    <row r="36044" spans="32:32" x14ac:dyDescent="0.2">
      <c r="AF36044" s="12"/>
    </row>
    <row r="36045" spans="32:32" x14ac:dyDescent="0.2">
      <c r="AF36045" s="12"/>
    </row>
    <row r="36046" spans="32:32" x14ac:dyDescent="0.2">
      <c r="AF36046" s="12"/>
    </row>
    <row r="36047" spans="32:32" x14ac:dyDescent="0.2">
      <c r="AF36047" s="12"/>
    </row>
    <row r="36048" spans="32:32" x14ac:dyDescent="0.2">
      <c r="AF36048" s="12"/>
    </row>
    <row r="36049" spans="32:32" x14ac:dyDescent="0.2">
      <c r="AF36049" s="12"/>
    </row>
    <row r="36050" spans="32:32" x14ac:dyDescent="0.2">
      <c r="AF36050" s="12"/>
    </row>
    <row r="36051" spans="32:32" x14ac:dyDescent="0.2">
      <c r="AF36051" s="12"/>
    </row>
    <row r="36052" spans="32:32" x14ac:dyDescent="0.2">
      <c r="AF36052" s="12"/>
    </row>
    <row r="36053" spans="32:32" x14ac:dyDescent="0.2">
      <c r="AF36053" s="12"/>
    </row>
    <row r="36054" spans="32:32" x14ac:dyDescent="0.2">
      <c r="AF36054" s="12"/>
    </row>
    <row r="36055" spans="32:32" x14ac:dyDescent="0.2">
      <c r="AF36055" s="12"/>
    </row>
    <row r="36056" spans="32:32" x14ac:dyDescent="0.2">
      <c r="AF36056" s="12"/>
    </row>
    <row r="36057" spans="32:32" x14ac:dyDescent="0.2">
      <c r="AF36057" s="12"/>
    </row>
    <row r="36058" spans="32:32" x14ac:dyDescent="0.2">
      <c r="AF36058" s="12"/>
    </row>
    <row r="36059" spans="32:32" x14ac:dyDescent="0.2">
      <c r="AF36059" s="12"/>
    </row>
    <row r="36060" spans="32:32" x14ac:dyDescent="0.2">
      <c r="AF36060" s="12"/>
    </row>
    <row r="36061" spans="32:32" x14ac:dyDescent="0.2">
      <c r="AF36061" s="12"/>
    </row>
    <row r="36062" spans="32:32" x14ac:dyDescent="0.2">
      <c r="AF36062" s="12"/>
    </row>
    <row r="36063" spans="32:32" x14ac:dyDescent="0.2">
      <c r="AF36063" s="12"/>
    </row>
    <row r="36064" spans="32:32" x14ac:dyDescent="0.2">
      <c r="AF36064" s="12"/>
    </row>
    <row r="36065" spans="32:32" x14ac:dyDescent="0.2">
      <c r="AF36065" s="12"/>
    </row>
    <row r="36066" spans="32:32" x14ac:dyDescent="0.2">
      <c r="AF36066" s="12"/>
    </row>
    <row r="36067" spans="32:32" x14ac:dyDescent="0.2">
      <c r="AF36067" s="12"/>
    </row>
    <row r="36068" spans="32:32" x14ac:dyDescent="0.2">
      <c r="AF36068" s="12"/>
    </row>
    <row r="36069" spans="32:32" x14ac:dyDescent="0.2">
      <c r="AF36069" s="12"/>
    </row>
    <row r="36070" spans="32:32" x14ac:dyDescent="0.2">
      <c r="AF36070" s="12"/>
    </row>
    <row r="36071" spans="32:32" x14ac:dyDescent="0.2">
      <c r="AF36071" s="12"/>
    </row>
    <row r="36072" spans="32:32" x14ac:dyDescent="0.2">
      <c r="AF36072" s="12"/>
    </row>
    <row r="36073" spans="32:32" x14ac:dyDescent="0.2">
      <c r="AF36073" s="12"/>
    </row>
    <row r="36074" spans="32:32" x14ac:dyDescent="0.2">
      <c r="AF36074" s="12"/>
    </row>
    <row r="36075" spans="32:32" x14ac:dyDescent="0.2">
      <c r="AF36075" s="12"/>
    </row>
    <row r="36076" spans="32:32" x14ac:dyDescent="0.2">
      <c r="AF36076" s="12"/>
    </row>
    <row r="36077" spans="32:32" x14ac:dyDescent="0.2">
      <c r="AF36077" s="12"/>
    </row>
    <row r="36078" spans="32:32" x14ac:dyDescent="0.2">
      <c r="AF36078" s="12"/>
    </row>
    <row r="36079" spans="32:32" x14ac:dyDescent="0.2">
      <c r="AF36079" s="12"/>
    </row>
    <row r="36080" spans="32:32" x14ac:dyDescent="0.2">
      <c r="AF36080" s="12"/>
    </row>
    <row r="36081" spans="32:32" x14ac:dyDescent="0.2">
      <c r="AF36081" s="12"/>
    </row>
    <row r="36082" spans="32:32" x14ac:dyDescent="0.2">
      <c r="AF36082" s="12"/>
    </row>
    <row r="36083" spans="32:32" x14ac:dyDescent="0.2">
      <c r="AF36083" s="12"/>
    </row>
    <row r="36084" spans="32:32" x14ac:dyDescent="0.2">
      <c r="AF36084" s="12"/>
    </row>
    <row r="36085" spans="32:32" x14ac:dyDescent="0.2">
      <c r="AF36085" s="12"/>
    </row>
    <row r="36086" spans="32:32" x14ac:dyDescent="0.2">
      <c r="AF36086" s="12"/>
    </row>
    <row r="36087" spans="32:32" x14ac:dyDescent="0.2">
      <c r="AF36087" s="12"/>
    </row>
    <row r="36088" spans="32:32" x14ac:dyDescent="0.2">
      <c r="AF36088" s="12"/>
    </row>
    <row r="36089" spans="32:32" x14ac:dyDescent="0.2">
      <c r="AF36089" s="12"/>
    </row>
    <row r="36090" spans="32:32" x14ac:dyDescent="0.2">
      <c r="AF36090" s="12"/>
    </row>
    <row r="36091" spans="32:32" x14ac:dyDescent="0.2">
      <c r="AF36091" s="12"/>
    </row>
    <row r="36092" spans="32:32" x14ac:dyDescent="0.2">
      <c r="AF36092" s="12"/>
    </row>
    <row r="36093" spans="32:32" x14ac:dyDescent="0.2">
      <c r="AF36093" s="12"/>
    </row>
    <row r="36094" spans="32:32" x14ac:dyDescent="0.2">
      <c r="AF36094" s="12"/>
    </row>
    <row r="36095" spans="32:32" x14ac:dyDescent="0.2">
      <c r="AF36095" s="12"/>
    </row>
    <row r="36096" spans="32:32" x14ac:dyDescent="0.2">
      <c r="AF36096" s="12"/>
    </row>
    <row r="36097" spans="32:32" x14ac:dyDescent="0.2">
      <c r="AF36097" s="12"/>
    </row>
    <row r="36098" spans="32:32" x14ac:dyDescent="0.2">
      <c r="AF36098" s="12"/>
    </row>
    <row r="36099" spans="32:32" x14ac:dyDescent="0.2">
      <c r="AF36099" s="12"/>
    </row>
    <row r="36100" spans="32:32" x14ac:dyDescent="0.2">
      <c r="AF36100" s="12"/>
    </row>
    <row r="36101" spans="32:32" x14ac:dyDescent="0.2">
      <c r="AF36101" s="12"/>
    </row>
    <row r="36102" spans="32:32" x14ac:dyDescent="0.2">
      <c r="AF36102" s="12"/>
    </row>
    <row r="36103" spans="32:32" x14ac:dyDescent="0.2">
      <c r="AF36103" s="12"/>
    </row>
    <row r="36104" spans="32:32" x14ac:dyDescent="0.2">
      <c r="AF36104" s="12"/>
    </row>
    <row r="36105" spans="32:32" x14ac:dyDescent="0.2">
      <c r="AF36105" s="12"/>
    </row>
    <row r="36106" spans="32:32" x14ac:dyDescent="0.2">
      <c r="AF36106" s="12"/>
    </row>
    <row r="36107" spans="32:32" x14ac:dyDescent="0.2">
      <c r="AF36107" s="12"/>
    </row>
    <row r="36108" spans="32:32" x14ac:dyDescent="0.2">
      <c r="AF36108" s="12"/>
    </row>
    <row r="36109" spans="32:32" x14ac:dyDescent="0.2">
      <c r="AF36109" s="12"/>
    </row>
    <row r="36110" spans="32:32" x14ac:dyDescent="0.2">
      <c r="AF36110" s="12"/>
    </row>
    <row r="36111" spans="32:32" x14ac:dyDescent="0.2">
      <c r="AF36111" s="12"/>
    </row>
    <row r="36112" spans="32:32" x14ac:dyDescent="0.2">
      <c r="AF36112" s="12"/>
    </row>
    <row r="36113" spans="32:32" x14ac:dyDescent="0.2">
      <c r="AF36113" s="12"/>
    </row>
    <row r="36114" spans="32:32" x14ac:dyDescent="0.2">
      <c r="AF36114" s="12"/>
    </row>
    <row r="36115" spans="32:32" x14ac:dyDescent="0.2">
      <c r="AF36115" s="12"/>
    </row>
    <row r="36116" spans="32:32" x14ac:dyDescent="0.2">
      <c r="AF36116" s="12"/>
    </row>
    <row r="36117" spans="32:32" x14ac:dyDescent="0.2">
      <c r="AF36117" s="12"/>
    </row>
    <row r="36118" spans="32:32" x14ac:dyDescent="0.2">
      <c r="AF36118" s="12"/>
    </row>
    <row r="36119" spans="32:32" x14ac:dyDescent="0.2">
      <c r="AF36119" s="12"/>
    </row>
    <row r="36120" spans="32:32" x14ac:dyDescent="0.2">
      <c r="AF36120" s="12"/>
    </row>
    <row r="36121" spans="32:32" x14ac:dyDescent="0.2">
      <c r="AF36121" s="12"/>
    </row>
    <row r="36122" spans="32:32" x14ac:dyDescent="0.2">
      <c r="AF36122" s="12"/>
    </row>
    <row r="36123" spans="32:32" x14ac:dyDescent="0.2">
      <c r="AF36123" s="12"/>
    </row>
    <row r="36124" spans="32:32" x14ac:dyDescent="0.2">
      <c r="AF36124" s="12"/>
    </row>
    <row r="36125" spans="32:32" x14ac:dyDescent="0.2">
      <c r="AF36125" s="12"/>
    </row>
    <row r="36126" spans="32:32" x14ac:dyDescent="0.2">
      <c r="AF36126" s="12"/>
    </row>
    <row r="36127" spans="32:32" x14ac:dyDescent="0.2">
      <c r="AF36127" s="12"/>
    </row>
    <row r="36128" spans="32:32" x14ac:dyDescent="0.2">
      <c r="AF36128" s="12"/>
    </row>
    <row r="36129" spans="32:32" x14ac:dyDescent="0.2">
      <c r="AF36129" s="12"/>
    </row>
    <row r="36130" spans="32:32" x14ac:dyDescent="0.2">
      <c r="AF36130" s="12"/>
    </row>
    <row r="36131" spans="32:32" x14ac:dyDescent="0.2">
      <c r="AF36131" s="12"/>
    </row>
    <row r="36132" spans="32:32" x14ac:dyDescent="0.2">
      <c r="AF36132" s="12"/>
    </row>
    <row r="36133" spans="32:32" x14ac:dyDescent="0.2">
      <c r="AF36133" s="12"/>
    </row>
    <row r="36134" spans="32:32" x14ac:dyDescent="0.2">
      <c r="AF36134" s="12"/>
    </row>
    <row r="36135" spans="32:32" x14ac:dyDescent="0.2">
      <c r="AF36135" s="12"/>
    </row>
    <row r="36136" spans="32:32" x14ac:dyDescent="0.2">
      <c r="AF36136" s="12"/>
    </row>
    <row r="36137" spans="32:32" x14ac:dyDescent="0.2">
      <c r="AF36137" s="12"/>
    </row>
    <row r="36138" spans="32:32" x14ac:dyDescent="0.2">
      <c r="AF36138" s="12"/>
    </row>
    <row r="36139" spans="32:32" x14ac:dyDescent="0.2">
      <c r="AF36139" s="12"/>
    </row>
    <row r="36140" spans="32:32" x14ac:dyDescent="0.2">
      <c r="AF36140" s="12"/>
    </row>
    <row r="36141" spans="32:32" x14ac:dyDescent="0.2">
      <c r="AF36141" s="12"/>
    </row>
    <row r="36142" spans="32:32" x14ac:dyDescent="0.2">
      <c r="AF36142" s="12"/>
    </row>
    <row r="36143" spans="32:32" x14ac:dyDescent="0.2">
      <c r="AF36143" s="12"/>
    </row>
    <row r="36144" spans="32:32" x14ac:dyDescent="0.2">
      <c r="AF36144" s="12"/>
    </row>
    <row r="36145" spans="32:32" x14ac:dyDescent="0.2">
      <c r="AF36145" s="12"/>
    </row>
    <row r="36146" spans="32:32" x14ac:dyDescent="0.2">
      <c r="AF36146" s="12"/>
    </row>
    <row r="36147" spans="32:32" x14ac:dyDescent="0.2">
      <c r="AF36147" s="12"/>
    </row>
    <row r="36148" spans="32:32" x14ac:dyDescent="0.2">
      <c r="AF36148" s="12"/>
    </row>
    <row r="36149" spans="32:32" x14ac:dyDescent="0.2">
      <c r="AF36149" s="12"/>
    </row>
    <row r="36150" spans="32:32" x14ac:dyDescent="0.2">
      <c r="AF36150" s="12"/>
    </row>
    <row r="36151" spans="32:32" x14ac:dyDescent="0.2">
      <c r="AF36151" s="12"/>
    </row>
    <row r="36152" spans="32:32" x14ac:dyDescent="0.2">
      <c r="AF36152" s="12"/>
    </row>
    <row r="36153" spans="32:32" x14ac:dyDescent="0.2">
      <c r="AF36153" s="12"/>
    </row>
    <row r="36154" spans="32:32" x14ac:dyDescent="0.2">
      <c r="AF36154" s="12"/>
    </row>
    <row r="36155" spans="32:32" x14ac:dyDescent="0.2">
      <c r="AF36155" s="12"/>
    </row>
    <row r="36156" spans="32:32" x14ac:dyDescent="0.2">
      <c r="AF36156" s="12"/>
    </row>
    <row r="36157" spans="32:32" x14ac:dyDescent="0.2">
      <c r="AF36157" s="12"/>
    </row>
    <row r="36158" spans="32:32" x14ac:dyDescent="0.2">
      <c r="AF36158" s="12"/>
    </row>
    <row r="36159" spans="32:32" x14ac:dyDescent="0.2">
      <c r="AF36159" s="12"/>
    </row>
    <row r="36160" spans="32:32" x14ac:dyDescent="0.2">
      <c r="AF36160" s="12"/>
    </row>
    <row r="36161" spans="32:32" x14ac:dyDescent="0.2">
      <c r="AF36161" s="12"/>
    </row>
    <row r="36162" spans="32:32" x14ac:dyDescent="0.2">
      <c r="AF36162" s="12"/>
    </row>
    <row r="36163" spans="32:32" x14ac:dyDescent="0.2">
      <c r="AF36163" s="12"/>
    </row>
    <row r="36164" spans="32:32" x14ac:dyDescent="0.2">
      <c r="AF36164" s="12"/>
    </row>
    <row r="36165" spans="32:32" x14ac:dyDescent="0.2">
      <c r="AF36165" s="12"/>
    </row>
    <row r="36166" spans="32:32" x14ac:dyDescent="0.2">
      <c r="AF36166" s="12"/>
    </row>
    <row r="36167" spans="32:32" x14ac:dyDescent="0.2">
      <c r="AF36167" s="12"/>
    </row>
    <row r="36168" spans="32:32" x14ac:dyDescent="0.2">
      <c r="AF36168" s="12"/>
    </row>
    <row r="36169" spans="32:32" x14ac:dyDescent="0.2">
      <c r="AF36169" s="12"/>
    </row>
    <row r="36170" spans="32:32" x14ac:dyDescent="0.2">
      <c r="AF36170" s="12"/>
    </row>
    <row r="36171" spans="32:32" x14ac:dyDescent="0.2">
      <c r="AF36171" s="12"/>
    </row>
    <row r="36172" spans="32:32" x14ac:dyDescent="0.2">
      <c r="AF36172" s="12"/>
    </row>
    <row r="36173" spans="32:32" x14ac:dyDescent="0.2">
      <c r="AF36173" s="12"/>
    </row>
    <row r="36174" spans="32:32" x14ac:dyDescent="0.2">
      <c r="AF36174" s="12"/>
    </row>
    <row r="36175" spans="32:32" x14ac:dyDescent="0.2">
      <c r="AF36175" s="12"/>
    </row>
    <row r="36176" spans="32:32" x14ac:dyDescent="0.2">
      <c r="AF36176" s="12"/>
    </row>
    <row r="36177" spans="32:32" x14ac:dyDescent="0.2">
      <c r="AF36177" s="12"/>
    </row>
    <row r="36178" spans="32:32" x14ac:dyDescent="0.2">
      <c r="AF36178" s="12"/>
    </row>
    <row r="36179" spans="32:32" x14ac:dyDescent="0.2">
      <c r="AF36179" s="12"/>
    </row>
    <row r="36180" spans="32:32" x14ac:dyDescent="0.2">
      <c r="AF36180" s="12"/>
    </row>
    <row r="36181" spans="32:32" x14ac:dyDescent="0.2">
      <c r="AF36181" s="12"/>
    </row>
    <row r="36182" spans="32:32" x14ac:dyDescent="0.2">
      <c r="AF36182" s="12"/>
    </row>
    <row r="36183" spans="32:32" x14ac:dyDescent="0.2">
      <c r="AF36183" s="12"/>
    </row>
    <row r="36184" spans="32:32" x14ac:dyDescent="0.2">
      <c r="AF36184" s="12"/>
    </row>
    <row r="36185" spans="32:32" x14ac:dyDescent="0.2">
      <c r="AF36185" s="12"/>
    </row>
    <row r="36186" spans="32:32" x14ac:dyDescent="0.2">
      <c r="AF36186" s="12"/>
    </row>
    <row r="36187" spans="32:32" x14ac:dyDescent="0.2">
      <c r="AF36187" s="12"/>
    </row>
    <row r="36188" spans="32:32" x14ac:dyDescent="0.2">
      <c r="AF36188" s="12"/>
    </row>
    <row r="36189" spans="32:32" x14ac:dyDescent="0.2">
      <c r="AF36189" s="12"/>
    </row>
    <row r="36190" spans="32:32" x14ac:dyDescent="0.2">
      <c r="AF36190" s="12"/>
    </row>
    <row r="36191" spans="32:32" x14ac:dyDescent="0.2">
      <c r="AF36191" s="12"/>
    </row>
    <row r="36192" spans="32:32" x14ac:dyDescent="0.2">
      <c r="AF36192" s="12"/>
    </row>
    <row r="36193" spans="32:32" x14ac:dyDescent="0.2">
      <c r="AF36193" s="12"/>
    </row>
    <row r="36194" spans="32:32" x14ac:dyDescent="0.2">
      <c r="AF36194" s="12"/>
    </row>
    <row r="36195" spans="32:32" x14ac:dyDescent="0.2">
      <c r="AF36195" s="12"/>
    </row>
    <row r="36196" spans="32:32" x14ac:dyDescent="0.2">
      <c r="AF36196" s="12"/>
    </row>
    <row r="36197" spans="32:32" x14ac:dyDescent="0.2">
      <c r="AF36197" s="12"/>
    </row>
    <row r="36198" spans="32:32" x14ac:dyDescent="0.2">
      <c r="AF36198" s="12"/>
    </row>
    <row r="36199" spans="32:32" x14ac:dyDescent="0.2">
      <c r="AF36199" s="12"/>
    </row>
    <row r="36200" spans="32:32" x14ac:dyDescent="0.2">
      <c r="AF36200" s="12"/>
    </row>
    <row r="36201" spans="32:32" x14ac:dyDescent="0.2">
      <c r="AF36201" s="12"/>
    </row>
    <row r="36202" spans="32:32" x14ac:dyDescent="0.2">
      <c r="AF36202" s="12"/>
    </row>
    <row r="36203" spans="32:32" x14ac:dyDescent="0.2">
      <c r="AF36203" s="12"/>
    </row>
    <row r="36204" spans="32:32" x14ac:dyDescent="0.2">
      <c r="AF36204" s="12"/>
    </row>
    <row r="36205" spans="32:32" x14ac:dyDescent="0.2">
      <c r="AF36205" s="12"/>
    </row>
    <row r="36206" spans="32:32" x14ac:dyDescent="0.2">
      <c r="AF36206" s="12"/>
    </row>
    <row r="36207" spans="32:32" x14ac:dyDescent="0.2">
      <c r="AF36207" s="12"/>
    </row>
    <row r="36208" spans="32:32" x14ac:dyDescent="0.2">
      <c r="AF36208" s="12"/>
    </row>
    <row r="36209" spans="32:32" x14ac:dyDescent="0.2">
      <c r="AF36209" s="12"/>
    </row>
    <row r="36210" spans="32:32" x14ac:dyDescent="0.2">
      <c r="AF36210" s="12"/>
    </row>
    <row r="36211" spans="32:32" x14ac:dyDescent="0.2">
      <c r="AF36211" s="12"/>
    </row>
    <row r="36212" spans="32:32" x14ac:dyDescent="0.2">
      <c r="AF36212" s="12"/>
    </row>
    <row r="36213" spans="32:32" x14ac:dyDescent="0.2">
      <c r="AF36213" s="12"/>
    </row>
    <row r="36214" spans="32:32" x14ac:dyDescent="0.2">
      <c r="AF36214" s="12"/>
    </row>
    <row r="36215" spans="32:32" x14ac:dyDescent="0.2">
      <c r="AF36215" s="12"/>
    </row>
    <row r="36216" spans="32:32" x14ac:dyDescent="0.2">
      <c r="AF36216" s="12"/>
    </row>
    <row r="36217" spans="32:32" x14ac:dyDescent="0.2">
      <c r="AF36217" s="12"/>
    </row>
    <row r="36218" spans="32:32" x14ac:dyDescent="0.2">
      <c r="AF36218" s="12"/>
    </row>
    <row r="36219" spans="32:32" x14ac:dyDescent="0.2">
      <c r="AF36219" s="12"/>
    </row>
    <row r="36220" spans="32:32" x14ac:dyDescent="0.2">
      <c r="AF36220" s="12"/>
    </row>
    <row r="36221" spans="32:32" x14ac:dyDescent="0.2">
      <c r="AF36221" s="12"/>
    </row>
    <row r="36222" spans="32:32" x14ac:dyDescent="0.2">
      <c r="AF36222" s="12"/>
    </row>
    <row r="36223" spans="32:32" x14ac:dyDescent="0.2">
      <c r="AF36223" s="12"/>
    </row>
    <row r="36224" spans="32:32" x14ac:dyDescent="0.2">
      <c r="AF36224" s="12"/>
    </row>
    <row r="36225" spans="32:32" x14ac:dyDescent="0.2">
      <c r="AF36225" s="12"/>
    </row>
    <row r="36226" spans="32:32" x14ac:dyDescent="0.2">
      <c r="AF36226" s="12"/>
    </row>
    <row r="36227" spans="32:32" x14ac:dyDescent="0.2">
      <c r="AF36227" s="12"/>
    </row>
    <row r="36228" spans="32:32" x14ac:dyDescent="0.2">
      <c r="AF36228" s="12"/>
    </row>
    <row r="36229" spans="32:32" x14ac:dyDescent="0.2">
      <c r="AF36229" s="12"/>
    </row>
    <row r="36230" spans="32:32" x14ac:dyDescent="0.2">
      <c r="AF36230" s="12"/>
    </row>
    <row r="36231" spans="32:32" x14ac:dyDescent="0.2">
      <c r="AF36231" s="12"/>
    </row>
    <row r="36232" spans="32:32" x14ac:dyDescent="0.2">
      <c r="AF36232" s="12"/>
    </row>
    <row r="36233" spans="32:32" x14ac:dyDescent="0.2">
      <c r="AF36233" s="12"/>
    </row>
    <row r="36234" spans="32:32" x14ac:dyDescent="0.2">
      <c r="AF36234" s="12"/>
    </row>
    <row r="36235" spans="32:32" x14ac:dyDescent="0.2">
      <c r="AF36235" s="12"/>
    </row>
    <row r="36236" spans="32:32" x14ac:dyDescent="0.2">
      <c r="AF36236" s="12"/>
    </row>
    <row r="36237" spans="32:32" x14ac:dyDescent="0.2">
      <c r="AF36237" s="12"/>
    </row>
    <row r="36238" spans="32:32" x14ac:dyDescent="0.2">
      <c r="AF36238" s="12"/>
    </row>
    <row r="36239" spans="32:32" x14ac:dyDescent="0.2">
      <c r="AF36239" s="12"/>
    </row>
    <row r="36240" spans="32:32" x14ac:dyDescent="0.2">
      <c r="AF36240" s="12"/>
    </row>
    <row r="36241" spans="32:32" x14ac:dyDescent="0.2">
      <c r="AF36241" s="12"/>
    </row>
    <row r="36242" spans="32:32" x14ac:dyDescent="0.2">
      <c r="AF36242" s="12"/>
    </row>
    <row r="36243" spans="32:32" x14ac:dyDescent="0.2">
      <c r="AF36243" s="12"/>
    </row>
    <row r="36244" spans="32:32" x14ac:dyDescent="0.2">
      <c r="AF36244" s="12"/>
    </row>
    <row r="36245" spans="32:32" x14ac:dyDescent="0.2">
      <c r="AF36245" s="12"/>
    </row>
    <row r="36246" spans="32:32" x14ac:dyDescent="0.2">
      <c r="AF36246" s="12"/>
    </row>
    <row r="36247" spans="32:32" x14ac:dyDescent="0.2">
      <c r="AF36247" s="12"/>
    </row>
    <row r="36248" spans="32:32" x14ac:dyDescent="0.2">
      <c r="AF36248" s="12"/>
    </row>
    <row r="36249" spans="32:32" x14ac:dyDescent="0.2">
      <c r="AF36249" s="12"/>
    </row>
    <row r="36250" spans="32:32" x14ac:dyDescent="0.2">
      <c r="AF36250" s="12"/>
    </row>
    <row r="36251" spans="32:32" x14ac:dyDescent="0.2">
      <c r="AF36251" s="12"/>
    </row>
    <row r="36252" spans="32:32" x14ac:dyDescent="0.2">
      <c r="AF36252" s="12"/>
    </row>
    <row r="36253" spans="32:32" x14ac:dyDescent="0.2">
      <c r="AF36253" s="12"/>
    </row>
    <row r="36254" spans="32:32" x14ac:dyDescent="0.2">
      <c r="AF36254" s="12"/>
    </row>
    <row r="36255" spans="32:32" x14ac:dyDescent="0.2">
      <c r="AF36255" s="12"/>
    </row>
    <row r="36256" spans="32:32" x14ac:dyDescent="0.2">
      <c r="AF36256" s="12"/>
    </row>
    <row r="36257" spans="32:32" x14ac:dyDescent="0.2">
      <c r="AF36257" s="12"/>
    </row>
    <row r="36258" spans="32:32" x14ac:dyDescent="0.2">
      <c r="AF36258" s="12"/>
    </row>
    <row r="36259" spans="32:32" x14ac:dyDescent="0.2">
      <c r="AF36259" s="12"/>
    </row>
    <row r="36260" spans="32:32" x14ac:dyDescent="0.2">
      <c r="AF36260" s="12"/>
    </row>
    <row r="36261" spans="32:32" x14ac:dyDescent="0.2">
      <c r="AF36261" s="12"/>
    </row>
    <row r="36262" spans="32:32" x14ac:dyDescent="0.2">
      <c r="AF36262" s="12"/>
    </row>
    <row r="36263" spans="32:32" x14ac:dyDescent="0.2">
      <c r="AF36263" s="12"/>
    </row>
    <row r="36264" spans="32:32" x14ac:dyDescent="0.2">
      <c r="AF36264" s="12"/>
    </row>
    <row r="36265" spans="32:32" x14ac:dyDescent="0.2">
      <c r="AF36265" s="12"/>
    </row>
    <row r="36266" spans="32:32" x14ac:dyDescent="0.2">
      <c r="AF36266" s="12"/>
    </row>
    <row r="36267" spans="32:32" x14ac:dyDescent="0.2">
      <c r="AF36267" s="12"/>
    </row>
    <row r="36268" spans="32:32" x14ac:dyDescent="0.2">
      <c r="AF36268" s="12"/>
    </row>
    <row r="36269" spans="32:32" x14ac:dyDescent="0.2">
      <c r="AF36269" s="12"/>
    </row>
    <row r="36270" spans="32:32" x14ac:dyDescent="0.2">
      <c r="AF36270" s="12"/>
    </row>
    <row r="36271" spans="32:32" x14ac:dyDescent="0.2">
      <c r="AF36271" s="12"/>
    </row>
    <row r="36272" spans="32:32" x14ac:dyDescent="0.2">
      <c r="AF36272" s="12"/>
    </row>
    <row r="36273" spans="32:32" x14ac:dyDescent="0.2">
      <c r="AF36273" s="12"/>
    </row>
    <row r="36274" spans="32:32" x14ac:dyDescent="0.2">
      <c r="AF36274" s="12"/>
    </row>
    <row r="36275" spans="32:32" x14ac:dyDescent="0.2">
      <c r="AF36275" s="12"/>
    </row>
    <row r="36276" spans="32:32" x14ac:dyDescent="0.2">
      <c r="AF36276" s="12"/>
    </row>
    <row r="36277" spans="32:32" x14ac:dyDescent="0.2">
      <c r="AF36277" s="12"/>
    </row>
    <row r="36278" spans="32:32" x14ac:dyDescent="0.2">
      <c r="AF36278" s="12"/>
    </row>
    <row r="36279" spans="32:32" x14ac:dyDescent="0.2">
      <c r="AF36279" s="12"/>
    </row>
    <row r="36280" spans="32:32" x14ac:dyDescent="0.2">
      <c r="AF36280" s="12"/>
    </row>
    <row r="36281" spans="32:32" x14ac:dyDescent="0.2">
      <c r="AF36281" s="12"/>
    </row>
    <row r="36282" spans="32:32" x14ac:dyDescent="0.2">
      <c r="AF36282" s="12"/>
    </row>
    <row r="36283" spans="32:32" x14ac:dyDescent="0.2">
      <c r="AF36283" s="12"/>
    </row>
    <row r="36284" spans="32:32" x14ac:dyDescent="0.2">
      <c r="AF36284" s="12"/>
    </row>
    <row r="36285" spans="32:32" x14ac:dyDescent="0.2">
      <c r="AF36285" s="12"/>
    </row>
    <row r="36286" spans="32:32" x14ac:dyDescent="0.2">
      <c r="AF36286" s="12"/>
    </row>
    <row r="36287" spans="32:32" x14ac:dyDescent="0.2">
      <c r="AF36287" s="12"/>
    </row>
    <row r="36288" spans="32:32" x14ac:dyDescent="0.2">
      <c r="AF36288" s="12"/>
    </row>
    <row r="36289" spans="32:32" x14ac:dyDescent="0.2">
      <c r="AF36289" s="12"/>
    </row>
    <row r="36290" spans="32:32" x14ac:dyDescent="0.2">
      <c r="AF36290" s="12"/>
    </row>
    <row r="36291" spans="32:32" x14ac:dyDescent="0.2">
      <c r="AF36291" s="12"/>
    </row>
    <row r="36292" spans="32:32" x14ac:dyDescent="0.2">
      <c r="AF36292" s="12"/>
    </row>
    <row r="36293" spans="32:32" x14ac:dyDescent="0.2">
      <c r="AF36293" s="12"/>
    </row>
    <row r="36294" spans="32:32" x14ac:dyDescent="0.2">
      <c r="AF36294" s="12"/>
    </row>
    <row r="36295" spans="32:32" x14ac:dyDescent="0.2">
      <c r="AF36295" s="12"/>
    </row>
    <row r="36296" spans="32:32" x14ac:dyDescent="0.2">
      <c r="AF36296" s="12"/>
    </row>
    <row r="36297" spans="32:32" x14ac:dyDescent="0.2">
      <c r="AF36297" s="12"/>
    </row>
    <row r="36298" spans="32:32" x14ac:dyDescent="0.2">
      <c r="AF36298" s="12"/>
    </row>
    <row r="36299" spans="32:32" x14ac:dyDescent="0.2">
      <c r="AF36299" s="12"/>
    </row>
    <row r="36300" spans="32:32" x14ac:dyDescent="0.2">
      <c r="AF36300" s="12"/>
    </row>
    <row r="36301" spans="32:32" x14ac:dyDescent="0.2">
      <c r="AF36301" s="12"/>
    </row>
    <row r="36302" spans="32:32" x14ac:dyDescent="0.2">
      <c r="AF36302" s="12"/>
    </row>
    <row r="36303" spans="32:32" x14ac:dyDescent="0.2">
      <c r="AF36303" s="12"/>
    </row>
    <row r="36304" spans="32:32" x14ac:dyDescent="0.2">
      <c r="AF36304" s="12"/>
    </row>
    <row r="36305" spans="32:32" x14ac:dyDescent="0.2">
      <c r="AF36305" s="12"/>
    </row>
    <row r="36306" spans="32:32" x14ac:dyDescent="0.2">
      <c r="AF36306" s="12"/>
    </row>
    <row r="36307" spans="32:32" x14ac:dyDescent="0.2">
      <c r="AF36307" s="12"/>
    </row>
    <row r="36308" spans="32:32" x14ac:dyDescent="0.2">
      <c r="AF36308" s="12"/>
    </row>
    <row r="36309" spans="32:32" x14ac:dyDescent="0.2">
      <c r="AF36309" s="12"/>
    </row>
    <row r="36310" spans="32:32" x14ac:dyDescent="0.2">
      <c r="AF36310" s="12"/>
    </row>
    <row r="36311" spans="32:32" x14ac:dyDescent="0.2">
      <c r="AF36311" s="12"/>
    </row>
    <row r="36312" spans="32:32" x14ac:dyDescent="0.2">
      <c r="AF36312" s="12"/>
    </row>
    <row r="36313" spans="32:32" x14ac:dyDescent="0.2">
      <c r="AF36313" s="12"/>
    </row>
    <row r="36314" spans="32:32" x14ac:dyDescent="0.2">
      <c r="AF36314" s="12"/>
    </row>
    <row r="36315" spans="32:32" x14ac:dyDescent="0.2">
      <c r="AF36315" s="12"/>
    </row>
    <row r="36316" spans="32:32" x14ac:dyDescent="0.2">
      <c r="AF36316" s="12"/>
    </row>
    <row r="36317" spans="32:32" x14ac:dyDescent="0.2">
      <c r="AF36317" s="12"/>
    </row>
    <row r="36318" spans="32:32" x14ac:dyDescent="0.2">
      <c r="AF36318" s="12"/>
    </row>
    <row r="36319" spans="32:32" x14ac:dyDescent="0.2">
      <c r="AF36319" s="12"/>
    </row>
    <row r="36320" spans="32:32" x14ac:dyDescent="0.2">
      <c r="AF36320" s="12"/>
    </row>
    <row r="36321" spans="32:32" x14ac:dyDescent="0.2">
      <c r="AF36321" s="12"/>
    </row>
    <row r="36322" spans="32:32" x14ac:dyDescent="0.2">
      <c r="AF36322" s="12"/>
    </row>
    <row r="36323" spans="32:32" x14ac:dyDescent="0.2">
      <c r="AF36323" s="12"/>
    </row>
    <row r="36324" spans="32:32" x14ac:dyDescent="0.2">
      <c r="AF36324" s="12"/>
    </row>
    <row r="36325" spans="32:32" x14ac:dyDescent="0.2">
      <c r="AF36325" s="12"/>
    </row>
    <row r="36326" spans="32:32" x14ac:dyDescent="0.2">
      <c r="AF36326" s="12"/>
    </row>
    <row r="36327" spans="32:32" x14ac:dyDescent="0.2">
      <c r="AF36327" s="12"/>
    </row>
    <row r="36328" spans="32:32" x14ac:dyDescent="0.2">
      <c r="AF36328" s="12"/>
    </row>
    <row r="36329" spans="32:32" x14ac:dyDescent="0.2">
      <c r="AF36329" s="12"/>
    </row>
    <row r="36330" spans="32:32" x14ac:dyDescent="0.2">
      <c r="AF36330" s="12"/>
    </row>
    <row r="36331" spans="32:32" x14ac:dyDescent="0.2">
      <c r="AF36331" s="12"/>
    </row>
    <row r="36332" spans="32:32" x14ac:dyDescent="0.2">
      <c r="AF36332" s="12"/>
    </row>
    <row r="36333" spans="32:32" x14ac:dyDescent="0.2">
      <c r="AF36333" s="12"/>
    </row>
    <row r="36334" spans="32:32" x14ac:dyDescent="0.2">
      <c r="AF36334" s="12"/>
    </row>
    <row r="36335" spans="32:32" x14ac:dyDescent="0.2">
      <c r="AF36335" s="12"/>
    </row>
    <row r="36336" spans="32:32" x14ac:dyDescent="0.2">
      <c r="AF36336" s="12"/>
    </row>
    <row r="36337" spans="32:32" x14ac:dyDescent="0.2">
      <c r="AF36337" s="12"/>
    </row>
    <row r="36338" spans="32:32" x14ac:dyDescent="0.2">
      <c r="AF36338" s="12"/>
    </row>
    <row r="36339" spans="32:32" x14ac:dyDescent="0.2">
      <c r="AF36339" s="12"/>
    </row>
    <row r="36340" spans="32:32" x14ac:dyDescent="0.2">
      <c r="AF36340" s="12"/>
    </row>
    <row r="36341" spans="32:32" x14ac:dyDescent="0.2">
      <c r="AF36341" s="12"/>
    </row>
    <row r="36342" spans="32:32" x14ac:dyDescent="0.2">
      <c r="AF36342" s="12"/>
    </row>
    <row r="36343" spans="32:32" x14ac:dyDescent="0.2">
      <c r="AF36343" s="12"/>
    </row>
    <row r="36344" spans="32:32" x14ac:dyDescent="0.2">
      <c r="AF36344" s="12"/>
    </row>
    <row r="36345" spans="32:32" x14ac:dyDescent="0.2">
      <c r="AF36345" s="12"/>
    </row>
    <row r="36346" spans="32:32" x14ac:dyDescent="0.2">
      <c r="AF36346" s="12"/>
    </row>
    <row r="36347" spans="32:32" x14ac:dyDescent="0.2">
      <c r="AF36347" s="12"/>
    </row>
    <row r="36348" spans="32:32" x14ac:dyDescent="0.2">
      <c r="AF36348" s="12"/>
    </row>
    <row r="36349" spans="32:32" x14ac:dyDescent="0.2">
      <c r="AF36349" s="12"/>
    </row>
    <row r="36350" spans="32:32" x14ac:dyDescent="0.2">
      <c r="AF36350" s="12"/>
    </row>
    <row r="36351" spans="32:32" x14ac:dyDescent="0.2">
      <c r="AF36351" s="12"/>
    </row>
    <row r="36352" spans="32:32" x14ac:dyDescent="0.2">
      <c r="AF36352" s="12"/>
    </row>
    <row r="36353" spans="32:32" x14ac:dyDescent="0.2">
      <c r="AF36353" s="12"/>
    </row>
    <row r="36354" spans="32:32" x14ac:dyDescent="0.2">
      <c r="AF36354" s="12"/>
    </row>
    <row r="36355" spans="32:32" x14ac:dyDescent="0.2">
      <c r="AF36355" s="12"/>
    </row>
    <row r="36356" spans="32:32" x14ac:dyDescent="0.2">
      <c r="AF36356" s="12"/>
    </row>
    <row r="36357" spans="32:32" x14ac:dyDescent="0.2">
      <c r="AF36357" s="12"/>
    </row>
    <row r="36358" spans="32:32" x14ac:dyDescent="0.2">
      <c r="AF36358" s="12"/>
    </row>
    <row r="36359" spans="32:32" x14ac:dyDescent="0.2">
      <c r="AF36359" s="12"/>
    </row>
    <row r="36360" spans="32:32" x14ac:dyDescent="0.2">
      <c r="AF36360" s="12"/>
    </row>
    <row r="36361" spans="32:32" x14ac:dyDescent="0.2">
      <c r="AF36361" s="12"/>
    </row>
    <row r="36362" spans="32:32" x14ac:dyDescent="0.2">
      <c r="AF36362" s="12"/>
    </row>
    <row r="36363" spans="32:32" x14ac:dyDescent="0.2">
      <c r="AF36363" s="12"/>
    </row>
    <row r="36364" spans="32:32" x14ac:dyDescent="0.2">
      <c r="AF36364" s="12"/>
    </row>
    <row r="36365" spans="32:32" x14ac:dyDescent="0.2">
      <c r="AF36365" s="12"/>
    </row>
    <row r="36366" spans="32:32" x14ac:dyDescent="0.2">
      <c r="AF36366" s="12"/>
    </row>
    <row r="36367" spans="32:32" x14ac:dyDescent="0.2">
      <c r="AF36367" s="12"/>
    </row>
    <row r="36368" spans="32:32" x14ac:dyDescent="0.2">
      <c r="AF36368" s="12"/>
    </row>
    <row r="36369" spans="32:32" x14ac:dyDescent="0.2">
      <c r="AF36369" s="12"/>
    </row>
    <row r="36370" spans="32:32" x14ac:dyDescent="0.2">
      <c r="AF36370" s="12"/>
    </row>
    <row r="36371" spans="32:32" x14ac:dyDescent="0.2">
      <c r="AF36371" s="12"/>
    </row>
    <row r="36372" spans="32:32" x14ac:dyDescent="0.2">
      <c r="AF36372" s="12"/>
    </row>
    <row r="36373" spans="32:32" x14ac:dyDescent="0.2">
      <c r="AF36373" s="12"/>
    </row>
    <row r="36374" spans="32:32" x14ac:dyDescent="0.2">
      <c r="AF36374" s="12"/>
    </row>
    <row r="36375" spans="32:32" x14ac:dyDescent="0.2">
      <c r="AF36375" s="12"/>
    </row>
    <row r="36376" spans="32:32" x14ac:dyDescent="0.2">
      <c r="AF36376" s="12"/>
    </row>
    <row r="36377" spans="32:32" x14ac:dyDescent="0.2">
      <c r="AF36377" s="12"/>
    </row>
    <row r="36378" spans="32:32" x14ac:dyDescent="0.2">
      <c r="AF36378" s="12"/>
    </row>
    <row r="36379" spans="32:32" x14ac:dyDescent="0.2">
      <c r="AF36379" s="12"/>
    </row>
    <row r="36380" spans="32:32" x14ac:dyDescent="0.2">
      <c r="AF36380" s="12"/>
    </row>
    <row r="36381" spans="32:32" x14ac:dyDescent="0.2">
      <c r="AF36381" s="12"/>
    </row>
    <row r="36382" spans="32:32" x14ac:dyDescent="0.2">
      <c r="AF36382" s="12"/>
    </row>
    <row r="36383" spans="32:32" x14ac:dyDescent="0.2">
      <c r="AF36383" s="12"/>
    </row>
    <row r="36384" spans="32:32" x14ac:dyDescent="0.2">
      <c r="AF36384" s="12"/>
    </row>
    <row r="36385" spans="32:32" x14ac:dyDescent="0.2">
      <c r="AF36385" s="12"/>
    </row>
    <row r="36386" spans="32:32" x14ac:dyDescent="0.2">
      <c r="AF36386" s="12"/>
    </row>
    <row r="36387" spans="32:32" x14ac:dyDescent="0.2">
      <c r="AF36387" s="12"/>
    </row>
    <row r="36388" spans="32:32" x14ac:dyDescent="0.2">
      <c r="AF36388" s="12"/>
    </row>
    <row r="36389" spans="32:32" x14ac:dyDescent="0.2">
      <c r="AF36389" s="12"/>
    </row>
    <row r="36390" spans="32:32" x14ac:dyDescent="0.2">
      <c r="AF36390" s="12"/>
    </row>
    <row r="36391" spans="32:32" x14ac:dyDescent="0.2">
      <c r="AF36391" s="12"/>
    </row>
    <row r="36392" spans="32:32" x14ac:dyDescent="0.2">
      <c r="AF36392" s="12"/>
    </row>
    <row r="36393" spans="32:32" x14ac:dyDescent="0.2">
      <c r="AF36393" s="12"/>
    </row>
    <row r="36394" spans="32:32" x14ac:dyDescent="0.2">
      <c r="AF36394" s="12"/>
    </row>
    <row r="36395" spans="32:32" x14ac:dyDescent="0.2">
      <c r="AF36395" s="12"/>
    </row>
    <row r="36396" spans="32:32" x14ac:dyDescent="0.2">
      <c r="AF36396" s="12"/>
    </row>
    <row r="36397" spans="32:32" x14ac:dyDescent="0.2">
      <c r="AF36397" s="12"/>
    </row>
    <row r="36398" spans="32:32" x14ac:dyDescent="0.2">
      <c r="AF36398" s="12"/>
    </row>
    <row r="36399" spans="32:32" x14ac:dyDescent="0.2">
      <c r="AF36399" s="12"/>
    </row>
    <row r="36400" spans="32:32" x14ac:dyDescent="0.2">
      <c r="AF36400" s="12"/>
    </row>
    <row r="36401" spans="32:32" x14ac:dyDescent="0.2">
      <c r="AF36401" s="12"/>
    </row>
    <row r="36402" spans="32:32" x14ac:dyDescent="0.2">
      <c r="AF36402" s="12"/>
    </row>
    <row r="36403" spans="32:32" x14ac:dyDescent="0.2">
      <c r="AF36403" s="12"/>
    </row>
    <row r="36404" spans="32:32" x14ac:dyDescent="0.2">
      <c r="AF36404" s="12"/>
    </row>
    <row r="36405" spans="32:32" x14ac:dyDescent="0.2">
      <c r="AF36405" s="12"/>
    </row>
    <row r="36406" spans="32:32" x14ac:dyDescent="0.2">
      <c r="AF36406" s="12"/>
    </row>
    <row r="36407" spans="32:32" x14ac:dyDescent="0.2">
      <c r="AF36407" s="12"/>
    </row>
    <row r="36408" spans="32:32" x14ac:dyDescent="0.2">
      <c r="AF36408" s="12"/>
    </row>
    <row r="36409" spans="32:32" x14ac:dyDescent="0.2">
      <c r="AF36409" s="12"/>
    </row>
    <row r="36410" spans="32:32" x14ac:dyDescent="0.2">
      <c r="AF36410" s="12"/>
    </row>
    <row r="36411" spans="32:32" x14ac:dyDescent="0.2">
      <c r="AF36411" s="12"/>
    </row>
    <row r="36412" spans="32:32" x14ac:dyDescent="0.2">
      <c r="AF36412" s="12"/>
    </row>
    <row r="36413" spans="32:32" x14ac:dyDescent="0.2">
      <c r="AF36413" s="12"/>
    </row>
    <row r="36414" spans="32:32" x14ac:dyDescent="0.2">
      <c r="AF36414" s="12"/>
    </row>
    <row r="36415" spans="32:32" x14ac:dyDescent="0.2">
      <c r="AF36415" s="12"/>
    </row>
    <row r="36416" spans="32:32" x14ac:dyDescent="0.2">
      <c r="AF36416" s="12"/>
    </row>
    <row r="36417" spans="32:32" x14ac:dyDescent="0.2">
      <c r="AF36417" s="12"/>
    </row>
    <row r="36418" spans="32:32" x14ac:dyDescent="0.2">
      <c r="AF36418" s="12"/>
    </row>
    <row r="36419" spans="32:32" x14ac:dyDescent="0.2">
      <c r="AF36419" s="12"/>
    </row>
    <row r="36420" spans="32:32" x14ac:dyDescent="0.2">
      <c r="AF36420" s="12"/>
    </row>
    <row r="36421" spans="32:32" x14ac:dyDescent="0.2">
      <c r="AF36421" s="12"/>
    </row>
    <row r="36422" spans="32:32" x14ac:dyDescent="0.2">
      <c r="AF36422" s="12"/>
    </row>
    <row r="36423" spans="32:32" x14ac:dyDescent="0.2">
      <c r="AF36423" s="12"/>
    </row>
    <row r="36424" spans="32:32" x14ac:dyDescent="0.2">
      <c r="AF36424" s="12"/>
    </row>
    <row r="36425" spans="32:32" x14ac:dyDescent="0.2">
      <c r="AF36425" s="12"/>
    </row>
    <row r="36426" spans="32:32" x14ac:dyDescent="0.2">
      <c r="AF36426" s="12"/>
    </row>
    <row r="36427" spans="32:32" x14ac:dyDescent="0.2">
      <c r="AF36427" s="12"/>
    </row>
    <row r="36428" spans="32:32" x14ac:dyDescent="0.2">
      <c r="AF36428" s="12"/>
    </row>
    <row r="36429" spans="32:32" x14ac:dyDescent="0.2">
      <c r="AF36429" s="12"/>
    </row>
    <row r="36430" spans="32:32" x14ac:dyDescent="0.2">
      <c r="AF36430" s="12"/>
    </row>
    <row r="36431" spans="32:32" x14ac:dyDescent="0.2">
      <c r="AF36431" s="12"/>
    </row>
    <row r="36432" spans="32:32" x14ac:dyDescent="0.2">
      <c r="AF36432" s="12"/>
    </row>
    <row r="36433" spans="32:32" x14ac:dyDescent="0.2">
      <c r="AF36433" s="12"/>
    </row>
    <row r="36434" spans="32:32" x14ac:dyDescent="0.2">
      <c r="AF36434" s="12"/>
    </row>
    <row r="36435" spans="32:32" x14ac:dyDescent="0.2">
      <c r="AF36435" s="12"/>
    </row>
    <row r="36436" spans="32:32" x14ac:dyDescent="0.2">
      <c r="AF36436" s="12"/>
    </row>
    <row r="36437" spans="32:32" x14ac:dyDescent="0.2">
      <c r="AF36437" s="12"/>
    </row>
    <row r="36438" spans="32:32" x14ac:dyDescent="0.2">
      <c r="AF36438" s="12"/>
    </row>
    <row r="36439" spans="32:32" x14ac:dyDescent="0.2">
      <c r="AF36439" s="12"/>
    </row>
    <row r="36440" spans="32:32" x14ac:dyDescent="0.2">
      <c r="AF36440" s="12"/>
    </row>
    <row r="36441" spans="32:32" x14ac:dyDescent="0.2">
      <c r="AF36441" s="12"/>
    </row>
    <row r="36442" spans="32:32" x14ac:dyDescent="0.2">
      <c r="AF36442" s="12"/>
    </row>
    <row r="36443" spans="32:32" x14ac:dyDescent="0.2">
      <c r="AF36443" s="12"/>
    </row>
    <row r="36444" spans="32:32" x14ac:dyDescent="0.2">
      <c r="AF36444" s="12"/>
    </row>
    <row r="36445" spans="32:32" x14ac:dyDescent="0.2">
      <c r="AF36445" s="12"/>
    </row>
    <row r="36446" spans="32:32" x14ac:dyDescent="0.2">
      <c r="AF36446" s="12"/>
    </row>
    <row r="36447" spans="32:32" x14ac:dyDescent="0.2">
      <c r="AF36447" s="12"/>
    </row>
    <row r="36448" spans="32:32" x14ac:dyDescent="0.2">
      <c r="AF36448" s="12"/>
    </row>
    <row r="36449" spans="32:32" x14ac:dyDescent="0.2">
      <c r="AF36449" s="12"/>
    </row>
    <row r="36450" spans="32:32" x14ac:dyDescent="0.2">
      <c r="AF36450" s="12"/>
    </row>
    <row r="36451" spans="32:32" x14ac:dyDescent="0.2">
      <c r="AF36451" s="12"/>
    </row>
    <row r="36452" spans="32:32" x14ac:dyDescent="0.2">
      <c r="AF36452" s="12"/>
    </row>
    <row r="36453" spans="32:32" x14ac:dyDescent="0.2">
      <c r="AF36453" s="12"/>
    </row>
    <row r="36454" spans="32:32" x14ac:dyDescent="0.2">
      <c r="AF36454" s="12"/>
    </row>
    <row r="36455" spans="32:32" x14ac:dyDescent="0.2">
      <c r="AF36455" s="12"/>
    </row>
    <row r="36456" spans="32:32" x14ac:dyDescent="0.2">
      <c r="AF36456" s="12"/>
    </row>
    <row r="36457" spans="32:32" x14ac:dyDescent="0.2">
      <c r="AF36457" s="12"/>
    </row>
    <row r="36458" spans="32:32" x14ac:dyDescent="0.2">
      <c r="AF36458" s="12"/>
    </row>
    <row r="36459" spans="32:32" x14ac:dyDescent="0.2">
      <c r="AF36459" s="12"/>
    </row>
    <row r="36460" spans="32:32" x14ac:dyDescent="0.2">
      <c r="AF36460" s="12"/>
    </row>
    <row r="36461" spans="32:32" x14ac:dyDescent="0.2">
      <c r="AF36461" s="12"/>
    </row>
    <row r="36462" spans="32:32" x14ac:dyDescent="0.2">
      <c r="AF36462" s="12"/>
    </row>
    <row r="36463" spans="32:32" x14ac:dyDescent="0.2">
      <c r="AF36463" s="12"/>
    </row>
    <row r="36464" spans="32:32" x14ac:dyDescent="0.2">
      <c r="AF36464" s="12"/>
    </row>
    <row r="36465" spans="32:32" x14ac:dyDescent="0.2">
      <c r="AF36465" s="12"/>
    </row>
    <row r="36466" spans="32:32" x14ac:dyDescent="0.2">
      <c r="AF36466" s="12"/>
    </row>
    <row r="36467" spans="32:32" x14ac:dyDescent="0.2">
      <c r="AF36467" s="12"/>
    </row>
    <row r="36468" spans="32:32" x14ac:dyDescent="0.2">
      <c r="AF36468" s="12"/>
    </row>
    <row r="36469" spans="32:32" x14ac:dyDescent="0.2">
      <c r="AF36469" s="12"/>
    </row>
    <row r="36470" spans="32:32" x14ac:dyDescent="0.2">
      <c r="AF36470" s="12"/>
    </row>
    <row r="36471" spans="32:32" x14ac:dyDescent="0.2">
      <c r="AF36471" s="12"/>
    </row>
    <row r="36472" spans="32:32" x14ac:dyDescent="0.2">
      <c r="AF36472" s="12"/>
    </row>
    <row r="36473" spans="32:32" x14ac:dyDescent="0.2">
      <c r="AF36473" s="12"/>
    </row>
    <row r="36474" spans="32:32" x14ac:dyDescent="0.2">
      <c r="AF36474" s="12"/>
    </row>
    <row r="36475" spans="32:32" x14ac:dyDescent="0.2">
      <c r="AF36475" s="12"/>
    </row>
    <row r="36476" spans="32:32" x14ac:dyDescent="0.2">
      <c r="AF36476" s="12"/>
    </row>
    <row r="36477" spans="32:32" x14ac:dyDescent="0.2">
      <c r="AF36477" s="12"/>
    </row>
    <row r="36478" spans="32:32" x14ac:dyDescent="0.2">
      <c r="AF36478" s="12"/>
    </row>
    <row r="36479" spans="32:32" x14ac:dyDescent="0.2">
      <c r="AF36479" s="12"/>
    </row>
    <row r="36480" spans="32:32" x14ac:dyDescent="0.2">
      <c r="AF36480" s="12"/>
    </row>
    <row r="36481" spans="32:32" x14ac:dyDescent="0.2">
      <c r="AF36481" s="12"/>
    </row>
    <row r="36482" spans="32:32" x14ac:dyDescent="0.2">
      <c r="AF36482" s="12"/>
    </row>
    <row r="36483" spans="32:32" x14ac:dyDescent="0.2">
      <c r="AF36483" s="12"/>
    </row>
    <row r="36484" spans="32:32" x14ac:dyDescent="0.2">
      <c r="AF36484" s="12"/>
    </row>
    <row r="36485" spans="32:32" x14ac:dyDescent="0.2">
      <c r="AF36485" s="12"/>
    </row>
    <row r="36486" spans="32:32" x14ac:dyDescent="0.2">
      <c r="AF36486" s="12"/>
    </row>
    <row r="36487" spans="32:32" x14ac:dyDescent="0.2">
      <c r="AF36487" s="12"/>
    </row>
    <row r="36488" spans="32:32" x14ac:dyDescent="0.2">
      <c r="AF36488" s="12"/>
    </row>
    <row r="36489" spans="32:32" x14ac:dyDescent="0.2">
      <c r="AF36489" s="12"/>
    </row>
    <row r="36490" spans="32:32" x14ac:dyDescent="0.2">
      <c r="AF36490" s="12"/>
    </row>
    <row r="36491" spans="32:32" x14ac:dyDescent="0.2">
      <c r="AF36491" s="12"/>
    </row>
    <row r="36492" spans="32:32" x14ac:dyDescent="0.2">
      <c r="AF36492" s="12"/>
    </row>
    <row r="36493" spans="32:32" x14ac:dyDescent="0.2">
      <c r="AF36493" s="12"/>
    </row>
    <row r="36494" spans="32:32" x14ac:dyDescent="0.2">
      <c r="AF36494" s="12"/>
    </row>
    <row r="36495" spans="32:32" x14ac:dyDescent="0.2">
      <c r="AF36495" s="12"/>
    </row>
    <row r="36496" spans="32:32" x14ac:dyDescent="0.2">
      <c r="AF36496" s="12"/>
    </row>
    <row r="36497" spans="32:32" x14ac:dyDescent="0.2">
      <c r="AF36497" s="12"/>
    </row>
    <row r="36498" spans="32:32" x14ac:dyDescent="0.2">
      <c r="AF36498" s="12"/>
    </row>
    <row r="36499" spans="32:32" x14ac:dyDescent="0.2">
      <c r="AF36499" s="12"/>
    </row>
    <row r="36500" spans="32:32" x14ac:dyDescent="0.2">
      <c r="AF36500" s="12"/>
    </row>
    <row r="36501" spans="32:32" x14ac:dyDescent="0.2">
      <c r="AF36501" s="12"/>
    </row>
    <row r="36502" spans="32:32" x14ac:dyDescent="0.2">
      <c r="AF36502" s="12"/>
    </row>
    <row r="36503" spans="32:32" x14ac:dyDescent="0.2">
      <c r="AF36503" s="12"/>
    </row>
    <row r="36504" spans="32:32" x14ac:dyDescent="0.2">
      <c r="AF36504" s="12"/>
    </row>
    <row r="36505" spans="32:32" x14ac:dyDescent="0.2">
      <c r="AF36505" s="12"/>
    </row>
    <row r="36506" spans="32:32" x14ac:dyDescent="0.2">
      <c r="AF36506" s="12"/>
    </row>
    <row r="36507" spans="32:32" x14ac:dyDescent="0.2">
      <c r="AF36507" s="12"/>
    </row>
    <row r="36508" spans="32:32" x14ac:dyDescent="0.2">
      <c r="AF36508" s="12"/>
    </row>
    <row r="36509" spans="32:32" x14ac:dyDescent="0.2">
      <c r="AF36509" s="12"/>
    </row>
    <row r="36510" spans="32:32" x14ac:dyDescent="0.2">
      <c r="AF36510" s="12"/>
    </row>
    <row r="36511" spans="32:32" x14ac:dyDescent="0.2">
      <c r="AF36511" s="12"/>
    </row>
    <row r="36512" spans="32:32" x14ac:dyDescent="0.2">
      <c r="AF36512" s="12"/>
    </row>
    <row r="36513" spans="32:32" x14ac:dyDescent="0.2">
      <c r="AF36513" s="12"/>
    </row>
    <row r="36514" spans="32:32" x14ac:dyDescent="0.2">
      <c r="AF36514" s="12"/>
    </row>
    <row r="36515" spans="32:32" x14ac:dyDescent="0.2">
      <c r="AF36515" s="12"/>
    </row>
    <row r="36516" spans="32:32" x14ac:dyDescent="0.2">
      <c r="AF36516" s="12"/>
    </row>
    <row r="36517" spans="32:32" x14ac:dyDescent="0.2">
      <c r="AF36517" s="12"/>
    </row>
    <row r="36518" spans="32:32" x14ac:dyDescent="0.2">
      <c r="AF36518" s="12"/>
    </row>
    <row r="36519" spans="32:32" x14ac:dyDescent="0.2">
      <c r="AF36519" s="12"/>
    </row>
    <row r="36520" spans="32:32" x14ac:dyDescent="0.2">
      <c r="AF36520" s="12"/>
    </row>
    <row r="36521" spans="32:32" x14ac:dyDescent="0.2">
      <c r="AF36521" s="12"/>
    </row>
    <row r="36522" spans="32:32" x14ac:dyDescent="0.2">
      <c r="AF36522" s="12"/>
    </row>
    <row r="36523" spans="32:32" x14ac:dyDescent="0.2">
      <c r="AF36523" s="12"/>
    </row>
    <row r="36524" spans="32:32" x14ac:dyDescent="0.2">
      <c r="AF36524" s="12"/>
    </row>
    <row r="36525" spans="32:32" x14ac:dyDescent="0.2">
      <c r="AF36525" s="12"/>
    </row>
    <row r="36526" spans="32:32" x14ac:dyDescent="0.2">
      <c r="AF36526" s="12"/>
    </row>
    <row r="36527" spans="32:32" x14ac:dyDescent="0.2">
      <c r="AF36527" s="12"/>
    </row>
    <row r="36528" spans="32:32" x14ac:dyDescent="0.2">
      <c r="AF36528" s="12"/>
    </row>
    <row r="36529" spans="32:32" x14ac:dyDescent="0.2">
      <c r="AF36529" s="12"/>
    </row>
    <row r="36530" spans="32:32" x14ac:dyDescent="0.2">
      <c r="AF36530" s="12"/>
    </row>
    <row r="36531" spans="32:32" x14ac:dyDescent="0.2">
      <c r="AF36531" s="12"/>
    </row>
    <row r="36532" spans="32:32" x14ac:dyDescent="0.2">
      <c r="AF36532" s="12"/>
    </row>
    <row r="36533" spans="32:32" x14ac:dyDescent="0.2">
      <c r="AF36533" s="12"/>
    </row>
    <row r="36534" spans="32:32" x14ac:dyDescent="0.2">
      <c r="AF36534" s="12"/>
    </row>
    <row r="36535" spans="32:32" x14ac:dyDescent="0.2">
      <c r="AF36535" s="12"/>
    </row>
    <row r="36536" spans="32:32" x14ac:dyDescent="0.2">
      <c r="AF36536" s="12"/>
    </row>
    <row r="36537" spans="32:32" x14ac:dyDescent="0.2">
      <c r="AF36537" s="12"/>
    </row>
    <row r="36538" spans="32:32" x14ac:dyDescent="0.2">
      <c r="AF36538" s="12"/>
    </row>
    <row r="36539" spans="32:32" x14ac:dyDescent="0.2">
      <c r="AF36539" s="12"/>
    </row>
    <row r="36540" spans="32:32" x14ac:dyDescent="0.2">
      <c r="AF36540" s="12"/>
    </row>
    <row r="36541" spans="32:32" x14ac:dyDescent="0.2">
      <c r="AF36541" s="12"/>
    </row>
    <row r="36542" spans="32:32" x14ac:dyDescent="0.2">
      <c r="AF36542" s="12"/>
    </row>
    <row r="36543" spans="32:32" x14ac:dyDescent="0.2">
      <c r="AF36543" s="12"/>
    </row>
    <row r="36544" spans="32:32" x14ac:dyDescent="0.2">
      <c r="AF36544" s="12"/>
    </row>
    <row r="36545" spans="32:32" x14ac:dyDescent="0.2">
      <c r="AF36545" s="12"/>
    </row>
    <row r="36546" spans="32:32" x14ac:dyDescent="0.2">
      <c r="AF36546" s="12"/>
    </row>
    <row r="36547" spans="32:32" x14ac:dyDescent="0.2">
      <c r="AF36547" s="12"/>
    </row>
    <row r="36548" spans="32:32" x14ac:dyDescent="0.2">
      <c r="AF36548" s="12"/>
    </row>
    <row r="36549" spans="32:32" x14ac:dyDescent="0.2">
      <c r="AF36549" s="12"/>
    </row>
    <row r="36550" spans="32:32" x14ac:dyDescent="0.2">
      <c r="AF36550" s="12"/>
    </row>
    <row r="36551" spans="32:32" x14ac:dyDescent="0.2">
      <c r="AF36551" s="12"/>
    </row>
    <row r="36552" spans="32:32" x14ac:dyDescent="0.2">
      <c r="AF36552" s="12"/>
    </row>
    <row r="36553" spans="32:32" x14ac:dyDescent="0.2">
      <c r="AF36553" s="12"/>
    </row>
    <row r="36554" spans="32:32" x14ac:dyDescent="0.2">
      <c r="AF36554" s="12"/>
    </row>
    <row r="36555" spans="32:32" x14ac:dyDescent="0.2">
      <c r="AF36555" s="12"/>
    </row>
    <row r="36556" spans="32:32" x14ac:dyDescent="0.2">
      <c r="AF36556" s="12"/>
    </row>
    <row r="36557" spans="32:32" x14ac:dyDescent="0.2">
      <c r="AF36557" s="12"/>
    </row>
    <row r="36558" spans="32:32" x14ac:dyDescent="0.2">
      <c r="AF36558" s="12"/>
    </row>
    <row r="36559" spans="32:32" x14ac:dyDescent="0.2">
      <c r="AF36559" s="12"/>
    </row>
    <row r="36560" spans="32:32" x14ac:dyDescent="0.2">
      <c r="AF36560" s="12"/>
    </row>
    <row r="36561" spans="32:32" x14ac:dyDescent="0.2">
      <c r="AF36561" s="12"/>
    </row>
    <row r="36562" spans="32:32" x14ac:dyDescent="0.2">
      <c r="AF36562" s="12"/>
    </row>
    <row r="36563" spans="32:32" x14ac:dyDescent="0.2">
      <c r="AF36563" s="12"/>
    </row>
    <row r="36564" spans="32:32" x14ac:dyDescent="0.2">
      <c r="AF36564" s="12"/>
    </row>
    <row r="36565" spans="32:32" x14ac:dyDescent="0.2">
      <c r="AF36565" s="12"/>
    </row>
    <row r="36566" spans="32:32" x14ac:dyDescent="0.2">
      <c r="AF36566" s="12"/>
    </row>
    <row r="36567" spans="32:32" x14ac:dyDescent="0.2">
      <c r="AF36567" s="12"/>
    </row>
    <row r="36568" spans="32:32" x14ac:dyDescent="0.2">
      <c r="AF36568" s="12"/>
    </row>
    <row r="36569" spans="32:32" x14ac:dyDescent="0.2">
      <c r="AF36569" s="12"/>
    </row>
    <row r="36570" spans="32:32" x14ac:dyDescent="0.2">
      <c r="AF36570" s="12"/>
    </row>
    <row r="36571" spans="32:32" x14ac:dyDescent="0.2">
      <c r="AF36571" s="12"/>
    </row>
    <row r="36572" spans="32:32" x14ac:dyDescent="0.2">
      <c r="AF36572" s="12"/>
    </row>
    <row r="36573" spans="32:32" x14ac:dyDescent="0.2">
      <c r="AF36573" s="12"/>
    </row>
    <row r="36574" spans="32:32" x14ac:dyDescent="0.2">
      <c r="AF36574" s="12"/>
    </row>
    <row r="36575" spans="32:32" x14ac:dyDescent="0.2">
      <c r="AF36575" s="12"/>
    </row>
    <row r="36576" spans="32:32" x14ac:dyDescent="0.2">
      <c r="AF36576" s="12"/>
    </row>
    <row r="36577" spans="32:32" x14ac:dyDescent="0.2">
      <c r="AF36577" s="12"/>
    </row>
    <row r="36578" spans="32:32" x14ac:dyDescent="0.2">
      <c r="AF36578" s="12"/>
    </row>
    <row r="36579" spans="32:32" x14ac:dyDescent="0.2">
      <c r="AF36579" s="12"/>
    </row>
    <row r="36580" spans="32:32" x14ac:dyDescent="0.2">
      <c r="AF36580" s="12"/>
    </row>
    <row r="36581" spans="32:32" x14ac:dyDescent="0.2">
      <c r="AF36581" s="12"/>
    </row>
    <row r="36582" spans="32:32" x14ac:dyDescent="0.2">
      <c r="AF36582" s="12"/>
    </row>
    <row r="36583" spans="32:32" x14ac:dyDescent="0.2">
      <c r="AF36583" s="12"/>
    </row>
    <row r="36584" spans="32:32" x14ac:dyDescent="0.2">
      <c r="AF36584" s="12"/>
    </row>
    <row r="36585" spans="32:32" x14ac:dyDescent="0.2">
      <c r="AF36585" s="12"/>
    </row>
    <row r="36586" spans="32:32" x14ac:dyDescent="0.2">
      <c r="AF36586" s="12"/>
    </row>
    <row r="36587" spans="32:32" x14ac:dyDescent="0.2">
      <c r="AF36587" s="12"/>
    </row>
    <row r="36588" spans="32:32" x14ac:dyDescent="0.2">
      <c r="AF36588" s="12"/>
    </row>
    <row r="36589" spans="32:32" x14ac:dyDescent="0.2">
      <c r="AF36589" s="12"/>
    </row>
    <row r="36590" spans="32:32" x14ac:dyDescent="0.2">
      <c r="AF36590" s="12"/>
    </row>
    <row r="36591" spans="32:32" x14ac:dyDescent="0.2">
      <c r="AF36591" s="12"/>
    </row>
    <row r="36592" spans="32:32" x14ac:dyDescent="0.2">
      <c r="AF36592" s="12"/>
    </row>
    <row r="36593" spans="32:32" x14ac:dyDescent="0.2">
      <c r="AF36593" s="12"/>
    </row>
    <row r="36594" spans="32:32" x14ac:dyDescent="0.2">
      <c r="AF36594" s="12"/>
    </row>
    <row r="36595" spans="32:32" x14ac:dyDescent="0.2">
      <c r="AF36595" s="12"/>
    </row>
    <row r="36596" spans="32:32" x14ac:dyDescent="0.2">
      <c r="AF36596" s="12"/>
    </row>
    <row r="36597" spans="32:32" x14ac:dyDescent="0.2">
      <c r="AF36597" s="12"/>
    </row>
    <row r="36598" spans="32:32" x14ac:dyDescent="0.2">
      <c r="AF36598" s="12"/>
    </row>
    <row r="36599" spans="32:32" x14ac:dyDescent="0.2">
      <c r="AF36599" s="12"/>
    </row>
    <row r="36600" spans="32:32" x14ac:dyDescent="0.2">
      <c r="AF36600" s="12"/>
    </row>
    <row r="36601" spans="32:32" x14ac:dyDescent="0.2">
      <c r="AF36601" s="12"/>
    </row>
    <row r="36602" spans="32:32" x14ac:dyDescent="0.2">
      <c r="AF36602" s="12"/>
    </row>
    <row r="36603" spans="32:32" x14ac:dyDescent="0.2">
      <c r="AF36603" s="12"/>
    </row>
    <row r="36604" spans="32:32" x14ac:dyDescent="0.2">
      <c r="AF36604" s="12"/>
    </row>
    <row r="36605" spans="32:32" x14ac:dyDescent="0.2">
      <c r="AF36605" s="12"/>
    </row>
    <row r="36606" spans="32:32" x14ac:dyDescent="0.2">
      <c r="AF36606" s="12"/>
    </row>
    <row r="36607" spans="32:32" x14ac:dyDescent="0.2">
      <c r="AF36607" s="12"/>
    </row>
    <row r="36608" spans="32:32" x14ac:dyDescent="0.2">
      <c r="AF36608" s="12"/>
    </row>
    <row r="36609" spans="32:32" x14ac:dyDescent="0.2">
      <c r="AF36609" s="12"/>
    </row>
    <row r="36610" spans="32:32" x14ac:dyDescent="0.2">
      <c r="AF36610" s="12"/>
    </row>
    <row r="36611" spans="32:32" x14ac:dyDescent="0.2">
      <c r="AF36611" s="12"/>
    </row>
    <row r="36612" spans="32:32" x14ac:dyDescent="0.2">
      <c r="AF36612" s="12"/>
    </row>
    <row r="36613" spans="32:32" x14ac:dyDescent="0.2">
      <c r="AF36613" s="12"/>
    </row>
    <row r="36614" spans="32:32" x14ac:dyDescent="0.2">
      <c r="AF36614" s="12"/>
    </row>
    <row r="36615" spans="32:32" x14ac:dyDescent="0.2">
      <c r="AF36615" s="12"/>
    </row>
    <row r="36616" spans="32:32" x14ac:dyDescent="0.2">
      <c r="AF36616" s="12"/>
    </row>
    <row r="36617" spans="32:32" x14ac:dyDescent="0.2">
      <c r="AF36617" s="12"/>
    </row>
    <row r="36618" spans="32:32" x14ac:dyDescent="0.2">
      <c r="AF36618" s="12"/>
    </row>
    <row r="36619" spans="32:32" x14ac:dyDescent="0.2">
      <c r="AF36619" s="12"/>
    </row>
    <row r="36620" spans="32:32" x14ac:dyDescent="0.2">
      <c r="AF36620" s="12"/>
    </row>
    <row r="36621" spans="32:32" x14ac:dyDescent="0.2">
      <c r="AF36621" s="12"/>
    </row>
    <row r="36622" spans="32:32" x14ac:dyDescent="0.2">
      <c r="AF36622" s="12"/>
    </row>
    <row r="36623" spans="32:32" x14ac:dyDescent="0.2">
      <c r="AF36623" s="12"/>
    </row>
    <row r="36624" spans="32:32" x14ac:dyDescent="0.2">
      <c r="AF36624" s="12"/>
    </row>
    <row r="36625" spans="32:32" x14ac:dyDescent="0.2">
      <c r="AF36625" s="12"/>
    </row>
    <row r="36626" spans="32:32" x14ac:dyDescent="0.2">
      <c r="AF36626" s="12"/>
    </row>
    <row r="36627" spans="32:32" x14ac:dyDescent="0.2">
      <c r="AF36627" s="12"/>
    </row>
    <row r="36628" spans="32:32" x14ac:dyDescent="0.2">
      <c r="AF36628" s="12"/>
    </row>
    <row r="36629" spans="32:32" x14ac:dyDescent="0.2">
      <c r="AF36629" s="12"/>
    </row>
    <row r="36630" spans="32:32" x14ac:dyDescent="0.2">
      <c r="AF36630" s="12"/>
    </row>
    <row r="36631" spans="32:32" x14ac:dyDescent="0.2">
      <c r="AF36631" s="12"/>
    </row>
    <row r="36632" spans="32:32" x14ac:dyDescent="0.2">
      <c r="AF36632" s="12"/>
    </row>
    <row r="36633" spans="32:32" x14ac:dyDescent="0.2">
      <c r="AF36633" s="12"/>
    </row>
    <row r="36634" spans="32:32" x14ac:dyDescent="0.2">
      <c r="AF36634" s="12"/>
    </row>
    <row r="36635" spans="32:32" x14ac:dyDescent="0.2">
      <c r="AF36635" s="12"/>
    </row>
    <row r="36636" spans="32:32" x14ac:dyDescent="0.2">
      <c r="AF36636" s="12"/>
    </row>
    <row r="36637" spans="32:32" x14ac:dyDescent="0.2">
      <c r="AF36637" s="12"/>
    </row>
    <row r="36638" spans="32:32" x14ac:dyDescent="0.2">
      <c r="AF36638" s="12"/>
    </row>
    <row r="36639" spans="32:32" x14ac:dyDescent="0.2">
      <c r="AF36639" s="12"/>
    </row>
    <row r="36640" spans="32:32" x14ac:dyDescent="0.2">
      <c r="AF36640" s="12"/>
    </row>
    <row r="36641" spans="32:32" x14ac:dyDescent="0.2">
      <c r="AF36641" s="12"/>
    </row>
    <row r="36642" spans="32:32" x14ac:dyDescent="0.2">
      <c r="AF36642" s="12"/>
    </row>
    <row r="36643" spans="32:32" x14ac:dyDescent="0.2">
      <c r="AF36643" s="12"/>
    </row>
    <row r="36644" spans="32:32" x14ac:dyDescent="0.2">
      <c r="AF36644" s="12"/>
    </row>
    <row r="36645" spans="32:32" x14ac:dyDescent="0.2">
      <c r="AF36645" s="12"/>
    </row>
    <row r="36646" spans="32:32" x14ac:dyDescent="0.2">
      <c r="AF36646" s="12"/>
    </row>
    <row r="36647" spans="32:32" x14ac:dyDescent="0.2">
      <c r="AF36647" s="12"/>
    </row>
    <row r="36648" spans="32:32" x14ac:dyDescent="0.2">
      <c r="AF36648" s="12"/>
    </row>
    <row r="36649" spans="32:32" x14ac:dyDescent="0.2">
      <c r="AF36649" s="12"/>
    </row>
    <row r="36650" spans="32:32" x14ac:dyDescent="0.2">
      <c r="AF36650" s="12"/>
    </row>
    <row r="36651" spans="32:32" x14ac:dyDescent="0.2">
      <c r="AF36651" s="12"/>
    </row>
    <row r="36652" spans="32:32" x14ac:dyDescent="0.2">
      <c r="AF36652" s="12"/>
    </row>
    <row r="36653" spans="32:32" x14ac:dyDescent="0.2">
      <c r="AF36653" s="12"/>
    </row>
    <row r="36654" spans="32:32" x14ac:dyDescent="0.2">
      <c r="AF36654" s="12"/>
    </row>
    <row r="36655" spans="32:32" x14ac:dyDescent="0.2">
      <c r="AF36655" s="12"/>
    </row>
    <row r="36656" spans="32:32" x14ac:dyDescent="0.2">
      <c r="AF36656" s="12"/>
    </row>
    <row r="36657" spans="32:32" x14ac:dyDescent="0.2">
      <c r="AF36657" s="12"/>
    </row>
    <row r="36658" spans="32:32" x14ac:dyDescent="0.2">
      <c r="AF36658" s="12"/>
    </row>
    <row r="36659" spans="32:32" x14ac:dyDescent="0.2">
      <c r="AF36659" s="12"/>
    </row>
    <row r="36660" spans="32:32" x14ac:dyDescent="0.2">
      <c r="AF36660" s="12"/>
    </row>
    <row r="36661" spans="32:32" x14ac:dyDescent="0.2">
      <c r="AF36661" s="12"/>
    </row>
    <row r="36662" spans="32:32" x14ac:dyDescent="0.2">
      <c r="AF36662" s="12"/>
    </row>
    <row r="36663" spans="32:32" x14ac:dyDescent="0.2">
      <c r="AF36663" s="12"/>
    </row>
    <row r="36664" spans="32:32" x14ac:dyDescent="0.2">
      <c r="AF36664" s="12"/>
    </row>
    <row r="36665" spans="32:32" x14ac:dyDescent="0.2">
      <c r="AF36665" s="12"/>
    </row>
    <row r="36666" spans="32:32" x14ac:dyDescent="0.2">
      <c r="AF36666" s="12"/>
    </row>
    <row r="36667" spans="32:32" x14ac:dyDescent="0.2">
      <c r="AF36667" s="12"/>
    </row>
    <row r="36668" spans="32:32" x14ac:dyDescent="0.2">
      <c r="AF36668" s="12"/>
    </row>
    <row r="36669" spans="32:32" x14ac:dyDescent="0.2">
      <c r="AF36669" s="12"/>
    </row>
    <row r="36670" spans="32:32" x14ac:dyDescent="0.2">
      <c r="AF36670" s="12"/>
    </row>
    <row r="36671" spans="32:32" x14ac:dyDescent="0.2">
      <c r="AF36671" s="12"/>
    </row>
    <row r="36672" spans="32:32" x14ac:dyDescent="0.2">
      <c r="AF36672" s="12"/>
    </row>
    <row r="36673" spans="32:32" x14ac:dyDescent="0.2">
      <c r="AF36673" s="12"/>
    </row>
    <row r="36674" spans="32:32" x14ac:dyDescent="0.2">
      <c r="AF36674" s="12"/>
    </row>
    <row r="36675" spans="32:32" x14ac:dyDescent="0.2">
      <c r="AF36675" s="12"/>
    </row>
    <row r="36676" spans="32:32" x14ac:dyDescent="0.2">
      <c r="AF36676" s="12"/>
    </row>
    <row r="36677" spans="32:32" x14ac:dyDescent="0.2">
      <c r="AF36677" s="12"/>
    </row>
    <row r="36678" spans="32:32" x14ac:dyDescent="0.2">
      <c r="AF36678" s="12"/>
    </row>
    <row r="36679" spans="32:32" x14ac:dyDescent="0.2">
      <c r="AF36679" s="12"/>
    </row>
    <row r="36680" spans="32:32" x14ac:dyDescent="0.2">
      <c r="AF36680" s="12"/>
    </row>
    <row r="36681" spans="32:32" x14ac:dyDescent="0.2">
      <c r="AF36681" s="12"/>
    </row>
    <row r="36682" spans="32:32" x14ac:dyDescent="0.2">
      <c r="AF36682" s="12"/>
    </row>
    <row r="36683" spans="32:32" x14ac:dyDescent="0.2">
      <c r="AF36683" s="12"/>
    </row>
    <row r="36684" spans="32:32" x14ac:dyDescent="0.2">
      <c r="AF36684" s="12"/>
    </row>
    <row r="36685" spans="32:32" x14ac:dyDescent="0.2">
      <c r="AF36685" s="12"/>
    </row>
    <row r="36686" spans="32:32" x14ac:dyDescent="0.2">
      <c r="AF36686" s="12"/>
    </row>
    <row r="36687" spans="32:32" x14ac:dyDescent="0.2">
      <c r="AF36687" s="12"/>
    </row>
    <row r="36688" spans="32:32" x14ac:dyDescent="0.2">
      <c r="AF36688" s="12"/>
    </row>
    <row r="36689" spans="32:32" x14ac:dyDescent="0.2">
      <c r="AF36689" s="12"/>
    </row>
    <row r="36690" spans="32:32" x14ac:dyDescent="0.2">
      <c r="AF36690" s="12"/>
    </row>
    <row r="36691" spans="32:32" x14ac:dyDescent="0.2">
      <c r="AF36691" s="12"/>
    </row>
    <row r="36692" spans="32:32" x14ac:dyDescent="0.2">
      <c r="AF36692" s="12"/>
    </row>
    <row r="36693" spans="32:32" x14ac:dyDescent="0.2">
      <c r="AF36693" s="12"/>
    </row>
    <row r="36694" spans="32:32" x14ac:dyDescent="0.2">
      <c r="AF36694" s="12"/>
    </row>
    <row r="36695" spans="32:32" x14ac:dyDescent="0.2">
      <c r="AF36695" s="12"/>
    </row>
    <row r="36696" spans="32:32" x14ac:dyDescent="0.2">
      <c r="AF36696" s="12"/>
    </row>
    <row r="36697" spans="32:32" x14ac:dyDescent="0.2">
      <c r="AF36697" s="12"/>
    </row>
    <row r="36698" spans="32:32" x14ac:dyDescent="0.2">
      <c r="AF36698" s="12"/>
    </row>
    <row r="36699" spans="32:32" x14ac:dyDescent="0.2">
      <c r="AF36699" s="12"/>
    </row>
    <row r="36700" spans="32:32" x14ac:dyDescent="0.2">
      <c r="AF36700" s="12"/>
    </row>
    <row r="36701" spans="32:32" x14ac:dyDescent="0.2">
      <c r="AF36701" s="12"/>
    </row>
    <row r="36702" spans="32:32" x14ac:dyDescent="0.2">
      <c r="AF36702" s="12"/>
    </row>
    <row r="36703" spans="32:32" x14ac:dyDescent="0.2">
      <c r="AF36703" s="12"/>
    </row>
    <row r="36704" spans="32:32" x14ac:dyDescent="0.2">
      <c r="AF36704" s="12"/>
    </row>
    <row r="36705" spans="32:32" x14ac:dyDescent="0.2">
      <c r="AF36705" s="12"/>
    </row>
    <row r="36706" spans="32:32" x14ac:dyDescent="0.2">
      <c r="AF36706" s="12"/>
    </row>
    <row r="36707" spans="32:32" x14ac:dyDescent="0.2">
      <c r="AF36707" s="12"/>
    </row>
    <row r="36708" spans="32:32" x14ac:dyDescent="0.2">
      <c r="AF36708" s="12"/>
    </row>
    <row r="36709" spans="32:32" x14ac:dyDescent="0.2">
      <c r="AF36709" s="12"/>
    </row>
    <row r="36710" spans="32:32" x14ac:dyDescent="0.2">
      <c r="AF36710" s="12"/>
    </row>
    <row r="36711" spans="32:32" x14ac:dyDescent="0.2">
      <c r="AF36711" s="12"/>
    </row>
    <row r="36712" spans="32:32" x14ac:dyDescent="0.2">
      <c r="AF36712" s="12"/>
    </row>
    <row r="36713" spans="32:32" x14ac:dyDescent="0.2">
      <c r="AF36713" s="12"/>
    </row>
    <row r="36714" spans="32:32" x14ac:dyDescent="0.2">
      <c r="AF36714" s="12"/>
    </row>
    <row r="36715" spans="32:32" x14ac:dyDescent="0.2">
      <c r="AF36715" s="12"/>
    </row>
    <row r="36716" spans="32:32" x14ac:dyDescent="0.2">
      <c r="AF36716" s="12"/>
    </row>
    <row r="36717" spans="32:32" x14ac:dyDescent="0.2">
      <c r="AF36717" s="12"/>
    </row>
    <row r="36718" spans="32:32" x14ac:dyDescent="0.2">
      <c r="AF36718" s="12"/>
    </row>
    <row r="36719" spans="32:32" x14ac:dyDescent="0.2">
      <c r="AF36719" s="12"/>
    </row>
    <row r="36720" spans="32:32" x14ac:dyDescent="0.2">
      <c r="AF36720" s="12"/>
    </row>
    <row r="36721" spans="32:32" x14ac:dyDescent="0.2">
      <c r="AF36721" s="12"/>
    </row>
    <row r="36722" spans="32:32" x14ac:dyDescent="0.2">
      <c r="AF36722" s="12"/>
    </row>
    <row r="36723" spans="32:32" x14ac:dyDescent="0.2">
      <c r="AF36723" s="12"/>
    </row>
    <row r="36724" spans="32:32" x14ac:dyDescent="0.2">
      <c r="AF36724" s="12"/>
    </row>
    <row r="36725" spans="32:32" x14ac:dyDescent="0.2">
      <c r="AF36725" s="12"/>
    </row>
    <row r="36726" spans="32:32" x14ac:dyDescent="0.2">
      <c r="AF36726" s="12"/>
    </row>
    <row r="36727" spans="32:32" x14ac:dyDescent="0.2">
      <c r="AF36727" s="12"/>
    </row>
    <row r="36728" spans="32:32" x14ac:dyDescent="0.2">
      <c r="AF36728" s="12"/>
    </row>
    <row r="36729" spans="32:32" x14ac:dyDescent="0.2">
      <c r="AF36729" s="12"/>
    </row>
    <row r="36730" spans="32:32" x14ac:dyDescent="0.2">
      <c r="AF36730" s="12"/>
    </row>
    <row r="36731" spans="32:32" x14ac:dyDescent="0.2">
      <c r="AF36731" s="12"/>
    </row>
    <row r="36732" spans="32:32" x14ac:dyDescent="0.2">
      <c r="AF36732" s="12"/>
    </row>
    <row r="36733" spans="32:32" x14ac:dyDescent="0.2">
      <c r="AF36733" s="12"/>
    </row>
    <row r="36734" spans="32:32" x14ac:dyDescent="0.2">
      <c r="AF36734" s="12"/>
    </row>
    <row r="36735" spans="32:32" x14ac:dyDescent="0.2">
      <c r="AF36735" s="12"/>
    </row>
    <row r="36736" spans="32:32" x14ac:dyDescent="0.2">
      <c r="AF36736" s="12"/>
    </row>
    <row r="36737" spans="32:32" x14ac:dyDescent="0.2">
      <c r="AF36737" s="12"/>
    </row>
    <row r="36738" spans="32:32" x14ac:dyDescent="0.2">
      <c r="AF36738" s="12"/>
    </row>
    <row r="36739" spans="32:32" x14ac:dyDescent="0.2">
      <c r="AF36739" s="12"/>
    </row>
    <row r="36740" spans="32:32" x14ac:dyDescent="0.2">
      <c r="AF36740" s="12"/>
    </row>
    <row r="36741" spans="32:32" x14ac:dyDescent="0.2">
      <c r="AF36741" s="12"/>
    </row>
    <row r="36742" spans="32:32" x14ac:dyDescent="0.2">
      <c r="AF36742" s="12"/>
    </row>
    <row r="36743" spans="32:32" x14ac:dyDescent="0.2">
      <c r="AF36743" s="12"/>
    </row>
    <row r="36744" spans="32:32" x14ac:dyDescent="0.2">
      <c r="AF36744" s="12"/>
    </row>
    <row r="36745" spans="32:32" x14ac:dyDescent="0.2">
      <c r="AF36745" s="12"/>
    </row>
    <row r="36746" spans="32:32" x14ac:dyDescent="0.2">
      <c r="AF36746" s="12"/>
    </row>
    <row r="36747" spans="32:32" x14ac:dyDescent="0.2">
      <c r="AF36747" s="12"/>
    </row>
    <row r="36748" spans="32:32" x14ac:dyDescent="0.2">
      <c r="AF36748" s="12"/>
    </row>
    <row r="36749" spans="32:32" x14ac:dyDescent="0.2">
      <c r="AF36749" s="12"/>
    </row>
    <row r="36750" spans="32:32" x14ac:dyDescent="0.2">
      <c r="AF36750" s="12"/>
    </row>
    <row r="36751" spans="32:32" x14ac:dyDescent="0.2">
      <c r="AF36751" s="12"/>
    </row>
    <row r="36752" spans="32:32" x14ac:dyDescent="0.2">
      <c r="AF36752" s="12"/>
    </row>
    <row r="36753" spans="32:32" x14ac:dyDescent="0.2">
      <c r="AF36753" s="12"/>
    </row>
    <row r="36754" spans="32:32" x14ac:dyDescent="0.2">
      <c r="AF36754" s="12"/>
    </row>
    <row r="36755" spans="32:32" x14ac:dyDescent="0.2">
      <c r="AF36755" s="12"/>
    </row>
    <row r="36756" spans="32:32" x14ac:dyDescent="0.2">
      <c r="AF36756" s="12"/>
    </row>
    <row r="36757" spans="32:32" x14ac:dyDescent="0.2">
      <c r="AF36757" s="12"/>
    </row>
    <row r="36758" spans="32:32" x14ac:dyDescent="0.2">
      <c r="AF36758" s="12"/>
    </row>
    <row r="36759" spans="32:32" x14ac:dyDescent="0.2">
      <c r="AF36759" s="12"/>
    </row>
    <row r="36760" spans="32:32" x14ac:dyDescent="0.2">
      <c r="AF36760" s="12"/>
    </row>
    <row r="36761" spans="32:32" x14ac:dyDescent="0.2">
      <c r="AF36761" s="12"/>
    </row>
    <row r="36762" spans="32:32" x14ac:dyDescent="0.2">
      <c r="AF36762" s="12"/>
    </row>
    <row r="36763" spans="32:32" x14ac:dyDescent="0.2">
      <c r="AF36763" s="12"/>
    </row>
    <row r="36764" spans="32:32" x14ac:dyDescent="0.2">
      <c r="AF36764" s="12"/>
    </row>
    <row r="36765" spans="32:32" x14ac:dyDescent="0.2">
      <c r="AF36765" s="12"/>
    </row>
    <row r="36766" spans="32:32" x14ac:dyDescent="0.2">
      <c r="AF36766" s="12"/>
    </row>
    <row r="36767" spans="32:32" x14ac:dyDescent="0.2">
      <c r="AF36767" s="12"/>
    </row>
    <row r="36768" spans="32:32" x14ac:dyDescent="0.2">
      <c r="AF36768" s="12"/>
    </row>
    <row r="36769" spans="32:32" x14ac:dyDescent="0.2">
      <c r="AF36769" s="12"/>
    </row>
    <row r="36770" spans="32:32" x14ac:dyDescent="0.2">
      <c r="AF36770" s="12"/>
    </row>
    <row r="36771" spans="32:32" x14ac:dyDescent="0.2">
      <c r="AF36771" s="12"/>
    </row>
    <row r="36772" spans="32:32" x14ac:dyDescent="0.2">
      <c r="AF36772" s="12"/>
    </row>
    <row r="36773" spans="32:32" x14ac:dyDescent="0.2">
      <c r="AF36773" s="12"/>
    </row>
    <row r="36774" spans="32:32" x14ac:dyDescent="0.2">
      <c r="AF36774" s="12"/>
    </row>
    <row r="36775" spans="32:32" x14ac:dyDescent="0.2">
      <c r="AF36775" s="12"/>
    </row>
    <row r="36776" spans="32:32" x14ac:dyDescent="0.2">
      <c r="AF36776" s="12"/>
    </row>
    <row r="36777" spans="32:32" x14ac:dyDescent="0.2">
      <c r="AF36777" s="12"/>
    </row>
    <row r="36778" spans="32:32" x14ac:dyDescent="0.2">
      <c r="AF36778" s="12"/>
    </row>
    <row r="36779" spans="32:32" x14ac:dyDescent="0.2">
      <c r="AF36779" s="12"/>
    </row>
    <row r="36780" spans="32:32" x14ac:dyDescent="0.2">
      <c r="AF36780" s="12"/>
    </row>
    <row r="36781" spans="32:32" x14ac:dyDescent="0.2">
      <c r="AF36781" s="12"/>
    </row>
    <row r="36782" spans="32:32" x14ac:dyDescent="0.2">
      <c r="AF36782" s="12"/>
    </row>
    <row r="36783" spans="32:32" x14ac:dyDescent="0.2">
      <c r="AF36783" s="12"/>
    </row>
    <row r="36784" spans="32:32" x14ac:dyDescent="0.2">
      <c r="AF36784" s="12"/>
    </row>
    <row r="36785" spans="32:32" x14ac:dyDescent="0.2">
      <c r="AF36785" s="12"/>
    </row>
    <row r="36786" spans="32:32" x14ac:dyDescent="0.2">
      <c r="AF36786" s="12"/>
    </row>
    <row r="36787" spans="32:32" x14ac:dyDescent="0.2">
      <c r="AF36787" s="12"/>
    </row>
    <row r="36788" spans="32:32" x14ac:dyDescent="0.2">
      <c r="AF36788" s="12"/>
    </row>
    <row r="36789" spans="32:32" x14ac:dyDescent="0.2">
      <c r="AF36789" s="12"/>
    </row>
    <row r="36790" spans="32:32" x14ac:dyDescent="0.2">
      <c r="AF36790" s="12"/>
    </row>
    <row r="36791" spans="32:32" x14ac:dyDescent="0.2">
      <c r="AF36791" s="12"/>
    </row>
    <row r="36792" spans="32:32" x14ac:dyDescent="0.2">
      <c r="AF36792" s="12"/>
    </row>
    <row r="36793" spans="32:32" x14ac:dyDescent="0.2">
      <c r="AF36793" s="12"/>
    </row>
    <row r="36794" spans="32:32" x14ac:dyDescent="0.2">
      <c r="AF36794" s="12"/>
    </row>
    <row r="36795" spans="32:32" x14ac:dyDescent="0.2">
      <c r="AF36795" s="12"/>
    </row>
    <row r="36796" spans="32:32" x14ac:dyDescent="0.2">
      <c r="AF36796" s="12"/>
    </row>
    <row r="36797" spans="32:32" x14ac:dyDescent="0.2">
      <c r="AF36797" s="12"/>
    </row>
    <row r="36798" spans="32:32" x14ac:dyDescent="0.2">
      <c r="AF36798" s="12"/>
    </row>
    <row r="36799" spans="32:32" x14ac:dyDescent="0.2">
      <c r="AF36799" s="12"/>
    </row>
    <row r="36800" spans="32:32" x14ac:dyDescent="0.2">
      <c r="AF36800" s="12"/>
    </row>
    <row r="36801" spans="32:32" x14ac:dyDescent="0.2">
      <c r="AF36801" s="12"/>
    </row>
    <row r="36802" spans="32:32" x14ac:dyDescent="0.2">
      <c r="AF36802" s="12"/>
    </row>
    <row r="36803" spans="32:32" x14ac:dyDescent="0.2">
      <c r="AF36803" s="12"/>
    </row>
    <row r="36804" spans="32:32" x14ac:dyDescent="0.2">
      <c r="AF36804" s="12"/>
    </row>
    <row r="36805" spans="32:32" x14ac:dyDescent="0.2">
      <c r="AF36805" s="12"/>
    </row>
    <row r="36806" spans="32:32" x14ac:dyDescent="0.2">
      <c r="AF36806" s="12"/>
    </row>
    <row r="36807" spans="32:32" x14ac:dyDescent="0.2">
      <c r="AF36807" s="12"/>
    </row>
    <row r="36808" spans="32:32" x14ac:dyDescent="0.2">
      <c r="AF36808" s="12"/>
    </row>
    <row r="36809" spans="32:32" x14ac:dyDescent="0.2">
      <c r="AF36809" s="12"/>
    </row>
    <row r="36810" spans="32:32" x14ac:dyDescent="0.2">
      <c r="AF36810" s="12"/>
    </row>
    <row r="36811" spans="32:32" x14ac:dyDescent="0.2">
      <c r="AF36811" s="12"/>
    </row>
    <row r="36812" spans="32:32" x14ac:dyDescent="0.2">
      <c r="AF36812" s="12"/>
    </row>
    <row r="36813" spans="32:32" x14ac:dyDescent="0.2">
      <c r="AF36813" s="12"/>
    </row>
    <row r="36814" spans="32:32" x14ac:dyDescent="0.2">
      <c r="AF36814" s="12"/>
    </row>
    <row r="36815" spans="32:32" x14ac:dyDescent="0.2">
      <c r="AF36815" s="12"/>
    </row>
    <row r="36816" spans="32:32" x14ac:dyDescent="0.2">
      <c r="AF36816" s="12"/>
    </row>
    <row r="36817" spans="32:32" x14ac:dyDescent="0.2">
      <c r="AF36817" s="12"/>
    </row>
    <row r="36818" spans="32:32" x14ac:dyDescent="0.2">
      <c r="AF36818" s="12"/>
    </row>
    <row r="36819" spans="32:32" x14ac:dyDescent="0.2">
      <c r="AF36819" s="12"/>
    </row>
    <row r="36820" spans="32:32" x14ac:dyDescent="0.2">
      <c r="AF36820" s="12"/>
    </row>
    <row r="36821" spans="32:32" x14ac:dyDescent="0.2">
      <c r="AF36821" s="12"/>
    </row>
    <row r="36822" spans="32:32" x14ac:dyDescent="0.2">
      <c r="AF36822" s="12"/>
    </row>
    <row r="36823" spans="32:32" x14ac:dyDescent="0.2">
      <c r="AF36823" s="12"/>
    </row>
    <row r="36824" spans="32:32" x14ac:dyDescent="0.2">
      <c r="AF36824" s="12"/>
    </row>
    <row r="36825" spans="32:32" x14ac:dyDescent="0.2">
      <c r="AF36825" s="12"/>
    </row>
    <row r="36826" spans="32:32" x14ac:dyDescent="0.2">
      <c r="AF36826" s="12"/>
    </row>
    <row r="36827" spans="32:32" x14ac:dyDescent="0.2">
      <c r="AF36827" s="12"/>
    </row>
    <row r="36828" spans="32:32" x14ac:dyDescent="0.2">
      <c r="AF36828" s="12"/>
    </row>
    <row r="36829" spans="32:32" x14ac:dyDescent="0.2">
      <c r="AF36829" s="12"/>
    </row>
    <row r="36830" spans="32:32" x14ac:dyDescent="0.2">
      <c r="AF36830" s="12"/>
    </row>
    <row r="36831" spans="32:32" x14ac:dyDescent="0.2">
      <c r="AF36831" s="12"/>
    </row>
    <row r="36832" spans="32:32" x14ac:dyDescent="0.2">
      <c r="AF36832" s="12"/>
    </row>
    <row r="36833" spans="32:32" x14ac:dyDescent="0.2">
      <c r="AF36833" s="12"/>
    </row>
    <row r="36834" spans="32:32" x14ac:dyDescent="0.2">
      <c r="AF36834" s="12"/>
    </row>
    <row r="36835" spans="32:32" x14ac:dyDescent="0.2">
      <c r="AF36835" s="12"/>
    </row>
    <row r="36836" spans="32:32" x14ac:dyDescent="0.2">
      <c r="AF36836" s="12"/>
    </row>
    <row r="36837" spans="32:32" x14ac:dyDescent="0.2">
      <c r="AF36837" s="12"/>
    </row>
    <row r="36838" spans="32:32" x14ac:dyDescent="0.2">
      <c r="AF36838" s="12"/>
    </row>
    <row r="36839" spans="32:32" x14ac:dyDescent="0.2">
      <c r="AF36839" s="12"/>
    </row>
    <row r="36840" spans="32:32" x14ac:dyDescent="0.2">
      <c r="AF36840" s="12"/>
    </row>
    <row r="36841" spans="32:32" x14ac:dyDescent="0.2">
      <c r="AF36841" s="12"/>
    </row>
    <row r="36842" spans="32:32" x14ac:dyDescent="0.2">
      <c r="AF36842" s="12"/>
    </row>
    <row r="36843" spans="32:32" x14ac:dyDescent="0.2">
      <c r="AF36843" s="12"/>
    </row>
    <row r="36844" spans="32:32" x14ac:dyDescent="0.2">
      <c r="AF36844" s="12"/>
    </row>
    <row r="36845" spans="32:32" x14ac:dyDescent="0.2">
      <c r="AF36845" s="12"/>
    </row>
    <row r="36846" spans="32:32" x14ac:dyDescent="0.2">
      <c r="AF36846" s="12"/>
    </row>
    <row r="36847" spans="32:32" x14ac:dyDescent="0.2">
      <c r="AF36847" s="12"/>
    </row>
    <row r="36848" spans="32:32" x14ac:dyDescent="0.2">
      <c r="AF36848" s="12"/>
    </row>
    <row r="36849" spans="32:32" x14ac:dyDescent="0.2">
      <c r="AF36849" s="12"/>
    </row>
    <row r="36850" spans="32:32" x14ac:dyDescent="0.2">
      <c r="AF36850" s="12"/>
    </row>
    <row r="36851" spans="32:32" x14ac:dyDescent="0.2">
      <c r="AF36851" s="12"/>
    </row>
    <row r="36852" spans="32:32" x14ac:dyDescent="0.2">
      <c r="AF36852" s="12"/>
    </row>
    <row r="36853" spans="32:32" x14ac:dyDescent="0.2">
      <c r="AF36853" s="12"/>
    </row>
    <row r="36854" spans="32:32" x14ac:dyDescent="0.2">
      <c r="AF36854" s="12"/>
    </row>
    <row r="36855" spans="32:32" x14ac:dyDescent="0.2">
      <c r="AF36855" s="12"/>
    </row>
    <row r="36856" spans="32:32" x14ac:dyDescent="0.2">
      <c r="AF36856" s="12"/>
    </row>
    <row r="36857" spans="32:32" x14ac:dyDescent="0.2">
      <c r="AF36857" s="12"/>
    </row>
    <row r="36858" spans="32:32" x14ac:dyDescent="0.2">
      <c r="AF36858" s="12"/>
    </row>
    <row r="36859" spans="32:32" x14ac:dyDescent="0.2">
      <c r="AF36859" s="12"/>
    </row>
    <row r="36860" spans="32:32" x14ac:dyDescent="0.2">
      <c r="AF36860" s="12"/>
    </row>
    <row r="36861" spans="32:32" x14ac:dyDescent="0.2">
      <c r="AF36861" s="12"/>
    </row>
    <row r="36862" spans="32:32" x14ac:dyDescent="0.2">
      <c r="AF36862" s="12"/>
    </row>
    <row r="36863" spans="32:32" x14ac:dyDescent="0.2">
      <c r="AF36863" s="12"/>
    </row>
    <row r="36864" spans="32:32" x14ac:dyDescent="0.2">
      <c r="AF36864" s="12"/>
    </row>
    <row r="36865" spans="32:32" x14ac:dyDescent="0.2">
      <c r="AF36865" s="12"/>
    </row>
    <row r="36866" spans="32:32" x14ac:dyDescent="0.2">
      <c r="AF36866" s="12"/>
    </row>
    <row r="36867" spans="32:32" x14ac:dyDescent="0.2">
      <c r="AF36867" s="12"/>
    </row>
    <row r="36868" spans="32:32" x14ac:dyDescent="0.2">
      <c r="AF36868" s="12"/>
    </row>
    <row r="36869" spans="32:32" x14ac:dyDescent="0.2">
      <c r="AF36869" s="12"/>
    </row>
    <row r="36870" spans="32:32" x14ac:dyDescent="0.2">
      <c r="AF36870" s="12"/>
    </row>
    <row r="36871" spans="32:32" x14ac:dyDescent="0.2">
      <c r="AF36871" s="12"/>
    </row>
    <row r="36872" spans="32:32" x14ac:dyDescent="0.2">
      <c r="AF36872" s="12"/>
    </row>
    <row r="36873" spans="32:32" x14ac:dyDescent="0.2">
      <c r="AF36873" s="12"/>
    </row>
    <row r="36874" spans="32:32" x14ac:dyDescent="0.2">
      <c r="AF36874" s="12"/>
    </row>
    <row r="36875" spans="32:32" x14ac:dyDescent="0.2">
      <c r="AF36875" s="12"/>
    </row>
    <row r="36876" spans="32:32" x14ac:dyDescent="0.2">
      <c r="AF36876" s="12"/>
    </row>
    <row r="36877" spans="32:32" x14ac:dyDescent="0.2">
      <c r="AF36877" s="12"/>
    </row>
    <row r="36878" spans="32:32" x14ac:dyDescent="0.2">
      <c r="AF36878" s="12"/>
    </row>
    <row r="36879" spans="32:32" x14ac:dyDescent="0.2">
      <c r="AF36879" s="12"/>
    </row>
    <row r="36880" spans="32:32" x14ac:dyDescent="0.2">
      <c r="AF36880" s="12"/>
    </row>
    <row r="36881" spans="32:32" x14ac:dyDescent="0.2">
      <c r="AF36881" s="12"/>
    </row>
    <row r="36882" spans="32:32" x14ac:dyDescent="0.2">
      <c r="AF36882" s="12"/>
    </row>
    <row r="36883" spans="32:32" x14ac:dyDescent="0.2">
      <c r="AF36883" s="12"/>
    </row>
    <row r="36884" spans="32:32" x14ac:dyDescent="0.2">
      <c r="AF36884" s="12"/>
    </row>
    <row r="36885" spans="32:32" x14ac:dyDescent="0.2">
      <c r="AF36885" s="12"/>
    </row>
    <row r="36886" spans="32:32" x14ac:dyDescent="0.2">
      <c r="AF36886" s="12"/>
    </row>
    <row r="36887" spans="32:32" x14ac:dyDescent="0.2">
      <c r="AF36887" s="12"/>
    </row>
    <row r="36888" spans="32:32" x14ac:dyDescent="0.2">
      <c r="AF36888" s="12"/>
    </row>
    <row r="36889" spans="32:32" x14ac:dyDescent="0.2">
      <c r="AF36889" s="12"/>
    </row>
    <row r="36890" spans="32:32" x14ac:dyDescent="0.2">
      <c r="AF36890" s="12"/>
    </row>
    <row r="36891" spans="32:32" x14ac:dyDescent="0.2">
      <c r="AF36891" s="12"/>
    </row>
    <row r="36892" spans="32:32" x14ac:dyDescent="0.2">
      <c r="AF36892" s="12"/>
    </row>
    <row r="36893" spans="32:32" x14ac:dyDescent="0.2">
      <c r="AF36893" s="12"/>
    </row>
    <row r="36894" spans="32:32" x14ac:dyDescent="0.2">
      <c r="AF36894" s="12"/>
    </row>
    <row r="36895" spans="32:32" x14ac:dyDescent="0.2">
      <c r="AF36895" s="12"/>
    </row>
    <row r="36896" spans="32:32" x14ac:dyDescent="0.2">
      <c r="AF36896" s="12"/>
    </row>
    <row r="36897" spans="32:32" x14ac:dyDescent="0.2">
      <c r="AF36897" s="12"/>
    </row>
    <row r="36898" spans="32:32" x14ac:dyDescent="0.2">
      <c r="AF36898" s="12"/>
    </row>
    <row r="36899" spans="32:32" x14ac:dyDescent="0.2">
      <c r="AF36899" s="12"/>
    </row>
    <row r="36900" spans="32:32" x14ac:dyDescent="0.2">
      <c r="AF36900" s="12"/>
    </row>
    <row r="36901" spans="32:32" x14ac:dyDescent="0.2">
      <c r="AF36901" s="12"/>
    </row>
    <row r="36902" spans="32:32" x14ac:dyDescent="0.2">
      <c r="AF36902" s="12"/>
    </row>
    <row r="36903" spans="32:32" x14ac:dyDescent="0.2">
      <c r="AF36903" s="12"/>
    </row>
    <row r="36904" spans="32:32" x14ac:dyDescent="0.2">
      <c r="AF36904" s="12"/>
    </row>
    <row r="36905" spans="32:32" x14ac:dyDescent="0.2">
      <c r="AF36905" s="12"/>
    </row>
    <row r="36906" spans="32:32" x14ac:dyDescent="0.2">
      <c r="AF36906" s="12"/>
    </row>
    <row r="36907" spans="32:32" x14ac:dyDescent="0.2">
      <c r="AF36907" s="12"/>
    </row>
    <row r="36908" spans="32:32" x14ac:dyDescent="0.2">
      <c r="AF36908" s="12"/>
    </row>
    <row r="36909" spans="32:32" x14ac:dyDescent="0.2">
      <c r="AF36909" s="12"/>
    </row>
    <row r="36910" spans="32:32" x14ac:dyDescent="0.2">
      <c r="AF36910" s="12"/>
    </row>
    <row r="36911" spans="32:32" x14ac:dyDescent="0.2">
      <c r="AF36911" s="12"/>
    </row>
    <row r="36912" spans="32:32" x14ac:dyDescent="0.2">
      <c r="AF36912" s="12"/>
    </row>
    <row r="36913" spans="32:32" x14ac:dyDescent="0.2">
      <c r="AF36913" s="12"/>
    </row>
    <row r="36914" spans="32:32" x14ac:dyDescent="0.2">
      <c r="AF36914" s="12"/>
    </row>
    <row r="36915" spans="32:32" x14ac:dyDescent="0.2">
      <c r="AF36915" s="12"/>
    </row>
    <row r="36916" spans="32:32" x14ac:dyDescent="0.2">
      <c r="AF36916" s="12"/>
    </row>
    <row r="36917" spans="32:32" x14ac:dyDescent="0.2">
      <c r="AF36917" s="12"/>
    </row>
    <row r="36918" spans="32:32" x14ac:dyDescent="0.2">
      <c r="AF36918" s="12"/>
    </row>
    <row r="36919" spans="32:32" x14ac:dyDescent="0.2">
      <c r="AF36919" s="12"/>
    </row>
    <row r="36920" spans="32:32" x14ac:dyDescent="0.2">
      <c r="AF36920" s="12"/>
    </row>
    <row r="36921" spans="32:32" x14ac:dyDescent="0.2">
      <c r="AF36921" s="12"/>
    </row>
    <row r="36922" spans="32:32" x14ac:dyDescent="0.2">
      <c r="AF36922" s="12"/>
    </row>
    <row r="36923" spans="32:32" x14ac:dyDescent="0.2">
      <c r="AF36923" s="12"/>
    </row>
    <row r="36924" spans="32:32" x14ac:dyDescent="0.2">
      <c r="AF36924" s="12"/>
    </row>
    <row r="36925" spans="32:32" x14ac:dyDescent="0.2">
      <c r="AF36925" s="12"/>
    </row>
    <row r="36926" spans="32:32" x14ac:dyDescent="0.2">
      <c r="AF36926" s="12"/>
    </row>
    <row r="36927" spans="32:32" x14ac:dyDescent="0.2">
      <c r="AF36927" s="12"/>
    </row>
    <row r="36928" spans="32:32" x14ac:dyDescent="0.2">
      <c r="AF36928" s="12"/>
    </row>
    <row r="36929" spans="32:32" x14ac:dyDescent="0.2">
      <c r="AF36929" s="12"/>
    </row>
    <row r="36930" spans="32:32" x14ac:dyDescent="0.2">
      <c r="AF36930" s="12"/>
    </row>
    <row r="36931" spans="32:32" x14ac:dyDescent="0.2">
      <c r="AF36931" s="12"/>
    </row>
    <row r="36932" spans="32:32" x14ac:dyDescent="0.2">
      <c r="AF36932" s="12"/>
    </row>
    <row r="36933" spans="32:32" x14ac:dyDescent="0.2">
      <c r="AF36933" s="12"/>
    </row>
    <row r="36934" spans="32:32" x14ac:dyDescent="0.2">
      <c r="AF36934" s="12"/>
    </row>
    <row r="36935" spans="32:32" x14ac:dyDescent="0.2">
      <c r="AF36935" s="12"/>
    </row>
    <row r="36936" spans="32:32" x14ac:dyDescent="0.2">
      <c r="AF36936" s="12"/>
    </row>
    <row r="36937" spans="32:32" x14ac:dyDescent="0.2">
      <c r="AF36937" s="12"/>
    </row>
    <row r="36938" spans="32:32" x14ac:dyDescent="0.2">
      <c r="AF36938" s="12"/>
    </row>
    <row r="36939" spans="32:32" x14ac:dyDescent="0.2">
      <c r="AF36939" s="12"/>
    </row>
    <row r="36940" spans="32:32" x14ac:dyDescent="0.2">
      <c r="AF36940" s="12"/>
    </row>
    <row r="36941" spans="32:32" x14ac:dyDescent="0.2">
      <c r="AF36941" s="12"/>
    </row>
    <row r="36942" spans="32:32" x14ac:dyDescent="0.2">
      <c r="AF36942" s="12"/>
    </row>
    <row r="36943" spans="32:32" x14ac:dyDescent="0.2">
      <c r="AF36943" s="12"/>
    </row>
    <row r="36944" spans="32:32" x14ac:dyDescent="0.2">
      <c r="AF36944" s="12"/>
    </row>
    <row r="36945" spans="32:32" x14ac:dyDescent="0.2">
      <c r="AF36945" s="12"/>
    </row>
    <row r="36946" spans="32:32" x14ac:dyDescent="0.2">
      <c r="AF36946" s="12"/>
    </row>
    <row r="36947" spans="32:32" x14ac:dyDescent="0.2">
      <c r="AF36947" s="12"/>
    </row>
    <row r="36948" spans="32:32" x14ac:dyDescent="0.2">
      <c r="AF36948" s="12"/>
    </row>
    <row r="36949" spans="32:32" x14ac:dyDescent="0.2">
      <c r="AF36949" s="12"/>
    </row>
    <row r="36950" spans="32:32" x14ac:dyDescent="0.2">
      <c r="AF36950" s="12"/>
    </row>
    <row r="36951" spans="32:32" x14ac:dyDescent="0.2">
      <c r="AF36951" s="12"/>
    </row>
    <row r="36952" spans="32:32" x14ac:dyDescent="0.2">
      <c r="AF36952" s="12"/>
    </row>
    <row r="36953" spans="32:32" x14ac:dyDescent="0.2">
      <c r="AF36953" s="12"/>
    </row>
    <row r="36954" spans="32:32" x14ac:dyDescent="0.2">
      <c r="AF36954" s="12"/>
    </row>
    <row r="36955" spans="32:32" x14ac:dyDescent="0.2">
      <c r="AF36955" s="12"/>
    </row>
    <row r="36956" spans="32:32" x14ac:dyDescent="0.2">
      <c r="AF36956" s="12"/>
    </row>
    <row r="36957" spans="32:32" x14ac:dyDescent="0.2">
      <c r="AF36957" s="12"/>
    </row>
    <row r="36958" spans="32:32" x14ac:dyDescent="0.2">
      <c r="AF36958" s="12"/>
    </row>
    <row r="36959" spans="32:32" x14ac:dyDescent="0.2">
      <c r="AF36959" s="12"/>
    </row>
    <row r="36960" spans="32:32" x14ac:dyDescent="0.2">
      <c r="AF36960" s="12"/>
    </row>
    <row r="36961" spans="32:32" x14ac:dyDescent="0.2">
      <c r="AF36961" s="12"/>
    </row>
    <row r="36962" spans="32:32" x14ac:dyDescent="0.2">
      <c r="AF36962" s="12"/>
    </row>
    <row r="36963" spans="32:32" x14ac:dyDescent="0.2">
      <c r="AF36963" s="12"/>
    </row>
    <row r="36964" spans="32:32" x14ac:dyDescent="0.2">
      <c r="AF36964" s="12"/>
    </row>
    <row r="36965" spans="32:32" x14ac:dyDescent="0.2">
      <c r="AF36965" s="12"/>
    </row>
    <row r="36966" spans="32:32" x14ac:dyDescent="0.2">
      <c r="AF36966" s="12"/>
    </row>
    <row r="36967" spans="32:32" x14ac:dyDescent="0.2">
      <c r="AF36967" s="12"/>
    </row>
    <row r="36968" spans="32:32" x14ac:dyDescent="0.2">
      <c r="AF36968" s="12"/>
    </row>
    <row r="36969" spans="32:32" x14ac:dyDescent="0.2">
      <c r="AF36969" s="12"/>
    </row>
    <row r="36970" spans="32:32" x14ac:dyDescent="0.2">
      <c r="AF36970" s="12"/>
    </row>
    <row r="36971" spans="32:32" x14ac:dyDescent="0.2">
      <c r="AF36971" s="12"/>
    </row>
    <row r="36972" spans="32:32" x14ac:dyDescent="0.2">
      <c r="AF36972" s="12"/>
    </row>
    <row r="36973" spans="32:32" x14ac:dyDescent="0.2">
      <c r="AF36973" s="12"/>
    </row>
    <row r="36974" spans="32:32" x14ac:dyDescent="0.2">
      <c r="AF36974" s="12"/>
    </row>
    <row r="36975" spans="32:32" x14ac:dyDescent="0.2">
      <c r="AF36975" s="12"/>
    </row>
    <row r="36976" spans="32:32" x14ac:dyDescent="0.2">
      <c r="AF36976" s="12"/>
    </row>
    <row r="36977" spans="32:32" x14ac:dyDescent="0.2">
      <c r="AF36977" s="12"/>
    </row>
    <row r="36978" spans="32:32" x14ac:dyDescent="0.2">
      <c r="AF36978" s="12"/>
    </row>
    <row r="36979" spans="32:32" x14ac:dyDescent="0.2">
      <c r="AF36979" s="12"/>
    </row>
    <row r="36980" spans="32:32" x14ac:dyDescent="0.2">
      <c r="AF36980" s="12"/>
    </row>
    <row r="36981" spans="32:32" x14ac:dyDescent="0.2">
      <c r="AF36981" s="12"/>
    </row>
    <row r="36982" spans="32:32" x14ac:dyDescent="0.2">
      <c r="AF36982" s="12"/>
    </row>
    <row r="36983" spans="32:32" x14ac:dyDescent="0.2">
      <c r="AF36983" s="12"/>
    </row>
    <row r="36984" spans="32:32" x14ac:dyDescent="0.2">
      <c r="AF36984" s="12"/>
    </row>
    <row r="36985" spans="32:32" x14ac:dyDescent="0.2">
      <c r="AF36985" s="12"/>
    </row>
    <row r="36986" spans="32:32" x14ac:dyDescent="0.2">
      <c r="AF36986" s="12"/>
    </row>
    <row r="36987" spans="32:32" x14ac:dyDescent="0.2">
      <c r="AF36987" s="12"/>
    </row>
    <row r="36988" spans="32:32" x14ac:dyDescent="0.2">
      <c r="AF36988" s="12"/>
    </row>
    <row r="36989" spans="32:32" x14ac:dyDescent="0.2">
      <c r="AF36989" s="12"/>
    </row>
    <row r="36990" spans="32:32" x14ac:dyDescent="0.2">
      <c r="AF36990" s="12"/>
    </row>
    <row r="36991" spans="32:32" x14ac:dyDescent="0.2">
      <c r="AF36991" s="12"/>
    </row>
    <row r="36992" spans="32:32" x14ac:dyDescent="0.2">
      <c r="AF36992" s="12"/>
    </row>
    <row r="36993" spans="32:32" x14ac:dyDescent="0.2">
      <c r="AF36993" s="12"/>
    </row>
    <row r="36994" spans="32:32" x14ac:dyDescent="0.2">
      <c r="AF36994" s="12"/>
    </row>
    <row r="36995" spans="32:32" x14ac:dyDescent="0.2">
      <c r="AF36995" s="12"/>
    </row>
    <row r="36996" spans="32:32" x14ac:dyDescent="0.2">
      <c r="AF36996" s="12"/>
    </row>
    <row r="36997" spans="32:32" x14ac:dyDescent="0.2">
      <c r="AF36997" s="12"/>
    </row>
    <row r="36998" spans="32:32" x14ac:dyDescent="0.2">
      <c r="AF36998" s="12"/>
    </row>
    <row r="36999" spans="32:32" x14ac:dyDescent="0.2">
      <c r="AF36999" s="12"/>
    </row>
    <row r="37000" spans="32:32" x14ac:dyDescent="0.2">
      <c r="AF37000" s="12"/>
    </row>
    <row r="37001" spans="32:32" x14ac:dyDescent="0.2">
      <c r="AF37001" s="12"/>
    </row>
    <row r="37002" spans="32:32" x14ac:dyDescent="0.2">
      <c r="AF37002" s="12"/>
    </row>
    <row r="37003" spans="32:32" x14ac:dyDescent="0.2">
      <c r="AF37003" s="12"/>
    </row>
    <row r="37004" spans="32:32" x14ac:dyDescent="0.2">
      <c r="AF37004" s="12"/>
    </row>
    <row r="37005" spans="32:32" x14ac:dyDescent="0.2">
      <c r="AF37005" s="12"/>
    </row>
    <row r="37006" spans="32:32" x14ac:dyDescent="0.2">
      <c r="AF37006" s="12"/>
    </row>
    <row r="37007" spans="32:32" x14ac:dyDescent="0.2">
      <c r="AF37007" s="12"/>
    </row>
    <row r="37008" spans="32:32" x14ac:dyDescent="0.2">
      <c r="AF37008" s="12"/>
    </row>
    <row r="37009" spans="32:32" x14ac:dyDescent="0.2">
      <c r="AF37009" s="12"/>
    </row>
    <row r="37010" spans="32:32" x14ac:dyDescent="0.2">
      <c r="AF37010" s="12"/>
    </row>
    <row r="37011" spans="32:32" x14ac:dyDescent="0.2">
      <c r="AF37011" s="12"/>
    </row>
    <row r="37012" spans="32:32" x14ac:dyDescent="0.2">
      <c r="AF37012" s="12"/>
    </row>
    <row r="37013" spans="32:32" x14ac:dyDescent="0.2">
      <c r="AF37013" s="12"/>
    </row>
    <row r="37014" spans="32:32" x14ac:dyDescent="0.2">
      <c r="AF37014" s="12"/>
    </row>
    <row r="37015" spans="32:32" x14ac:dyDescent="0.2">
      <c r="AF37015" s="12"/>
    </row>
    <row r="37016" spans="32:32" x14ac:dyDescent="0.2">
      <c r="AF37016" s="12"/>
    </row>
    <row r="37017" spans="32:32" x14ac:dyDescent="0.2">
      <c r="AF37017" s="12"/>
    </row>
    <row r="37018" spans="32:32" x14ac:dyDescent="0.2">
      <c r="AF37018" s="12"/>
    </row>
    <row r="37019" spans="32:32" x14ac:dyDescent="0.2">
      <c r="AF37019" s="12"/>
    </row>
    <row r="37020" spans="32:32" x14ac:dyDescent="0.2">
      <c r="AF37020" s="12"/>
    </row>
    <row r="37021" spans="32:32" x14ac:dyDescent="0.2">
      <c r="AF37021" s="12"/>
    </row>
    <row r="37022" spans="32:32" x14ac:dyDescent="0.2">
      <c r="AF37022" s="12"/>
    </row>
    <row r="37023" spans="32:32" x14ac:dyDescent="0.2">
      <c r="AF37023" s="12"/>
    </row>
    <row r="37024" spans="32:32" x14ac:dyDescent="0.2">
      <c r="AF37024" s="12"/>
    </row>
    <row r="37025" spans="32:32" x14ac:dyDescent="0.2">
      <c r="AF37025" s="12"/>
    </row>
    <row r="37026" spans="32:32" x14ac:dyDescent="0.2">
      <c r="AF37026" s="12"/>
    </row>
    <row r="37027" spans="32:32" x14ac:dyDescent="0.2">
      <c r="AF37027" s="12"/>
    </row>
    <row r="37028" spans="32:32" x14ac:dyDescent="0.2">
      <c r="AF37028" s="12"/>
    </row>
    <row r="37029" spans="32:32" x14ac:dyDescent="0.2">
      <c r="AF37029" s="12"/>
    </row>
    <row r="37030" spans="32:32" x14ac:dyDescent="0.2">
      <c r="AF37030" s="12"/>
    </row>
    <row r="37031" spans="32:32" x14ac:dyDescent="0.2">
      <c r="AF37031" s="12"/>
    </row>
    <row r="37032" spans="32:32" x14ac:dyDescent="0.2">
      <c r="AF37032" s="12"/>
    </row>
    <row r="37033" spans="32:32" x14ac:dyDescent="0.2">
      <c r="AF37033" s="12"/>
    </row>
    <row r="37034" spans="32:32" x14ac:dyDescent="0.2">
      <c r="AF37034" s="12"/>
    </row>
    <row r="37035" spans="32:32" x14ac:dyDescent="0.2">
      <c r="AF37035" s="12"/>
    </row>
    <row r="37036" spans="32:32" x14ac:dyDescent="0.2">
      <c r="AF37036" s="12"/>
    </row>
    <row r="37037" spans="32:32" x14ac:dyDescent="0.2">
      <c r="AF37037" s="12"/>
    </row>
    <row r="37038" spans="32:32" x14ac:dyDescent="0.2">
      <c r="AF37038" s="12"/>
    </row>
    <row r="37039" spans="32:32" x14ac:dyDescent="0.2">
      <c r="AF37039" s="12"/>
    </row>
    <row r="37040" spans="32:32" x14ac:dyDescent="0.2">
      <c r="AF37040" s="12"/>
    </row>
    <row r="37041" spans="32:32" x14ac:dyDescent="0.2">
      <c r="AF37041" s="12"/>
    </row>
    <row r="37042" spans="32:32" x14ac:dyDescent="0.2">
      <c r="AF37042" s="12"/>
    </row>
    <row r="37043" spans="32:32" x14ac:dyDescent="0.2">
      <c r="AF37043" s="12"/>
    </row>
    <row r="37044" spans="32:32" x14ac:dyDescent="0.2">
      <c r="AF37044" s="12"/>
    </row>
    <row r="37045" spans="32:32" x14ac:dyDescent="0.2">
      <c r="AF37045" s="12"/>
    </row>
    <row r="37046" spans="32:32" x14ac:dyDescent="0.2">
      <c r="AF37046" s="12"/>
    </row>
    <row r="37047" spans="32:32" x14ac:dyDescent="0.2">
      <c r="AF37047" s="12"/>
    </row>
    <row r="37048" spans="32:32" x14ac:dyDescent="0.2">
      <c r="AF37048" s="12"/>
    </row>
    <row r="37049" spans="32:32" x14ac:dyDescent="0.2">
      <c r="AF37049" s="12"/>
    </row>
    <row r="37050" spans="32:32" x14ac:dyDescent="0.2">
      <c r="AF37050" s="12"/>
    </row>
    <row r="37051" spans="32:32" x14ac:dyDescent="0.2">
      <c r="AF37051" s="12"/>
    </row>
    <row r="37052" spans="32:32" x14ac:dyDescent="0.2">
      <c r="AF37052" s="12"/>
    </row>
    <row r="37053" spans="32:32" x14ac:dyDescent="0.2">
      <c r="AF37053" s="12"/>
    </row>
    <row r="37054" spans="32:32" x14ac:dyDescent="0.2">
      <c r="AF37054" s="12"/>
    </row>
    <row r="37055" spans="32:32" x14ac:dyDescent="0.2">
      <c r="AF37055" s="12"/>
    </row>
    <row r="37056" spans="32:32" x14ac:dyDescent="0.2">
      <c r="AF37056" s="12"/>
    </row>
    <row r="37057" spans="32:32" x14ac:dyDescent="0.2">
      <c r="AF37057" s="12"/>
    </row>
    <row r="37058" spans="32:32" x14ac:dyDescent="0.2">
      <c r="AF37058" s="12"/>
    </row>
    <row r="37059" spans="32:32" x14ac:dyDescent="0.2">
      <c r="AF37059" s="12"/>
    </row>
    <row r="37060" spans="32:32" x14ac:dyDescent="0.2">
      <c r="AF37060" s="12"/>
    </row>
    <row r="37061" spans="32:32" x14ac:dyDescent="0.2">
      <c r="AF37061" s="12"/>
    </row>
    <row r="37062" spans="32:32" x14ac:dyDescent="0.2">
      <c r="AF37062" s="12"/>
    </row>
    <row r="37063" spans="32:32" x14ac:dyDescent="0.2">
      <c r="AF37063" s="12"/>
    </row>
    <row r="37064" spans="32:32" x14ac:dyDescent="0.2">
      <c r="AF37064" s="12"/>
    </row>
    <row r="37065" spans="32:32" x14ac:dyDescent="0.2">
      <c r="AF37065" s="12"/>
    </row>
    <row r="37066" spans="32:32" x14ac:dyDescent="0.2">
      <c r="AF37066" s="12"/>
    </row>
    <row r="37067" spans="32:32" x14ac:dyDescent="0.2">
      <c r="AF37067" s="12"/>
    </row>
    <row r="37068" spans="32:32" x14ac:dyDescent="0.2">
      <c r="AF37068" s="12"/>
    </row>
    <row r="37069" spans="32:32" x14ac:dyDescent="0.2">
      <c r="AF37069" s="12"/>
    </row>
    <row r="37070" spans="32:32" x14ac:dyDescent="0.2">
      <c r="AF37070" s="12"/>
    </row>
    <row r="37071" spans="32:32" x14ac:dyDescent="0.2">
      <c r="AF37071" s="12"/>
    </row>
    <row r="37072" spans="32:32" x14ac:dyDescent="0.2">
      <c r="AF37072" s="12"/>
    </row>
    <row r="37073" spans="32:32" x14ac:dyDescent="0.2">
      <c r="AF37073" s="12"/>
    </row>
    <row r="37074" spans="32:32" x14ac:dyDescent="0.2">
      <c r="AF37074" s="12"/>
    </row>
    <row r="37075" spans="32:32" x14ac:dyDescent="0.2">
      <c r="AF37075" s="12"/>
    </row>
    <row r="37076" spans="32:32" x14ac:dyDescent="0.2">
      <c r="AF37076" s="12"/>
    </row>
    <row r="37077" spans="32:32" x14ac:dyDescent="0.2">
      <c r="AF37077" s="12"/>
    </row>
    <row r="37078" spans="32:32" x14ac:dyDescent="0.2">
      <c r="AF37078" s="12"/>
    </row>
    <row r="37079" spans="32:32" x14ac:dyDescent="0.2">
      <c r="AF37079" s="12"/>
    </row>
    <row r="37080" spans="32:32" x14ac:dyDescent="0.2">
      <c r="AF37080" s="12"/>
    </row>
    <row r="37081" spans="32:32" x14ac:dyDescent="0.2">
      <c r="AF37081" s="12"/>
    </row>
    <row r="37082" spans="32:32" x14ac:dyDescent="0.2">
      <c r="AF37082" s="12"/>
    </row>
    <row r="37083" spans="32:32" x14ac:dyDescent="0.2">
      <c r="AF37083" s="12"/>
    </row>
    <row r="37084" spans="32:32" x14ac:dyDescent="0.2">
      <c r="AF37084" s="12"/>
    </row>
    <row r="37085" spans="32:32" x14ac:dyDescent="0.2">
      <c r="AF37085" s="12"/>
    </row>
    <row r="37086" spans="32:32" x14ac:dyDescent="0.2">
      <c r="AF37086" s="12"/>
    </row>
    <row r="37087" spans="32:32" x14ac:dyDescent="0.2">
      <c r="AF37087" s="12"/>
    </row>
    <row r="37088" spans="32:32" x14ac:dyDescent="0.2">
      <c r="AF37088" s="12"/>
    </row>
    <row r="37089" spans="32:32" x14ac:dyDescent="0.2">
      <c r="AF37089" s="12"/>
    </row>
    <row r="37090" spans="32:32" x14ac:dyDescent="0.2">
      <c r="AF37090" s="12"/>
    </row>
    <row r="37091" spans="32:32" x14ac:dyDescent="0.2">
      <c r="AF37091" s="12"/>
    </row>
    <row r="37092" spans="32:32" x14ac:dyDescent="0.2">
      <c r="AF37092" s="12"/>
    </row>
    <row r="37093" spans="32:32" x14ac:dyDescent="0.2">
      <c r="AF37093" s="12"/>
    </row>
    <row r="37094" spans="32:32" x14ac:dyDescent="0.2">
      <c r="AF37094" s="12"/>
    </row>
    <row r="37095" spans="32:32" x14ac:dyDescent="0.2">
      <c r="AF37095" s="12"/>
    </row>
    <row r="37096" spans="32:32" x14ac:dyDescent="0.2">
      <c r="AF37096" s="12"/>
    </row>
    <row r="37097" spans="32:32" x14ac:dyDescent="0.2">
      <c r="AF37097" s="12"/>
    </row>
    <row r="37098" spans="32:32" x14ac:dyDescent="0.2">
      <c r="AF37098" s="12"/>
    </row>
    <row r="37099" spans="32:32" x14ac:dyDescent="0.2">
      <c r="AF37099" s="12"/>
    </row>
    <row r="37100" spans="32:32" x14ac:dyDescent="0.2">
      <c r="AF37100" s="12"/>
    </row>
    <row r="37101" spans="32:32" x14ac:dyDescent="0.2">
      <c r="AF37101" s="12"/>
    </row>
    <row r="37102" spans="32:32" x14ac:dyDescent="0.2">
      <c r="AF37102" s="12"/>
    </row>
    <row r="37103" spans="32:32" x14ac:dyDescent="0.2">
      <c r="AF37103" s="12"/>
    </row>
    <row r="37104" spans="32:32" x14ac:dyDescent="0.2">
      <c r="AF37104" s="12"/>
    </row>
    <row r="37105" spans="32:32" x14ac:dyDescent="0.2">
      <c r="AF37105" s="12"/>
    </row>
    <row r="37106" spans="32:32" x14ac:dyDescent="0.2">
      <c r="AF37106" s="12"/>
    </row>
    <row r="37107" spans="32:32" x14ac:dyDescent="0.2">
      <c r="AF37107" s="12"/>
    </row>
    <row r="37108" spans="32:32" x14ac:dyDescent="0.2">
      <c r="AF37108" s="12"/>
    </row>
    <row r="37109" spans="32:32" x14ac:dyDescent="0.2">
      <c r="AF37109" s="12"/>
    </row>
    <row r="37110" spans="32:32" x14ac:dyDescent="0.2">
      <c r="AF37110" s="12"/>
    </row>
    <row r="37111" spans="32:32" x14ac:dyDescent="0.2">
      <c r="AF37111" s="12"/>
    </row>
    <row r="37112" spans="32:32" x14ac:dyDescent="0.2">
      <c r="AF37112" s="12"/>
    </row>
    <row r="37113" spans="32:32" x14ac:dyDescent="0.2">
      <c r="AF37113" s="12"/>
    </row>
    <row r="37114" spans="32:32" x14ac:dyDescent="0.2">
      <c r="AF37114" s="12"/>
    </row>
    <row r="37115" spans="32:32" x14ac:dyDescent="0.2">
      <c r="AF37115" s="12"/>
    </row>
    <row r="37116" spans="32:32" x14ac:dyDescent="0.2">
      <c r="AF37116" s="12"/>
    </row>
    <row r="37117" spans="32:32" x14ac:dyDescent="0.2">
      <c r="AF37117" s="12"/>
    </row>
    <row r="37118" spans="32:32" x14ac:dyDescent="0.2">
      <c r="AF37118" s="12"/>
    </row>
    <row r="37119" spans="32:32" x14ac:dyDescent="0.2">
      <c r="AF37119" s="12"/>
    </row>
    <row r="37120" spans="32:32" x14ac:dyDescent="0.2">
      <c r="AF37120" s="12"/>
    </row>
    <row r="37121" spans="32:32" x14ac:dyDescent="0.2">
      <c r="AF37121" s="12"/>
    </row>
    <row r="37122" spans="32:32" x14ac:dyDescent="0.2">
      <c r="AF37122" s="12"/>
    </row>
    <row r="37123" spans="32:32" x14ac:dyDescent="0.2">
      <c r="AF37123" s="12"/>
    </row>
    <row r="37124" spans="32:32" x14ac:dyDescent="0.2">
      <c r="AF37124" s="12"/>
    </row>
    <row r="37125" spans="32:32" x14ac:dyDescent="0.2">
      <c r="AF37125" s="12"/>
    </row>
    <row r="37126" spans="32:32" x14ac:dyDescent="0.2">
      <c r="AF37126" s="12"/>
    </row>
    <row r="37127" spans="32:32" x14ac:dyDescent="0.2">
      <c r="AF37127" s="12"/>
    </row>
    <row r="37128" spans="32:32" x14ac:dyDescent="0.2">
      <c r="AF37128" s="12"/>
    </row>
    <row r="37129" spans="32:32" x14ac:dyDescent="0.2">
      <c r="AF37129" s="12"/>
    </row>
    <row r="37130" spans="32:32" x14ac:dyDescent="0.2">
      <c r="AF37130" s="12"/>
    </row>
    <row r="37131" spans="32:32" x14ac:dyDescent="0.2">
      <c r="AF37131" s="12"/>
    </row>
    <row r="37132" spans="32:32" x14ac:dyDescent="0.2">
      <c r="AF37132" s="12"/>
    </row>
    <row r="37133" spans="32:32" x14ac:dyDescent="0.2">
      <c r="AF37133" s="12"/>
    </row>
    <row r="37134" spans="32:32" x14ac:dyDescent="0.2">
      <c r="AF37134" s="12"/>
    </row>
    <row r="37135" spans="32:32" x14ac:dyDescent="0.2">
      <c r="AF37135" s="12"/>
    </row>
    <row r="37136" spans="32:32" x14ac:dyDescent="0.2">
      <c r="AF37136" s="12"/>
    </row>
    <row r="37137" spans="32:32" x14ac:dyDescent="0.2">
      <c r="AF37137" s="12"/>
    </row>
    <row r="37138" spans="32:32" x14ac:dyDescent="0.2">
      <c r="AF37138" s="12"/>
    </row>
    <row r="37139" spans="32:32" x14ac:dyDescent="0.2">
      <c r="AF37139" s="12"/>
    </row>
    <row r="37140" spans="32:32" x14ac:dyDescent="0.2">
      <c r="AF37140" s="12"/>
    </row>
    <row r="37141" spans="32:32" x14ac:dyDescent="0.2">
      <c r="AF37141" s="12"/>
    </row>
    <row r="37142" spans="32:32" x14ac:dyDescent="0.2">
      <c r="AF37142" s="12"/>
    </row>
    <row r="37143" spans="32:32" x14ac:dyDescent="0.2">
      <c r="AF37143" s="12"/>
    </row>
    <row r="37144" spans="32:32" x14ac:dyDescent="0.2">
      <c r="AF37144" s="12"/>
    </row>
    <row r="37145" spans="32:32" x14ac:dyDescent="0.2">
      <c r="AF37145" s="12"/>
    </row>
    <row r="37146" spans="32:32" x14ac:dyDescent="0.2">
      <c r="AF37146" s="12"/>
    </row>
    <row r="37147" spans="32:32" x14ac:dyDescent="0.2">
      <c r="AF37147" s="12"/>
    </row>
    <row r="37148" spans="32:32" x14ac:dyDescent="0.2">
      <c r="AF37148" s="12"/>
    </row>
    <row r="37149" spans="32:32" x14ac:dyDescent="0.2">
      <c r="AF37149" s="12"/>
    </row>
    <row r="37150" spans="32:32" x14ac:dyDescent="0.2">
      <c r="AF37150" s="12"/>
    </row>
    <row r="37151" spans="32:32" x14ac:dyDescent="0.2">
      <c r="AF37151" s="12"/>
    </row>
    <row r="37152" spans="32:32" x14ac:dyDescent="0.2">
      <c r="AF37152" s="12"/>
    </row>
    <row r="37153" spans="32:32" x14ac:dyDescent="0.2">
      <c r="AF37153" s="12"/>
    </row>
    <row r="37154" spans="32:32" x14ac:dyDescent="0.2">
      <c r="AF37154" s="12"/>
    </row>
    <row r="37155" spans="32:32" x14ac:dyDescent="0.2">
      <c r="AF37155" s="12"/>
    </row>
    <row r="37156" spans="32:32" x14ac:dyDescent="0.2">
      <c r="AF37156" s="12"/>
    </row>
    <row r="37157" spans="32:32" x14ac:dyDescent="0.2">
      <c r="AF37157" s="12"/>
    </row>
    <row r="37158" spans="32:32" x14ac:dyDescent="0.2">
      <c r="AF37158" s="12"/>
    </row>
    <row r="37159" spans="32:32" x14ac:dyDescent="0.2">
      <c r="AF37159" s="12"/>
    </row>
    <row r="37160" spans="32:32" x14ac:dyDescent="0.2">
      <c r="AF37160" s="12"/>
    </row>
    <row r="37161" spans="32:32" x14ac:dyDescent="0.2">
      <c r="AF37161" s="12"/>
    </row>
    <row r="37162" spans="32:32" x14ac:dyDescent="0.2">
      <c r="AF37162" s="12"/>
    </row>
    <row r="37163" spans="32:32" x14ac:dyDescent="0.2">
      <c r="AF37163" s="12"/>
    </row>
    <row r="37164" spans="32:32" x14ac:dyDescent="0.2">
      <c r="AF37164" s="12"/>
    </row>
    <row r="37165" spans="32:32" x14ac:dyDescent="0.2">
      <c r="AF37165" s="12"/>
    </row>
    <row r="37166" spans="32:32" x14ac:dyDescent="0.2">
      <c r="AF37166" s="12"/>
    </row>
    <row r="37167" spans="32:32" x14ac:dyDescent="0.2">
      <c r="AF37167" s="12"/>
    </row>
    <row r="37168" spans="32:32" x14ac:dyDescent="0.2">
      <c r="AF37168" s="12"/>
    </row>
    <row r="37169" spans="32:32" x14ac:dyDescent="0.2">
      <c r="AF37169" s="12"/>
    </row>
    <row r="37170" spans="32:32" x14ac:dyDescent="0.2">
      <c r="AF37170" s="12"/>
    </row>
    <row r="37171" spans="32:32" x14ac:dyDescent="0.2">
      <c r="AF37171" s="12"/>
    </row>
    <row r="37172" spans="32:32" x14ac:dyDescent="0.2">
      <c r="AF37172" s="12"/>
    </row>
    <row r="37173" spans="32:32" x14ac:dyDescent="0.2">
      <c r="AF37173" s="12"/>
    </row>
    <row r="37174" spans="32:32" x14ac:dyDescent="0.2">
      <c r="AF37174" s="12"/>
    </row>
    <row r="37175" spans="32:32" x14ac:dyDescent="0.2">
      <c r="AF37175" s="12"/>
    </row>
    <row r="37176" spans="32:32" x14ac:dyDescent="0.2">
      <c r="AF37176" s="12"/>
    </row>
    <row r="37177" spans="32:32" x14ac:dyDescent="0.2">
      <c r="AF37177" s="12"/>
    </row>
    <row r="37178" spans="32:32" x14ac:dyDescent="0.2">
      <c r="AF37178" s="12"/>
    </row>
    <row r="37179" spans="32:32" x14ac:dyDescent="0.2">
      <c r="AF37179" s="12"/>
    </row>
    <row r="37180" spans="32:32" x14ac:dyDescent="0.2">
      <c r="AF37180" s="12"/>
    </row>
    <row r="37181" spans="32:32" x14ac:dyDescent="0.2">
      <c r="AF37181" s="12"/>
    </row>
    <row r="37182" spans="32:32" x14ac:dyDescent="0.2">
      <c r="AF37182" s="12"/>
    </row>
    <row r="37183" spans="32:32" x14ac:dyDescent="0.2">
      <c r="AF37183" s="12"/>
    </row>
    <row r="37184" spans="32:32" x14ac:dyDescent="0.2">
      <c r="AF37184" s="12"/>
    </row>
    <row r="37185" spans="32:32" x14ac:dyDescent="0.2">
      <c r="AF37185" s="12"/>
    </row>
    <row r="37186" spans="32:32" x14ac:dyDescent="0.2">
      <c r="AF37186" s="12"/>
    </row>
    <row r="37187" spans="32:32" x14ac:dyDescent="0.2">
      <c r="AF37187" s="12"/>
    </row>
    <row r="37188" spans="32:32" x14ac:dyDescent="0.2">
      <c r="AF37188" s="12"/>
    </row>
    <row r="37189" spans="32:32" x14ac:dyDescent="0.2">
      <c r="AF37189" s="12"/>
    </row>
    <row r="37190" spans="32:32" x14ac:dyDescent="0.2">
      <c r="AF37190" s="12"/>
    </row>
    <row r="37191" spans="32:32" x14ac:dyDescent="0.2">
      <c r="AF37191" s="12"/>
    </row>
    <row r="37192" spans="32:32" x14ac:dyDescent="0.2">
      <c r="AF37192" s="12"/>
    </row>
    <row r="37193" spans="32:32" x14ac:dyDescent="0.2">
      <c r="AF37193" s="12"/>
    </row>
    <row r="37194" spans="32:32" x14ac:dyDescent="0.2">
      <c r="AF37194" s="12"/>
    </row>
    <row r="37195" spans="32:32" x14ac:dyDescent="0.2">
      <c r="AF37195" s="12"/>
    </row>
    <row r="37196" spans="32:32" x14ac:dyDescent="0.2">
      <c r="AF37196" s="12"/>
    </row>
    <row r="37197" spans="32:32" x14ac:dyDescent="0.2">
      <c r="AF37197" s="12"/>
    </row>
    <row r="37198" spans="32:32" x14ac:dyDescent="0.2">
      <c r="AF37198" s="12"/>
    </row>
    <row r="37199" spans="32:32" x14ac:dyDescent="0.2">
      <c r="AF37199" s="12"/>
    </row>
    <row r="37200" spans="32:32" x14ac:dyDescent="0.2">
      <c r="AF37200" s="12"/>
    </row>
    <row r="37201" spans="32:32" x14ac:dyDescent="0.2">
      <c r="AF37201" s="12"/>
    </row>
    <row r="37202" spans="32:32" x14ac:dyDescent="0.2">
      <c r="AF37202" s="12"/>
    </row>
    <row r="37203" spans="32:32" x14ac:dyDescent="0.2">
      <c r="AF37203" s="12"/>
    </row>
    <row r="37204" spans="32:32" x14ac:dyDescent="0.2">
      <c r="AF37204" s="12"/>
    </row>
    <row r="37205" spans="32:32" x14ac:dyDescent="0.2">
      <c r="AF37205" s="12"/>
    </row>
    <row r="37206" spans="32:32" x14ac:dyDescent="0.2">
      <c r="AF37206" s="12"/>
    </row>
    <row r="37207" spans="32:32" x14ac:dyDescent="0.2">
      <c r="AF37207" s="12"/>
    </row>
    <row r="37208" spans="32:32" x14ac:dyDescent="0.2">
      <c r="AF37208" s="12"/>
    </row>
    <row r="37209" spans="32:32" x14ac:dyDescent="0.2">
      <c r="AF37209" s="12"/>
    </row>
    <row r="37210" spans="32:32" x14ac:dyDescent="0.2">
      <c r="AF37210" s="12"/>
    </row>
    <row r="37211" spans="32:32" x14ac:dyDescent="0.2">
      <c r="AF37211" s="12"/>
    </row>
    <row r="37212" spans="32:32" x14ac:dyDescent="0.2">
      <c r="AF37212" s="12"/>
    </row>
    <row r="37213" spans="32:32" x14ac:dyDescent="0.2">
      <c r="AF37213" s="12"/>
    </row>
    <row r="37214" spans="32:32" x14ac:dyDescent="0.2">
      <c r="AF37214" s="12"/>
    </row>
    <row r="37215" spans="32:32" x14ac:dyDescent="0.2">
      <c r="AF37215" s="12"/>
    </row>
    <row r="37216" spans="32:32" x14ac:dyDescent="0.2">
      <c r="AF37216" s="12"/>
    </row>
    <row r="37217" spans="32:32" x14ac:dyDescent="0.2">
      <c r="AF37217" s="12"/>
    </row>
    <row r="37218" spans="32:32" x14ac:dyDescent="0.2">
      <c r="AF37218" s="12"/>
    </row>
    <row r="37219" spans="32:32" x14ac:dyDescent="0.2">
      <c r="AF37219" s="12"/>
    </row>
    <row r="37220" spans="32:32" x14ac:dyDescent="0.2">
      <c r="AF37220" s="12"/>
    </row>
    <row r="37221" spans="32:32" x14ac:dyDescent="0.2">
      <c r="AF37221" s="12"/>
    </row>
    <row r="37222" spans="32:32" x14ac:dyDescent="0.2">
      <c r="AF37222" s="12"/>
    </row>
    <row r="37223" spans="32:32" x14ac:dyDescent="0.2">
      <c r="AF37223" s="12"/>
    </row>
    <row r="37224" spans="32:32" x14ac:dyDescent="0.2">
      <c r="AF37224" s="12"/>
    </row>
    <row r="37225" spans="32:32" x14ac:dyDescent="0.2">
      <c r="AF37225" s="12"/>
    </row>
    <row r="37226" spans="32:32" x14ac:dyDescent="0.2">
      <c r="AF37226" s="12"/>
    </row>
    <row r="37227" spans="32:32" x14ac:dyDescent="0.2">
      <c r="AF37227" s="12"/>
    </row>
    <row r="37228" spans="32:32" x14ac:dyDescent="0.2">
      <c r="AF37228" s="12"/>
    </row>
    <row r="37229" spans="32:32" x14ac:dyDescent="0.2">
      <c r="AF37229" s="12"/>
    </row>
    <row r="37230" spans="32:32" x14ac:dyDescent="0.2">
      <c r="AF37230" s="12"/>
    </row>
    <row r="37231" spans="32:32" x14ac:dyDescent="0.2">
      <c r="AF37231" s="12"/>
    </row>
    <row r="37232" spans="32:32" x14ac:dyDescent="0.2">
      <c r="AF37232" s="12"/>
    </row>
    <row r="37233" spans="32:32" x14ac:dyDescent="0.2">
      <c r="AF37233" s="12"/>
    </row>
    <row r="37234" spans="32:32" x14ac:dyDescent="0.2">
      <c r="AF37234" s="12"/>
    </row>
    <row r="37235" spans="32:32" x14ac:dyDescent="0.2">
      <c r="AF37235" s="12"/>
    </row>
    <row r="37236" spans="32:32" x14ac:dyDescent="0.2">
      <c r="AF37236" s="12"/>
    </row>
    <row r="37237" spans="32:32" x14ac:dyDescent="0.2">
      <c r="AF37237" s="12"/>
    </row>
    <row r="37238" spans="32:32" x14ac:dyDescent="0.2">
      <c r="AF37238" s="12"/>
    </row>
    <row r="37239" spans="32:32" x14ac:dyDescent="0.2">
      <c r="AF37239" s="12"/>
    </row>
    <row r="37240" spans="32:32" x14ac:dyDescent="0.2">
      <c r="AF37240" s="12"/>
    </row>
    <row r="37241" spans="32:32" x14ac:dyDescent="0.2">
      <c r="AF37241" s="12"/>
    </row>
    <row r="37242" spans="32:32" x14ac:dyDescent="0.2">
      <c r="AF37242" s="12"/>
    </row>
    <row r="37243" spans="32:32" x14ac:dyDescent="0.2">
      <c r="AF37243" s="12"/>
    </row>
    <row r="37244" spans="32:32" x14ac:dyDescent="0.2">
      <c r="AF37244" s="12"/>
    </row>
    <row r="37245" spans="32:32" x14ac:dyDescent="0.2">
      <c r="AF37245" s="12"/>
    </row>
    <row r="37246" spans="32:32" x14ac:dyDescent="0.2">
      <c r="AF37246" s="12"/>
    </row>
    <row r="37247" spans="32:32" x14ac:dyDescent="0.2">
      <c r="AF37247" s="12"/>
    </row>
    <row r="37248" spans="32:32" x14ac:dyDescent="0.2">
      <c r="AF37248" s="12"/>
    </row>
    <row r="37249" spans="32:32" x14ac:dyDescent="0.2">
      <c r="AF37249" s="12"/>
    </row>
    <row r="37250" spans="32:32" x14ac:dyDescent="0.2">
      <c r="AF37250" s="12"/>
    </row>
    <row r="37251" spans="32:32" x14ac:dyDescent="0.2">
      <c r="AF37251" s="12"/>
    </row>
    <row r="37252" spans="32:32" x14ac:dyDescent="0.2">
      <c r="AF37252" s="12"/>
    </row>
    <row r="37253" spans="32:32" x14ac:dyDescent="0.2">
      <c r="AF37253" s="12"/>
    </row>
    <row r="37254" spans="32:32" x14ac:dyDescent="0.2">
      <c r="AF37254" s="12"/>
    </row>
    <row r="37255" spans="32:32" x14ac:dyDescent="0.2">
      <c r="AF37255" s="12"/>
    </row>
    <row r="37256" spans="32:32" x14ac:dyDescent="0.2">
      <c r="AF37256" s="12"/>
    </row>
    <row r="37257" spans="32:32" x14ac:dyDescent="0.2">
      <c r="AF37257" s="12"/>
    </row>
    <row r="37258" spans="32:32" x14ac:dyDescent="0.2">
      <c r="AF37258" s="12"/>
    </row>
    <row r="37259" spans="32:32" x14ac:dyDescent="0.2">
      <c r="AF37259" s="12"/>
    </row>
    <row r="37260" spans="32:32" x14ac:dyDescent="0.2">
      <c r="AF37260" s="12"/>
    </row>
    <row r="37261" spans="32:32" x14ac:dyDescent="0.2">
      <c r="AF37261" s="12"/>
    </row>
    <row r="37262" spans="32:32" x14ac:dyDescent="0.2">
      <c r="AF37262" s="12"/>
    </row>
    <row r="37263" spans="32:32" x14ac:dyDescent="0.2">
      <c r="AF37263" s="12"/>
    </row>
    <row r="37264" spans="32:32" x14ac:dyDescent="0.2">
      <c r="AF37264" s="12"/>
    </row>
    <row r="37265" spans="32:32" x14ac:dyDescent="0.2">
      <c r="AF37265" s="12"/>
    </row>
    <row r="37266" spans="32:32" x14ac:dyDescent="0.2">
      <c r="AF37266" s="12"/>
    </row>
    <row r="37267" spans="32:32" x14ac:dyDescent="0.2">
      <c r="AF37267" s="12"/>
    </row>
    <row r="37268" spans="32:32" x14ac:dyDescent="0.2">
      <c r="AF37268" s="12"/>
    </row>
    <row r="37269" spans="32:32" x14ac:dyDescent="0.2">
      <c r="AF37269" s="12"/>
    </row>
    <row r="37270" spans="32:32" x14ac:dyDescent="0.2">
      <c r="AF37270" s="12"/>
    </row>
    <row r="37271" spans="32:32" x14ac:dyDescent="0.2">
      <c r="AF37271" s="12"/>
    </row>
    <row r="37272" spans="32:32" x14ac:dyDescent="0.2">
      <c r="AF37272" s="12"/>
    </row>
    <row r="37273" spans="32:32" x14ac:dyDescent="0.2">
      <c r="AF37273" s="12"/>
    </row>
    <row r="37274" spans="32:32" x14ac:dyDescent="0.2">
      <c r="AF37274" s="12"/>
    </row>
    <row r="37275" spans="32:32" x14ac:dyDescent="0.2">
      <c r="AF37275" s="12"/>
    </row>
    <row r="37276" spans="32:32" x14ac:dyDescent="0.2">
      <c r="AF37276" s="12"/>
    </row>
    <row r="37277" spans="32:32" x14ac:dyDescent="0.2">
      <c r="AF37277" s="12"/>
    </row>
    <row r="37278" spans="32:32" x14ac:dyDescent="0.2">
      <c r="AF37278" s="12"/>
    </row>
    <row r="37279" spans="32:32" x14ac:dyDescent="0.2">
      <c r="AF37279" s="12"/>
    </row>
    <row r="37280" spans="32:32" x14ac:dyDescent="0.2">
      <c r="AF37280" s="12"/>
    </row>
    <row r="37281" spans="32:32" x14ac:dyDescent="0.2">
      <c r="AF37281" s="12"/>
    </row>
    <row r="37282" spans="32:32" x14ac:dyDescent="0.2">
      <c r="AF37282" s="12"/>
    </row>
    <row r="37283" spans="32:32" x14ac:dyDescent="0.2">
      <c r="AF37283" s="12"/>
    </row>
    <row r="37284" spans="32:32" x14ac:dyDescent="0.2">
      <c r="AF37284" s="12"/>
    </row>
    <row r="37285" spans="32:32" x14ac:dyDescent="0.2">
      <c r="AF37285" s="12"/>
    </row>
    <row r="37286" spans="32:32" x14ac:dyDescent="0.2">
      <c r="AF37286" s="12"/>
    </row>
    <row r="37287" spans="32:32" x14ac:dyDescent="0.2">
      <c r="AF37287" s="12"/>
    </row>
    <row r="37288" spans="32:32" x14ac:dyDescent="0.2">
      <c r="AF37288" s="12"/>
    </row>
    <row r="37289" spans="32:32" x14ac:dyDescent="0.2">
      <c r="AF37289" s="12"/>
    </row>
    <row r="37290" spans="32:32" x14ac:dyDescent="0.2">
      <c r="AF37290" s="12"/>
    </row>
    <row r="37291" spans="32:32" x14ac:dyDescent="0.2">
      <c r="AF37291" s="12"/>
    </row>
    <row r="37292" spans="32:32" x14ac:dyDescent="0.2">
      <c r="AF37292" s="12"/>
    </row>
    <row r="37293" spans="32:32" x14ac:dyDescent="0.2">
      <c r="AF37293" s="12"/>
    </row>
    <row r="37294" spans="32:32" x14ac:dyDescent="0.2">
      <c r="AF37294" s="12"/>
    </row>
    <row r="37295" spans="32:32" x14ac:dyDescent="0.2">
      <c r="AF37295" s="12"/>
    </row>
    <row r="37296" spans="32:32" x14ac:dyDescent="0.2">
      <c r="AF37296" s="12"/>
    </row>
    <row r="37297" spans="32:32" x14ac:dyDescent="0.2">
      <c r="AF37297" s="12"/>
    </row>
    <row r="37298" spans="32:32" x14ac:dyDescent="0.2">
      <c r="AF37298" s="12"/>
    </row>
    <row r="37299" spans="32:32" x14ac:dyDescent="0.2">
      <c r="AF37299" s="12"/>
    </row>
    <row r="37300" spans="32:32" x14ac:dyDescent="0.2">
      <c r="AF37300" s="12"/>
    </row>
    <row r="37301" spans="32:32" x14ac:dyDescent="0.2">
      <c r="AF37301" s="12"/>
    </row>
    <row r="37302" spans="32:32" x14ac:dyDescent="0.2">
      <c r="AF37302" s="12"/>
    </row>
    <row r="37303" spans="32:32" x14ac:dyDescent="0.2">
      <c r="AF37303" s="12"/>
    </row>
    <row r="37304" spans="32:32" x14ac:dyDescent="0.2">
      <c r="AF37304" s="12"/>
    </row>
    <row r="37305" spans="32:32" x14ac:dyDescent="0.2">
      <c r="AF37305" s="12"/>
    </row>
    <row r="37306" spans="32:32" x14ac:dyDescent="0.2">
      <c r="AF37306" s="12"/>
    </row>
    <row r="37307" spans="32:32" x14ac:dyDescent="0.2">
      <c r="AF37307" s="12"/>
    </row>
    <row r="37308" spans="32:32" x14ac:dyDescent="0.2">
      <c r="AF37308" s="12"/>
    </row>
    <row r="37309" spans="32:32" x14ac:dyDescent="0.2">
      <c r="AF37309" s="12"/>
    </row>
    <row r="37310" spans="32:32" x14ac:dyDescent="0.2">
      <c r="AF37310" s="12"/>
    </row>
    <row r="37311" spans="32:32" x14ac:dyDescent="0.2">
      <c r="AF37311" s="12"/>
    </row>
    <row r="37312" spans="32:32" x14ac:dyDescent="0.2">
      <c r="AF37312" s="12"/>
    </row>
    <row r="37313" spans="32:32" x14ac:dyDescent="0.2">
      <c r="AF37313" s="12"/>
    </row>
    <row r="37314" spans="32:32" x14ac:dyDescent="0.2">
      <c r="AF37314" s="12"/>
    </row>
    <row r="37315" spans="32:32" x14ac:dyDescent="0.2">
      <c r="AF37315" s="12"/>
    </row>
    <row r="37316" spans="32:32" x14ac:dyDescent="0.2">
      <c r="AF37316" s="12"/>
    </row>
    <row r="37317" spans="32:32" x14ac:dyDescent="0.2">
      <c r="AF37317" s="12"/>
    </row>
    <row r="37318" spans="32:32" x14ac:dyDescent="0.2">
      <c r="AF37318" s="12"/>
    </row>
    <row r="37319" spans="32:32" x14ac:dyDescent="0.2">
      <c r="AF37319" s="12"/>
    </row>
    <row r="37320" spans="32:32" x14ac:dyDescent="0.2">
      <c r="AF37320" s="12"/>
    </row>
    <row r="37321" spans="32:32" x14ac:dyDescent="0.2">
      <c r="AF37321" s="12"/>
    </row>
    <row r="37322" spans="32:32" x14ac:dyDescent="0.2">
      <c r="AF37322" s="12"/>
    </row>
    <row r="37323" spans="32:32" x14ac:dyDescent="0.2">
      <c r="AF37323" s="12"/>
    </row>
    <row r="37324" spans="32:32" x14ac:dyDescent="0.2">
      <c r="AF37324" s="12"/>
    </row>
    <row r="37325" spans="32:32" x14ac:dyDescent="0.2">
      <c r="AF37325" s="12"/>
    </row>
    <row r="37326" spans="32:32" x14ac:dyDescent="0.2">
      <c r="AF37326" s="12"/>
    </row>
    <row r="37327" spans="32:32" x14ac:dyDescent="0.2">
      <c r="AF37327" s="12"/>
    </row>
    <row r="37328" spans="32:32" x14ac:dyDescent="0.2">
      <c r="AF37328" s="12"/>
    </row>
    <row r="37329" spans="32:32" x14ac:dyDescent="0.2">
      <c r="AF37329" s="12"/>
    </row>
    <row r="37330" spans="32:32" x14ac:dyDescent="0.2">
      <c r="AF37330" s="12"/>
    </row>
    <row r="37331" spans="32:32" x14ac:dyDescent="0.2">
      <c r="AF37331" s="12"/>
    </row>
    <row r="37332" spans="32:32" x14ac:dyDescent="0.2">
      <c r="AF37332" s="12"/>
    </row>
    <row r="37333" spans="32:32" x14ac:dyDescent="0.2">
      <c r="AF37333" s="12"/>
    </row>
    <row r="37334" spans="32:32" x14ac:dyDescent="0.2">
      <c r="AF37334" s="12"/>
    </row>
    <row r="37335" spans="32:32" x14ac:dyDescent="0.2">
      <c r="AF37335" s="12"/>
    </row>
    <row r="37336" spans="32:32" x14ac:dyDescent="0.2">
      <c r="AF37336" s="12"/>
    </row>
    <row r="37337" spans="32:32" x14ac:dyDescent="0.2">
      <c r="AF37337" s="12"/>
    </row>
    <row r="37338" spans="32:32" x14ac:dyDescent="0.2">
      <c r="AF37338" s="12"/>
    </row>
    <row r="37339" spans="32:32" x14ac:dyDescent="0.2">
      <c r="AF37339" s="12"/>
    </row>
    <row r="37340" spans="32:32" x14ac:dyDescent="0.2">
      <c r="AF37340" s="12"/>
    </row>
    <row r="37341" spans="32:32" x14ac:dyDescent="0.2">
      <c r="AF37341" s="12"/>
    </row>
    <row r="37342" spans="32:32" x14ac:dyDescent="0.2">
      <c r="AF37342" s="12"/>
    </row>
    <row r="37343" spans="32:32" x14ac:dyDescent="0.2">
      <c r="AF37343" s="12"/>
    </row>
    <row r="37344" spans="32:32" x14ac:dyDescent="0.2">
      <c r="AF37344" s="12"/>
    </row>
    <row r="37345" spans="32:32" x14ac:dyDescent="0.2">
      <c r="AF37345" s="12"/>
    </row>
    <row r="37346" spans="32:32" x14ac:dyDescent="0.2">
      <c r="AF37346" s="12"/>
    </row>
    <row r="37347" spans="32:32" x14ac:dyDescent="0.2">
      <c r="AF37347" s="12"/>
    </row>
    <row r="37348" spans="32:32" x14ac:dyDescent="0.2">
      <c r="AF37348" s="12"/>
    </row>
    <row r="37349" spans="32:32" x14ac:dyDescent="0.2">
      <c r="AF37349" s="12"/>
    </row>
    <row r="37350" spans="32:32" x14ac:dyDescent="0.2">
      <c r="AF37350" s="12"/>
    </row>
    <row r="37351" spans="32:32" x14ac:dyDescent="0.2">
      <c r="AF37351" s="12"/>
    </row>
    <row r="37352" spans="32:32" x14ac:dyDescent="0.2">
      <c r="AF37352" s="12"/>
    </row>
    <row r="37353" spans="32:32" x14ac:dyDescent="0.2">
      <c r="AF37353" s="12"/>
    </row>
    <row r="37354" spans="32:32" x14ac:dyDescent="0.2">
      <c r="AF37354" s="12"/>
    </row>
    <row r="37355" spans="32:32" x14ac:dyDescent="0.2">
      <c r="AF37355" s="12"/>
    </row>
    <row r="37356" spans="32:32" x14ac:dyDescent="0.2">
      <c r="AF37356" s="12"/>
    </row>
    <row r="37357" spans="32:32" x14ac:dyDescent="0.2">
      <c r="AF37357" s="12"/>
    </row>
    <row r="37358" spans="32:32" x14ac:dyDescent="0.2">
      <c r="AF37358" s="12"/>
    </row>
    <row r="37359" spans="32:32" x14ac:dyDescent="0.2">
      <c r="AF37359" s="12"/>
    </row>
    <row r="37360" spans="32:32" x14ac:dyDescent="0.2">
      <c r="AF37360" s="12"/>
    </row>
    <row r="37361" spans="32:32" x14ac:dyDescent="0.2">
      <c r="AF37361" s="12"/>
    </row>
    <row r="37362" spans="32:32" x14ac:dyDescent="0.2">
      <c r="AF37362" s="12"/>
    </row>
    <row r="37363" spans="32:32" x14ac:dyDescent="0.2">
      <c r="AF37363" s="12"/>
    </row>
    <row r="37364" spans="32:32" x14ac:dyDescent="0.2">
      <c r="AF37364" s="12"/>
    </row>
    <row r="37365" spans="32:32" x14ac:dyDescent="0.2">
      <c r="AF37365" s="12"/>
    </row>
    <row r="37366" spans="32:32" x14ac:dyDescent="0.2">
      <c r="AF37366" s="12"/>
    </row>
    <row r="37367" spans="32:32" x14ac:dyDescent="0.2">
      <c r="AF37367" s="12"/>
    </row>
    <row r="37368" spans="32:32" x14ac:dyDescent="0.2">
      <c r="AF37368" s="12"/>
    </row>
    <row r="37369" spans="32:32" x14ac:dyDescent="0.2">
      <c r="AF37369" s="12"/>
    </row>
    <row r="37370" spans="32:32" x14ac:dyDescent="0.2">
      <c r="AF37370" s="12"/>
    </row>
    <row r="37371" spans="32:32" x14ac:dyDescent="0.2">
      <c r="AF37371" s="12"/>
    </row>
    <row r="37372" spans="32:32" x14ac:dyDescent="0.2">
      <c r="AF37372" s="12"/>
    </row>
    <row r="37373" spans="32:32" x14ac:dyDescent="0.2">
      <c r="AF37373" s="12"/>
    </row>
    <row r="37374" spans="32:32" x14ac:dyDescent="0.2">
      <c r="AF37374" s="12"/>
    </row>
    <row r="37375" spans="32:32" x14ac:dyDescent="0.2">
      <c r="AF37375" s="12"/>
    </row>
    <row r="37376" spans="32:32" x14ac:dyDescent="0.2">
      <c r="AF37376" s="12"/>
    </row>
    <row r="37377" spans="32:32" x14ac:dyDescent="0.2">
      <c r="AF37377" s="12"/>
    </row>
    <row r="37378" spans="32:32" x14ac:dyDescent="0.2">
      <c r="AF37378" s="12"/>
    </row>
    <row r="37379" spans="32:32" x14ac:dyDescent="0.2">
      <c r="AF37379" s="12"/>
    </row>
    <row r="37380" spans="32:32" x14ac:dyDescent="0.2">
      <c r="AF37380" s="12"/>
    </row>
    <row r="37381" spans="32:32" x14ac:dyDescent="0.2">
      <c r="AF37381" s="12"/>
    </row>
    <row r="37382" spans="32:32" x14ac:dyDescent="0.2">
      <c r="AF37382" s="12"/>
    </row>
    <row r="37383" spans="32:32" x14ac:dyDescent="0.2">
      <c r="AF37383" s="12"/>
    </row>
    <row r="37384" spans="32:32" x14ac:dyDescent="0.2">
      <c r="AF37384" s="12"/>
    </row>
    <row r="37385" spans="32:32" x14ac:dyDescent="0.2">
      <c r="AF37385" s="12"/>
    </row>
    <row r="37386" spans="32:32" x14ac:dyDescent="0.2">
      <c r="AF37386" s="12"/>
    </row>
    <row r="37387" spans="32:32" x14ac:dyDescent="0.2">
      <c r="AF37387" s="12"/>
    </row>
    <row r="37388" spans="32:32" x14ac:dyDescent="0.2">
      <c r="AF37388" s="12"/>
    </row>
    <row r="37389" spans="32:32" x14ac:dyDescent="0.2">
      <c r="AF37389" s="12"/>
    </row>
    <row r="37390" spans="32:32" x14ac:dyDescent="0.2">
      <c r="AF37390" s="12"/>
    </row>
    <row r="37391" spans="32:32" x14ac:dyDescent="0.2">
      <c r="AF37391" s="12"/>
    </row>
    <row r="37392" spans="32:32" x14ac:dyDescent="0.2">
      <c r="AF37392" s="12"/>
    </row>
    <row r="37393" spans="32:32" x14ac:dyDescent="0.2">
      <c r="AF37393" s="12"/>
    </row>
    <row r="37394" spans="32:32" x14ac:dyDescent="0.2">
      <c r="AF37394" s="12"/>
    </row>
    <row r="37395" spans="32:32" x14ac:dyDescent="0.2">
      <c r="AF37395" s="12"/>
    </row>
    <row r="37396" spans="32:32" x14ac:dyDescent="0.2">
      <c r="AF37396" s="12"/>
    </row>
    <row r="37397" spans="32:32" x14ac:dyDescent="0.2">
      <c r="AF37397" s="12"/>
    </row>
    <row r="37398" spans="32:32" x14ac:dyDescent="0.2">
      <c r="AF37398" s="12"/>
    </row>
    <row r="37399" spans="32:32" x14ac:dyDescent="0.2">
      <c r="AF37399" s="12"/>
    </row>
    <row r="37400" spans="32:32" x14ac:dyDescent="0.2">
      <c r="AF37400" s="12"/>
    </row>
    <row r="37401" spans="32:32" x14ac:dyDescent="0.2">
      <c r="AF37401" s="12"/>
    </row>
    <row r="37402" spans="32:32" x14ac:dyDescent="0.2">
      <c r="AF37402" s="12"/>
    </row>
    <row r="37403" spans="32:32" x14ac:dyDescent="0.2">
      <c r="AF37403" s="12"/>
    </row>
    <row r="37404" spans="32:32" x14ac:dyDescent="0.2">
      <c r="AF37404" s="12"/>
    </row>
    <row r="37405" spans="32:32" x14ac:dyDescent="0.2">
      <c r="AF37405" s="12"/>
    </row>
    <row r="37406" spans="32:32" x14ac:dyDescent="0.2">
      <c r="AF37406" s="12"/>
    </row>
    <row r="37407" spans="32:32" x14ac:dyDescent="0.2">
      <c r="AF37407" s="12"/>
    </row>
    <row r="37408" spans="32:32" x14ac:dyDescent="0.2">
      <c r="AF37408" s="12"/>
    </row>
    <row r="37409" spans="32:32" x14ac:dyDescent="0.2">
      <c r="AF37409" s="12"/>
    </row>
    <row r="37410" spans="32:32" x14ac:dyDescent="0.2">
      <c r="AF37410" s="12"/>
    </row>
    <row r="37411" spans="32:32" x14ac:dyDescent="0.2">
      <c r="AF37411" s="12"/>
    </row>
    <row r="37412" spans="32:32" x14ac:dyDescent="0.2">
      <c r="AF37412" s="12"/>
    </row>
    <row r="37413" spans="32:32" x14ac:dyDescent="0.2">
      <c r="AF37413" s="12"/>
    </row>
    <row r="37414" spans="32:32" x14ac:dyDescent="0.2">
      <c r="AF37414" s="12"/>
    </row>
    <row r="37415" spans="32:32" x14ac:dyDescent="0.2">
      <c r="AF37415" s="12"/>
    </row>
    <row r="37416" spans="32:32" x14ac:dyDescent="0.2">
      <c r="AF37416" s="12"/>
    </row>
    <row r="37417" spans="32:32" x14ac:dyDescent="0.2">
      <c r="AF37417" s="12"/>
    </row>
    <row r="37418" spans="32:32" x14ac:dyDescent="0.2">
      <c r="AF37418" s="12"/>
    </row>
    <row r="37419" spans="32:32" x14ac:dyDescent="0.2">
      <c r="AF37419" s="12"/>
    </row>
    <row r="37420" spans="32:32" x14ac:dyDescent="0.2">
      <c r="AF37420" s="12"/>
    </row>
    <row r="37421" spans="32:32" x14ac:dyDescent="0.2">
      <c r="AF37421" s="12"/>
    </row>
    <row r="37422" spans="32:32" x14ac:dyDescent="0.2">
      <c r="AF37422" s="12"/>
    </row>
    <row r="37423" spans="32:32" x14ac:dyDescent="0.2">
      <c r="AF37423" s="12"/>
    </row>
    <row r="37424" spans="32:32" x14ac:dyDescent="0.2">
      <c r="AF37424" s="12"/>
    </row>
    <row r="37425" spans="32:32" x14ac:dyDescent="0.2">
      <c r="AF37425" s="12"/>
    </row>
    <row r="37426" spans="32:32" x14ac:dyDescent="0.2">
      <c r="AF37426" s="12"/>
    </row>
    <row r="37427" spans="32:32" x14ac:dyDescent="0.2">
      <c r="AF37427" s="12"/>
    </row>
    <row r="37428" spans="32:32" x14ac:dyDescent="0.2">
      <c r="AF37428" s="12"/>
    </row>
    <row r="37429" spans="32:32" x14ac:dyDescent="0.2">
      <c r="AF37429" s="12"/>
    </row>
    <row r="37430" spans="32:32" x14ac:dyDescent="0.2">
      <c r="AF37430" s="12"/>
    </row>
    <row r="37431" spans="32:32" x14ac:dyDescent="0.2">
      <c r="AF37431" s="12"/>
    </row>
    <row r="37432" spans="32:32" x14ac:dyDescent="0.2">
      <c r="AF37432" s="12"/>
    </row>
    <row r="37433" spans="32:32" x14ac:dyDescent="0.2">
      <c r="AF37433" s="12"/>
    </row>
    <row r="37434" spans="32:32" x14ac:dyDescent="0.2">
      <c r="AF37434" s="12"/>
    </row>
    <row r="37435" spans="32:32" x14ac:dyDescent="0.2">
      <c r="AF37435" s="12"/>
    </row>
    <row r="37436" spans="32:32" x14ac:dyDescent="0.2">
      <c r="AF37436" s="12"/>
    </row>
    <row r="37437" spans="32:32" x14ac:dyDescent="0.2">
      <c r="AF37437" s="12"/>
    </row>
    <row r="37438" spans="32:32" x14ac:dyDescent="0.2">
      <c r="AF37438" s="12"/>
    </row>
    <row r="37439" spans="32:32" x14ac:dyDescent="0.2">
      <c r="AF37439" s="12"/>
    </row>
    <row r="37440" spans="32:32" x14ac:dyDescent="0.2">
      <c r="AF37440" s="12"/>
    </row>
    <row r="37441" spans="32:32" x14ac:dyDescent="0.2">
      <c r="AF37441" s="12"/>
    </row>
    <row r="37442" spans="32:32" x14ac:dyDescent="0.2">
      <c r="AF37442" s="12"/>
    </row>
    <row r="37443" spans="32:32" x14ac:dyDescent="0.2">
      <c r="AF37443" s="12"/>
    </row>
    <row r="37444" spans="32:32" x14ac:dyDescent="0.2">
      <c r="AF37444" s="12"/>
    </row>
    <row r="37445" spans="32:32" x14ac:dyDescent="0.2">
      <c r="AF37445" s="12"/>
    </row>
    <row r="37446" spans="32:32" x14ac:dyDescent="0.2">
      <c r="AF37446" s="12"/>
    </row>
    <row r="37447" spans="32:32" x14ac:dyDescent="0.2">
      <c r="AF37447" s="12"/>
    </row>
    <row r="37448" spans="32:32" x14ac:dyDescent="0.2">
      <c r="AF37448" s="12"/>
    </row>
    <row r="37449" spans="32:32" x14ac:dyDescent="0.2">
      <c r="AF37449" s="12"/>
    </row>
    <row r="37450" spans="32:32" x14ac:dyDescent="0.2">
      <c r="AF37450" s="12"/>
    </row>
    <row r="37451" spans="32:32" x14ac:dyDescent="0.2">
      <c r="AF37451" s="12"/>
    </row>
    <row r="37452" spans="32:32" x14ac:dyDescent="0.2">
      <c r="AF37452" s="12"/>
    </row>
    <row r="37453" spans="32:32" x14ac:dyDescent="0.2">
      <c r="AF37453" s="12"/>
    </row>
    <row r="37454" spans="32:32" x14ac:dyDescent="0.2">
      <c r="AF37454" s="12"/>
    </row>
    <row r="37455" spans="32:32" x14ac:dyDescent="0.2">
      <c r="AF37455" s="12"/>
    </row>
    <row r="37456" spans="32:32" x14ac:dyDescent="0.2">
      <c r="AF37456" s="12"/>
    </row>
    <row r="37457" spans="32:32" x14ac:dyDescent="0.2">
      <c r="AF37457" s="12"/>
    </row>
    <row r="37458" spans="32:32" x14ac:dyDescent="0.2">
      <c r="AF37458" s="12"/>
    </row>
    <row r="37459" spans="32:32" x14ac:dyDescent="0.2">
      <c r="AF37459" s="12"/>
    </row>
    <row r="37460" spans="32:32" x14ac:dyDescent="0.2">
      <c r="AF37460" s="12"/>
    </row>
    <row r="37461" spans="32:32" x14ac:dyDescent="0.2">
      <c r="AF37461" s="12"/>
    </row>
    <row r="37462" spans="32:32" x14ac:dyDescent="0.2">
      <c r="AF37462" s="12"/>
    </row>
    <row r="37463" spans="32:32" x14ac:dyDescent="0.2">
      <c r="AF37463" s="12"/>
    </row>
    <row r="37464" spans="32:32" x14ac:dyDescent="0.2">
      <c r="AF37464" s="12"/>
    </row>
    <row r="37465" spans="32:32" x14ac:dyDescent="0.2">
      <c r="AF37465" s="12"/>
    </row>
    <row r="37466" spans="32:32" x14ac:dyDescent="0.2">
      <c r="AF37466" s="12"/>
    </row>
    <row r="37467" spans="32:32" x14ac:dyDescent="0.2">
      <c r="AF37467" s="12"/>
    </row>
    <row r="37468" spans="32:32" x14ac:dyDescent="0.2">
      <c r="AF37468" s="12"/>
    </row>
    <row r="37469" spans="32:32" x14ac:dyDescent="0.2">
      <c r="AF37469" s="12"/>
    </row>
    <row r="37470" spans="32:32" x14ac:dyDescent="0.2">
      <c r="AF37470" s="12"/>
    </row>
    <row r="37471" spans="32:32" x14ac:dyDescent="0.2">
      <c r="AF37471" s="12"/>
    </row>
    <row r="37472" spans="32:32" x14ac:dyDescent="0.2">
      <c r="AF37472" s="12"/>
    </row>
    <row r="37473" spans="32:32" x14ac:dyDescent="0.2">
      <c r="AF37473" s="12"/>
    </row>
    <row r="37474" spans="32:32" x14ac:dyDescent="0.2">
      <c r="AF37474" s="12"/>
    </row>
    <row r="37475" spans="32:32" x14ac:dyDescent="0.2">
      <c r="AF37475" s="12"/>
    </row>
    <row r="37476" spans="32:32" x14ac:dyDescent="0.2">
      <c r="AF37476" s="12"/>
    </row>
    <row r="37477" spans="32:32" x14ac:dyDescent="0.2">
      <c r="AF37477" s="12"/>
    </row>
    <row r="37478" spans="32:32" x14ac:dyDescent="0.2">
      <c r="AF37478" s="12"/>
    </row>
    <row r="37479" spans="32:32" x14ac:dyDescent="0.2">
      <c r="AF37479" s="12"/>
    </row>
    <row r="37480" spans="32:32" x14ac:dyDescent="0.2">
      <c r="AF37480" s="12"/>
    </row>
    <row r="37481" spans="32:32" x14ac:dyDescent="0.2">
      <c r="AF37481" s="12"/>
    </row>
    <row r="37482" spans="32:32" x14ac:dyDescent="0.2">
      <c r="AF37482" s="12"/>
    </row>
    <row r="37483" spans="32:32" x14ac:dyDescent="0.2">
      <c r="AF37483" s="12"/>
    </row>
    <row r="37484" spans="32:32" x14ac:dyDescent="0.2">
      <c r="AF37484" s="12"/>
    </row>
    <row r="37485" spans="32:32" x14ac:dyDescent="0.2">
      <c r="AF37485" s="12"/>
    </row>
    <row r="37486" spans="32:32" x14ac:dyDescent="0.2">
      <c r="AF37486" s="12"/>
    </row>
    <row r="37487" spans="32:32" x14ac:dyDescent="0.2">
      <c r="AF37487" s="12"/>
    </row>
    <row r="37488" spans="32:32" x14ac:dyDescent="0.2">
      <c r="AF37488" s="12"/>
    </row>
    <row r="37489" spans="32:32" x14ac:dyDescent="0.2">
      <c r="AF37489" s="12"/>
    </row>
    <row r="37490" spans="32:32" x14ac:dyDescent="0.2">
      <c r="AF37490" s="12"/>
    </row>
    <row r="37491" spans="32:32" x14ac:dyDescent="0.2">
      <c r="AF37491" s="12"/>
    </row>
    <row r="37492" spans="32:32" x14ac:dyDescent="0.2">
      <c r="AF37492" s="12"/>
    </row>
    <row r="37493" spans="32:32" x14ac:dyDescent="0.2">
      <c r="AF37493" s="12"/>
    </row>
    <row r="37494" spans="32:32" x14ac:dyDescent="0.2">
      <c r="AF37494" s="12"/>
    </row>
    <row r="37495" spans="32:32" x14ac:dyDescent="0.2">
      <c r="AF37495" s="12"/>
    </row>
    <row r="37496" spans="32:32" x14ac:dyDescent="0.2">
      <c r="AF37496" s="12"/>
    </row>
    <row r="37497" spans="32:32" x14ac:dyDescent="0.2">
      <c r="AF37497" s="12"/>
    </row>
    <row r="37498" spans="32:32" x14ac:dyDescent="0.2">
      <c r="AF37498" s="12"/>
    </row>
    <row r="37499" spans="32:32" x14ac:dyDescent="0.2">
      <c r="AF37499" s="12"/>
    </row>
    <row r="37500" spans="32:32" x14ac:dyDescent="0.2">
      <c r="AF37500" s="12"/>
    </row>
    <row r="37501" spans="32:32" x14ac:dyDescent="0.2">
      <c r="AF37501" s="12"/>
    </row>
    <row r="37502" spans="32:32" x14ac:dyDescent="0.2">
      <c r="AF37502" s="12"/>
    </row>
    <row r="37503" spans="32:32" x14ac:dyDescent="0.2">
      <c r="AF37503" s="12"/>
    </row>
    <row r="37504" spans="32:32" x14ac:dyDescent="0.2">
      <c r="AF37504" s="12"/>
    </row>
    <row r="37505" spans="32:32" x14ac:dyDescent="0.2">
      <c r="AF37505" s="12"/>
    </row>
    <row r="37506" spans="32:32" x14ac:dyDescent="0.2">
      <c r="AF37506" s="12"/>
    </row>
    <row r="37507" spans="32:32" x14ac:dyDescent="0.2">
      <c r="AF37507" s="12"/>
    </row>
    <row r="37508" spans="32:32" x14ac:dyDescent="0.2">
      <c r="AF37508" s="12"/>
    </row>
    <row r="37509" spans="32:32" x14ac:dyDescent="0.2">
      <c r="AF37509" s="12"/>
    </row>
    <row r="37510" spans="32:32" x14ac:dyDescent="0.2">
      <c r="AF37510" s="12"/>
    </row>
    <row r="37511" spans="32:32" x14ac:dyDescent="0.2">
      <c r="AF37511" s="12"/>
    </row>
    <row r="37512" spans="32:32" x14ac:dyDescent="0.2">
      <c r="AF37512" s="12"/>
    </row>
    <row r="37513" spans="32:32" x14ac:dyDescent="0.2">
      <c r="AF37513" s="12"/>
    </row>
    <row r="37514" spans="32:32" x14ac:dyDescent="0.2">
      <c r="AF37514" s="12"/>
    </row>
    <row r="37515" spans="32:32" x14ac:dyDescent="0.2">
      <c r="AF37515" s="12"/>
    </row>
    <row r="37516" spans="32:32" x14ac:dyDescent="0.2">
      <c r="AF37516" s="12"/>
    </row>
    <row r="37517" spans="32:32" x14ac:dyDescent="0.2">
      <c r="AF37517" s="12"/>
    </row>
    <row r="37518" spans="32:32" x14ac:dyDescent="0.2">
      <c r="AF37518" s="12"/>
    </row>
    <row r="37519" spans="32:32" x14ac:dyDescent="0.2">
      <c r="AF37519" s="12"/>
    </row>
    <row r="37520" spans="32:32" x14ac:dyDescent="0.2">
      <c r="AF37520" s="12"/>
    </row>
    <row r="37521" spans="32:32" x14ac:dyDescent="0.2">
      <c r="AF37521" s="12"/>
    </row>
    <row r="37522" spans="32:32" x14ac:dyDescent="0.2">
      <c r="AF37522" s="12"/>
    </row>
    <row r="37523" spans="32:32" x14ac:dyDescent="0.2">
      <c r="AF37523" s="12"/>
    </row>
    <row r="37524" spans="32:32" x14ac:dyDescent="0.2">
      <c r="AF37524" s="12"/>
    </row>
    <row r="37525" spans="32:32" x14ac:dyDescent="0.2">
      <c r="AF37525" s="12"/>
    </row>
    <row r="37526" spans="32:32" x14ac:dyDescent="0.2">
      <c r="AF37526" s="12"/>
    </row>
    <row r="37527" spans="32:32" x14ac:dyDescent="0.2">
      <c r="AF37527" s="12"/>
    </row>
    <row r="37528" spans="32:32" x14ac:dyDescent="0.2">
      <c r="AF37528" s="12"/>
    </row>
    <row r="37529" spans="32:32" x14ac:dyDescent="0.2">
      <c r="AF37529" s="12"/>
    </row>
    <row r="37530" spans="32:32" x14ac:dyDescent="0.2">
      <c r="AF37530" s="12"/>
    </row>
    <row r="37531" spans="32:32" x14ac:dyDescent="0.2">
      <c r="AF37531" s="12"/>
    </row>
    <row r="37532" spans="32:32" x14ac:dyDescent="0.2">
      <c r="AF37532" s="12"/>
    </row>
    <row r="37533" spans="32:32" x14ac:dyDescent="0.2">
      <c r="AF37533" s="12"/>
    </row>
    <row r="37534" spans="32:32" x14ac:dyDescent="0.2">
      <c r="AF37534" s="12"/>
    </row>
    <row r="37535" spans="32:32" x14ac:dyDescent="0.2">
      <c r="AF37535" s="12"/>
    </row>
    <row r="37536" spans="32:32" x14ac:dyDescent="0.2">
      <c r="AF37536" s="12"/>
    </row>
    <row r="37537" spans="32:32" x14ac:dyDescent="0.2">
      <c r="AF37537" s="12"/>
    </row>
    <row r="37538" spans="32:32" x14ac:dyDescent="0.2">
      <c r="AF37538" s="12"/>
    </row>
    <row r="37539" spans="32:32" x14ac:dyDescent="0.2">
      <c r="AF37539" s="12"/>
    </row>
    <row r="37540" spans="32:32" x14ac:dyDescent="0.2">
      <c r="AF37540" s="12"/>
    </row>
    <row r="37541" spans="32:32" x14ac:dyDescent="0.2">
      <c r="AF37541" s="12"/>
    </row>
    <row r="37542" spans="32:32" x14ac:dyDescent="0.2">
      <c r="AF37542" s="12"/>
    </row>
    <row r="37543" spans="32:32" x14ac:dyDescent="0.2">
      <c r="AF37543" s="12"/>
    </row>
    <row r="37544" spans="32:32" x14ac:dyDescent="0.2">
      <c r="AF37544" s="12"/>
    </row>
    <row r="37545" spans="32:32" x14ac:dyDescent="0.2">
      <c r="AF37545" s="12"/>
    </row>
    <row r="37546" spans="32:32" x14ac:dyDescent="0.2">
      <c r="AF37546" s="12"/>
    </row>
    <row r="37547" spans="32:32" x14ac:dyDescent="0.2">
      <c r="AF37547" s="12"/>
    </row>
    <row r="37548" spans="32:32" x14ac:dyDescent="0.2">
      <c r="AF37548" s="12"/>
    </row>
    <row r="37549" spans="32:32" x14ac:dyDescent="0.2">
      <c r="AF37549" s="12"/>
    </row>
    <row r="37550" spans="32:32" x14ac:dyDescent="0.2">
      <c r="AF37550" s="12"/>
    </row>
    <row r="37551" spans="32:32" x14ac:dyDescent="0.2">
      <c r="AF37551" s="12"/>
    </row>
    <row r="37552" spans="32:32" x14ac:dyDescent="0.2">
      <c r="AF37552" s="12"/>
    </row>
    <row r="37553" spans="32:32" x14ac:dyDescent="0.2">
      <c r="AF37553" s="12"/>
    </row>
    <row r="37554" spans="32:32" x14ac:dyDescent="0.2">
      <c r="AF37554" s="12"/>
    </row>
    <row r="37555" spans="32:32" x14ac:dyDescent="0.2">
      <c r="AF37555" s="12"/>
    </row>
    <row r="37556" spans="32:32" x14ac:dyDescent="0.2">
      <c r="AF37556" s="12"/>
    </row>
    <row r="37557" spans="32:32" x14ac:dyDescent="0.2">
      <c r="AF37557" s="12"/>
    </row>
    <row r="37558" spans="32:32" x14ac:dyDescent="0.2">
      <c r="AF37558" s="12"/>
    </row>
    <row r="37559" spans="32:32" x14ac:dyDescent="0.2">
      <c r="AF37559" s="12"/>
    </row>
    <row r="37560" spans="32:32" x14ac:dyDescent="0.2">
      <c r="AF37560" s="12"/>
    </row>
    <row r="37561" spans="32:32" x14ac:dyDescent="0.2">
      <c r="AF37561" s="12"/>
    </row>
    <row r="37562" spans="32:32" x14ac:dyDescent="0.2">
      <c r="AF37562" s="12"/>
    </row>
    <row r="37563" spans="32:32" x14ac:dyDescent="0.2">
      <c r="AF37563" s="12"/>
    </row>
    <row r="37564" spans="32:32" x14ac:dyDescent="0.2">
      <c r="AF37564" s="12"/>
    </row>
    <row r="37565" spans="32:32" x14ac:dyDescent="0.2">
      <c r="AF37565" s="12"/>
    </row>
    <row r="37566" spans="32:32" x14ac:dyDescent="0.2">
      <c r="AF37566" s="12"/>
    </row>
    <row r="37567" spans="32:32" x14ac:dyDescent="0.2">
      <c r="AF37567" s="12"/>
    </row>
    <row r="37568" spans="32:32" x14ac:dyDescent="0.2">
      <c r="AF37568" s="12"/>
    </row>
    <row r="37569" spans="32:32" x14ac:dyDescent="0.2">
      <c r="AF37569" s="12"/>
    </row>
    <row r="37570" spans="32:32" x14ac:dyDescent="0.2">
      <c r="AF37570" s="12"/>
    </row>
    <row r="37571" spans="32:32" x14ac:dyDescent="0.2">
      <c r="AF37571" s="12"/>
    </row>
    <row r="37572" spans="32:32" x14ac:dyDescent="0.2">
      <c r="AF37572" s="12"/>
    </row>
    <row r="37573" spans="32:32" x14ac:dyDescent="0.2">
      <c r="AF37573" s="12"/>
    </row>
    <row r="37574" spans="32:32" x14ac:dyDescent="0.2">
      <c r="AF37574" s="12"/>
    </row>
    <row r="37575" spans="32:32" x14ac:dyDescent="0.2">
      <c r="AF37575" s="12"/>
    </row>
    <row r="37576" spans="32:32" x14ac:dyDescent="0.2">
      <c r="AF37576" s="12"/>
    </row>
    <row r="37577" spans="32:32" x14ac:dyDescent="0.2">
      <c r="AF37577" s="12"/>
    </row>
    <row r="37578" spans="32:32" x14ac:dyDescent="0.2">
      <c r="AF37578" s="12"/>
    </row>
    <row r="37579" spans="32:32" x14ac:dyDescent="0.2">
      <c r="AF37579" s="12"/>
    </row>
    <row r="37580" spans="32:32" x14ac:dyDescent="0.2">
      <c r="AF37580" s="12"/>
    </row>
    <row r="37581" spans="32:32" x14ac:dyDescent="0.2">
      <c r="AF37581" s="12"/>
    </row>
    <row r="37582" spans="32:32" x14ac:dyDescent="0.2">
      <c r="AF37582" s="12"/>
    </row>
    <row r="37583" spans="32:32" x14ac:dyDescent="0.2">
      <c r="AF37583" s="12"/>
    </row>
    <row r="37584" spans="32:32" x14ac:dyDescent="0.2">
      <c r="AF37584" s="12"/>
    </row>
    <row r="37585" spans="32:32" x14ac:dyDescent="0.2">
      <c r="AF37585" s="12"/>
    </row>
    <row r="37586" spans="32:32" x14ac:dyDescent="0.2">
      <c r="AF37586" s="12"/>
    </row>
    <row r="37587" spans="32:32" x14ac:dyDescent="0.2">
      <c r="AF37587" s="12"/>
    </row>
    <row r="37588" spans="32:32" x14ac:dyDescent="0.2">
      <c r="AF37588" s="12"/>
    </row>
    <row r="37589" spans="32:32" x14ac:dyDescent="0.2">
      <c r="AF37589" s="12"/>
    </row>
    <row r="37590" spans="32:32" x14ac:dyDescent="0.2">
      <c r="AF37590" s="12"/>
    </row>
    <row r="37591" spans="32:32" x14ac:dyDescent="0.2">
      <c r="AF37591" s="12"/>
    </row>
    <row r="37592" spans="32:32" x14ac:dyDescent="0.2">
      <c r="AF37592" s="12"/>
    </row>
    <row r="37593" spans="32:32" x14ac:dyDescent="0.2">
      <c r="AF37593" s="12"/>
    </row>
    <row r="37594" spans="32:32" x14ac:dyDescent="0.2">
      <c r="AF37594" s="12"/>
    </row>
    <row r="37595" spans="32:32" x14ac:dyDescent="0.2">
      <c r="AF37595" s="12"/>
    </row>
    <row r="37596" spans="32:32" x14ac:dyDescent="0.2">
      <c r="AF37596" s="12"/>
    </row>
    <row r="37597" spans="32:32" x14ac:dyDescent="0.2">
      <c r="AF37597" s="12"/>
    </row>
    <row r="37598" spans="32:32" x14ac:dyDescent="0.2">
      <c r="AF37598" s="12"/>
    </row>
    <row r="37599" spans="32:32" x14ac:dyDescent="0.2">
      <c r="AF37599" s="12"/>
    </row>
    <row r="37600" spans="32:32" x14ac:dyDescent="0.2">
      <c r="AF37600" s="12"/>
    </row>
    <row r="37601" spans="32:32" x14ac:dyDescent="0.2">
      <c r="AF37601" s="12"/>
    </row>
    <row r="37602" spans="32:32" x14ac:dyDescent="0.2">
      <c r="AF37602" s="12"/>
    </row>
    <row r="37603" spans="32:32" x14ac:dyDescent="0.2">
      <c r="AF37603" s="12"/>
    </row>
    <row r="37604" spans="32:32" x14ac:dyDescent="0.2">
      <c r="AF37604" s="12"/>
    </row>
    <row r="37605" spans="32:32" x14ac:dyDescent="0.2">
      <c r="AF37605" s="12"/>
    </row>
    <row r="37606" spans="32:32" x14ac:dyDescent="0.2">
      <c r="AF37606" s="12"/>
    </row>
    <row r="37607" spans="32:32" x14ac:dyDescent="0.2">
      <c r="AF37607" s="12"/>
    </row>
    <row r="37608" spans="32:32" x14ac:dyDescent="0.2">
      <c r="AF37608" s="12"/>
    </row>
    <row r="37609" spans="32:32" x14ac:dyDescent="0.2">
      <c r="AF37609" s="12"/>
    </row>
    <row r="37610" spans="32:32" x14ac:dyDescent="0.2">
      <c r="AF37610" s="12"/>
    </row>
    <row r="37611" spans="32:32" x14ac:dyDescent="0.2">
      <c r="AF37611" s="12"/>
    </row>
    <row r="37612" spans="32:32" x14ac:dyDescent="0.2">
      <c r="AF37612" s="12"/>
    </row>
    <row r="37613" spans="32:32" x14ac:dyDescent="0.2">
      <c r="AF37613" s="12"/>
    </row>
    <row r="37614" spans="32:32" x14ac:dyDescent="0.2">
      <c r="AF37614" s="12"/>
    </row>
    <row r="37615" spans="32:32" x14ac:dyDescent="0.2">
      <c r="AF37615" s="12"/>
    </row>
    <row r="37616" spans="32:32" x14ac:dyDescent="0.2">
      <c r="AF37616" s="12"/>
    </row>
    <row r="37617" spans="32:32" x14ac:dyDescent="0.2">
      <c r="AF37617" s="12"/>
    </row>
    <row r="37618" spans="32:32" x14ac:dyDescent="0.2">
      <c r="AF37618" s="12"/>
    </row>
    <row r="37619" spans="32:32" x14ac:dyDescent="0.2">
      <c r="AF37619" s="12"/>
    </row>
    <row r="37620" spans="32:32" x14ac:dyDescent="0.2">
      <c r="AF37620" s="12"/>
    </row>
    <row r="37621" spans="32:32" x14ac:dyDescent="0.2">
      <c r="AF37621" s="12"/>
    </row>
    <row r="37622" spans="32:32" x14ac:dyDescent="0.2">
      <c r="AF37622" s="12"/>
    </row>
    <row r="37623" spans="32:32" x14ac:dyDescent="0.2">
      <c r="AF37623" s="12"/>
    </row>
    <row r="37624" spans="32:32" x14ac:dyDescent="0.2">
      <c r="AF37624" s="12"/>
    </row>
    <row r="37625" spans="32:32" x14ac:dyDescent="0.2">
      <c r="AF37625" s="12"/>
    </row>
    <row r="37626" spans="32:32" x14ac:dyDescent="0.2">
      <c r="AF37626" s="12"/>
    </row>
    <row r="37627" spans="32:32" x14ac:dyDescent="0.2">
      <c r="AF37627" s="12"/>
    </row>
    <row r="37628" spans="32:32" x14ac:dyDescent="0.2">
      <c r="AF37628" s="12"/>
    </row>
    <row r="37629" spans="32:32" x14ac:dyDescent="0.2">
      <c r="AF37629" s="12"/>
    </row>
    <row r="37630" spans="32:32" x14ac:dyDescent="0.2">
      <c r="AF37630" s="12"/>
    </row>
    <row r="37631" spans="32:32" x14ac:dyDescent="0.2">
      <c r="AF37631" s="12"/>
    </row>
    <row r="37632" spans="32:32" x14ac:dyDescent="0.2">
      <c r="AF37632" s="12"/>
    </row>
    <row r="37633" spans="32:32" x14ac:dyDescent="0.2">
      <c r="AF37633" s="12"/>
    </row>
    <row r="37634" spans="32:32" x14ac:dyDescent="0.2">
      <c r="AF37634" s="12"/>
    </row>
    <row r="37635" spans="32:32" x14ac:dyDescent="0.2">
      <c r="AF37635" s="12"/>
    </row>
    <row r="37636" spans="32:32" x14ac:dyDescent="0.2">
      <c r="AF37636" s="12"/>
    </row>
    <row r="37637" spans="32:32" x14ac:dyDescent="0.2">
      <c r="AF37637" s="12"/>
    </row>
    <row r="37638" spans="32:32" x14ac:dyDescent="0.2">
      <c r="AF37638" s="12"/>
    </row>
    <row r="37639" spans="32:32" x14ac:dyDescent="0.2">
      <c r="AF37639" s="12"/>
    </row>
    <row r="37640" spans="32:32" x14ac:dyDescent="0.2">
      <c r="AF37640" s="12"/>
    </row>
    <row r="37641" spans="32:32" x14ac:dyDescent="0.2">
      <c r="AF37641" s="12"/>
    </row>
    <row r="37642" spans="32:32" x14ac:dyDescent="0.2">
      <c r="AF37642" s="12"/>
    </row>
    <row r="37643" spans="32:32" x14ac:dyDescent="0.2">
      <c r="AF37643" s="12"/>
    </row>
    <row r="37644" spans="32:32" x14ac:dyDescent="0.2">
      <c r="AF37644" s="12"/>
    </row>
    <row r="37645" spans="32:32" x14ac:dyDescent="0.2">
      <c r="AF37645" s="12"/>
    </row>
    <row r="37646" spans="32:32" x14ac:dyDescent="0.2">
      <c r="AF37646" s="12"/>
    </row>
    <row r="37647" spans="32:32" x14ac:dyDescent="0.2">
      <c r="AF37647" s="12"/>
    </row>
    <row r="37648" spans="32:32" x14ac:dyDescent="0.2">
      <c r="AF37648" s="12"/>
    </row>
    <row r="37649" spans="32:32" x14ac:dyDescent="0.2">
      <c r="AF37649" s="12"/>
    </row>
    <row r="37650" spans="32:32" x14ac:dyDescent="0.2">
      <c r="AF37650" s="12"/>
    </row>
    <row r="37651" spans="32:32" x14ac:dyDescent="0.2">
      <c r="AF37651" s="12"/>
    </row>
    <row r="37652" spans="32:32" x14ac:dyDescent="0.2">
      <c r="AF37652" s="12"/>
    </row>
    <row r="37653" spans="32:32" x14ac:dyDescent="0.2">
      <c r="AF37653" s="12"/>
    </row>
    <row r="37654" spans="32:32" x14ac:dyDescent="0.2">
      <c r="AF37654" s="12"/>
    </row>
    <row r="37655" spans="32:32" x14ac:dyDescent="0.2">
      <c r="AF37655" s="12"/>
    </row>
    <row r="37656" spans="32:32" x14ac:dyDescent="0.2">
      <c r="AF37656" s="12"/>
    </row>
    <row r="37657" spans="32:32" x14ac:dyDescent="0.2">
      <c r="AF37657" s="12"/>
    </row>
    <row r="37658" spans="32:32" x14ac:dyDescent="0.2">
      <c r="AF37658" s="12"/>
    </row>
    <row r="37659" spans="32:32" x14ac:dyDescent="0.2">
      <c r="AF37659" s="12"/>
    </row>
    <row r="37660" spans="32:32" x14ac:dyDescent="0.2">
      <c r="AF37660" s="12"/>
    </row>
    <row r="37661" spans="32:32" x14ac:dyDescent="0.2">
      <c r="AF37661" s="12"/>
    </row>
    <row r="37662" spans="32:32" x14ac:dyDescent="0.2">
      <c r="AF37662" s="12"/>
    </row>
    <row r="37663" spans="32:32" x14ac:dyDescent="0.2">
      <c r="AF37663" s="12"/>
    </row>
    <row r="37664" spans="32:32" x14ac:dyDescent="0.2">
      <c r="AF37664" s="12"/>
    </row>
    <row r="37665" spans="32:32" x14ac:dyDescent="0.2">
      <c r="AF37665" s="12"/>
    </row>
    <row r="37666" spans="32:32" x14ac:dyDescent="0.2">
      <c r="AF37666" s="12"/>
    </row>
    <row r="37667" spans="32:32" x14ac:dyDescent="0.2">
      <c r="AF37667" s="12"/>
    </row>
    <row r="37668" spans="32:32" x14ac:dyDescent="0.2">
      <c r="AF37668" s="12"/>
    </row>
    <row r="37669" spans="32:32" x14ac:dyDescent="0.2">
      <c r="AF37669" s="12"/>
    </row>
    <row r="37670" spans="32:32" x14ac:dyDescent="0.2">
      <c r="AF37670" s="12"/>
    </row>
    <row r="37671" spans="32:32" x14ac:dyDescent="0.2">
      <c r="AF37671" s="12"/>
    </row>
    <row r="37672" spans="32:32" x14ac:dyDescent="0.2">
      <c r="AF37672" s="12"/>
    </row>
    <row r="37673" spans="32:32" x14ac:dyDescent="0.2">
      <c r="AF37673" s="12"/>
    </row>
    <row r="37674" spans="32:32" x14ac:dyDescent="0.2">
      <c r="AF37674" s="12"/>
    </row>
    <row r="37675" spans="32:32" x14ac:dyDescent="0.2">
      <c r="AF37675" s="12"/>
    </row>
    <row r="37676" spans="32:32" x14ac:dyDescent="0.2">
      <c r="AF37676" s="12"/>
    </row>
    <row r="37677" spans="32:32" x14ac:dyDescent="0.2">
      <c r="AF37677" s="12"/>
    </row>
    <row r="37678" spans="32:32" x14ac:dyDescent="0.2">
      <c r="AF37678" s="12"/>
    </row>
    <row r="37679" spans="32:32" x14ac:dyDescent="0.2">
      <c r="AF37679" s="12"/>
    </row>
    <row r="37680" spans="32:32" x14ac:dyDescent="0.2">
      <c r="AF37680" s="12"/>
    </row>
    <row r="37681" spans="32:32" x14ac:dyDescent="0.2">
      <c r="AF37681" s="12"/>
    </row>
    <row r="37682" spans="32:32" x14ac:dyDescent="0.2">
      <c r="AF37682" s="12"/>
    </row>
    <row r="37683" spans="32:32" x14ac:dyDescent="0.2">
      <c r="AF37683" s="12"/>
    </row>
    <row r="37684" spans="32:32" x14ac:dyDescent="0.2">
      <c r="AF37684" s="12"/>
    </row>
    <row r="37685" spans="32:32" x14ac:dyDescent="0.2">
      <c r="AF37685" s="12"/>
    </row>
    <row r="37686" spans="32:32" x14ac:dyDescent="0.2">
      <c r="AF37686" s="12"/>
    </row>
    <row r="37687" spans="32:32" x14ac:dyDescent="0.2">
      <c r="AF37687" s="12"/>
    </row>
    <row r="37688" spans="32:32" x14ac:dyDescent="0.2">
      <c r="AF37688" s="12"/>
    </row>
    <row r="37689" spans="32:32" x14ac:dyDescent="0.2">
      <c r="AF37689" s="12"/>
    </row>
    <row r="37690" spans="32:32" x14ac:dyDescent="0.2">
      <c r="AF37690" s="12"/>
    </row>
    <row r="37691" spans="32:32" x14ac:dyDescent="0.2">
      <c r="AF37691" s="12"/>
    </row>
    <row r="37692" spans="32:32" x14ac:dyDescent="0.2">
      <c r="AF37692" s="12"/>
    </row>
    <row r="37693" spans="32:32" x14ac:dyDescent="0.2">
      <c r="AF37693" s="12"/>
    </row>
    <row r="37694" spans="32:32" x14ac:dyDescent="0.2">
      <c r="AF37694" s="12"/>
    </row>
    <row r="37695" spans="32:32" x14ac:dyDescent="0.2">
      <c r="AF37695" s="12"/>
    </row>
    <row r="37696" spans="32:32" x14ac:dyDescent="0.2">
      <c r="AF37696" s="12"/>
    </row>
    <row r="37697" spans="32:32" x14ac:dyDescent="0.2">
      <c r="AF37697" s="12"/>
    </row>
    <row r="37698" spans="32:32" x14ac:dyDescent="0.2">
      <c r="AF37698" s="12"/>
    </row>
    <row r="37699" spans="32:32" x14ac:dyDescent="0.2">
      <c r="AF37699" s="12"/>
    </row>
    <row r="37700" spans="32:32" x14ac:dyDescent="0.2">
      <c r="AF37700" s="12"/>
    </row>
    <row r="37701" spans="32:32" x14ac:dyDescent="0.2">
      <c r="AF37701" s="12"/>
    </row>
    <row r="37702" spans="32:32" x14ac:dyDescent="0.2">
      <c r="AF37702" s="12"/>
    </row>
    <row r="37703" spans="32:32" x14ac:dyDescent="0.2">
      <c r="AF37703" s="12"/>
    </row>
    <row r="37704" spans="32:32" x14ac:dyDescent="0.2">
      <c r="AF37704" s="12"/>
    </row>
    <row r="37705" spans="32:32" x14ac:dyDescent="0.2">
      <c r="AF37705" s="12"/>
    </row>
    <row r="37706" spans="32:32" x14ac:dyDescent="0.2">
      <c r="AF37706" s="12"/>
    </row>
    <row r="37707" spans="32:32" x14ac:dyDescent="0.2">
      <c r="AF37707" s="12"/>
    </row>
    <row r="37708" spans="32:32" x14ac:dyDescent="0.2">
      <c r="AF37708" s="12"/>
    </row>
    <row r="37709" spans="32:32" x14ac:dyDescent="0.2">
      <c r="AF37709" s="12"/>
    </row>
    <row r="37710" spans="32:32" x14ac:dyDescent="0.2">
      <c r="AF37710" s="12"/>
    </row>
    <row r="37711" spans="32:32" x14ac:dyDescent="0.2">
      <c r="AF37711" s="12"/>
    </row>
    <row r="37712" spans="32:32" x14ac:dyDescent="0.2">
      <c r="AF37712" s="12"/>
    </row>
    <row r="37713" spans="32:32" x14ac:dyDescent="0.2">
      <c r="AF37713" s="12"/>
    </row>
    <row r="37714" spans="32:32" x14ac:dyDescent="0.2">
      <c r="AF37714" s="12"/>
    </row>
    <row r="37715" spans="32:32" x14ac:dyDescent="0.2">
      <c r="AF37715" s="12"/>
    </row>
    <row r="37716" spans="32:32" x14ac:dyDescent="0.2">
      <c r="AF37716" s="12"/>
    </row>
    <row r="37717" spans="32:32" x14ac:dyDescent="0.2">
      <c r="AF37717" s="12"/>
    </row>
    <row r="37718" spans="32:32" x14ac:dyDescent="0.2">
      <c r="AF37718" s="12"/>
    </row>
    <row r="37719" spans="32:32" x14ac:dyDescent="0.2">
      <c r="AF37719" s="12"/>
    </row>
    <row r="37720" spans="32:32" x14ac:dyDescent="0.2">
      <c r="AF37720" s="12"/>
    </row>
    <row r="37721" spans="32:32" x14ac:dyDescent="0.2">
      <c r="AF37721" s="12"/>
    </row>
    <row r="37722" spans="32:32" x14ac:dyDescent="0.2">
      <c r="AF37722" s="12"/>
    </row>
    <row r="37723" spans="32:32" x14ac:dyDescent="0.2">
      <c r="AF37723" s="12"/>
    </row>
    <row r="37724" spans="32:32" x14ac:dyDescent="0.2">
      <c r="AF37724" s="12"/>
    </row>
    <row r="37725" spans="32:32" x14ac:dyDescent="0.2">
      <c r="AF37725" s="12"/>
    </row>
    <row r="37726" spans="32:32" x14ac:dyDescent="0.2">
      <c r="AF37726" s="12"/>
    </row>
    <row r="37727" spans="32:32" x14ac:dyDescent="0.2">
      <c r="AF37727" s="12"/>
    </row>
    <row r="37728" spans="32:32" x14ac:dyDescent="0.2">
      <c r="AF37728" s="12"/>
    </row>
    <row r="37729" spans="32:32" x14ac:dyDescent="0.2">
      <c r="AF37729" s="12"/>
    </row>
    <row r="37730" spans="32:32" x14ac:dyDescent="0.2">
      <c r="AF37730" s="12"/>
    </row>
    <row r="37731" spans="32:32" x14ac:dyDescent="0.2">
      <c r="AF37731" s="12"/>
    </row>
    <row r="37732" spans="32:32" x14ac:dyDescent="0.2">
      <c r="AF37732" s="12"/>
    </row>
    <row r="37733" spans="32:32" x14ac:dyDescent="0.2">
      <c r="AF37733" s="12"/>
    </row>
    <row r="37734" spans="32:32" x14ac:dyDescent="0.2">
      <c r="AF37734" s="12"/>
    </row>
    <row r="37735" spans="32:32" x14ac:dyDescent="0.2">
      <c r="AF37735" s="12"/>
    </row>
    <row r="37736" spans="32:32" x14ac:dyDescent="0.2">
      <c r="AF37736" s="12"/>
    </row>
    <row r="37737" spans="32:32" x14ac:dyDescent="0.2">
      <c r="AF37737" s="12"/>
    </row>
    <row r="37738" spans="32:32" x14ac:dyDescent="0.2">
      <c r="AF37738" s="12"/>
    </row>
    <row r="37739" spans="32:32" x14ac:dyDescent="0.2">
      <c r="AF37739" s="12"/>
    </row>
    <row r="37740" spans="32:32" x14ac:dyDescent="0.2">
      <c r="AF37740" s="12"/>
    </row>
    <row r="37741" spans="32:32" x14ac:dyDescent="0.2">
      <c r="AF37741" s="12"/>
    </row>
    <row r="37742" spans="32:32" x14ac:dyDescent="0.2">
      <c r="AF37742" s="12"/>
    </row>
    <row r="37743" spans="32:32" x14ac:dyDescent="0.2">
      <c r="AF37743" s="12"/>
    </row>
    <row r="37744" spans="32:32" x14ac:dyDescent="0.2">
      <c r="AF37744" s="12"/>
    </row>
    <row r="37745" spans="32:32" x14ac:dyDescent="0.2">
      <c r="AF37745" s="12"/>
    </row>
    <row r="37746" spans="32:32" x14ac:dyDescent="0.2">
      <c r="AF37746" s="12"/>
    </row>
    <row r="37747" spans="32:32" x14ac:dyDescent="0.2">
      <c r="AF37747" s="12"/>
    </row>
    <row r="37748" spans="32:32" x14ac:dyDescent="0.2">
      <c r="AF37748" s="12"/>
    </row>
    <row r="37749" spans="32:32" x14ac:dyDescent="0.2">
      <c r="AF37749" s="12"/>
    </row>
    <row r="37750" spans="32:32" x14ac:dyDescent="0.2">
      <c r="AF37750" s="12"/>
    </row>
    <row r="37751" spans="32:32" x14ac:dyDescent="0.2">
      <c r="AF37751" s="12"/>
    </row>
    <row r="37752" spans="32:32" x14ac:dyDescent="0.2">
      <c r="AF37752" s="12"/>
    </row>
    <row r="37753" spans="32:32" x14ac:dyDescent="0.2">
      <c r="AF37753" s="12"/>
    </row>
    <row r="37754" spans="32:32" x14ac:dyDescent="0.2">
      <c r="AF37754" s="12"/>
    </row>
    <row r="37755" spans="32:32" x14ac:dyDescent="0.2">
      <c r="AF37755" s="12"/>
    </row>
    <row r="37756" spans="32:32" x14ac:dyDescent="0.2">
      <c r="AF37756" s="12"/>
    </row>
    <row r="37757" spans="32:32" x14ac:dyDescent="0.2">
      <c r="AF37757" s="12"/>
    </row>
    <row r="37758" spans="32:32" x14ac:dyDescent="0.2">
      <c r="AF37758" s="12"/>
    </row>
    <row r="37759" spans="32:32" x14ac:dyDescent="0.2">
      <c r="AF37759" s="12"/>
    </row>
    <row r="37760" spans="32:32" x14ac:dyDescent="0.2">
      <c r="AF37760" s="12"/>
    </row>
    <row r="37761" spans="32:32" x14ac:dyDescent="0.2">
      <c r="AF37761" s="12"/>
    </row>
    <row r="37762" spans="32:32" x14ac:dyDescent="0.2">
      <c r="AF37762" s="12"/>
    </row>
    <row r="37763" spans="32:32" x14ac:dyDescent="0.2">
      <c r="AF37763" s="12"/>
    </row>
    <row r="37764" spans="32:32" x14ac:dyDescent="0.2">
      <c r="AF37764" s="12"/>
    </row>
    <row r="37765" spans="32:32" x14ac:dyDescent="0.2">
      <c r="AF37765" s="12"/>
    </row>
    <row r="37766" spans="32:32" x14ac:dyDescent="0.2">
      <c r="AF37766" s="12"/>
    </row>
    <row r="37767" spans="32:32" x14ac:dyDescent="0.2">
      <c r="AF37767" s="12"/>
    </row>
    <row r="37768" spans="32:32" x14ac:dyDescent="0.2">
      <c r="AF37768" s="12"/>
    </row>
    <row r="37769" spans="32:32" x14ac:dyDescent="0.2">
      <c r="AF37769" s="12"/>
    </row>
    <row r="37770" spans="32:32" x14ac:dyDescent="0.2">
      <c r="AF37770" s="12"/>
    </row>
    <row r="37771" spans="32:32" x14ac:dyDescent="0.2">
      <c r="AF37771" s="12"/>
    </row>
    <row r="37772" spans="32:32" x14ac:dyDescent="0.2">
      <c r="AF37772" s="12"/>
    </row>
    <row r="37773" spans="32:32" x14ac:dyDescent="0.2">
      <c r="AF37773" s="12"/>
    </row>
    <row r="37774" spans="32:32" x14ac:dyDescent="0.2">
      <c r="AF37774" s="12"/>
    </row>
    <row r="37775" spans="32:32" x14ac:dyDescent="0.2">
      <c r="AF37775" s="12"/>
    </row>
    <row r="37776" spans="32:32" x14ac:dyDescent="0.2">
      <c r="AF37776" s="12"/>
    </row>
    <row r="37777" spans="32:32" x14ac:dyDescent="0.2">
      <c r="AF37777" s="12"/>
    </row>
    <row r="37778" spans="32:32" x14ac:dyDescent="0.2">
      <c r="AF37778" s="12"/>
    </row>
    <row r="37779" spans="32:32" x14ac:dyDescent="0.2">
      <c r="AF37779" s="12"/>
    </row>
    <row r="37780" spans="32:32" x14ac:dyDescent="0.2">
      <c r="AF37780" s="12"/>
    </row>
    <row r="37781" spans="32:32" x14ac:dyDescent="0.2">
      <c r="AF37781" s="12"/>
    </row>
    <row r="37782" spans="32:32" x14ac:dyDescent="0.2">
      <c r="AF37782" s="12"/>
    </row>
    <row r="37783" spans="32:32" x14ac:dyDescent="0.2">
      <c r="AF37783" s="12"/>
    </row>
    <row r="37784" spans="32:32" x14ac:dyDescent="0.2">
      <c r="AF37784" s="12"/>
    </row>
    <row r="37785" spans="32:32" x14ac:dyDescent="0.2">
      <c r="AF37785" s="12"/>
    </row>
    <row r="37786" spans="32:32" x14ac:dyDescent="0.2">
      <c r="AF37786" s="12"/>
    </row>
    <row r="37787" spans="32:32" x14ac:dyDescent="0.2">
      <c r="AF37787" s="12"/>
    </row>
    <row r="37788" spans="32:32" x14ac:dyDescent="0.2">
      <c r="AF37788" s="12"/>
    </row>
    <row r="37789" spans="32:32" x14ac:dyDescent="0.2">
      <c r="AF37789" s="12"/>
    </row>
    <row r="37790" spans="32:32" x14ac:dyDescent="0.2">
      <c r="AF37790" s="12"/>
    </row>
    <row r="37791" spans="32:32" x14ac:dyDescent="0.2">
      <c r="AF37791" s="12"/>
    </row>
    <row r="37792" spans="32:32" x14ac:dyDescent="0.2">
      <c r="AF37792" s="12"/>
    </row>
    <row r="37793" spans="32:32" x14ac:dyDescent="0.2">
      <c r="AF37793" s="12"/>
    </row>
    <row r="37794" spans="32:32" x14ac:dyDescent="0.2">
      <c r="AF37794" s="12"/>
    </row>
    <row r="37795" spans="32:32" x14ac:dyDescent="0.2">
      <c r="AF37795" s="12"/>
    </row>
    <row r="37796" spans="32:32" x14ac:dyDescent="0.2">
      <c r="AF37796" s="12"/>
    </row>
    <row r="37797" spans="32:32" x14ac:dyDescent="0.2">
      <c r="AF37797" s="12"/>
    </row>
    <row r="37798" spans="32:32" x14ac:dyDescent="0.2">
      <c r="AF37798" s="12"/>
    </row>
    <row r="37799" spans="32:32" x14ac:dyDescent="0.2">
      <c r="AF37799" s="12"/>
    </row>
    <row r="37800" spans="32:32" x14ac:dyDescent="0.2">
      <c r="AF37800" s="12"/>
    </row>
    <row r="37801" spans="32:32" x14ac:dyDescent="0.2">
      <c r="AF37801" s="12"/>
    </row>
    <row r="37802" spans="32:32" x14ac:dyDescent="0.2">
      <c r="AF37802" s="12"/>
    </row>
    <row r="37803" spans="32:32" x14ac:dyDescent="0.2">
      <c r="AF37803" s="12"/>
    </row>
    <row r="37804" spans="32:32" x14ac:dyDescent="0.2">
      <c r="AF37804" s="12"/>
    </row>
    <row r="37805" spans="32:32" x14ac:dyDescent="0.2">
      <c r="AF37805" s="12"/>
    </row>
    <row r="37806" spans="32:32" x14ac:dyDescent="0.2">
      <c r="AF37806" s="12"/>
    </row>
    <row r="37807" spans="32:32" x14ac:dyDescent="0.2">
      <c r="AF37807" s="12"/>
    </row>
    <row r="37808" spans="32:32" x14ac:dyDescent="0.2">
      <c r="AF37808" s="12"/>
    </row>
    <row r="37809" spans="32:32" x14ac:dyDescent="0.2">
      <c r="AF37809" s="12"/>
    </row>
    <row r="37810" spans="32:32" x14ac:dyDescent="0.2">
      <c r="AF37810" s="12"/>
    </row>
    <row r="37811" spans="32:32" x14ac:dyDescent="0.2">
      <c r="AF37811" s="12"/>
    </row>
    <row r="37812" spans="32:32" x14ac:dyDescent="0.2">
      <c r="AF37812" s="12"/>
    </row>
    <row r="37813" spans="32:32" x14ac:dyDescent="0.2">
      <c r="AF37813" s="12"/>
    </row>
    <row r="37814" spans="32:32" x14ac:dyDescent="0.2">
      <c r="AF37814" s="12"/>
    </row>
    <row r="37815" spans="32:32" x14ac:dyDescent="0.2">
      <c r="AF37815" s="12"/>
    </row>
    <row r="37816" spans="32:32" x14ac:dyDescent="0.2">
      <c r="AF37816" s="12"/>
    </row>
    <row r="37817" spans="32:32" x14ac:dyDescent="0.2">
      <c r="AF37817" s="12"/>
    </row>
    <row r="37818" spans="32:32" x14ac:dyDescent="0.2">
      <c r="AF37818" s="12"/>
    </row>
    <row r="37819" spans="32:32" x14ac:dyDescent="0.2">
      <c r="AF37819" s="12"/>
    </row>
    <row r="37820" spans="32:32" x14ac:dyDescent="0.2">
      <c r="AF37820" s="12"/>
    </row>
    <row r="37821" spans="32:32" x14ac:dyDescent="0.2">
      <c r="AF37821" s="12"/>
    </row>
    <row r="37822" spans="32:32" x14ac:dyDescent="0.2">
      <c r="AF37822" s="12"/>
    </row>
    <row r="37823" spans="32:32" x14ac:dyDescent="0.2">
      <c r="AF37823" s="12"/>
    </row>
    <row r="37824" spans="32:32" x14ac:dyDescent="0.2">
      <c r="AF37824" s="12"/>
    </row>
    <row r="37825" spans="32:32" x14ac:dyDescent="0.2">
      <c r="AF37825" s="12"/>
    </row>
    <row r="37826" spans="32:32" x14ac:dyDescent="0.2">
      <c r="AF37826" s="12"/>
    </row>
    <row r="37827" spans="32:32" x14ac:dyDescent="0.2">
      <c r="AF37827" s="12"/>
    </row>
    <row r="37828" spans="32:32" x14ac:dyDescent="0.2">
      <c r="AF37828" s="12"/>
    </row>
    <row r="37829" spans="32:32" x14ac:dyDescent="0.2">
      <c r="AF37829" s="12"/>
    </row>
    <row r="37830" spans="32:32" x14ac:dyDescent="0.2">
      <c r="AF37830" s="12"/>
    </row>
    <row r="37831" spans="32:32" x14ac:dyDescent="0.2">
      <c r="AF37831" s="12"/>
    </row>
    <row r="37832" spans="32:32" x14ac:dyDescent="0.2">
      <c r="AF37832" s="12"/>
    </row>
    <row r="37833" spans="32:32" x14ac:dyDescent="0.2">
      <c r="AF37833" s="12"/>
    </row>
    <row r="37834" spans="32:32" x14ac:dyDescent="0.2">
      <c r="AF37834" s="12"/>
    </row>
    <row r="37835" spans="32:32" x14ac:dyDescent="0.2">
      <c r="AF37835" s="12"/>
    </row>
    <row r="37836" spans="32:32" x14ac:dyDescent="0.2">
      <c r="AF37836" s="12"/>
    </row>
    <row r="37837" spans="32:32" x14ac:dyDescent="0.2">
      <c r="AF37837" s="12"/>
    </row>
    <row r="37838" spans="32:32" x14ac:dyDescent="0.2">
      <c r="AF37838" s="12"/>
    </row>
    <row r="37839" spans="32:32" x14ac:dyDescent="0.2">
      <c r="AF37839" s="12"/>
    </row>
    <row r="37840" spans="32:32" x14ac:dyDescent="0.2">
      <c r="AF37840" s="12"/>
    </row>
    <row r="37841" spans="32:32" x14ac:dyDescent="0.2">
      <c r="AF37841" s="12"/>
    </row>
    <row r="37842" spans="32:32" x14ac:dyDescent="0.2">
      <c r="AF37842" s="12"/>
    </row>
    <row r="37843" spans="32:32" x14ac:dyDescent="0.2">
      <c r="AF37843" s="12"/>
    </row>
    <row r="37844" spans="32:32" x14ac:dyDescent="0.2">
      <c r="AF37844" s="12"/>
    </row>
    <row r="37845" spans="32:32" x14ac:dyDescent="0.2">
      <c r="AF37845" s="12"/>
    </row>
    <row r="37846" spans="32:32" x14ac:dyDescent="0.2">
      <c r="AF37846" s="12"/>
    </row>
    <row r="37847" spans="32:32" x14ac:dyDescent="0.2">
      <c r="AF37847" s="12"/>
    </row>
    <row r="37848" spans="32:32" x14ac:dyDescent="0.2">
      <c r="AF37848" s="12"/>
    </row>
    <row r="37849" spans="32:32" x14ac:dyDescent="0.2">
      <c r="AF37849" s="12"/>
    </row>
    <row r="37850" spans="32:32" x14ac:dyDescent="0.2">
      <c r="AF37850" s="12"/>
    </row>
    <row r="37851" spans="32:32" x14ac:dyDescent="0.2">
      <c r="AF37851" s="12"/>
    </row>
    <row r="37852" spans="32:32" x14ac:dyDescent="0.2">
      <c r="AF37852" s="12"/>
    </row>
    <row r="37853" spans="32:32" x14ac:dyDescent="0.2">
      <c r="AF37853" s="12"/>
    </row>
    <row r="37854" spans="32:32" x14ac:dyDescent="0.2">
      <c r="AF37854" s="12"/>
    </row>
    <row r="37855" spans="32:32" x14ac:dyDescent="0.2">
      <c r="AF37855" s="12"/>
    </row>
    <row r="37856" spans="32:32" x14ac:dyDescent="0.2">
      <c r="AF37856" s="12"/>
    </row>
    <row r="37857" spans="32:32" x14ac:dyDescent="0.2">
      <c r="AF37857" s="12"/>
    </row>
    <row r="37858" spans="32:32" x14ac:dyDescent="0.2">
      <c r="AF37858" s="12"/>
    </row>
    <row r="37859" spans="32:32" x14ac:dyDescent="0.2">
      <c r="AF37859" s="12"/>
    </row>
    <row r="37860" spans="32:32" x14ac:dyDescent="0.2">
      <c r="AF37860" s="12"/>
    </row>
    <row r="37861" spans="32:32" x14ac:dyDescent="0.2">
      <c r="AF37861" s="12"/>
    </row>
    <row r="37862" spans="32:32" x14ac:dyDescent="0.2">
      <c r="AF37862" s="12"/>
    </row>
    <row r="37863" spans="32:32" x14ac:dyDescent="0.2">
      <c r="AF37863" s="12"/>
    </row>
    <row r="37864" spans="32:32" x14ac:dyDescent="0.2">
      <c r="AF37864" s="12"/>
    </row>
    <row r="37865" spans="32:32" x14ac:dyDescent="0.2">
      <c r="AF37865" s="12"/>
    </row>
    <row r="37866" spans="32:32" x14ac:dyDescent="0.2">
      <c r="AF37866" s="12"/>
    </row>
    <row r="37867" spans="32:32" x14ac:dyDescent="0.2">
      <c r="AF37867" s="12"/>
    </row>
    <row r="37868" spans="32:32" x14ac:dyDescent="0.2">
      <c r="AF37868" s="12"/>
    </row>
    <row r="37869" spans="32:32" x14ac:dyDescent="0.2">
      <c r="AF37869" s="12"/>
    </row>
    <row r="37870" spans="32:32" x14ac:dyDescent="0.2">
      <c r="AF37870" s="12"/>
    </row>
    <row r="37871" spans="32:32" x14ac:dyDescent="0.2">
      <c r="AF37871" s="12"/>
    </row>
    <row r="37872" spans="32:32" x14ac:dyDescent="0.2">
      <c r="AF37872" s="12"/>
    </row>
    <row r="37873" spans="32:32" x14ac:dyDescent="0.2">
      <c r="AF37873" s="12"/>
    </row>
    <row r="37874" spans="32:32" x14ac:dyDescent="0.2">
      <c r="AF37874" s="12"/>
    </row>
    <row r="37875" spans="32:32" x14ac:dyDescent="0.2">
      <c r="AF37875" s="12"/>
    </row>
    <row r="37876" spans="32:32" x14ac:dyDescent="0.2">
      <c r="AF37876" s="12"/>
    </row>
    <row r="37877" spans="32:32" x14ac:dyDescent="0.2">
      <c r="AF37877" s="12"/>
    </row>
    <row r="37878" spans="32:32" x14ac:dyDescent="0.2">
      <c r="AF37878" s="12"/>
    </row>
    <row r="37879" spans="32:32" x14ac:dyDescent="0.2">
      <c r="AF37879" s="12"/>
    </row>
    <row r="37880" spans="32:32" x14ac:dyDescent="0.2">
      <c r="AF37880" s="12"/>
    </row>
    <row r="37881" spans="32:32" x14ac:dyDescent="0.2">
      <c r="AF37881" s="12"/>
    </row>
    <row r="37882" spans="32:32" x14ac:dyDescent="0.2">
      <c r="AF37882" s="12"/>
    </row>
    <row r="37883" spans="32:32" x14ac:dyDescent="0.2">
      <c r="AF37883" s="12"/>
    </row>
    <row r="37884" spans="32:32" x14ac:dyDescent="0.2">
      <c r="AF37884" s="12"/>
    </row>
    <row r="37885" spans="32:32" x14ac:dyDescent="0.2">
      <c r="AF37885" s="12"/>
    </row>
    <row r="37886" spans="32:32" x14ac:dyDescent="0.2">
      <c r="AF37886" s="12"/>
    </row>
    <row r="37887" spans="32:32" x14ac:dyDescent="0.2">
      <c r="AF37887" s="12"/>
    </row>
    <row r="37888" spans="32:32" x14ac:dyDescent="0.2">
      <c r="AF37888" s="12"/>
    </row>
    <row r="37889" spans="32:32" x14ac:dyDescent="0.2">
      <c r="AF37889" s="12"/>
    </row>
    <row r="37890" spans="32:32" x14ac:dyDescent="0.2">
      <c r="AF37890" s="12"/>
    </row>
    <row r="37891" spans="32:32" x14ac:dyDescent="0.2">
      <c r="AF37891" s="12"/>
    </row>
    <row r="37892" spans="32:32" x14ac:dyDescent="0.2">
      <c r="AF37892" s="12"/>
    </row>
    <row r="37893" spans="32:32" x14ac:dyDescent="0.2">
      <c r="AF37893" s="12"/>
    </row>
    <row r="37894" spans="32:32" x14ac:dyDescent="0.2">
      <c r="AF37894" s="12"/>
    </row>
    <row r="37895" spans="32:32" x14ac:dyDescent="0.2">
      <c r="AF37895" s="12"/>
    </row>
    <row r="37896" spans="32:32" x14ac:dyDescent="0.2">
      <c r="AF37896" s="12"/>
    </row>
    <row r="37897" spans="32:32" x14ac:dyDescent="0.2">
      <c r="AF37897" s="12"/>
    </row>
    <row r="37898" spans="32:32" x14ac:dyDescent="0.2">
      <c r="AF37898" s="12"/>
    </row>
    <row r="37899" spans="32:32" x14ac:dyDescent="0.2">
      <c r="AF37899" s="12"/>
    </row>
    <row r="37900" spans="32:32" x14ac:dyDescent="0.2">
      <c r="AF37900" s="12"/>
    </row>
    <row r="37901" spans="32:32" x14ac:dyDescent="0.2">
      <c r="AF37901" s="12"/>
    </row>
    <row r="37902" spans="32:32" x14ac:dyDescent="0.2">
      <c r="AF37902" s="12"/>
    </row>
    <row r="37903" spans="32:32" x14ac:dyDescent="0.2">
      <c r="AF37903" s="12"/>
    </row>
    <row r="37904" spans="32:32" x14ac:dyDescent="0.2">
      <c r="AF37904" s="12"/>
    </row>
    <row r="37905" spans="32:32" x14ac:dyDescent="0.2">
      <c r="AF37905" s="12"/>
    </row>
    <row r="37906" spans="32:32" x14ac:dyDescent="0.2">
      <c r="AF37906" s="12"/>
    </row>
    <row r="37907" spans="32:32" x14ac:dyDescent="0.2">
      <c r="AF37907" s="12"/>
    </row>
    <row r="37908" spans="32:32" x14ac:dyDescent="0.2">
      <c r="AF37908" s="12"/>
    </row>
    <row r="37909" spans="32:32" x14ac:dyDescent="0.2">
      <c r="AF37909" s="12"/>
    </row>
    <row r="37910" spans="32:32" x14ac:dyDescent="0.2">
      <c r="AF37910" s="12"/>
    </row>
    <row r="37911" spans="32:32" x14ac:dyDescent="0.2">
      <c r="AF37911" s="12"/>
    </row>
    <row r="37912" spans="32:32" x14ac:dyDescent="0.2">
      <c r="AF37912" s="12"/>
    </row>
    <row r="37913" spans="32:32" x14ac:dyDescent="0.2">
      <c r="AF37913" s="12"/>
    </row>
    <row r="37914" spans="32:32" x14ac:dyDescent="0.2">
      <c r="AF37914" s="12"/>
    </row>
    <row r="37915" spans="32:32" x14ac:dyDescent="0.2">
      <c r="AF37915" s="12"/>
    </row>
    <row r="37916" spans="32:32" x14ac:dyDescent="0.2">
      <c r="AF37916" s="12"/>
    </row>
    <row r="37917" spans="32:32" x14ac:dyDescent="0.2">
      <c r="AF37917" s="12"/>
    </row>
    <row r="37918" spans="32:32" x14ac:dyDescent="0.2">
      <c r="AF37918" s="12"/>
    </row>
    <row r="37919" spans="32:32" x14ac:dyDescent="0.2">
      <c r="AF37919" s="12"/>
    </row>
    <row r="37920" spans="32:32" x14ac:dyDescent="0.2">
      <c r="AF37920" s="12"/>
    </row>
    <row r="37921" spans="32:32" x14ac:dyDescent="0.2">
      <c r="AF37921" s="12"/>
    </row>
    <row r="37922" spans="32:32" x14ac:dyDescent="0.2">
      <c r="AF37922" s="12"/>
    </row>
    <row r="37923" spans="32:32" x14ac:dyDescent="0.2">
      <c r="AF37923" s="12"/>
    </row>
    <row r="37924" spans="32:32" x14ac:dyDescent="0.2">
      <c r="AF37924" s="12"/>
    </row>
    <row r="37925" spans="32:32" x14ac:dyDescent="0.2">
      <c r="AF37925" s="12"/>
    </row>
    <row r="37926" spans="32:32" x14ac:dyDescent="0.2">
      <c r="AF37926" s="12"/>
    </row>
    <row r="37927" spans="32:32" x14ac:dyDescent="0.2">
      <c r="AF37927" s="12"/>
    </row>
    <row r="37928" spans="32:32" x14ac:dyDescent="0.2">
      <c r="AF37928" s="12"/>
    </row>
    <row r="37929" spans="32:32" x14ac:dyDescent="0.2">
      <c r="AF37929" s="12"/>
    </row>
    <row r="37930" spans="32:32" x14ac:dyDescent="0.2">
      <c r="AF37930" s="12"/>
    </row>
    <row r="37931" spans="32:32" x14ac:dyDescent="0.2">
      <c r="AF37931" s="12"/>
    </row>
    <row r="37932" spans="32:32" x14ac:dyDescent="0.2">
      <c r="AF37932" s="12"/>
    </row>
    <row r="37933" spans="32:32" x14ac:dyDescent="0.2">
      <c r="AF37933" s="12"/>
    </row>
    <row r="37934" spans="32:32" x14ac:dyDescent="0.2">
      <c r="AF37934" s="12"/>
    </row>
    <row r="37935" spans="32:32" x14ac:dyDescent="0.2">
      <c r="AF37935" s="12"/>
    </row>
    <row r="37936" spans="32:32" x14ac:dyDescent="0.2">
      <c r="AF37936" s="12"/>
    </row>
    <row r="37937" spans="32:32" x14ac:dyDescent="0.2">
      <c r="AF37937" s="12"/>
    </row>
    <row r="37938" spans="32:32" x14ac:dyDescent="0.2">
      <c r="AF37938" s="12"/>
    </row>
    <row r="37939" spans="32:32" x14ac:dyDescent="0.2">
      <c r="AF37939" s="12"/>
    </row>
    <row r="37940" spans="32:32" x14ac:dyDescent="0.2">
      <c r="AF37940" s="12"/>
    </row>
    <row r="37941" spans="32:32" x14ac:dyDescent="0.2">
      <c r="AF37941" s="12"/>
    </row>
    <row r="37942" spans="32:32" x14ac:dyDescent="0.2">
      <c r="AF37942" s="12"/>
    </row>
    <row r="37943" spans="32:32" x14ac:dyDescent="0.2">
      <c r="AF37943" s="12"/>
    </row>
    <row r="37944" spans="32:32" x14ac:dyDescent="0.2">
      <c r="AF37944" s="12"/>
    </row>
    <row r="37945" spans="32:32" x14ac:dyDescent="0.2">
      <c r="AF37945" s="12"/>
    </row>
    <row r="37946" spans="32:32" x14ac:dyDescent="0.2">
      <c r="AF37946" s="12"/>
    </row>
    <row r="37947" spans="32:32" x14ac:dyDescent="0.2">
      <c r="AF37947" s="12"/>
    </row>
    <row r="37948" spans="32:32" x14ac:dyDescent="0.2">
      <c r="AF37948" s="12"/>
    </row>
    <row r="37949" spans="32:32" x14ac:dyDescent="0.2">
      <c r="AF37949" s="12"/>
    </row>
    <row r="37950" spans="32:32" x14ac:dyDescent="0.2">
      <c r="AF37950" s="12"/>
    </row>
    <row r="37951" spans="32:32" x14ac:dyDescent="0.2">
      <c r="AF37951" s="12"/>
    </row>
    <row r="37952" spans="32:32" x14ac:dyDescent="0.2">
      <c r="AF37952" s="12"/>
    </row>
    <row r="37953" spans="32:32" x14ac:dyDescent="0.2">
      <c r="AF37953" s="12"/>
    </row>
    <row r="37954" spans="32:32" x14ac:dyDescent="0.2">
      <c r="AF37954" s="12"/>
    </row>
    <row r="37955" spans="32:32" x14ac:dyDescent="0.2">
      <c r="AF37955" s="12"/>
    </row>
    <row r="37956" spans="32:32" x14ac:dyDescent="0.2">
      <c r="AF37956" s="12"/>
    </row>
    <row r="37957" spans="32:32" x14ac:dyDescent="0.2">
      <c r="AF37957" s="12"/>
    </row>
    <row r="37958" spans="32:32" x14ac:dyDescent="0.2">
      <c r="AF37958" s="12"/>
    </row>
    <row r="37959" spans="32:32" x14ac:dyDescent="0.2">
      <c r="AF37959" s="12"/>
    </row>
    <row r="37960" spans="32:32" x14ac:dyDescent="0.2">
      <c r="AF37960" s="12"/>
    </row>
    <row r="37961" spans="32:32" x14ac:dyDescent="0.2">
      <c r="AF37961" s="12"/>
    </row>
    <row r="37962" spans="32:32" x14ac:dyDescent="0.2">
      <c r="AF37962" s="12"/>
    </row>
    <row r="37963" spans="32:32" x14ac:dyDescent="0.2">
      <c r="AF37963" s="12"/>
    </row>
    <row r="37964" spans="32:32" x14ac:dyDescent="0.2">
      <c r="AF37964" s="12"/>
    </row>
    <row r="37965" spans="32:32" x14ac:dyDescent="0.2">
      <c r="AF37965" s="12"/>
    </row>
    <row r="37966" spans="32:32" x14ac:dyDescent="0.2">
      <c r="AF37966" s="12"/>
    </row>
    <row r="37967" spans="32:32" x14ac:dyDescent="0.2">
      <c r="AF37967" s="12"/>
    </row>
    <row r="37968" spans="32:32" x14ac:dyDescent="0.2">
      <c r="AF37968" s="12"/>
    </row>
    <row r="37969" spans="32:32" x14ac:dyDescent="0.2">
      <c r="AF37969" s="12"/>
    </row>
    <row r="37970" spans="32:32" x14ac:dyDescent="0.2">
      <c r="AF37970" s="12"/>
    </row>
    <row r="37971" spans="32:32" x14ac:dyDescent="0.2">
      <c r="AF37971" s="12"/>
    </row>
    <row r="37972" spans="32:32" x14ac:dyDescent="0.2">
      <c r="AF37972" s="12"/>
    </row>
    <row r="37973" spans="32:32" x14ac:dyDescent="0.2">
      <c r="AF37973" s="12"/>
    </row>
    <row r="37974" spans="32:32" x14ac:dyDescent="0.2">
      <c r="AF37974" s="12"/>
    </row>
    <row r="37975" spans="32:32" x14ac:dyDescent="0.2">
      <c r="AF37975" s="12"/>
    </row>
    <row r="37976" spans="32:32" x14ac:dyDescent="0.2">
      <c r="AF37976" s="12"/>
    </row>
    <row r="37977" spans="32:32" x14ac:dyDescent="0.2">
      <c r="AF37977" s="12"/>
    </row>
    <row r="37978" spans="32:32" x14ac:dyDescent="0.2">
      <c r="AF37978" s="12"/>
    </row>
    <row r="37979" spans="32:32" x14ac:dyDescent="0.2">
      <c r="AF37979" s="12"/>
    </row>
    <row r="37980" spans="32:32" x14ac:dyDescent="0.2">
      <c r="AF37980" s="12"/>
    </row>
    <row r="37981" spans="32:32" x14ac:dyDescent="0.2">
      <c r="AF37981" s="12"/>
    </row>
    <row r="37982" spans="32:32" x14ac:dyDescent="0.2">
      <c r="AF37982" s="12"/>
    </row>
    <row r="37983" spans="32:32" x14ac:dyDescent="0.2">
      <c r="AF37983" s="12"/>
    </row>
    <row r="37984" spans="32:32" x14ac:dyDescent="0.2">
      <c r="AF37984" s="12"/>
    </row>
    <row r="37985" spans="32:32" x14ac:dyDescent="0.2">
      <c r="AF37985" s="12"/>
    </row>
    <row r="37986" spans="32:32" x14ac:dyDescent="0.2">
      <c r="AF37986" s="12"/>
    </row>
    <row r="37987" spans="32:32" x14ac:dyDescent="0.2">
      <c r="AF37987" s="12"/>
    </row>
    <row r="37988" spans="32:32" x14ac:dyDescent="0.2">
      <c r="AF37988" s="12"/>
    </row>
    <row r="37989" spans="32:32" x14ac:dyDescent="0.2">
      <c r="AF37989" s="12"/>
    </row>
    <row r="37990" spans="32:32" x14ac:dyDescent="0.2">
      <c r="AF37990" s="12"/>
    </row>
    <row r="37991" spans="32:32" x14ac:dyDescent="0.2">
      <c r="AF37991" s="12"/>
    </row>
    <row r="37992" spans="32:32" x14ac:dyDescent="0.2">
      <c r="AF37992" s="12"/>
    </row>
    <row r="37993" spans="32:32" x14ac:dyDescent="0.2">
      <c r="AF37993" s="12"/>
    </row>
    <row r="37994" spans="32:32" x14ac:dyDescent="0.2">
      <c r="AF37994" s="12"/>
    </row>
    <row r="37995" spans="32:32" x14ac:dyDescent="0.2">
      <c r="AF37995" s="12"/>
    </row>
    <row r="37996" spans="32:32" x14ac:dyDescent="0.2">
      <c r="AF37996" s="12"/>
    </row>
    <row r="37997" spans="32:32" x14ac:dyDescent="0.2">
      <c r="AF37997" s="12"/>
    </row>
    <row r="37998" spans="32:32" x14ac:dyDescent="0.2">
      <c r="AF37998" s="12"/>
    </row>
    <row r="37999" spans="32:32" x14ac:dyDescent="0.2">
      <c r="AF37999" s="12"/>
    </row>
    <row r="38000" spans="32:32" x14ac:dyDescent="0.2">
      <c r="AF38000" s="12"/>
    </row>
    <row r="38001" spans="32:32" x14ac:dyDescent="0.2">
      <c r="AF38001" s="12"/>
    </row>
    <row r="38002" spans="32:32" x14ac:dyDescent="0.2">
      <c r="AF38002" s="12"/>
    </row>
    <row r="38003" spans="32:32" x14ac:dyDescent="0.2">
      <c r="AF38003" s="12"/>
    </row>
    <row r="38004" spans="32:32" x14ac:dyDescent="0.2">
      <c r="AF38004" s="12"/>
    </row>
    <row r="38005" spans="32:32" x14ac:dyDescent="0.2">
      <c r="AF38005" s="12"/>
    </row>
    <row r="38006" spans="32:32" x14ac:dyDescent="0.2">
      <c r="AF38006" s="12"/>
    </row>
    <row r="38007" spans="32:32" x14ac:dyDescent="0.2">
      <c r="AF38007" s="12"/>
    </row>
    <row r="38008" spans="32:32" x14ac:dyDescent="0.2">
      <c r="AF38008" s="12"/>
    </row>
    <row r="38009" spans="32:32" x14ac:dyDescent="0.2">
      <c r="AF38009" s="12"/>
    </row>
    <row r="38010" spans="32:32" x14ac:dyDescent="0.2">
      <c r="AF38010" s="12"/>
    </row>
    <row r="38011" spans="32:32" x14ac:dyDescent="0.2">
      <c r="AF38011" s="12"/>
    </row>
    <row r="38012" spans="32:32" x14ac:dyDescent="0.2">
      <c r="AF38012" s="12"/>
    </row>
    <row r="38013" spans="32:32" x14ac:dyDescent="0.2">
      <c r="AF38013" s="12"/>
    </row>
    <row r="38014" spans="32:32" x14ac:dyDescent="0.2">
      <c r="AF38014" s="12"/>
    </row>
    <row r="38015" spans="32:32" x14ac:dyDescent="0.2">
      <c r="AF38015" s="12"/>
    </row>
    <row r="38016" spans="32:32" x14ac:dyDescent="0.2">
      <c r="AF38016" s="12"/>
    </row>
    <row r="38017" spans="32:32" x14ac:dyDescent="0.2">
      <c r="AF38017" s="12"/>
    </row>
    <row r="38018" spans="32:32" x14ac:dyDescent="0.2">
      <c r="AF38018" s="12"/>
    </row>
    <row r="38019" spans="32:32" x14ac:dyDescent="0.2">
      <c r="AF38019" s="12"/>
    </row>
    <row r="38020" spans="32:32" x14ac:dyDescent="0.2">
      <c r="AF38020" s="12"/>
    </row>
    <row r="38021" spans="32:32" x14ac:dyDescent="0.2">
      <c r="AF38021" s="12"/>
    </row>
    <row r="38022" spans="32:32" x14ac:dyDescent="0.2">
      <c r="AF38022" s="12"/>
    </row>
    <row r="38023" spans="32:32" x14ac:dyDescent="0.2">
      <c r="AF38023" s="12"/>
    </row>
    <row r="38024" spans="32:32" x14ac:dyDescent="0.2">
      <c r="AF38024" s="12"/>
    </row>
    <row r="38025" spans="32:32" x14ac:dyDescent="0.2">
      <c r="AF38025" s="12"/>
    </row>
    <row r="38026" spans="32:32" x14ac:dyDescent="0.2">
      <c r="AF38026" s="12"/>
    </row>
    <row r="38027" spans="32:32" x14ac:dyDescent="0.2">
      <c r="AF38027" s="12"/>
    </row>
    <row r="38028" spans="32:32" x14ac:dyDescent="0.2">
      <c r="AF38028" s="12"/>
    </row>
    <row r="38029" spans="32:32" x14ac:dyDescent="0.2">
      <c r="AF38029" s="12"/>
    </row>
    <row r="38030" spans="32:32" x14ac:dyDescent="0.2">
      <c r="AF38030" s="12"/>
    </row>
    <row r="38031" spans="32:32" x14ac:dyDescent="0.2">
      <c r="AF38031" s="12"/>
    </row>
    <row r="38032" spans="32:32" x14ac:dyDescent="0.2">
      <c r="AF38032" s="12"/>
    </row>
    <row r="38033" spans="32:32" x14ac:dyDescent="0.2">
      <c r="AF38033" s="12"/>
    </row>
    <row r="38034" spans="32:32" x14ac:dyDescent="0.2">
      <c r="AF38034" s="12"/>
    </row>
    <row r="38035" spans="32:32" x14ac:dyDescent="0.2">
      <c r="AF38035" s="12"/>
    </row>
    <row r="38036" spans="32:32" x14ac:dyDescent="0.2">
      <c r="AF38036" s="12"/>
    </row>
    <row r="38037" spans="32:32" x14ac:dyDescent="0.2">
      <c r="AF38037" s="12"/>
    </row>
    <row r="38038" spans="32:32" x14ac:dyDescent="0.2">
      <c r="AF38038" s="12"/>
    </row>
    <row r="38039" spans="32:32" x14ac:dyDescent="0.2">
      <c r="AF38039" s="12"/>
    </row>
    <row r="38040" spans="32:32" x14ac:dyDescent="0.2">
      <c r="AF38040" s="12"/>
    </row>
    <row r="38041" spans="32:32" x14ac:dyDescent="0.2">
      <c r="AF38041" s="12"/>
    </row>
    <row r="38042" spans="32:32" x14ac:dyDescent="0.2">
      <c r="AF38042" s="12"/>
    </row>
    <row r="38043" spans="32:32" x14ac:dyDescent="0.2">
      <c r="AF38043" s="12"/>
    </row>
    <row r="38044" spans="32:32" x14ac:dyDescent="0.2">
      <c r="AF38044" s="12"/>
    </row>
    <row r="38045" spans="32:32" x14ac:dyDescent="0.2">
      <c r="AF38045" s="12"/>
    </row>
    <row r="38046" spans="32:32" x14ac:dyDescent="0.2">
      <c r="AF38046" s="12"/>
    </row>
    <row r="38047" spans="32:32" x14ac:dyDescent="0.2">
      <c r="AF38047" s="12"/>
    </row>
    <row r="38048" spans="32:32" x14ac:dyDescent="0.2">
      <c r="AF38048" s="12"/>
    </row>
    <row r="38049" spans="32:32" x14ac:dyDescent="0.2">
      <c r="AF38049" s="12"/>
    </row>
    <row r="38050" spans="32:32" x14ac:dyDescent="0.2">
      <c r="AF38050" s="12"/>
    </row>
    <row r="38051" spans="32:32" x14ac:dyDescent="0.2">
      <c r="AF38051" s="12"/>
    </row>
    <row r="38052" spans="32:32" x14ac:dyDescent="0.2">
      <c r="AF38052" s="12"/>
    </row>
    <row r="38053" spans="32:32" x14ac:dyDescent="0.2">
      <c r="AF38053" s="12"/>
    </row>
    <row r="38054" spans="32:32" x14ac:dyDescent="0.2">
      <c r="AF38054" s="12"/>
    </row>
    <row r="38055" spans="32:32" x14ac:dyDescent="0.2">
      <c r="AF38055" s="12"/>
    </row>
    <row r="38056" spans="32:32" x14ac:dyDescent="0.2">
      <c r="AF38056" s="12"/>
    </row>
    <row r="38057" spans="32:32" x14ac:dyDescent="0.2">
      <c r="AF38057" s="12"/>
    </row>
    <row r="38058" spans="32:32" x14ac:dyDescent="0.2">
      <c r="AF38058" s="12"/>
    </row>
    <row r="38059" spans="32:32" x14ac:dyDescent="0.2">
      <c r="AF38059" s="12"/>
    </row>
    <row r="38060" spans="32:32" x14ac:dyDescent="0.2">
      <c r="AF38060" s="12"/>
    </row>
    <row r="38061" spans="32:32" x14ac:dyDescent="0.2">
      <c r="AF38061" s="12"/>
    </row>
    <row r="38062" spans="32:32" x14ac:dyDescent="0.2">
      <c r="AF38062" s="12"/>
    </row>
    <row r="38063" spans="32:32" x14ac:dyDescent="0.2">
      <c r="AF38063" s="12"/>
    </row>
    <row r="38064" spans="32:32" x14ac:dyDescent="0.2">
      <c r="AF38064" s="12"/>
    </row>
    <row r="38065" spans="32:32" x14ac:dyDescent="0.2">
      <c r="AF38065" s="12"/>
    </row>
    <row r="38066" spans="32:32" x14ac:dyDescent="0.2">
      <c r="AF38066" s="12"/>
    </row>
    <row r="38067" spans="32:32" x14ac:dyDescent="0.2">
      <c r="AF38067" s="12"/>
    </row>
    <row r="38068" spans="32:32" x14ac:dyDescent="0.2">
      <c r="AF38068" s="12"/>
    </row>
    <row r="38069" spans="32:32" x14ac:dyDescent="0.2">
      <c r="AF38069" s="12"/>
    </row>
    <row r="38070" spans="32:32" x14ac:dyDescent="0.2">
      <c r="AF38070" s="12"/>
    </row>
    <row r="38071" spans="32:32" x14ac:dyDescent="0.2">
      <c r="AF38071" s="12"/>
    </row>
    <row r="38072" spans="32:32" x14ac:dyDescent="0.2">
      <c r="AF38072" s="12"/>
    </row>
    <row r="38073" spans="32:32" x14ac:dyDescent="0.2">
      <c r="AF38073" s="12"/>
    </row>
    <row r="38074" spans="32:32" x14ac:dyDescent="0.2">
      <c r="AF38074" s="12"/>
    </row>
    <row r="38075" spans="32:32" x14ac:dyDescent="0.2">
      <c r="AF38075" s="12"/>
    </row>
    <row r="38076" spans="32:32" x14ac:dyDescent="0.2">
      <c r="AF38076" s="12"/>
    </row>
    <row r="38077" spans="32:32" x14ac:dyDescent="0.2">
      <c r="AF38077" s="12"/>
    </row>
    <row r="38078" spans="32:32" x14ac:dyDescent="0.2">
      <c r="AF38078" s="12"/>
    </row>
    <row r="38079" spans="32:32" x14ac:dyDescent="0.2">
      <c r="AF38079" s="12"/>
    </row>
    <row r="38080" spans="32:32" x14ac:dyDescent="0.2">
      <c r="AF38080" s="12"/>
    </row>
    <row r="38081" spans="32:32" x14ac:dyDescent="0.2">
      <c r="AF38081" s="12"/>
    </row>
    <row r="38082" spans="32:32" x14ac:dyDescent="0.2">
      <c r="AF38082" s="12"/>
    </row>
    <row r="38083" spans="32:32" x14ac:dyDescent="0.2">
      <c r="AF38083" s="12"/>
    </row>
    <row r="38084" spans="32:32" x14ac:dyDescent="0.2">
      <c r="AF38084" s="12"/>
    </row>
    <row r="38085" spans="32:32" x14ac:dyDescent="0.2">
      <c r="AF38085" s="12"/>
    </row>
    <row r="38086" spans="32:32" x14ac:dyDescent="0.2">
      <c r="AF38086" s="12"/>
    </row>
    <row r="38087" spans="32:32" x14ac:dyDescent="0.2">
      <c r="AF38087" s="12"/>
    </row>
    <row r="38088" spans="32:32" x14ac:dyDescent="0.2">
      <c r="AF38088" s="12"/>
    </row>
    <row r="38089" spans="32:32" x14ac:dyDescent="0.2">
      <c r="AF38089" s="12"/>
    </row>
    <row r="38090" spans="32:32" x14ac:dyDescent="0.2">
      <c r="AF38090" s="12"/>
    </row>
    <row r="38091" spans="32:32" x14ac:dyDescent="0.2">
      <c r="AF38091" s="12"/>
    </row>
    <row r="38092" spans="32:32" x14ac:dyDescent="0.2">
      <c r="AF38092" s="12"/>
    </row>
    <row r="38093" spans="32:32" x14ac:dyDescent="0.2">
      <c r="AF38093" s="12"/>
    </row>
    <row r="38094" spans="32:32" x14ac:dyDescent="0.2">
      <c r="AF38094" s="12"/>
    </row>
    <row r="38095" spans="32:32" x14ac:dyDescent="0.2">
      <c r="AF38095" s="12"/>
    </row>
    <row r="38096" spans="32:32" x14ac:dyDescent="0.2">
      <c r="AF38096" s="12"/>
    </row>
    <row r="38097" spans="32:32" x14ac:dyDescent="0.2">
      <c r="AF38097" s="12"/>
    </row>
    <row r="38098" spans="32:32" x14ac:dyDescent="0.2">
      <c r="AF38098" s="12"/>
    </row>
    <row r="38099" spans="32:32" x14ac:dyDescent="0.2">
      <c r="AF38099" s="12"/>
    </row>
    <row r="38100" spans="32:32" x14ac:dyDescent="0.2">
      <c r="AF38100" s="12"/>
    </row>
    <row r="38101" spans="32:32" x14ac:dyDescent="0.2">
      <c r="AF38101" s="12"/>
    </row>
    <row r="38102" spans="32:32" x14ac:dyDescent="0.2">
      <c r="AF38102" s="12"/>
    </row>
    <row r="38103" spans="32:32" x14ac:dyDescent="0.2">
      <c r="AF38103" s="12"/>
    </row>
    <row r="38104" spans="32:32" x14ac:dyDescent="0.2">
      <c r="AF38104" s="12"/>
    </row>
    <row r="38105" spans="32:32" x14ac:dyDescent="0.2">
      <c r="AF38105" s="12"/>
    </row>
    <row r="38106" spans="32:32" x14ac:dyDescent="0.2">
      <c r="AF38106" s="12"/>
    </row>
    <row r="38107" spans="32:32" x14ac:dyDescent="0.2">
      <c r="AF38107" s="12"/>
    </row>
    <row r="38108" spans="32:32" x14ac:dyDescent="0.2">
      <c r="AF38108" s="12"/>
    </row>
    <row r="38109" spans="32:32" x14ac:dyDescent="0.2">
      <c r="AF38109" s="12"/>
    </row>
    <row r="38110" spans="32:32" x14ac:dyDescent="0.2">
      <c r="AF38110" s="12"/>
    </row>
    <row r="38111" spans="32:32" x14ac:dyDescent="0.2">
      <c r="AF38111" s="12"/>
    </row>
    <row r="38112" spans="32:32" x14ac:dyDescent="0.2">
      <c r="AF38112" s="12"/>
    </row>
    <row r="38113" spans="32:32" x14ac:dyDescent="0.2">
      <c r="AF38113" s="12"/>
    </row>
    <row r="38114" spans="32:32" x14ac:dyDescent="0.2">
      <c r="AF38114" s="12"/>
    </row>
    <row r="38115" spans="32:32" x14ac:dyDescent="0.2">
      <c r="AF38115" s="12"/>
    </row>
    <row r="38116" spans="32:32" x14ac:dyDescent="0.2">
      <c r="AF38116" s="12"/>
    </row>
    <row r="38117" spans="32:32" x14ac:dyDescent="0.2">
      <c r="AF38117" s="12"/>
    </row>
    <row r="38118" spans="32:32" x14ac:dyDescent="0.2">
      <c r="AF38118" s="12"/>
    </row>
    <row r="38119" spans="32:32" x14ac:dyDescent="0.2">
      <c r="AF38119" s="12"/>
    </row>
    <row r="38120" spans="32:32" x14ac:dyDescent="0.2">
      <c r="AF38120" s="12"/>
    </row>
    <row r="38121" spans="32:32" x14ac:dyDescent="0.2">
      <c r="AF38121" s="12"/>
    </row>
    <row r="38122" spans="32:32" x14ac:dyDescent="0.2">
      <c r="AF38122" s="12"/>
    </row>
    <row r="38123" spans="32:32" x14ac:dyDescent="0.2">
      <c r="AF38123" s="12"/>
    </row>
    <row r="38124" spans="32:32" x14ac:dyDescent="0.2">
      <c r="AF38124" s="12"/>
    </row>
    <row r="38125" spans="32:32" x14ac:dyDescent="0.2">
      <c r="AF38125" s="12"/>
    </row>
    <row r="38126" spans="32:32" x14ac:dyDescent="0.2">
      <c r="AF38126" s="12"/>
    </row>
    <row r="38127" spans="32:32" x14ac:dyDescent="0.2">
      <c r="AF38127" s="12"/>
    </row>
    <row r="38128" spans="32:32" x14ac:dyDescent="0.2">
      <c r="AF38128" s="12"/>
    </row>
    <row r="38129" spans="32:32" x14ac:dyDescent="0.2">
      <c r="AF38129" s="12"/>
    </row>
    <row r="38130" spans="32:32" x14ac:dyDescent="0.2">
      <c r="AF38130" s="12"/>
    </row>
    <row r="38131" spans="32:32" x14ac:dyDescent="0.2">
      <c r="AF38131" s="12"/>
    </row>
    <row r="38132" spans="32:32" x14ac:dyDescent="0.2">
      <c r="AF38132" s="12"/>
    </row>
    <row r="38133" spans="32:32" x14ac:dyDescent="0.2">
      <c r="AF38133" s="12"/>
    </row>
    <row r="38134" spans="32:32" x14ac:dyDescent="0.2">
      <c r="AF38134" s="12"/>
    </row>
    <row r="38135" spans="32:32" x14ac:dyDescent="0.2">
      <c r="AF38135" s="12"/>
    </row>
    <row r="38136" spans="32:32" x14ac:dyDescent="0.2">
      <c r="AF38136" s="12"/>
    </row>
    <row r="38137" spans="32:32" x14ac:dyDescent="0.2">
      <c r="AF38137" s="12"/>
    </row>
    <row r="38138" spans="32:32" x14ac:dyDescent="0.2">
      <c r="AF38138" s="12"/>
    </row>
    <row r="38139" spans="32:32" x14ac:dyDescent="0.2">
      <c r="AF38139" s="12"/>
    </row>
    <row r="38140" spans="32:32" x14ac:dyDescent="0.2">
      <c r="AF38140" s="12"/>
    </row>
    <row r="38141" spans="32:32" x14ac:dyDescent="0.2">
      <c r="AF38141" s="12"/>
    </row>
    <row r="38142" spans="32:32" x14ac:dyDescent="0.2">
      <c r="AF38142" s="12"/>
    </row>
    <row r="38143" spans="32:32" x14ac:dyDescent="0.2">
      <c r="AF38143" s="12"/>
    </row>
    <row r="38144" spans="32:32" x14ac:dyDescent="0.2">
      <c r="AF38144" s="12"/>
    </row>
    <row r="38145" spans="32:32" x14ac:dyDescent="0.2">
      <c r="AF38145" s="12"/>
    </row>
    <row r="38146" spans="32:32" x14ac:dyDescent="0.2">
      <c r="AF38146" s="12"/>
    </row>
    <row r="38147" spans="32:32" x14ac:dyDescent="0.2">
      <c r="AF38147" s="12"/>
    </row>
    <row r="38148" spans="32:32" x14ac:dyDescent="0.2">
      <c r="AF38148" s="12"/>
    </row>
    <row r="38149" spans="32:32" x14ac:dyDescent="0.2">
      <c r="AF38149" s="12"/>
    </row>
    <row r="38150" spans="32:32" x14ac:dyDescent="0.2">
      <c r="AF38150" s="12"/>
    </row>
    <row r="38151" spans="32:32" x14ac:dyDescent="0.2">
      <c r="AF38151" s="12"/>
    </row>
    <row r="38152" spans="32:32" x14ac:dyDescent="0.2">
      <c r="AF38152" s="12"/>
    </row>
    <row r="38153" spans="32:32" x14ac:dyDescent="0.2">
      <c r="AF38153" s="12"/>
    </row>
    <row r="38154" spans="32:32" x14ac:dyDescent="0.2">
      <c r="AF38154" s="12"/>
    </row>
    <row r="38155" spans="32:32" x14ac:dyDescent="0.2">
      <c r="AF38155" s="12"/>
    </row>
    <row r="38156" spans="32:32" x14ac:dyDescent="0.2">
      <c r="AF38156" s="12"/>
    </row>
    <row r="38157" spans="32:32" x14ac:dyDescent="0.2">
      <c r="AF38157" s="12"/>
    </row>
    <row r="38158" spans="32:32" x14ac:dyDescent="0.2">
      <c r="AF38158" s="12"/>
    </row>
    <row r="38159" spans="32:32" x14ac:dyDescent="0.2">
      <c r="AF38159" s="12"/>
    </row>
    <row r="38160" spans="32:32" x14ac:dyDescent="0.2">
      <c r="AF38160" s="12"/>
    </row>
    <row r="38161" spans="32:32" x14ac:dyDescent="0.2">
      <c r="AF38161" s="12"/>
    </row>
    <row r="38162" spans="32:32" x14ac:dyDescent="0.2">
      <c r="AF38162" s="12"/>
    </row>
    <row r="38163" spans="32:32" x14ac:dyDescent="0.2">
      <c r="AF38163" s="12"/>
    </row>
    <row r="38164" spans="32:32" x14ac:dyDescent="0.2">
      <c r="AF38164" s="12"/>
    </row>
    <row r="38165" spans="32:32" x14ac:dyDescent="0.2">
      <c r="AF38165" s="12"/>
    </row>
    <row r="38166" spans="32:32" x14ac:dyDescent="0.2">
      <c r="AF38166" s="12"/>
    </row>
    <row r="38167" spans="32:32" x14ac:dyDescent="0.2">
      <c r="AF38167" s="12"/>
    </row>
    <row r="38168" spans="32:32" x14ac:dyDescent="0.2">
      <c r="AF38168" s="12"/>
    </row>
    <row r="38169" spans="32:32" x14ac:dyDescent="0.2">
      <c r="AF38169" s="12"/>
    </row>
    <row r="38170" spans="32:32" x14ac:dyDescent="0.2">
      <c r="AF38170" s="12"/>
    </row>
    <row r="38171" spans="32:32" x14ac:dyDescent="0.2">
      <c r="AF38171" s="12"/>
    </row>
    <row r="38172" spans="32:32" x14ac:dyDescent="0.2">
      <c r="AF38172" s="12"/>
    </row>
    <row r="38173" spans="32:32" x14ac:dyDescent="0.2">
      <c r="AF38173" s="12"/>
    </row>
    <row r="38174" spans="32:32" x14ac:dyDescent="0.2">
      <c r="AF38174" s="12"/>
    </row>
    <row r="38175" spans="32:32" x14ac:dyDescent="0.2">
      <c r="AF38175" s="12"/>
    </row>
    <row r="38176" spans="32:32" x14ac:dyDescent="0.2">
      <c r="AF38176" s="12"/>
    </row>
    <row r="38177" spans="32:32" x14ac:dyDescent="0.2">
      <c r="AF38177" s="12"/>
    </row>
    <row r="38178" spans="32:32" x14ac:dyDescent="0.2">
      <c r="AF38178" s="12"/>
    </row>
    <row r="38179" spans="32:32" x14ac:dyDescent="0.2">
      <c r="AF38179" s="12"/>
    </row>
    <row r="38180" spans="32:32" x14ac:dyDescent="0.2">
      <c r="AF38180" s="12"/>
    </row>
    <row r="38181" spans="32:32" x14ac:dyDescent="0.2">
      <c r="AF38181" s="12"/>
    </row>
    <row r="38182" spans="32:32" x14ac:dyDescent="0.2">
      <c r="AF38182" s="12"/>
    </row>
    <row r="38183" spans="32:32" x14ac:dyDescent="0.2">
      <c r="AF38183" s="12"/>
    </row>
    <row r="38184" spans="32:32" x14ac:dyDescent="0.2">
      <c r="AF38184" s="12"/>
    </row>
    <row r="38185" spans="32:32" x14ac:dyDescent="0.2">
      <c r="AF38185" s="12"/>
    </row>
    <row r="38186" spans="32:32" x14ac:dyDescent="0.2">
      <c r="AF38186" s="12"/>
    </row>
    <row r="38187" spans="32:32" x14ac:dyDescent="0.2">
      <c r="AF38187" s="12"/>
    </row>
    <row r="38188" spans="32:32" x14ac:dyDescent="0.2">
      <c r="AF38188" s="12"/>
    </row>
    <row r="38189" spans="32:32" x14ac:dyDescent="0.2">
      <c r="AF38189" s="12"/>
    </row>
    <row r="38190" spans="32:32" x14ac:dyDescent="0.2">
      <c r="AF38190" s="12"/>
    </row>
    <row r="38191" spans="32:32" x14ac:dyDescent="0.2">
      <c r="AF38191" s="12"/>
    </row>
    <row r="38192" spans="32:32" x14ac:dyDescent="0.2">
      <c r="AF38192" s="12"/>
    </row>
    <row r="38193" spans="32:32" x14ac:dyDescent="0.2">
      <c r="AF38193" s="12"/>
    </row>
    <row r="38194" spans="32:32" x14ac:dyDescent="0.2">
      <c r="AF38194" s="12"/>
    </row>
    <row r="38195" spans="32:32" x14ac:dyDescent="0.2">
      <c r="AF38195" s="12"/>
    </row>
    <row r="38196" spans="32:32" x14ac:dyDescent="0.2">
      <c r="AF38196" s="12"/>
    </row>
    <row r="38197" spans="32:32" x14ac:dyDescent="0.2">
      <c r="AF38197" s="12"/>
    </row>
    <row r="38198" spans="32:32" x14ac:dyDescent="0.2">
      <c r="AF38198" s="12"/>
    </row>
    <row r="38199" spans="32:32" x14ac:dyDescent="0.2">
      <c r="AF38199" s="12"/>
    </row>
    <row r="38200" spans="32:32" x14ac:dyDescent="0.2">
      <c r="AF38200" s="12"/>
    </row>
    <row r="38201" spans="32:32" x14ac:dyDescent="0.2">
      <c r="AF38201" s="12"/>
    </row>
    <row r="38202" spans="32:32" x14ac:dyDescent="0.2">
      <c r="AF38202" s="12"/>
    </row>
    <row r="38203" spans="32:32" x14ac:dyDescent="0.2">
      <c r="AF38203" s="12"/>
    </row>
    <row r="38204" spans="32:32" x14ac:dyDescent="0.2">
      <c r="AF38204" s="12"/>
    </row>
    <row r="38205" spans="32:32" x14ac:dyDescent="0.2">
      <c r="AF38205" s="12"/>
    </row>
    <row r="38206" spans="32:32" x14ac:dyDescent="0.2">
      <c r="AF38206" s="12"/>
    </row>
    <row r="38207" spans="32:32" x14ac:dyDescent="0.2">
      <c r="AF38207" s="12"/>
    </row>
    <row r="38208" spans="32:32" x14ac:dyDescent="0.2">
      <c r="AF38208" s="12"/>
    </row>
    <row r="38209" spans="32:32" x14ac:dyDescent="0.2">
      <c r="AF38209" s="12"/>
    </row>
    <row r="38210" spans="32:32" x14ac:dyDescent="0.2">
      <c r="AF38210" s="12"/>
    </row>
    <row r="38211" spans="32:32" x14ac:dyDescent="0.2">
      <c r="AF38211" s="12"/>
    </row>
    <row r="38212" spans="32:32" x14ac:dyDescent="0.2">
      <c r="AF38212" s="12"/>
    </row>
    <row r="38213" spans="32:32" x14ac:dyDescent="0.2">
      <c r="AF38213" s="12"/>
    </row>
    <row r="38214" spans="32:32" x14ac:dyDescent="0.2">
      <c r="AF38214" s="12"/>
    </row>
    <row r="38215" spans="32:32" x14ac:dyDescent="0.2">
      <c r="AF38215" s="12"/>
    </row>
    <row r="38216" spans="32:32" x14ac:dyDescent="0.2">
      <c r="AF38216" s="12"/>
    </row>
    <row r="38217" spans="32:32" x14ac:dyDescent="0.2">
      <c r="AF38217" s="12"/>
    </row>
    <row r="38218" spans="32:32" x14ac:dyDescent="0.2">
      <c r="AF38218" s="12"/>
    </row>
    <row r="38219" spans="32:32" x14ac:dyDescent="0.2">
      <c r="AF38219" s="12"/>
    </row>
    <row r="38220" spans="32:32" x14ac:dyDescent="0.2">
      <c r="AF38220" s="12"/>
    </row>
    <row r="38221" spans="32:32" x14ac:dyDescent="0.2">
      <c r="AF38221" s="12"/>
    </row>
    <row r="38222" spans="32:32" x14ac:dyDescent="0.2">
      <c r="AF38222" s="12"/>
    </row>
    <row r="38223" spans="32:32" x14ac:dyDescent="0.2">
      <c r="AF38223" s="12"/>
    </row>
    <row r="38224" spans="32:32" x14ac:dyDescent="0.2">
      <c r="AF38224" s="12"/>
    </row>
    <row r="38225" spans="32:32" x14ac:dyDescent="0.2">
      <c r="AF38225" s="12"/>
    </row>
    <row r="38226" spans="32:32" x14ac:dyDescent="0.2">
      <c r="AF38226" s="12"/>
    </row>
    <row r="38227" spans="32:32" x14ac:dyDescent="0.2">
      <c r="AF38227" s="12"/>
    </row>
    <row r="38228" spans="32:32" x14ac:dyDescent="0.2">
      <c r="AF38228" s="12"/>
    </row>
    <row r="38229" spans="32:32" x14ac:dyDescent="0.2">
      <c r="AF38229" s="12"/>
    </row>
    <row r="38230" spans="32:32" x14ac:dyDescent="0.2">
      <c r="AF38230" s="12"/>
    </row>
    <row r="38231" spans="32:32" x14ac:dyDescent="0.2">
      <c r="AF38231" s="12"/>
    </row>
    <row r="38232" spans="32:32" x14ac:dyDescent="0.2">
      <c r="AF38232" s="12"/>
    </row>
    <row r="38233" spans="32:32" x14ac:dyDescent="0.2">
      <c r="AF38233" s="12"/>
    </row>
    <row r="38234" spans="32:32" x14ac:dyDescent="0.2">
      <c r="AF38234" s="12"/>
    </row>
    <row r="38235" spans="32:32" x14ac:dyDescent="0.2">
      <c r="AF38235" s="12"/>
    </row>
    <row r="38236" spans="32:32" x14ac:dyDescent="0.2">
      <c r="AF38236" s="12"/>
    </row>
    <row r="38237" spans="32:32" x14ac:dyDescent="0.2">
      <c r="AF38237" s="12"/>
    </row>
    <row r="38238" spans="32:32" x14ac:dyDescent="0.2">
      <c r="AF38238" s="12"/>
    </row>
    <row r="38239" spans="32:32" x14ac:dyDescent="0.2">
      <c r="AF38239" s="12"/>
    </row>
    <row r="38240" spans="32:32" x14ac:dyDescent="0.2">
      <c r="AF38240" s="12"/>
    </row>
    <row r="38241" spans="32:32" x14ac:dyDescent="0.2">
      <c r="AF38241" s="12"/>
    </row>
    <row r="38242" spans="32:32" x14ac:dyDescent="0.2">
      <c r="AF38242" s="12"/>
    </row>
    <row r="38243" spans="32:32" x14ac:dyDescent="0.2">
      <c r="AF38243" s="12"/>
    </row>
    <row r="38244" spans="32:32" x14ac:dyDescent="0.2">
      <c r="AF38244" s="12"/>
    </row>
    <row r="38245" spans="32:32" x14ac:dyDescent="0.2">
      <c r="AF38245" s="12"/>
    </row>
    <row r="38246" spans="32:32" x14ac:dyDescent="0.2">
      <c r="AF38246" s="12"/>
    </row>
    <row r="38247" spans="32:32" x14ac:dyDescent="0.2">
      <c r="AF38247" s="12"/>
    </row>
    <row r="38248" spans="32:32" x14ac:dyDescent="0.2">
      <c r="AF38248" s="12"/>
    </row>
    <row r="38249" spans="32:32" x14ac:dyDescent="0.2">
      <c r="AF38249" s="12"/>
    </row>
    <row r="38250" spans="32:32" x14ac:dyDescent="0.2">
      <c r="AF38250" s="12"/>
    </row>
    <row r="38251" spans="32:32" x14ac:dyDescent="0.2">
      <c r="AF38251" s="12"/>
    </row>
    <row r="38252" spans="32:32" x14ac:dyDescent="0.2">
      <c r="AF38252" s="12"/>
    </row>
    <row r="38253" spans="32:32" x14ac:dyDescent="0.2">
      <c r="AF38253" s="12"/>
    </row>
    <row r="38254" spans="32:32" x14ac:dyDescent="0.2">
      <c r="AF38254" s="12"/>
    </row>
    <row r="38255" spans="32:32" x14ac:dyDescent="0.2">
      <c r="AF38255" s="12"/>
    </row>
    <row r="38256" spans="32:32" x14ac:dyDescent="0.2">
      <c r="AF38256" s="12"/>
    </row>
    <row r="38257" spans="32:32" x14ac:dyDescent="0.2">
      <c r="AF38257" s="12"/>
    </row>
    <row r="38258" spans="32:32" x14ac:dyDescent="0.2">
      <c r="AF38258" s="12"/>
    </row>
    <row r="38259" spans="32:32" x14ac:dyDescent="0.2">
      <c r="AF38259" s="12"/>
    </row>
    <row r="38260" spans="32:32" x14ac:dyDescent="0.2">
      <c r="AF38260" s="12"/>
    </row>
    <row r="38261" spans="32:32" x14ac:dyDescent="0.2">
      <c r="AF38261" s="12"/>
    </row>
    <row r="38262" spans="32:32" x14ac:dyDescent="0.2">
      <c r="AF38262" s="12"/>
    </row>
    <row r="38263" spans="32:32" x14ac:dyDescent="0.2">
      <c r="AF38263" s="12"/>
    </row>
    <row r="38264" spans="32:32" x14ac:dyDescent="0.2">
      <c r="AF38264" s="12"/>
    </row>
    <row r="38265" spans="32:32" x14ac:dyDescent="0.2">
      <c r="AF38265" s="12"/>
    </row>
    <row r="38266" spans="32:32" x14ac:dyDescent="0.2">
      <c r="AF38266" s="12"/>
    </row>
    <row r="38267" spans="32:32" x14ac:dyDescent="0.2">
      <c r="AF38267" s="12"/>
    </row>
    <row r="38268" spans="32:32" x14ac:dyDescent="0.2">
      <c r="AF38268" s="12"/>
    </row>
    <row r="38269" spans="32:32" x14ac:dyDescent="0.2">
      <c r="AF38269" s="12"/>
    </row>
    <row r="38270" spans="32:32" x14ac:dyDescent="0.2">
      <c r="AF38270" s="12"/>
    </row>
    <row r="38271" spans="32:32" x14ac:dyDescent="0.2">
      <c r="AF38271" s="12"/>
    </row>
    <row r="38272" spans="32:32" x14ac:dyDescent="0.2">
      <c r="AF38272" s="12"/>
    </row>
    <row r="38273" spans="32:32" x14ac:dyDescent="0.2">
      <c r="AF38273" s="12"/>
    </row>
    <row r="38274" spans="32:32" x14ac:dyDescent="0.2">
      <c r="AF38274" s="12"/>
    </row>
    <row r="38275" spans="32:32" x14ac:dyDescent="0.2">
      <c r="AF38275" s="12"/>
    </row>
    <row r="38276" spans="32:32" x14ac:dyDescent="0.2">
      <c r="AF38276" s="12"/>
    </row>
    <row r="38277" spans="32:32" x14ac:dyDescent="0.2">
      <c r="AF38277" s="12"/>
    </row>
    <row r="38278" spans="32:32" x14ac:dyDescent="0.2">
      <c r="AF38278" s="12"/>
    </row>
    <row r="38279" spans="32:32" x14ac:dyDescent="0.2">
      <c r="AF38279" s="12"/>
    </row>
    <row r="38280" spans="32:32" x14ac:dyDescent="0.2">
      <c r="AF38280" s="12"/>
    </row>
    <row r="38281" spans="32:32" x14ac:dyDescent="0.2">
      <c r="AF38281" s="12"/>
    </row>
    <row r="38282" spans="32:32" x14ac:dyDescent="0.2">
      <c r="AF38282" s="12"/>
    </row>
    <row r="38283" spans="32:32" x14ac:dyDescent="0.2">
      <c r="AF38283" s="12"/>
    </row>
    <row r="38284" spans="32:32" x14ac:dyDescent="0.2">
      <c r="AF38284" s="12"/>
    </row>
    <row r="38285" spans="32:32" x14ac:dyDescent="0.2">
      <c r="AF38285" s="12"/>
    </row>
    <row r="38286" spans="32:32" x14ac:dyDescent="0.2">
      <c r="AF38286" s="12"/>
    </row>
    <row r="38287" spans="32:32" x14ac:dyDescent="0.2">
      <c r="AF38287" s="12"/>
    </row>
    <row r="38288" spans="32:32" x14ac:dyDescent="0.2">
      <c r="AF38288" s="12"/>
    </row>
    <row r="38289" spans="32:32" x14ac:dyDescent="0.2">
      <c r="AF38289" s="12"/>
    </row>
    <row r="38290" spans="32:32" x14ac:dyDescent="0.2">
      <c r="AF38290" s="12"/>
    </row>
    <row r="38291" spans="32:32" x14ac:dyDescent="0.2">
      <c r="AF38291" s="12"/>
    </row>
    <row r="38292" spans="32:32" x14ac:dyDescent="0.2">
      <c r="AF38292" s="12"/>
    </row>
    <row r="38293" spans="32:32" x14ac:dyDescent="0.2">
      <c r="AF38293" s="12"/>
    </row>
    <row r="38294" spans="32:32" x14ac:dyDescent="0.2">
      <c r="AF38294" s="12"/>
    </row>
    <row r="38295" spans="32:32" x14ac:dyDescent="0.2">
      <c r="AF38295" s="12"/>
    </row>
    <row r="38296" spans="32:32" x14ac:dyDescent="0.2">
      <c r="AF38296" s="12"/>
    </row>
    <row r="38297" spans="32:32" x14ac:dyDescent="0.2">
      <c r="AF38297" s="12"/>
    </row>
    <row r="38298" spans="32:32" x14ac:dyDescent="0.2">
      <c r="AF38298" s="12"/>
    </row>
    <row r="38299" spans="32:32" x14ac:dyDescent="0.2">
      <c r="AF38299" s="12"/>
    </row>
    <row r="38300" spans="32:32" x14ac:dyDescent="0.2">
      <c r="AF38300" s="12"/>
    </row>
    <row r="38301" spans="32:32" x14ac:dyDescent="0.2">
      <c r="AF38301" s="12"/>
    </row>
    <row r="38302" spans="32:32" x14ac:dyDescent="0.2">
      <c r="AF38302" s="12"/>
    </row>
    <row r="38303" spans="32:32" x14ac:dyDescent="0.2">
      <c r="AF38303" s="12"/>
    </row>
    <row r="38304" spans="32:32" x14ac:dyDescent="0.2">
      <c r="AF38304" s="12"/>
    </row>
    <row r="38305" spans="32:32" x14ac:dyDescent="0.2">
      <c r="AF38305" s="12"/>
    </row>
    <row r="38306" spans="32:32" x14ac:dyDescent="0.2">
      <c r="AF38306" s="12"/>
    </row>
    <row r="38307" spans="32:32" x14ac:dyDescent="0.2">
      <c r="AF38307" s="12"/>
    </row>
    <row r="38308" spans="32:32" x14ac:dyDescent="0.2">
      <c r="AF38308" s="12"/>
    </row>
    <row r="38309" spans="32:32" x14ac:dyDescent="0.2">
      <c r="AF38309" s="12"/>
    </row>
    <row r="38310" spans="32:32" x14ac:dyDescent="0.2">
      <c r="AF38310" s="12"/>
    </row>
    <row r="38311" spans="32:32" x14ac:dyDescent="0.2">
      <c r="AF38311" s="12"/>
    </row>
    <row r="38312" spans="32:32" x14ac:dyDescent="0.2">
      <c r="AF38312" s="12"/>
    </row>
    <row r="38313" spans="32:32" x14ac:dyDescent="0.2">
      <c r="AF38313" s="12"/>
    </row>
    <row r="38314" spans="32:32" x14ac:dyDescent="0.2">
      <c r="AF38314" s="12"/>
    </row>
    <row r="38315" spans="32:32" x14ac:dyDescent="0.2">
      <c r="AF38315" s="12"/>
    </row>
    <row r="38316" spans="32:32" x14ac:dyDescent="0.2">
      <c r="AF38316" s="12"/>
    </row>
    <row r="38317" spans="32:32" x14ac:dyDescent="0.2">
      <c r="AF38317" s="12"/>
    </row>
    <row r="38318" spans="32:32" x14ac:dyDescent="0.2">
      <c r="AF38318" s="12"/>
    </row>
    <row r="38319" spans="32:32" x14ac:dyDescent="0.2">
      <c r="AF38319" s="12"/>
    </row>
    <row r="38320" spans="32:32" x14ac:dyDescent="0.2">
      <c r="AF38320" s="12"/>
    </row>
    <row r="38321" spans="32:32" x14ac:dyDescent="0.2">
      <c r="AF38321" s="12"/>
    </row>
    <row r="38322" spans="32:32" x14ac:dyDescent="0.2">
      <c r="AF38322" s="12"/>
    </row>
    <row r="38323" spans="32:32" x14ac:dyDescent="0.2">
      <c r="AF38323" s="12"/>
    </row>
    <row r="38324" spans="32:32" x14ac:dyDescent="0.2">
      <c r="AF38324" s="12"/>
    </row>
    <row r="38325" spans="32:32" x14ac:dyDescent="0.2">
      <c r="AF38325" s="12"/>
    </row>
    <row r="38326" spans="32:32" x14ac:dyDescent="0.2">
      <c r="AF38326" s="12"/>
    </row>
    <row r="38327" spans="32:32" x14ac:dyDescent="0.2">
      <c r="AF38327" s="12"/>
    </row>
    <row r="38328" spans="32:32" x14ac:dyDescent="0.2">
      <c r="AF38328" s="12"/>
    </row>
    <row r="38329" spans="32:32" x14ac:dyDescent="0.2">
      <c r="AF38329" s="12"/>
    </row>
    <row r="38330" spans="32:32" x14ac:dyDescent="0.2">
      <c r="AF38330" s="12"/>
    </row>
    <row r="38331" spans="32:32" x14ac:dyDescent="0.2">
      <c r="AF38331" s="12"/>
    </row>
    <row r="38332" spans="32:32" x14ac:dyDescent="0.2">
      <c r="AF38332" s="12"/>
    </row>
    <row r="38333" spans="32:32" x14ac:dyDescent="0.2">
      <c r="AF38333" s="12"/>
    </row>
    <row r="38334" spans="32:32" x14ac:dyDescent="0.2">
      <c r="AF38334" s="12"/>
    </row>
    <row r="38335" spans="32:32" x14ac:dyDescent="0.2">
      <c r="AF38335" s="12"/>
    </row>
    <row r="38336" spans="32:32" x14ac:dyDescent="0.2">
      <c r="AF38336" s="12"/>
    </row>
    <row r="38337" spans="32:32" x14ac:dyDescent="0.2">
      <c r="AF38337" s="12"/>
    </row>
    <row r="38338" spans="32:32" x14ac:dyDescent="0.2">
      <c r="AF38338" s="12"/>
    </row>
    <row r="38339" spans="32:32" x14ac:dyDescent="0.2">
      <c r="AF38339" s="12"/>
    </row>
    <row r="38340" spans="32:32" x14ac:dyDescent="0.2">
      <c r="AF38340" s="12"/>
    </row>
    <row r="38341" spans="32:32" x14ac:dyDescent="0.2">
      <c r="AF38341" s="12"/>
    </row>
    <row r="38342" spans="32:32" x14ac:dyDescent="0.2">
      <c r="AF38342" s="12"/>
    </row>
    <row r="38343" spans="32:32" x14ac:dyDescent="0.2">
      <c r="AF38343" s="12"/>
    </row>
    <row r="38344" spans="32:32" x14ac:dyDescent="0.2">
      <c r="AF38344" s="12"/>
    </row>
    <row r="38345" spans="32:32" x14ac:dyDescent="0.2">
      <c r="AF38345" s="12"/>
    </row>
    <row r="38346" spans="32:32" x14ac:dyDescent="0.2">
      <c r="AF38346" s="12"/>
    </row>
    <row r="38347" spans="32:32" x14ac:dyDescent="0.2">
      <c r="AF38347" s="12"/>
    </row>
    <row r="38348" spans="32:32" x14ac:dyDescent="0.2">
      <c r="AF38348" s="12"/>
    </row>
    <row r="38349" spans="32:32" x14ac:dyDescent="0.2">
      <c r="AF38349" s="12"/>
    </row>
    <row r="38350" spans="32:32" x14ac:dyDescent="0.2">
      <c r="AF38350" s="12"/>
    </row>
    <row r="38351" spans="32:32" x14ac:dyDescent="0.2">
      <c r="AF38351" s="12"/>
    </row>
    <row r="38352" spans="32:32" x14ac:dyDescent="0.2">
      <c r="AF38352" s="12"/>
    </row>
    <row r="38353" spans="32:32" x14ac:dyDescent="0.2">
      <c r="AF38353" s="12"/>
    </row>
    <row r="38354" spans="32:32" x14ac:dyDescent="0.2">
      <c r="AF38354" s="12"/>
    </row>
    <row r="38355" spans="32:32" x14ac:dyDescent="0.2">
      <c r="AF38355" s="12"/>
    </row>
    <row r="38356" spans="32:32" x14ac:dyDescent="0.2">
      <c r="AF38356" s="12"/>
    </row>
    <row r="38357" spans="32:32" x14ac:dyDescent="0.2">
      <c r="AF38357" s="12"/>
    </row>
    <row r="38358" spans="32:32" x14ac:dyDescent="0.2">
      <c r="AF38358" s="12"/>
    </row>
    <row r="38359" spans="32:32" x14ac:dyDescent="0.2">
      <c r="AF38359" s="12"/>
    </row>
    <row r="38360" spans="32:32" x14ac:dyDescent="0.2">
      <c r="AF38360" s="12"/>
    </row>
    <row r="38361" spans="32:32" x14ac:dyDescent="0.2">
      <c r="AF38361" s="12"/>
    </row>
    <row r="38362" spans="32:32" x14ac:dyDescent="0.2">
      <c r="AF38362" s="12"/>
    </row>
    <row r="38363" spans="32:32" x14ac:dyDescent="0.2">
      <c r="AF38363" s="12"/>
    </row>
    <row r="38364" spans="32:32" x14ac:dyDescent="0.2">
      <c r="AF38364" s="12"/>
    </row>
    <row r="38365" spans="32:32" x14ac:dyDescent="0.2">
      <c r="AF38365" s="12"/>
    </row>
    <row r="38366" spans="32:32" x14ac:dyDescent="0.2">
      <c r="AF38366" s="12"/>
    </row>
    <row r="38367" spans="32:32" x14ac:dyDescent="0.2">
      <c r="AF38367" s="12"/>
    </row>
    <row r="38368" spans="32:32" x14ac:dyDescent="0.2">
      <c r="AF38368" s="12"/>
    </row>
    <row r="38369" spans="32:32" x14ac:dyDescent="0.2">
      <c r="AF38369" s="12"/>
    </row>
    <row r="38370" spans="32:32" x14ac:dyDescent="0.2">
      <c r="AF38370" s="12"/>
    </row>
    <row r="38371" spans="32:32" x14ac:dyDescent="0.2">
      <c r="AF38371" s="12"/>
    </row>
    <row r="38372" spans="32:32" x14ac:dyDescent="0.2">
      <c r="AF38372" s="12"/>
    </row>
    <row r="38373" spans="32:32" x14ac:dyDescent="0.2">
      <c r="AF38373" s="12"/>
    </row>
    <row r="38374" spans="32:32" x14ac:dyDescent="0.2">
      <c r="AF38374" s="12"/>
    </row>
    <row r="38375" spans="32:32" x14ac:dyDescent="0.2">
      <c r="AF38375" s="12"/>
    </row>
    <row r="38376" spans="32:32" x14ac:dyDescent="0.2">
      <c r="AF38376" s="12"/>
    </row>
    <row r="38377" spans="32:32" x14ac:dyDescent="0.2">
      <c r="AF38377" s="12"/>
    </row>
    <row r="38378" spans="32:32" x14ac:dyDescent="0.2">
      <c r="AF38378" s="12"/>
    </row>
    <row r="38379" spans="32:32" x14ac:dyDescent="0.2">
      <c r="AF38379" s="12"/>
    </row>
    <row r="38380" spans="32:32" x14ac:dyDescent="0.2">
      <c r="AF38380" s="12"/>
    </row>
    <row r="38381" spans="32:32" x14ac:dyDescent="0.2">
      <c r="AF38381" s="12"/>
    </row>
    <row r="38382" spans="32:32" x14ac:dyDescent="0.2">
      <c r="AF38382" s="12"/>
    </row>
    <row r="38383" spans="32:32" x14ac:dyDescent="0.2">
      <c r="AF38383" s="12"/>
    </row>
    <row r="38384" spans="32:32" x14ac:dyDescent="0.2">
      <c r="AF38384" s="12"/>
    </row>
    <row r="38385" spans="32:32" x14ac:dyDescent="0.2">
      <c r="AF38385" s="12"/>
    </row>
    <row r="38386" spans="32:32" x14ac:dyDescent="0.2">
      <c r="AF38386" s="12"/>
    </row>
    <row r="38387" spans="32:32" x14ac:dyDescent="0.2">
      <c r="AF38387" s="12"/>
    </row>
    <row r="38388" spans="32:32" x14ac:dyDescent="0.2">
      <c r="AF38388" s="12"/>
    </row>
    <row r="38389" spans="32:32" x14ac:dyDescent="0.2">
      <c r="AF38389" s="12"/>
    </row>
    <row r="38390" spans="32:32" x14ac:dyDescent="0.2">
      <c r="AF38390" s="12"/>
    </row>
    <row r="38391" spans="32:32" x14ac:dyDescent="0.2">
      <c r="AF38391" s="12"/>
    </row>
    <row r="38392" spans="32:32" x14ac:dyDescent="0.2">
      <c r="AF38392" s="12"/>
    </row>
    <row r="38393" spans="32:32" x14ac:dyDescent="0.2">
      <c r="AF38393" s="12"/>
    </row>
    <row r="38394" spans="32:32" x14ac:dyDescent="0.2">
      <c r="AF38394" s="12"/>
    </row>
    <row r="38395" spans="32:32" x14ac:dyDescent="0.2">
      <c r="AF38395" s="12"/>
    </row>
    <row r="38396" spans="32:32" x14ac:dyDescent="0.2">
      <c r="AF38396" s="12"/>
    </row>
    <row r="38397" spans="32:32" x14ac:dyDescent="0.2">
      <c r="AF38397" s="12"/>
    </row>
    <row r="38398" spans="32:32" x14ac:dyDescent="0.2">
      <c r="AF38398" s="12"/>
    </row>
    <row r="38399" spans="32:32" x14ac:dyDescent="0.2">
      <c r="AF38399" s="12"/>
    </row>
    <row r="38400" spans="32:32" x14ac:dyDescent="0.2">
      <c r="AF38400" s="12"/>
    </row>
    <row r="38401" spans="32:32" x14ac:dyDescent="0.2">
      <c r="AF38401" s="12"/>
    </row>
    <row r="38402" spans="32:32" x14ac:dyDescent="0.2">
      <c r="AF38402" s="12"/>
    </row>
    <row r="38403" spans="32:32" x14ac:dyDescent="0.2">
      <c r="AF38403" s="12"/>
    </row>
    <row r="38404" spans="32:32" x14ac:dyDescent="0.2">
      <c r="AF38404" s="12"/>
    </row>
    <row r="38405" spans="32:32" x14ac:dyDescent="0.2">
      <c r="AF38405" s="12"/>
    </row>
    <row r="38406" spans="32:32" x14ac:dyDescent="0.2">
      <c r="AF38406" s="12"/>
    </row>
    <row r="38407" spans="32:32" x14ac:dyDescent="0.2">
      <c r="AF38407" s="12"/>
    </row>
    <row r="38408" spans="32:32" x14ac:dyDescent="0.2">
      <c r="AF38408" s="12"/>
    </row>
    <row r="38409" spans="32:32" x14ac:dyDescent="0.2">
      <c r="AF38409" s="12"/>
    </row>
    <row r="38410" spans="32:32" x14ac:dyDescent="0.2">
      <c r="AF38410" s="12"/>
    </row>
    <row r="38411" spans="32:32" x14ac:dyDescent="0.2">
      <c r="AF38411" s="12"/>
    </row>
    <row r="38412" spans="32:32" x14ac:dyDescent="0.2">
      <c r="AF38412" s="12"/>
    </row>
    <row r="38413" spans="32:32" x14ac:dyDescent="0.2">
      <c r="AF38413" s="12"/>
    </row>
    <row r="38414" spans="32:32" x14ac:dyDescent="0.2">
      <c r="AF38414" s="12"/>
    </row>
    <row r="38415" spans="32:32" x14ac:dyDescent="0.2">
      <c r="AF38415" s="12"/>
    </row>
    <row r="38416" spans="32:32" x14ac:dyDescent="0.2">
      <c r="AF38416" s="12"/>
    </row>
    <row r="38417" spans="32:32" x14ac:dyDescent="0.2">
      <c r="AF38417" s="12"/>
    </row>
    <row r="38418" spans="32:32" x14ac:dyDescent="0.2">
      <c r="AF38418" s="12"/>
    </row>
    <row r="38419" spans="32:32" x14ac:dyDescent="0.2">
      <c r="AF38419" s="12"/>
    </row>
    <row r="38420" spans="32:32" x14ac:dyDescent="0.2">
      <c r="AF38420" s="12"/>
    </row>
    <row r="38421" spans="32:32" x14ac:dyDescent="0.2">
      <c r="AF38421" s="12"/>
    </row>
    <row r="38422" spans="32:32" x14ac:dyDescent="0.2">
      <c r="AF38422" s="12"/>
    </row>
    <row r="38423" spans="32:32" x14ac:dyDescent="0.2">
      <c r="AF38423" s="12"/>
    </row>
    <row r="38424" spans="32:32" x14ac:dyDescent="0.2">
      <c r="AF38424" s="12"/>
    </row>
    <row r="38425" spans="32:32" x14ac:dyDescent="0.2">
      <c r="AF38425" s="12"/>
    </row>
    <row r="38426" spans="32:32" x14ac:dyDescent="0.2">
      <c r="AF38426" s="12"/>
    </row>
    <row r="38427" spans="32:32" x14ac:dyDescent="0.2">
      <c r="AF38427" s="12"/>
    </row>
    <row r="38428" spans="32:32" x14ac:dyDescent="0.2">
      <c r="AF38428" s="12"/>
    </row>
    <row r="38429" spans="32:32" x14ac:dyDescent="0.2">
      <c r="AF38429" s="12"/>
    </row>
    <row r="38430" spans="32:32" x14ac:dyDescent="0.2">
      <c r="AF38430" s="12"/>
    </row>
    <row r="38431" spans="32:32" x14ac:dyDescent="0.2">
      <c r="AF38431" s="12"/>
    </row>
    <row r="38432" spans="32:32" x14ac:dyDescent="0.2">
      <c r="AF38432" s="12"/>
    </row>
    <row r="38433" spans="32:32" x14ac:dyDescent="0.2">
      <c r="AF38433" s="12"/>
    </row>
    <row r="38434" spans="32:32" x14ac:dyDescent="0.2">
      <c r="AF38434" s="12"/>
    </row>
    <row r="38435" spans="32:32" x14ac:dyDescent="0.2">
      <c r="AF38435" s="12"/>
    </row>
    <row r="38436" spans="32:32" x14ac:dyDescent="0.2">
      <c r="AF38436" s="12"/>
    </row>
    <row r="38437" spans="32:32" x14ac:dyDescent="0.2">
      <c r="AF38437" s="12"/>
    </row>
    <row r="38438" spans="32:32" x14ac:dyDescent="0.2">
      <c r="AF38438" s="12"/>
    </row>
    <row r="38439" spans="32:32" x14ac:dyDescent="0.2">
      <c r="AF38439" s="12"/>
    </row>
    <row r="38440" spans="32:32" x14ac:dyDescent="0.2">
      <c r="AF38440" s="12"/>
    </row>
    <row r="38441" spans="32:32" x14ac:dyDescent="0.2">
      <c r="AF38441" s="12"/>
    </row>
    <row r="38442" spans="32:32" x14ac:dyDescent="0.2">
      <c r="AF38442" s="12"/>
    </row>
    <row r="38443" spans="32:32" x14ac:dyDescent="0.2">
      <c r="AF38443" s="12"/>
    </row>
    <row r="38444" spans="32:32" x14ac:dyDescent="0.2">
      <c r="AF38444" s="12"/>
    </row>
    <row r="38445" spans="32:32" x14ac:dyDescent="0.2">
      <c r="AF38445" s="12"/>
    </row>
    <row r="38446" spans="32:32" x14ac:dyDescent="0.2">
      <c r="AF38446" s="12"/>
    </row>
    <row r="38447" spans="32:32" x14ac:dyDescent="0.2">
      <c r="AF38447" s="12"/>
    </row>
    <row r="38448" spans="32:32" x14ac:dyDescent="0.2">
      <c r="AF38448" s="12"/>
    </row>
    <row r="38449" spans="32:32" x14ac:dyDescent="0.2">
      <c r="AF38449" s="12"/>
    </row>
    <row r="38450" spans="32:32" x14ac:dyDescent="0.2">
      <c r="AF38450" s="12"/>
    </row>
    <row r="38451" spans="32:32" x14ac:dyDescent="0.2">
      <c r="AF38451" s="12"/>
    </row>
    <row r="38452" spans="32:32" x14ac:dyDescent="0.2">
      <c r="AF38452" s="12"/>
    </row>
    <row r="38453" spans="32:32" x14ac:dyDescent="0.2">
      <c r="AF38453" s="12"/>
    </row>
    <row r="38454" spans="32:32" x14ac:dyDescent="0.2">
      <c r="AF38454" s="12"/>
    </row>
    <row r="38455" spans="32:32" x14ac:dyDescent="0.2">
      <c r="AF38455" s="12"/>
    </row>
    <row r="38456" spans="32:32" x14ac:dyDescent="0.2">
      <c r="AF38456" s="12"/>
    </row>
    <row r="38457" spans="32:32" x14ac:dyDescent="0.2">
      <c r="AF38457" s="12"/>
    </row>
    <row r="38458" spans="32:32" x14ac:dyDescent="0.2">
      <c r="AF38458" s="12"/>
    </row>
    <row r="38459" spans="32:32" x14ac:dyDescent="0.2">
      <c r="AF38459" s="12"/>
    </row>
    <row r="38460" spans="32:32" x14ac:dyDescent="0.2">
      <c r="AF38460" s="12"/>
    </row>
    <row r="38461" spans="32:32" x14ac:dyDescent="0.2">
      <c r="AF38461" s="12"/>
    </row>
    <row r="38462" spans="32:32" x14ac:dyDescent="0.2">
      <c r="AF38462" s="12"/>
    </row>
    <row r="38463" spans="32:32" x14ac:dyDescent="0.2">
      <c r="AF38463" s="12"/>
    </row>
    <row r="38464" spans="32:32" x14ac:dyDescent="0.2">
      <c r="AF38464" s="12"/>
    </row>
    <row r="38465" spans="32:32" x14ac:dyDescent="0.2">
      <c r="AF38465" s="12"/>
    </row>
    <row r="38466" spans="32:32" x14ac:dyDescent="0.2">
      <c r="AF38466" s="12"/>
    </row>
    <row r="38467" spans="32:32" x14ac:dyDescent="0.2">
      <c r="AF38467" s="12"/>
    </row>
    <row r="38468" spans="32:32" x14ac:dyDescent="0.2">
      <c r="AF38468" s="12"/>
    </row>
    <row r="38469" spans="32:32" x14ac:dyDescent="0.2">
      <c r="AF38469" s="12"/>
    </row>
    <row r="38470" spans="32:32" x14ac:dyDescent="0.2">
      <c r="AF38470" s="12"/>
    </row>
    <row r="38471" spans="32:32" x14ac:dyDescent="0.2">
      <c r="AF38471" s="12"/>
    </row>
    <row r="38472" spans="32:32" x14ac:dyDescent="0.2">
      <c r="AF38472" s="12"/>
    </row>
    <row r="38473" spans="32:32" x14ac:dyDescent="0.2">
      <c r="AF38473" s="12"/>
    </row>
    <row r="38474" spans="32:32" x14ac:dyDescent="0.2">
      <c r="AF38474" s="12"/>
    </row>
    <row r="38475" spans="32:32" x14ac:dyDescent="0.2">
      <c r="AF38475" s="12"/>
    </row>
    <row r="38476" spans="32:32" x14ac:dyDescent="0.2">
      <c r="AF38476" s="12"/>
    </row>
    <row r="38477" spans="32:32" x14ac:dyDescent="0.2">
      <c r="AF38477" s="12"/>
    </row>
    <row r="38478" spans="32:32" x14ac:dyDescent="0.2">
      <c r="AF38478" s="12"/>
    </row>
    <row r="38479" spans="32:32" x14ac:dyDescent="0.2">
      <c r="AF38479" s="12"/>
    </row>
    <row r="38480" spans="32:32" x14ac:dyDescent="0.2">
      <c r="AF38480" s="12"/>
    </row>
    <row r="38481" spans="32:32" x14ac:dyDescent="0.2">
      <c r="AF38481" s="12"/>
    </row>
    <row r="38482" spans="32:32" x14ac:dyDescent="0.2">
      <c r="AF38482" s="12"/>
    </row>
    <row r="38483" spans="32:32" x14ac:dyDescent="0.2">
      <c r="AF38483" s="12"/>
    </row>
    <row r="38484" spans="32:32" x14ac:dyDescent="0.2">
      <c r="AF38484" s="12"/>
    </row>
    <row r="38485" spans="32:32" x14ac:dyDescent="0.2">
      <c r="AF38485" s="12"/>
    </row>
    <row r="38486" spans="32:32" x14ac:dyDescent="0.2">
      <c r="AF38486" s="12"/>
    </row>
    <row r="38487" spans="32:32" x14ac:dyDescent="0.2">
      <c r="AF38487" s="12"/>
    </row>
    <row r="38488" spans="32:32" x14ac:dyDescent="0.2">
      <c r="AF38488" s="12"/>
    </row>
    <row r="38489" spans="32:32" x14ac:dyDescent="0.2">
      <c r="AF38489" s="12"/>
    </row>
    <row r="38490" spans="32:32" x14ac:dyDescent="0.2">
      <c r="AF38490" s="12"/>
    </row>
    <row r="38491" spans="32:32" x14ac:dyDescent="0.2">
      <c r="AF38491" s="12"/>
    </row>
    <row r="38492" spans="32:32" x14ac:dyDescent="0.2">
      <c r="AF38492" s="12"/>
    </row>
    <row r="38493" spans="32:32" x14ac:dyDescent="0.2">
      <c r="AF38493" s="12"/>
    </row>
    <row r="38494" spans="32:32" x14ac:dyDescent="0.2">
      <c r="AF38494" s="12"/>
    </row>
    <row r="38495" spans="32:32" x14ac:dyDescent="0.2">
      <c r="AF38495" s="12"/>
    </row>
    <row r="38496" spans="32:32" x14ac:dyDescent="0.2">
      <c r="AF38496" s="12"/>
    </row>
    <row r="38497" spans="32:32" x14ac:dyDescent="0.2">
      <c r="AF38497" s="12"/>
    </row>
    <row r="38498" spans="32:32" x14ac:dyDescent="0.2">
      <c r="AF38498" s="12"/>
    </row>
    <row r="38499" spans="32:32" x14ac:dyDescent="0.2">
      <c r="AF38499" s="12"/>
    </row>
    <row r="38500" spans="32:32" x14ac:dyDescent="0.2">
      <c r="AF38500" s="12"/>
    </row>
    <row r="38501" spans="32:32" x14ac:dyDescent="0.2">
      <c r="AF38501" s="12"/>
    </row>
    <row r="38502" spans="32:32" x14ac:dyDescent="0.2">
      <c r="AF38502" s="12"/>
    </row>
    <row r="38503" spans="32:32" x14ac:dyDescent="0.2">
      <c r="AF38503" s="12"/>
    </row>
    <row r="38504" spans="32:32" x14ac:dyDescent="0.2">
      <c r="AF38504" s="12"/>
    </row>
    <row r="38505" spans="32:32" x14ac:dyDescent="0.2">
      <c r="AF38505" s="12"/>
    </row>
    <row r="38506" spans="32:32" x14ac:dyDescent="0.2">
      <c r="AF38506" s="12"/>
    </row>
    <row r="38507" spans="32:32" x14ac:dyDescent="0.2">
      <c r="AF38507" s="12"/>
    </row>
    <row r="38508" spans="32:32" x14ac:dyDescent="0.2">
      <c r="AF38508" s="12"/>
    </row>
    <row r="38509" spans="32:32" x14ac:dyDescent="0.2">
      <c r="AF38509" s="12"/>
    </row>
    <row r="38510" spans="32:32" x14ac:dyDescent="0.2">
      <c r="AF38510" s="12"/>
    </row>
    <row r="38511" spans="32:32" x14ac:dyDescent="0.2">
      <c r="AF38511" s="12"/>
    </row>
    <row r="38512" spans="32:32" x14ac:dyDescent="0.2">
      <c r="AF38512" s="12"/>
    </row>
    <row r="38513" spans="32:32" x14ac:dyDescent="0.2">
      <c r="AF38513" s="12"/>
    </row>
    <row r="38514" spans="32:32" x14ac:dyDescent="0.2">
      <c r="AF38514" s="12"/>
    </row>
    <row r="38515" spans="32:32" x14ac:dyDescent="0.2">
      <c r="AF38515" s="12"/>
    </row>
    <row r="38516" spans="32:32" x14ac:dyDescent="0.2">
      <c r="AF38516" s="12"/>
    </row>
    <row r="38517" spans="32:32" x14ac:dyDescent="0.2">
      <c r="AF38517" s="12"/>
    </row>
    <row r="38518" spans="32:32" x14ac:dyDescent="0.2">
      <c r="AF38518" s="12"/>
    </row>
    <row r="38519" spans="32:32" x14ac:dyDescent="0.2">
      <c r="AF38519" s="12"/>
    </row>
    <row r="38520" spans="32:32" x14ac:dyDescent="0.2">
      <c r="AF38520" s="12"/>
    </row>
    <row r="38521" spans="32:32" x14ac:dyDescent="0.2">
      <c r="AF38521" s="12"/>
    </row>
    <row r="38522" spans="32:32" x14ac:dyDescent="0.2">
      <c r="AF38522" s="12"/>
    </row>
    <row r="38523" spans="32:32" x14ac:dyDescent="0.2">
      <c r="AF38523" s="12"/>
    </row>
    <row r="38524" spans="32:32" x14ac:dyDescent="0.2">
      <c r="AF38524" s="12"/>
    </row>
    <row r="38525" spans="32:32" x14ac:dyDescent="0.2">
      <c r="AF38525" s="12"/>
    </row>
    <row r="38526" spans="32:32" x14ac:dyDescent="0.2">
      <c r="AF38526" s="12"/>
    </row>
    <row r="38527" spans="32:32" x14ac:dyDescent="0.2">
      <c r="AF38527" s="12"/>
    </row>
    <row r="38528" spans="32:32" x14ac:dyDescent="0.2">
      <c r="AF38528" s="12"/>
    </row>
    <row r="38529" spans="32:32" x14ac:dyDescent="0.2">
      <c r="AF38529" s="12"/>
    </row>
    <row r="38530" spans="32:32" x14ac:dyDescent="0.2">
      <c r="AF38530" s="12"/>
    </row>
    <row r="38531" spans="32:32" x14ac:dyDescent="0.2">
      <c r="AF38531" s="12"/>
    </row>
    <row r="38532" spans="32:32" x14ac:dyDescent="0.2">
      <c r="AF38532" s="12"/>
    </row>
    <row r="38533" spans="32:32" x14ac:dyDescent="0.2">
      <c r="AF38533" s="12"/>
    </row>
    <row r="38534" spans="32:32" x14ac:dyDescent="0.2">
      <c r="AF38534" s="12"/>
    </row>
    <row r="38535" spans="32:32" x14ac:dyDescent="0.2">
      <c r="AF38535" s="12"/>
    </row>
    <row r="38536" spans="32:32" x14ac:dyDescent="0.2">
      <c r="AF38536" s="12"/>
    </row>
    <row r="38537" spans="32:32" x14ac:dyDescent="0.2">
      <c r="AF38537" s="12"/>
    </row>
    <row r="38538" spans="32:32" x14ac:dyDescent="0.2">
      <c r="AF38538" s="12"/>
    </row>
    <row r="38539" spans="32:32" x14ac:dyDescent="0.2">
      <c r="AF38539" s="12"/>
    </row>
    <row r="38540" spans="32:32" x14ac:dyDescent="0.2">
      <c r="AF38540" s="12"/>
    </row>
    <row r="38541" spans="32:32" x14ac:dyDescent="0.2">
      <c r="AF38541" s="12"/>
    </row>
    <row r="38542" spans="32:32" x14ac:dyDescent="0.2">
      <c r="AF38542" s="12"/>
    </row>
    <row r="38543" spans="32:32" x14ac:dyDescent="0.2">
      <c r="AF38543" s="12"/>
    </row>
    <row r="38544" spans="32:32" x14ac:dyDescent="0.2">
      <c r="AF38544" s="12"/>
    </row>
    <row r="38545" spans="32:32" x14ac:dyDescent="0.2">
      <c r="AF38545" s="12"/>
    </row>
    <row r="38546" spans="32:32" x14ac:dyDescent="0.2">
      <c r="AF38546" s="12"/>
    </row>
    <row r="38547" spans="32:32" x14ac:dyDescent="0.2">
      <c r="AF38547" s="12"/>
    </row>
    <row r="38548" spans="32:32" x14ac:dyDescent="0.2">
      <c r="AF38548" s="12"/>
    </row>
    <row r="38549" spans="32:32" x14ac:dyDescent="0.2">
      <c r="AF38549" s="12"/>
    </row>
    <row r="38550" spans="32:32" x14ac:dyDescent="0.2">
      <c r="AF38550" s="12"/>
    </row>
    <row r="38551" spans="32:32" x14ac:dyDescent="0.2">
      <c r="AF38551" s="12"/>
    </row>
    <row r="38552" spans="32:32" x14ac:dyDescent="0.2">
      <c r="AF38552" s="12"/>
    </row>
    <row r="38553" spans="32:32" x14ac:dyDescent="0.2">
      <c r="AF38553" s="12"/>
    </row>
    <row r="38554" spans="32:32" x14ac:dyDescent="0.2">
      <c r="AF38554" s="12"/>
    </row>
    <row r="38555" spans="32:32" x14ac:dyDescent="0.2">
      <c r="AF38555" s="12"/>
    </row>
    <row r="38556" spans="32:32" x14ac:dyDescent="0.2">
      <c r="AF38556" s="12"/>
    </row>
    <row r="38557" spans="32:32" x14ac:dyDescent="0.2">
      <c r="AF38557" s="12"/>
    </row>
    <row r="38558" spans="32:32" x14ac:dyDescent="0.2">
      <c r="AF38558" s="12"/>
    </row>
    <row r="38559" spans="32:32" x14ac:dyDescent="0.2">
      <c r="AF38559" s="12"/>
    </row>
    <row r="38560" spans="32:32" x14ac:dyDescent="0.2">
      <c r="AF38560" s="12"/>
    </row>
    <row r="38561" spans="32:32" x14ac:dyDescent="0.2">
      <c r="AF38561" s="12"/>
    </row>
    <row r="38562" spans="32:32" x14ac:dyDescent="0.2">
      <c r="AF38562" s="12"/>
    </row>
    <row r="38563" spans="32:32" x14ac:dyDescent="0.2">
      <c r="AF38563" s="12"/>
    </row>
    <row r="38564" spans="32:32" x14ac:dyDescent="0.2">
      <c r="AF38564" s="12"/>
    </row>
    <row r="38565" spans="32:32" x14ac:dyDescent="0.2">
      <c r="AF38565" s="12"/>
    </row>
    <row r="38566" spans="32:32" x14ac:dyDescent="0.2">
      <c r="AF38566" s="12"/>
    </row>
    <row r="38567" spans="32:32" x14ac:dyDescent="0.2">
      <c r="AF38567" s="12"/>
    </row>
    <row r="38568" spans="32:32" x14ac:dyDescent="0.2">
      <c r="AF38568" s="12"/>
    </row>
    <row r="38569" spans="32:32" x14ac:dyDescent="0.2">
      <c r="AF38569" s="12"/>
    </row>
    <row r="38570" spans="32:32" x14ac:dyDescent="0.2">
      <c r="AF38570" s="12"/>
    </row>
    <row r="38571" spans="32:32" x14ac:dyDescent="0.2">
      <c r="AF38571" s="12"/>
    </row>
    <row r="38572" spans="32:32" x14ac:dyDescent="0.2">
      <c r="AF38572" s="12"/>
    </row>
    <row r="38573" spans="32:32" x14ac:dyDescent="0.2">
      <c r="AF38573" s="12"/>
    </row>
    <row r="38574" spans="32:32" x14ac:dyDescent="0.2">
      <c r="AF38574" s="12"/>
    </row>
    <row r="38575" spans="32:32" x14ac:dyDescent="0.2">
      <c r="AF38575" s="12"/>
    </row>
    <row r="38576" spans="32:32" x14ac:dyDescent="0.2">
      <c r="AF38576" s="12"/>
    </row>
    <row r="38577" spans="32:32" x14ac:dyDescent="0.2">
      <c r="AF38577" s="12"/>
    </row>
    <row r="38578" spans="32:32" x14ac:dyDescent="0.2">
      <c r="AF38578" s="12"/>
    </row>
    <row r="38579" spans="32:32" x14ac:dyDescent="0.2">
      <c r="AF38579" s="12"/>
    </row>
    <row r="38580" spans="32:32" x14ac:dyDescent="0.2">
      <c r="AF38580" s="12"/>
    </row>
    <row r="38581" spans="32:32" x14ac:dyDescent="0.2">
      <c r="AF38581" s="12"/>
    </row>
    <row r="38582" spans="32:32" x14ac:dyDescent="0.2">
      <c r="AF38582" s="12"/>
    </row>
    <row r="38583" spans="32:32" x14ac:dyDescent="0.2">
      <c r="AF38583" s="12"/>
    </row>
    <row r="38584" spans="32:32" x14ac:dyDescent="0.2">
      <c r="AF38584" s="12"/>
    </row>
    <row r="38585" spans="32:32" x14ac:dyDescent="0.2">
      <c r="AF38585" s="12"/>
    </row>
    <row r="38586" spans="32:32" x14ac:dyDescent="0.2">
      <c r="AF38586" s="12"/>
    </row>
    <row r="38587" spans="32:32" x14ac:dyDescent="0.2">
      <c r="AF38587" s="12"/>
    </row>
    <row r="38588" spans="32:32" x14ac:dyDescent="0.2">
      <c r="AF38588" s="12"/>
    </row>
    <row r="38589" spans="32:32" x14ac:dyDescent="0.2">
      <c r="AF38589" s="12"/>
    </row>
    <row r="38590" spans="32:32" x14ac:dyDescent="0.2">
      <c r="AF38590" s="12"/>
    </row>
    <row r="38591" spans="32:32" x14ac:dyDescent="0.2">
      <c r="AF38591" s="12"/>
    </row>
    <row r="38592" spans="32:32" x14ac:dyDescent="0.2">
      <c r="AF38592" s="12"/>
    </row>
    <row r="38593" spans="32:32" x14ac:dyDescent="0.2">
      <c r="AF38593" s="12"/>
    </row>
    <row r="38594" spans="32:32" x14ac:dyDescent="0.2">
      <c r="AF38594" s="12"/>
    </row>
    <row r="38595" spans="32:32" x14ac:dyDescent="0.2">
      <c r="AF38595" s="12"/>
    </row>
    <row r="38596" spans="32:32" x14ac:dyDescent="0.2">
      <c r="AF38596" s="12"/>
    </row>
    <row r="38597" spans="32:32" x14ac:dyDescent="0.2">
      <c r="AF38597" s="12"/>
    </row>
    <row r="38598" spans="32:32" x14ac:dyDescent="0.2">
      <c r="AF38598" s="12"/>
    </row>
    <row r="38599" spans="32:32" x14ac:dyDescent="0.2">
      <c r="AF38599" s="12"/>
    </row>
    <row r="38600" spans="32:32" x14ac:dyDescent="0.2">
      <c r="AF38600" s="12"/>
    </row>
    <row r="38601" spans="32:32" x14ac:dyDescent="0.2">
      <c r="AF38601" s="12"/>
    </row>
    <row r="38602" spans="32:32" x14ac:dyDescent="0.2">
      <c r="AF38602" s="12"/>
    </row>
    <row r="38603" spans="32:32" x14ac:dyDescent="0.2">
      <c r="AF38603" s="12"/>
    </row>
    <row r="38604" spans="32:32" x14ac:dyDescent="0.2">
      <c r="AF38604" s="12"/>
    </row>
    <row r="38605" spans="32:32" x14ac:dyDescent="0.2">
      <c r="AF38605" s="12"/>
    </row>
    <row r="38606" spans="32:32" x14ac:dyDescent="0.2">
      <c r="AF38606" s="12"/>
    </row>
    <row r="38607" spans="32:32" x14ac:dyDescent="0.2">
      <c r="AF38607" s="12"/>
    </row>
    <row r="38608" spans="32:32" x14ac:dyDescent="0.2">
      <c r="AF38608" s="12"/>
    </row>
    <row r="38609" spans="32:32" x14ac:dyDescent="0.2">
      <c r="AF38609" s="12"/>
    </row>
    <row r="38610" spans="32:32" x14ac:dyDescent="0.2">
      <c r="AF38610" s="12"/>
    </row>
    <row r="38611" spans="32:32" x14ac:dyDescent="0.2">
      <c r="AF38611" s="12"/>
    </row>
    <row r="38612" spans="32:32" x14ac:dyDescent="0.2">
      <c r="AF38612" s="12"/>
    </row>
    <row r="38613" spans="32:32" x14ac:dyDescent="0.2">
      <c r="AF38613" s="12"/>
    </row>
    <row r="38614" spans="32:32" x14ac:dyDescent="0.2">
      <c r="AF38614" s="12"/>
    </row>
    <row r="38615" spans="32:32" x14ac:dyDescent="0.2">
      <c r="AF38615" s="12"/>
    </row>
    <row r="38616" spans="32:32" x14ac:dyDescent="0.2">
      <c r="AF38616" s="12"/>
    </row>
    <row r="38617" spans="32:32" x14ac:dyDescent="0.2">
      <c r="AF38617" s="12"/>
    </row>
    <row r="38618" spans="32:32" x14ac:dyDescent="0.2">
      <c r="AF38618" s="12"/>
    </row>
    <row r="38619" spans="32:32" x14ac:dyDescent="0.2">
      <c r="AF38619" s="12"/>
    </row>
    <row r="38620" spans="32:32" x14ac:dyDescent="0.2">
      <c r="AF38620" s="12"/>
    </row>
    <row r="38621" spans="32:32" x14ac:dyDescent="0.2">
      <c r="AF38621" s="12"/>
    </row>
    <row r="38622" spans="32:32" x14ac:dyDescent="0.2">
      <c r="AF38622" s="12"/>
    </row>
    <row r="38623" spans="32:32" x14ac:dyDescent="0.2">
      <c r="AF38623" s="12"/>
    </row>
    <row r="38624" spans="32:32" x14ac:dyDescent="0.2">
      <c r="AF38624" s="12"/>
    </row>
    <row r="38625" spans="32:32" x14ac:dyDescent="0.2">
      <c r="AF38625" s="12"/>
    </row>
    <row r="38626" spans="32:32" x14ac:dyDescent="0.2">
      <c r="AF38626" s="12"/>
    </row>
    <row r="38627" spans="32:32" x14ac:dyDescent="0.2">
      <c r="AF38627" s="12"/>
    </row>
    <row r="38628" spans="32:32" x14ac:dyDescent="0.2">
      <c r="AF38628" s="12"/>
    </row>
    <row r="38629" spans="32:32" x14ac:dyDescent="0.2">
      <c r="AF38629" s="12"/>
    </row>
    <row r="38630" spans="32:32" x14ac:dyDescent="0.2">
      <c r="AF38630" s="12"/>
    </row>
    <row r="38631" spans="32:32" x14ac:dyDescent="0.2">
      <c r="AF38631" s="12"/>
    </row>
    <row r="38632" spans="32:32" x14ac:dyDescent="0.2">
      <c r="AF38632" s="12"/>
    </row>
    <row r="38633" spans="32:32" x14ac:dyDescent="0.2">
      <c r="AF38633" s="12"/>
    </row>
    <row r="38634" spans="32:32" x14ac:dyDescent="0.2">
      <c r="AF38634" s="12"/>
    </row>
    <row r="38635" spans="32:32" x14ac:dyDescent="0.2">
      <c r="AF38635" s="12"/>
    </row>
    <row r="38636" spans="32:32" x14ac:dyDescent="0.2">
      <c r="AF38636" s="12"/>
    </row>
    <row r="38637" spans="32:32" x14ac:dyDescent="0.2">
      <c r="AF38637" s="12"/>
    </row>
    <row r="38638" spans="32:32" x14ac:dyDescent="0.2">
      <c r="AF38638" s="12"/>
    </row>
    <row r="38639" spans="32:32" x14ac:dyDescent="0.2">
      <c r="AF38639" s="12"/>
    </row>
    <row r="38640" spans="32:32" x14ac:dyDescent="0.2">
      <c r="AF38640" s="12"/>
    </row>
    <row r="38641" spans="32:32" x14ac:dyDescent="0.2">
      <c r="AF38641" s="12"/>
    </row>
    <row r="38642" spans="32:32" x14ac:dyDescent="0.2">
      <c r="AF38642" s="12"/>
    </row>
    <row r="38643" spans="32:32" x14ac:dyDescent="0.2">
      <c r="AF38643" s="12"/>
    </row>
    <row r="38644" spans="32:32" x14ac:dyDescent="0.2">
      <c r="AF38644" s="12"/>
    </row>
    <row r="38645" spans="32:32" x14ac:dyDescent="0.2">
      <c r="AF38645" s="12"/>
    </row>
    <row r="38646" spans="32:32" x14ac:dyDescent="0.2">
      <c r="AF38646" s="12"/>
    </row>
    <row r="38647" spans="32:32" x14ac:dyDescent="0.2">
      <c r="AF38647" s="12"/>
    </row>
    <row r="38648" spans="32:32" x14ac:dyDescent="0.2">
      <c r="AF38648" s="12"/>
    </row>
    <row r="38649" spans="32:32" x14ac:dyDescent="0.2">
      <c r="AF38649" s="12"/>
    </row>
    <row r="38650" spans="32:32" x14ac:dyDescent="0.2">
      <c r="AF38650" s="12"/>
    </row>
    <row r="38651" spans="32:32" x14ac:dyDescent="0.2">
      <c r="AF38651" s="12"/>
    </row>
    <row r="38652" spans="32:32" x14ac:dyDescent="0.2">
      <c r="AF38652" s="12"/>
    </row>
    <row r="38653" spans="32:32" x14ac:dyDescent="0.2">
      <c r="AF38653" s="12"/>
    </row>
    <row r="38654" spans="32:32" x14ac:dyDescent="0.2">
      <c r="AF38654" s="12"/>
    </row>
    <row r="38655" spans="32:32" x14ac:dyDescent="0.2">
      <c r="AF38655" s="12"/>
    </row>
    <row r="38656" spans="32:32" x14ac:dyDescent="0.2">
      <c r="AF38656" s="12"/>
    </row>
    <row r="38657" spans="32:32" x14ac:dyDescent="0.2">
      <c r="AF38657" s="12"/>
    </row>
    <row r="38658" spans="32:32" x14ac:dyDescent="0.2">
      <c r="AF38658" s="12"/>
    </row>
    <row r="38659" spans="32:32" x14ac:dyDescent="0.2">
      <c r="AF38659" s="12"/>
    </row>
    <row r="38660" spans="32:32" x14ac:dyDescent="0.2">
      <c r="AF38660" s="12"/>
    </row>
    <row r="38661" spans="32:32" x14ac:dyDescent="0.2">
      <c r="AF38661" s="12"/>
    </row>
    <row r="38662" spans="32:32" x14ac:dyDescent="0.2">
      <c r="AF38662" s="12"/>
    </row>
    <row r="38663" spans="32:32" x14ac:dyDescent="0.2">
      <c r="AF38663" s="12"/>
    </row>
    <row r="38664" spans="32:32" x14ac:dyDescent="0.2">
      <c r="AF38664" s="12"/>
    </row>
    <row r="38665" spans="32:32" x14ac:dyDescent="0.2">
      <c r="AF38665" s="12"/>
    </row>
    <row r="38666" spans="32:32" x14ac:dyDescent="0.2">
      <c r="AF38666" s="12"/>
    </row>
    <row r="38667" spans="32:32" x14ac:dyDescent="0.2">
      <c r="AF38667" s="12"/>
    </row>
    <row r="38668" spans="32:32" x14ac:dyDescent="0.2">
      <c r="AF38668" s="12"/>
    </row>
    <row r="38669" spans="32:32" x14ac:dyDescent="0.2">
      <c r="AF38669" s="12"/>
    </row>
    <row r="38670" spans="32:32" x14ac:dyDescent="0.2">
      <c r="AF38670" s="12"/>
    </row>
    <row r="38671" spans="32:32" x14ac:dyDescent="0.2">
      <c r="AF38671" s="12"/>
    </row>
    <row r="38672" spans="32:32" x14ac:dyDescent="0.2">
      <c r="AF38672" s="12"/>
    </row>
    <row r="38673" spans="32:32" x14ac:dyDescent="0.2">
      <c r="AF38673" s="12"/>
    </row>
    <row r="38674" spans="32:32" x14ac:dyDescent="0.2">
      <c r="AF38674" s="12"/>
    </row>
    <row r="38675" spans="32:32" x14ac:dyDescent="0.2">
      <c r="AF38675" s="12"/>
    </row>
    <row r="38676" spans="32:32" x14ac:dyDescent="0.2">
      <c r="AF38676" s="12"/>
    </row>
    <row r="38677" spans="32:32" x14ac:dyDescent="0.2">
      <c r="AF38677" s="12"/>
    </row>
    <row r="38678" spans="32:32" x14ac:dyDescent="0.2">
      <c r="AF38678" s="12"/>
    </row>
    <row r="38679" spans="32:32" x14ac:dyDescent="0.2">
      <c r="AF38679" s="12"/>
    </row>
    <row r="38680" spans="32:32" x14ac:dyDescent="0.2">
      <c r="AF38680" s="12"/>
    </row>
    <row r="38681" spans="32:32" x14ac:dyDescent="0.2">
      <c r="AF38681" s="12"/>
    </row>
    <row r="38682" spans="32:32" x14ac:dyDescent="0.2">
      <c r="AF38682" s="12"/>
    </row>
    <row r="38683" spans="32:32" x14ac:dyDescent="0.2">
      <c r="AF38683" s="12"/>
    </row>
    <row r="38684" spans="32:32" x14ac:dyDescent="0.2">
      <c r="AF38684" s="12"/>
    </row>
    <row r="38685" spans="32:32" x14ac:dyDescent="0.2">
      <c r="AF38685" s="12"/>
    </row>
    <row r="38686" spans="32:32" x14ac:dyDescent="0.2">
      <c r="AF38686" s="12"/>
    </row>
    <row r="38687" spans="32:32" x14ac:dyDescent="0.2">
      <c r="AF38687" s="12"/>
    </row>
    <row r="38688" spans="32:32" x14ac:dyDescent="0.2">
      <c r="AF38688" s="12"/>
    </row>
    <row r="38689" spans="32:32" x14ac:dyDescent="0.2">
      <c r="AF38689" s="12"/>
    </row>
    <row r="38690" spans="32:32" x14ac:dyDescent="0.2">
      <c r="AF38690" s="12"/>
    </row>
    <row r="38691" spans="32:32" x14ac:dyDescent="0.2">
      <c r="AF38691" s="12"/>
    </row>
    <row r="38692" spans="32:32" x14ac:dyDescent="0.2">
      <c r="AF38692" s="12"/>
    </row>
    <row r="38693" spans="32:32" x14ac:dyDescent="0.2">
      <c r="AF38693" s="12"/>
    </row>
    <row r="38694" spans="32:32" x14ac:dyDescent="0.2">
      <c r="AF38694" s="12"/>
    </row>
    <row r="38695" spans="32:32" x14ac:dyDescent="0.2">
      <c r="AF38695" s="12"/>
    </row>
    <row r="38696" spans="32:32" x14ac:dyDescent="0.2">
      <c r="AF38696" s="12"/>
    </row>
    <row r="38697" spans="32:32" x14ac:dyDescent="0.2">
      <c r="AF38697" s="12"/>
    </row>
    <row r="38698" spans="32:32" x14ac:dyDescent="0.2">
      <c r="AF38698" s="12"/>
    </row>
    <row r="38699" spans="32:32" x14ac:dyDescent="0.2">
      <c r="AF38699" s="12"/>
    </row>
    <row r="38700" spans="32:32" x14ac:dyDescent="0.2">
      <c r="AF38700" s="12"/>
    </row>
    <row r="38701" spans="32:32" x14ac:dyDescent="0.2">
      <c r="AF38701" s="12"/>
    </row>
    <row r="38702" spans="32:32" x14ac:dyDescent="0.2">
      <c r="AF38702" s="12"/>
    </row>
    <row r="38703" spans="32:32" x14ac:dyDescent="0.2">
      <c r="AF38703" s="12"/>
    </row>
    <row r="38704" spans="32:32" x14ac:dyDescent="0.2">
      <c r="AF38704" s="12"/>
    </row>
    <row r="38705" spans="32:32" x14ac:dyDescent="0.2">
      <c r="AF38705" s="12"/>
    </row>
    <row r="38706" spans="32:32" x14ac:dyDescent="0.2">
      <c r="AF38706" s="12"/>
    </row>
    <row r="38707" spans="32:32" x14ac:dyDescent="0.2">
      <c r="AF38707" s="12"/>
    </row>
    <row r="38708" spans="32:32" x14ac:dyDescent="0.2">
      <c r="AF38708" s="12"/>
    </row>
    <row r="38709" spans="32:32" x14ac:dyDescent="0.2">
      <c r="AF38709" s="12"/>
    </row>
    <row r="38710" spans="32:32" x14ac:dyDescent="0.2">
      <c r="AF38710" s="12"/>
    </row>
    <row r="38711" spans="32:32" x14ac:dyDescent="0.2">
      <c r="AF38711" s="12"/>
    </row>
    <row r="38712" spans="32:32" x14ac:dyDescent="0.2">
      <c r="AF38712" s="12"/>
    </row>
    <row r="38713" spans="32:32" x14ac:dyDescent="0.2">
      <c r="AF38713" s="12"/>
    </row>
    <row r="38714" spans="32:32" x14ac:dyDescent="0.2">
      <c r="AF38714" s="12"/>
    </row>
    <row r="38715" spans="32:32" x14ac:dyDescent="0.2">
      <c r="AF38715" s="12"/>
    </row>
    <row r="38716" spans="32:32" x14ac:dyDescent="0.2">
      <c r="AF38716" s="12"/>
    </row>
    <row r="38717" spans="32:32" x14ac:dyDescent="0.2">
      <c r="AF38717" s="12"/>
    </row>
    <row r="38718" spans="32:32" x14ac:dyDescent="0.2">
      <c r="AF38718" s="12"/>
    </row>
    <row r="38719" spans="32:32" x14ac:dyDescent="0.2">
      <c r="AF38719" s="12"/>
    </row>
    <row r="38720" spans="32:32" x14ac:dyDescent="0.2">
      <c r="AF38720" s="12"/>
    </row>
    <row r="38721" spans="32:32" x14ac:dyDescent="0.2">
      <c r="AF38721" s="12"/>
    </row>
    <row r="38722" spans="32:32" x14ac:dyDescent="0.2">
      <c r="AF38722" s="12"/>
    </row>
    <row r="38723" spans="32:32" x14ac:dyDescent="0.2">
      <c r="AF38723" s="12"/>
    </row>
    <row r="38724" spans="32:32" x14ac:dyDescent="0.2">
      <c r="AF38724" s="12"/>
    </row>
    <row r="38725" spans="32:32" x14ac:dyDescent="0.2">
      <c r="AF38725" s="12"/>
    </row>
    <row r="38726" spans="32:32" x14ac:dyDescent="0.2">
      <c r="AF38726" s="12"/>
    </row>
    <row r="38727" spans="32:32" x14ac:dyDescent="0.2">
      <c r="AF38727" s="12"/>
    </row>
    <row r="38728" spans="32:32" x14ac:dyDescent="0.2">
      <c r="AF38728" s="12"/>
    </row>
    <row r="38729" spans="32:32" x14ac:dyDescent="0.2">
      <c r="AF38729" s="12"/>
    </row>
    <row r="38730" spans="32:32" x14ac:dyDescent="0.2">
      <c r="AF38730" s="12"/>
    </row>
    <row r="38731" spans="32:32" x14ac:dyDescent="0.2">
      <c r="AF38731" s="12"/>
    </row>
    <row r="38732" spans="32:32" x14ac:dyDescent="0.2">
      <c r="AF38732" s="12"/>
    </row>
    <row r="38733" spans="32:32" x14ac:dyDescent="0.2">
      <c r="AF38733" s="12"/>
    </row>
    <row r="38734" spans="32:32" x14ac:dyDescent="0.2">
      <c r="AF38734" s="12"/>
    </row>
    <row r="38735" spans="32:32" x14ac:dyDescent="0.2">
      <c r="AF38735" s="12"/>
    </row>
    <row r="38736" spans="32:32" x14ac:dyDescent="0.2">
      <c r="AF38736" s="12"/>
    </row>
    <row r="38737" spans="32:32" x14ac:dyDescent="0.2">
      <c r="AF38737" s="12"/>
    </row>
    <row r="38738" spans="32:32" x14ac:dyDescent="0.2">
      <c r="AF38738" s="12"/>
    </row>
    <row r="38739" spans="32:32" x14ac:dyDescent="0.2">
      <c r="AF38739" s="12"/>
    </row>
    <row r="38740" spans="32:32" x14ac:dyDescent="0.2">
      <c r="AF38740" s="12"/>
    </row>
    <row r="38741" spans="32:32" x14ac:dyDescent="0.2">
      <c r="AF38741" s="12"/>
    </row>
    <row r="38742" spans="32:32" x14ac:dyDescent="0.2">
      <c r="AF38742" s="12"/>
    </row>
    <row r="38743" spans="32:32" x14ac:dyDescent="0.2">
      <c r="AF38743" s="12"/>
    </row>
    <row r="38744" spans="32:32" x14ac:dyDescent="0.2">
      <c r="AF38744" s="12"/>
    </row>
    <row r="38745" spans="32:32" x14ac:dyDescent="0.2">
      <c r="AF38745" s="12"/>
    </row>
    <row r="38746" spans="32:32" x14ac:dyDescent="0.2">
      <c r="AF38746" s="12"/>
    </row>
    <row r="38747" spans="32:32" x14ac:dyDescent="0.2">
      <c r="AF38747" s="12"/>
    </row>
    <row r="38748" spans="32:32" x14ac:dyDescent="0.2">
      <c r="AF38748" s="12"/>
    </row>
    <row r="38749" spans="32:32" x14ac:dyDescent="0.2">
      <c r="AF38749" s="12"/>
    </row>
    <row r="38750" spans="32:32" x14ac:dyDescent="0.2">
      <c r="AF38750" s="12"/>
    </row>
    <row r="38751" spans="32:32" x14ac:dyDescent="0.2">
      <c r="AF38751" s="12"/>
    </row>
    <row r="38752" spans="32:32" x14ac:dyDescent="0.2">
      <c r="AF38752" s="12"/>
    </row>
    <row r="38753" spans="32:32" x14ac:dyDescent="0.2">
      <c r="AF38753" s="12"/>
    </row>
    <row r="38754" spans="32:32" x14ac:dyDescent="0.2">
      <c r="AF38754" s="12"/>
    </row>
    <row r="38755" spans="32:32" x14ac:dyDescent="0.2">
      <c r="AF38755" s="12"/>
    </row>
    <row r="38756" spans="32:32" x14ac:dyDescent="0.2">
      <c r="AF38756" s="12"/>
    </row>
    <row r="38757" spans="32:32" x14ac:dyDescent="0.2">
      <c r="AF38757" s="12"/>
    </row>
    <row r="38758" spans="32:32" x14ac:dyDescent="0.2">
      <c r="AF38758" s="12"/>
    </row>
    <row r="38759" spans="32:32" x14ac:dyDescent="0.2">
      <c r="AF38759" s="12"/>
    </row>
    <row r="38760" spans="32:32" x14ac:dyDescent="0.2">
      <c r="AF38760" s="12"/>
    </row>
    <row r="38761" spans="32:32" x14ac:dyDescent="0.2">
      <c r="AF38761" s="12"/>
    </row>
    <row r="38762" spans="32:32" x14ac:dyDescent="0.2">
      <c r="AF38762" s="12"/>
    </row>
    <row r="38763" spans="32:32" x14ac:dyDescent="0.2">
      <c r="AF38763" s="12"/>
    </row>
    <row r="38764" spans="32:32" x14ac:dyDescent="0.2">
      <c r="AF38764" s="12"/>
    </row>
    <row r="38765" spans="32:32" x14ac:dyDescent="0.2">
      <c r="AF38765" s="12"/>
    </row>
    <row r="38766" spans="32:32" x14ac:dyDescent="0.2">
      <c r="AF38766" s="12"/>
    </row>
    <row r="38767" spans="32:32" x14ac:dyDescent="0.2">
      <c r="AF38767" s="12"/>
    </row>
    <row r="38768" spans="32:32" x14ac:dyDescent="0.2">
      <c r="AF38768" s="12"/>
    </row>
    <row r="38769" spans="32:32" x14ac:dyDescent="0.2">
      <c r="AF38769" s="12"/>
    </row>
    <row r="38770" spans="32:32" x14ac:dyDescent="0.2">
      <c r="AF38770" s="12"/>
    </row>
    <row r="38771" spans="32:32" x14ac:dyDescent="0.2">
      <c r="AF38771" s="12"/>
    </row>
    <row r="38772" spans="32:32" x14ac:dyDescent="0.2">
      <c r="AF38772" s="12"/>
    </row>
    <row r="38773" spans="32:32" x14ac:dyDescent="0.2">
      <c r="AF38773" s="12"/>
    </row>
    <row r="38774" spans="32:32" x14ac:dyDescent="0.2">
      <c r="AF38774" s="12"/>
    </row>
    <row r="38775" spans="32:32" x14ac:dyDescent="0.2">
      <c r="AF38775" s="12"/>
    </row>
    <row r="38776" spans="32:32" x14ac:dyDescent="0.2">
      <c r="AF38776" s="12"/>
    </row>
    <row r="38777" spans="32:32" x14ac:dyDescent="0.2">
      <c r="AF38777" s="12"/>
    </row>
    <row r="38778" spans="32:32" x14ac:dyDescent="0.2">
      <c r="AF38778" s="12"/>
    </row>
    <row r="38779" spans="32:32" x14ac:dyDescent="0.2">
      <c r="AF38779" s="12"/>
    </row>
    <row r="38780" spans="32:32" x14ac:dyDescent="0.2">
      <c r="AF38780" s="12"/>
    </row>
    <row r="38781" spans="32:32" x14ac:dyDescent="0.2">
      <c r="AF38781" s="12"/>
    </row>
    <row r="38782" spans="32:32" x14ac:dyDescent="0.2">
      <c r="AF38782" s="12"/>
    </row>
    <row r="38783" spans="32:32" x14ac:dyDescent="0.2">
      <c r="AF38783" s="12"/>
    </row>
    <row r="38784" spans="32:32" x14ac:dyDescent="0.2">
      <c r="AF38784" s="12"/>
    </row>
    <row r="38785" spans="32:32" x14ac:dyDescent="0.2">
      <c r="AF38785" s="12"/>
    </row>
    <row r="38786" spans="32:32" x14ac:dyDescent="0.2">
      <c r="AF38786" s="12"/>
    </row>
    <row r="38787" spans="32:32" x14ac:dyDescent="0.2">
      <c r="AF38787" s="12"/>
    </row>
    <row r="38788" spans="32:32" x14ac:dyDescent="0.2">
      <c r="AF38788" s="12"/>
    </row>
    <row r="38789" spans="32:32" x14ac:dyDescent="0.2">
      <c r="AF38789" s="12"/>
    </row>
    <row r="38790" spans="32:32" x14ac:dyDescent="0.2">
      <c r="AF38790" s="12"/>
    </row>
    <row r="38791" spans="32:32" x14ac:dyDescent="0.2">
      <c r="AF38791" s="12"/>
    </row>
    <row r="38792" spans="32:32" x14ac:dyDescent="0.2">
      <c r="AF38792" s="12"/>
    </row>
    <row r="38793" spans="32:32" x14ac:dyDescent="0.2">
      <c r="AF38793" s="12"/>
    </row>
    <row r="38794" spans="32:32" x14ac:dyDescent="0.2">
      <c r="AF38794" s="12"/>
    </row>
    <row r="38795" spans="32:32" x14ac:dyDescent="0.2">
      <c r="AF38795" s="12"/>
    </row>
    <row r="38796" spans="32:32" x14ac:dyDescent="0.2">
      <c r="AF38796" s="12"/>
    </row>
    <row r="38797" spans="32:32" x14ac:dyDescent="0.2">
      <c r="AF38797" s="12"/>
    </row>
    <row r="38798" spans="32:32" x14ac:dyDescent="0.2">
      <c r="AF38798" s="12"/>
    </row>
    <row r="38799" spans="32:32" x14ac:dyDescent="0.2">
      <c r="AF38799" s="12"/>
    </row>
    <row r="38800" spans="32:32" x14ac:dyDescent="0.2">
      <c r="AF38800" s="12"/>
    </row>
    <row r="38801" spans="32:32" x14ac:dyDescent="0.2">
      <c r="AF38801" s="12"/>
    </row>
    <row r="38802" spans="32:32" x14ac:dyDescent="0.2">
      <c r="AF38802" s="12"/>
    </row>
    <row r="38803" spans="32:32" x14ac:dyDescent="0.2">
      <c r="AF38803" s="12"/>
    </row>
    <row r="38804" spans="32:32" x14ac:dyDescent="0.2">
      <c r="AF38804" s="12"/>
    </row>
    <row r="38805" spans="32:32" x14ac:dyDescent="0.2">
      <c r="AF38805" s="12"/>
    </row>
    <row r="38806" spans="32:32" x14ac:dyDescent="0.2">
      <c r="AF38806" s="12"/>
    </row>
    <row r="38807" spans="32:32" x14ac:dyDescent="0.2">
      <c r="AF38807" s="12"/>
    </row>
    <row r="38808" spans="32:32" x14ac:dyDescent="0.2">
      <c r="AF38808" s="12"/>
    </row>
    <row r="38809" spans="32:32" x14ac:dyDescent="0.2">
      <c r="AF38809" s="12"/>
    </row>
    <row r="38810" spans="32:32" x14ac:dyDescent="0.2">
      <c r="AF38810" s="12"/>
    </row>
    <row r="38811" spans="32:32" x14ac:dyDescent="0.2">
      <c r="AF38811" s="12"/>
    </row>
    <row r="38812" spans="32:32" x14ac:dyDescent="0.2">
      <c r="AF38812" s="12"/>
    </row>
    <row r="38813" spans="32:32" x14ac:dyDescent="0.2">
      <c r="AF38813" s="12"/>
    </row>
    <row r="38814" spans="32:32" x14ac:dyDescent="0.2">
      <c r="AF38814" s="12"/>
    </row>
    <row r="38815" spans="32:32" x14ac:dyDescent="0.2">
      <c r="AF38815" s="12"/>
    </row>
    <row r="38816" spans="32:32" x14ac:dyDescent="0.2">
      <c r="AF38816" s="12"/>
    </row>
    <row r="38817" spans="32:32" x14ac:dyDescent="0.2">
      <c r="AF38817" s="12"/>
    </row>
    <row r="38818" spans="32:32" x14ac:dyDescent="0.2">
      <c r="AF38818" s="12"/>
    </row>
    <row r="38819" spans="32:32" x14ac:dyDescent="0.2">
      <c r="AF38819" s="12"/>
    </row>
    <row r="38820" spans="32:32" x14ac:dyDescent="0.2">
      <c r="AF38820" s="12"/>
    </row>
    <row r="38821" spans="32:32" x14ac:dyDescent="0.2">
      <c r="AF38821" s="12"/>
    </row>
    <row r="38822" spans="32:32" x14ac:dyDescent="0.2">
      <c r="AF38822" s="12"/>
    </row>
    <row r="38823" spans="32:32" x14ac:dyDescent="0.2">
      <c r="AF38823" s="12"/>
    </row>
    <row r="38824" spans="32:32" x14ac:dyDescent="0.2">
      <c r="AF38824" s="12"/>
    </row>
    <row r="38825" spans="32:32" x14ac:dyDescent="0.2">
      <c r="AF38825" s="12"/>
    </row>
    <row r="38826" spans="32:32" x14ac:dyDescent="0.2">
      <c r="AF38826" s="12"/>
    </row>
    <row r="38827" spans="32:32" x14ac:dyDescent="0.2">
      <c r="AF38827" s="12"/>
    </row>
    <row r="38828" spans="32:32" x14ac:dyDescent="0.2">
      <c r="AF38828" s="12"/>
    </row>
    <row r="38829" spans="32:32" x14ac:dyDescent="0.2">
      <c r="AF38829" s="12"/>
    </row>
    <row r="38830" spans="32:32" x14ac:dyDescent="0.2">
      <c r="AF38830" s="12"/>
    </row>
    <row r="38831" spans="32:32" x14ac:dyDescent="0.2">
      <c r="AF38831" s="12"/>
    </row>
    <row r="38832" spans="32:32" x14ac:dyDescent="0.2">
      <c r="AF38832" s="12"/>
    </row>
    <row r="38833" spans="32:32" x14ac:dyDescent="0.2">
      <c r="AF38833" s="12"/>
    </row>
    <row r="38834" spans="32:32" x14ac:dyDescent="0.2">
      <c r="AF38834" s="12"/>
    </row>
    <row r="38835" spans="32:32" x14ac:dyDescent="0.2">
      <c r="AF38835" s="12"/>
    </row>
    <row r="38836" spans="32:32" x14ac:dyDescent="0.2">
      <c r="AF38836" s="12"/>
    </row>
    <row r="38837" spans="32:32" x14ac:dyDescent="0.2">
      <c r="AF38837" s="12"/>
    </row>
    <row r="38838" spans="32:32" x14ac:dyDescent="0.2">
      <c r="AF38838" s="12"/>
    </row>
    <row r="38839" spans="32:32" x14ac:dyDescent="0.2">
      <c r="AF38839" s="12"/>
    </row>
    <row r="38840" spans="32:32" x14ac:dyDescent="0.2">
      <c r="AF38840" s="12"/>
    </row>
    <row r="38841" spans="32:32" x14ac:dyDescent="0.2">
      <c r="AF38841" s="12"/>
    </row>
    <row r="38842" spans="32:32" x14ac:dyDescent="0.2">
      <c r="AF38842" s="12"/>
    </row>
    <row r="38843" spans="32:32" x14ac:dyDescent="0.2">
      <c r="AF38843" s="12"/>
    </row>
    <row r="38844" spans="32:32" x14ac:dyDescent="0.2">
      <c r="AF38844" s="12"/>
    </row>
    <row r="38845" spans="32:32" x14ac:dyDescent="0.2">
      <c r="AF38845" s="12"/>
    </row>
    <row r="38846" spans="32:32" x14ac:dyDescent="0.2">
      <c r="AF38846" s="12"/>
    </row>
    <row r="38847" spans="32:32" x14ac:dyDescent="0.2">
      <c r="AF38847" s="12"/>
    </row>
    <row r="38848" spans="32:32" x14ac:dyDescent="0.2">
      <c r="AF38848" s="12"/>
    </row>
    <row r="38849" spans="32:32" x14ac:dyDescent="0.2">
      <c r="AF38849" s="12"/>
    </row>
    <row r="38850" spans="32:32" x14ac:dyDescent="0.2">
      <c r="AF38850" s="12"/>
    </row>
    <row r="38851" spans="32:32" x14ac:dyDescent="0.2">
      <c r="AF38851" s="12"/>
    </row>
    <row r="38852" spans="32:32" x14ac:dyDescent="0.2">
      <c r="AF38852" s="12"/>
    </row>
    <row r="38853" spans="32:32" x14ac:dyDescent="0.2">
      <c r="AF38853" s="12"/>
    </row>
    <row r="38854" spans="32:32" x14ac:dyDescent="0.2">
      <c r="AF38854" s="12"/>
    </row>
    <row r="38855" spans="32:32" x14ac:dyDescent="0.2">
      <c r="AF38855" s="12"/>
    </row>
    <row r="38856" spans="32:32" x14ac:dyDescent="0.2">
      <c r="AF38856" s="12"/>
    </row>
    <row r="38857" spans="32:32" x14ac:dyDescent="0.2">
      <c r="AF38857" s="12"/>
    </row>
    <row r="38858" spans="32:32" x14ac:dyDescent="0.2">
      <c r="AF38858" s="12"/>
    </row>
    <row r="38859" spans="32:32" x14ac:dyDescent="0.2">
      <c r="AF38859" s="12"/>
    </row>
    <row r="38860" spans="32:32" x14ac:dyDescent="0.2">
      <c r="AF38860" s="12"/>
    </row>
    <row r="38861" spans="32:32" x14ac:dyDescent="0.2">
      <c r="AF38861" s="12"/>
    </row>
    <row r="38862" spans="32:32" x14ac:dyDescent="0.2">
      <c r="AF38862" s="12"/>
    </row>
    <row r="38863" spans="32:32" x14ac:dyDescent="0.2">
      <c r="AF38863" s="12"/>
    </row>
    <row r="38864" spans="32:32" x14ac:dyDescent="0.2">
      <c r="AF38864" s="12"/>
    </row>
    <row r="38865" spans="32:32" x14ac:dyDescent="0.2">
      <c r="AF38865" s="12"/>
    </row>
    <row r="38866" spans="32:32" x14ac:dyDescent="0.2">
      <c r="AF38866" s="12"/>
    </row>
    <row r="38867" spans="32:32" x14ac:dyDescent="0.2">
      <c r="AF38867" s="12"/>
    </row>
    <row r="38868" spans="32:32" x14ac:dyDescent="0.2">
      <c r="AF38868" s="12"/>
    </row>
    <row r="38869" spans="32:32" x14ac:dyDescent="0.2">
      <c r="AF38869" s="12"/>
    </row>
    <row r="38870" spans="32:32" x14ac:dyDescent="0.2">
      <c r="AF38870" s="12"/>
    </row>
    <row r="38871" spans="32:32" x14ac:dyDescent="0.2">
      <c r="AF38871" s="12"/>
    </row>
    <row r="38872" spans="32:32" x14ac:dyDescent="0.2">
      <c r="AF38872" s="12"/>
    </row>
    <row r="38873" spans="32:32" x14ac:dyDescent="0.2">
      <c r="AF38873" s="12"/>
    </row>
    <row r="38874" spans="32:32" x14ac:dyDescent="0.2">
      <c r="AF38874" s="12"/>
    </row>
    <row r="38875" spans="32:32" x14ac:dyDescent="0.2">
      <c r="AF38875" s="12"/>
    </row>
    <row r="38876" spans="32:32" x14ac:dyDescent="0.2">
      <c r="AF38876" s="12"/>
    </row>
    <row r="38877" spans="32:32" x14ac:dyDescent="0.2">
      <c r="AF38877" s="12"/>
    </row>
    <row r="38878" spans="32:32" x14ac:dyDescent="0.2">
      <c r="AF38878" s="12"/>
    </row>
    <row r="38879" spans="32:32" x14ac:dyDescent="0.2">
      <c r="AF38879" s="12"/>
    </row>
    <row r="38880" spans="32:32" x14ac:dyDescent="0.2">
      <c r="AF38880" s="12"/>
    </row>
    <row r="38881" spans="32:32" x14ac:dyDescent="0.2">
      <c r="AF38881" s="12"/>
    </row>
    <row r="38882" spans="32:32" x14ac:dyDescent="0.2">
      <c r="AF38882" s="12"/>
    </row>
    <row r="38883" spans="32:32" x14ac:dyDescent="0.2">
      <c r="AF38883" s="12"/>
    </row>
    <row r="38884" spans="32:32" x14ac:dyDescent="0.2">
      <c r="AF38884" s="12"/>
    </row>
    <row r="38885" spans="32:32" x14ac:dyDescent="0.2">
      <c r="AF38885" s="12"/>
    </row>
    <row r="38886" spans="32:32" x14ac:dyDescent="0.2">
      <c r="AF38886" s="12"/>
    </row>
    <row r="38887" spans="32:32" x14ac:dyDescent="0.2">
      <c r="AF38887" s="12"/>
    </row>
    <row r="38888" spans="32:32" x14ac:dyDescent="0.2">
      <c r="AF38888" s="12"/>
    </row>
    <row r="38889" spans="32:32" x14ac:dyDescent="0.2">
      <c r="AF38889" s="12"/>
    </row>
    <row r="38890" spans="32:32" x14ac:dyDescent="0.2">
      <c r="AF38890" s="12"/>
    </row>
    <row r="38891" spans="32:32" x14ac:dyDescent="0.2">
      <c r="AF38891" s="12"/>
    </row>
    <row r="38892" spans="32:32" x14ac:dyDescent="0.2">
      <c r="AF38892" s="12"/>
    </row>
    <row r="38893" spans="32:32" x14ac:dyDescent="0.2">
      <c r="AF38893" s="12"/>
    </row>
    <row r="38894" spans="32:32" x14ac:dyDescent="0.2">
      <c r="AF38894" s="12"/>
    </row>
    <row r="38895" spans="32:32" x14ac:dyDescent="0.2">
      <c r="AF38895" s="12"/>
    </row>
    <row r="38896" spans="32:32" x14ac:dyDescent="0.2">
      <c r="AF38896" s="12"/>
    </row>
    <row r="38897" spans="32:32" x14ac:dyDescent="0.2">
      <c r="AF38897" s="12"/>
    </row>
    <row r="38898" spans="32:32" x14ac:dyDescent="0.2">
      <c r="AF38898" s="12"/>
    </row>
    <row r="38899" spans="32:32" x14ac:dyDescent="0.2">
      <c r="AF38899" s="12"/>
    </row>
    <row r="38900" spans="32:32" x14ac:dyDescent="0.2">
      <c r="AF38900" s="12"/>
    </row>
    <row r="38901" spans="32:32" x14ac:dyDescent="0.2">
      <c r="AF38901" s="12"/>
    </row>
    <row r="38902" spans="32:32" x14ac:dyDescent="0.2">
      <c r="AF38902" s="12"/>
    </row>
    <row r="38903" spans="32:32" x14ac:dyDescent="0.2">
      <c r="AF38903" s="12"/>
    </row>
    <row r="38904" spans="32:32" x14ac:dyDescent="0.2">
      <c r="AF38904" s="12"/>
    </row>
    <row r="38905" spans="32:32" x14ac:dyDescent="0.2">
      <c r="AF38905" s="12"/>
    </row>
    <row r="38906" spans="32:32" x14ac:dyDescent="0.2">
      <c r="AF38906" s="12"/>
    </row>
    <row r="38907" spans="32:32" x14ac:dyDescent="0.2">
      <c r="AF38907" s="12"/>
    </row>
    <row r="38908" spans="32:32" x14ac:dyDescent="0.2">
      <c r="AF38908" s="12"/>
    </row>
    <row r="38909" spans="32:32" x14ac:dyDescent="0.2">
      <c r="AF38909" s="12"/>
    </row>
    <row r="38910" spans="32:32" x14ac:dyDescent="0.2">
      <c r="AF38910" s="12"/>
    </row>
    <row r="38911" spans="32:32" x14ac:dyDescent="0.2">
      <c r="AF38911" s="12"/>
    </row>
    <row r="38912" spans="32:32" x14ac:dyDescent="0.2">
      <c r="AF38912" s="12"/>
    </row>
    <row r="38913" spans="32:32" x14ac:dyDescent="0.2">
      <c r="AF38913" s="12"/>
    </row>
    <row r="38914" spans="32:32" x14ac:dyDescent="0.2">
      <c r="AF38914" s="12"/>
    </row>
    <row r="38915" spans="32:32" x14ac:dyDescent="0.2">
      <c r="AF38915" s="12"/>
    </row>
    <row r="38916" spans="32:32" x14ac:dyDescent="0.2">
      <c r="AF38916" s="12"/>
    </row>
    <row r="38917" spans="32:32" x14ac:dyDescent="0.2">
      <c r="AF38917" s="12"/>
    </row>
    <row r="38918" spans="32:32" x14ac:dyDescent="0.2">
      <c r="AF38918" s="12"/>
    </row>
    <row r="38919" spans="32:32" x14ac:dyDescent="0.2">
      <c r="AF38919" s="12"/>
    </row>
    <row r="38920" spans="32:32" x14ac:dyDescent="0.2">
      <c r="AF38920" s="12"/>
    </row>
    <row r="38921" spans="32:32" x14ac:dyDescent="0.2">
      <c r="AF38921" s="12"/>
    </row>
    <row r="38922" spans="32:32" x14ac:dyDescent="0.2">
      <c r="AF38922" s="12"/>
    </row>
    <row r="38923" spans="32:32" x14ac:dyDescent="0.2">
      <c r="AF38923" s="12"/>
    </row>
    <row r="38924" spans="32:32" x14ac:dyDescent="0.2">
      <c r="AF38924" s="12"/>
    </row>
    <row r="38925" spans="32:32" x14ac:dyDescent="0.2">
      <c r="AF38925" s="12"/>
    </row>
    <row r="38926" spans="32:32" x14ac:dyDescent="0.2">
      <c r="AF38926" s="12"/>
    </row>
    <row r="38927" spans="32:32" x14ac:dyDescent="0.2">
      <c r="AF38927" s="12"/>
    </row>
    <row r="38928" spans="32:32" x14ac:dyDescent="0.2">
      <c r="AF38928" s="12"/>
    </row>
    <row r="38929" spans="32:32" x14ac:dyDescent="0.2">
      <c r="AF38929" s="12"/>
    </row>
    <row r="38930" spans="32:32" x14ac:dyDescent="0.2">
      <c r="AF38930" s="12"/>
    </row>
    <row r="38931" spans="32:32" x14ac:dyDescent="0.2">
      <c r="AF38931" s="12"/>
    </row>
    <row r="38932" spans="32:32" x14ac:dyDescent="0.2">
      <c r="AF38932" s="12"/>
    </row>
    <row r="38933" spans="32:32" x14ac:dyDescent="0.2">
      <c r="AF38933" s="12"/>
    </row>
    <row r="38934" spans="32:32" x14ac:dyDescent="0.2">
      <c r="AF38934" s="12"/>
    </row>
    <row r="38935" spans="32:32" x14ac:dyDescent="0.2">
      <c r="AF38935" s="12"/>
    </row>
    <row r="38936" spans="32:32" x14ac:dyDescent="0.2">
      <c r="AF38936" s="12"/>
    </row>
    <row r="38937" spans="32:32" x14ac:dyDescent="0.2">
      <c r="AF38937" s="12"/>
    </row>
    <row r="38938" spans="32:32" x14ac:dyDescent="0.2">
      <c r="AF38938" s="12"/>
    </row>
    <row r="38939" spans="32:32" x14ac:dyDescent="0.2">
      <c r="AF38939" s="12"/>
    </row>
    <row r="38940" spans="32:32" x14ac:dyDescent="0.2">
      <c r="AF38940" s="12"/>
    </row>
    <row r="38941" spans="32:32" x14ac:dyDescent="0.2">
      <c r="AF38941" s="12"/>
    </row>
    <row r="38942" spans="32:32" x14ac:dyDescent="0.2">
      <c r="AF38942" s="12"/>
    </row>
    <row r="38943" spans="32:32" x14ac:dyDescent="0.2">
      <c r="AF38943" s="12"/>
    </row>
    <row r="38944" spans="32:32" x14ac:dyDescent="0.2">
      <c r="AF38944" s="12"/>
    </row>
    <row r="38945" spans="32:32" x14ac:dyDescent="0.2">
      <c r="AF38945" s="12"/>
    </row>
    <row r="38946" spans="32:32" x14ac:dyDescent="0.2">
      <c r="AF38946" s="12"/>
    </row>
    <row r="38947" spans="32:32" x14ac:dyDescent="0.2">
      <c r="AF38947" s="12"/>
    </row>
    <row r="38948" spans="32:32" x14ac:dyDescent="0.2">
      <c r="AF38948" s="12"/>
    </row>
    <row r="38949" spans="32:32" x14ac:dyDescent="0.2">
      <c r="AF38949" s="12"/>
    </row>
    <row r="38950" spans="32:32" x14ac:dyDescent="0.2">
      <c r="AF38950" s="12"/>
    </row>
    <row r="38951" spans="32:32" x14ac:dyDescent="0.2">
      <c r="AF38951" s="12"/>
    </row>
    <row r="38952" spans="32:32" x14ac:dyDescent="0.2">
      <c r="AF38952" s="12"/>
    </row>
    <row r="38953" spans="32:32" x14ac:dyDescent="0.2">
      <c r="AF38953" s="12"/>
    </row>
    <row r="38954" spans="32:32" x14ac:dyDescent="0.2">
      <c r="AF38954" s="12"/>
    </row>
    <row r="38955" spans="32:32" x14ac:dyDescent="0.2">
      <c r="AF38955" s="12"/>
    </row>
    <row r="38956" spans="32:32" x14ac:dyDescent="0.2">
      <c r="AF38956" s="12"/>
    </row>
    <row r="38957" spans="32:32" x14ac:dyDescent="0.2">
      <c r="AF38957" s="12"/>
    </row>
    <row r="38958" spans="32:32" x14ac:dyDescent="0.2">
      <c r="AF38958" s="12"/>
    </row>
    <row r="38959" spans="32:32" x14ac:dyDescent="0.2">
      <c r="AF38959" s="12"/>
    </row>
    <row r="38960" spans="32:32" x14ac:dyDescent="0.2">
      <c r="AF38960" s="12"/>
    </row>
    <row r="38961" spans="32:32" x14ac:dyDescent="0.2">
      <c r="AF38961" s="12"/>
    </row>
    <row r="38962" spans="32:32" x14ac:dyDescent="0.2">
      <c r="AF38962" s="12"/>
    </row>
    <row r="38963" spans="32:32" x14ac:dyDescent="0.2">
      <c r="AF38963" s="12"/>
    </row>
    <row r="38964" spans="32:32" x14ac:dyDescent="0.2">
      <c r="AF38964" s="12"/>
    </row>
    <row r="38965" spans="32:32" x14ac:dyDescent="0.2">
      <c r="AF38965" s="12"/>
    </row>
    <row r="38966" spans="32:32" x14ac:dyDescent="0.2">
      <c r="AF38966" s="12"/>
    </row>
    <row r="38967" spans="32:32" x14ac:dyDescent="0.2">
      <c r="AF38967" s="12"/>
    </row>
    <row r="38968" spans="32:32" x14ac:dyDescent="0.2">
      <c r="AF38968" s="12"/>
    </row>
    <row r="38969" spans="32:32" x14ac:dyDescent="0.2">
      <c r="AF38969" s="12"/>
    </row>
    <row r="38970" spans="32:32" x14ac:dyDescent="0.2">
      <c r="AF38970" s="12"/>
    </row>
    <row r="38971" spans="32:32" x14ac:dyDescent="0.2">
      <c r="AF38971" s="12"/>
    </row>
    <row r="38972" spans="32:32" x14ac:dyDescent="0.2">
      <c r="AF38972" s="12"/>
    </row>
    <row r="38973" spans="32:32" x14ac:dyDescent="0.2">
      <c r="AF38973" s="12"/>
    </row>
    <row r="38974" spans="32:32" x14ac:dyDescent="0.2">
      <c r="AF38974" s="12"/>
    </row>
    <row r="38975" spans="32:32" x14ac:dyDescent="0.2">
      <c r="AF38975" s="12"/>
    </row>
    <row r="38976" spans="32:32" x14ac:dyDescent="0.2">
      <c r="AF38976" s="12"/>
    </row>
    <row r="38977" spans="32:32" x14ac:dyDescent="0.2">
      <c r="AF38977" s="12"/>
    </row>
    <row r="38978" spans="32:32" x14ac:dyDescent="0.2">
      <c r="AF38978" s="12"/>
    </row>
    <row r="38979" spans="32:32" x14ac:dyDescent="0.2">
      <c r="AF38979" s="12"/>
    </row>
    <row r="38980" spans="32:32" x14ac:dyDescent="0.2">
      <c r="AF38980" s="12"/>
    </row>
    <row r="38981" spans="32:32" x14ac:dyDescent="0.2">
      <c r="AF38981" s="12"/>
    </row>
    <row r="38982" spans="32:32" x14ac:dyDescent="0.2">
      <c r="AF38982" s="12"/>
    </row>
    <row r="38983" spans="32:32" x14ac:dyDescent="0.2">
      <c r="AF38983" s="12"/>
    </row>
    <row r="38984" spans="32:32" x14ac:dyDescent="0.2">
      <c r="AF38984" s="12"/>
    </row>
    <row r="38985" spans="32:32" x14ac:dyDescent="0.2">
      <c r="AF38985" s="12"/>
    </row>
    <row r="38986" spans="32:32" x14ac:dyDescent="0.2">
      <c r="AF38986" s="12"/>
    </row>
    <row r="38987" spans="32:32" x14ac:dyDescent="0.2">
      <c r="AF38987" s="12"/>
    </row>
    <row r="38988" spans="32:32" x14ac:dyDescent="0.2">
      <c r="AF38988" s="12"/>
    </row>
    <row r="38989" spans="32:32" x14ac:dyDescent="0.2">
      <c r="AF38989" s="12"/>
    </row>
    <row r="38990" spans="32:32" x14ac:dyDescent="0.2">
      <c r="AF38990" s="12"/>
    </row>
    <row r="38991" spans="32:32" x14ac:dyDescent="0.2">
      <c r="AF38991" s="12"/>
    </row>
    <row r="38992" spans="32:32" x14ac:dyDescent="0.2">
      <c r="AF38992" s="12"/>
    </row>
    <row r="38993" spans="32:32" x14ac:dyDescent="0.2">
      <c r="AF38993" s="12"/>
    </row>
    <row r="38994" spans="32:32" x14ac:dyDescent="0.2">
      <c r="AF38994" s="12"/>
    </row>
    <row r="38995" spans="32:32" x14ac:dyDescent="0.2">
      <c r="AF38995" s="12"/>
    </row>
    <row r="38996" spans="32:32" x14ac:dyDescent="0.2">
      <c r="AF38996" s="12"/>
    </row>
    <row r="38997" spans="32:32" x14ac:dyDescent="0.2">
      <c r="AF38997" s="12"/>
    </row>
    <row r="38998" spans="32:32" x14ac:dyDescent="0.2">
      <c r="AF38998" s="12"/>
    </row>
    <row r="38999" spans="32:32" x14ac:dyDescent="0.2">
      <c r="AF38999" s="12"/>
    </row>
    <row r="39000" spans="32:32" x14ac:dyDescent="0.2">
      <c r="AF39000" s="12"/>
    </row>
    <row r="39001" spans="32:32" x14ac:dyDescent="0.2">
      <c r="AF39001" s="12"/>
    </row>
    <row r="39002" spans="32:32" x14ac:dyDescent="0.2">
      <c r="AF39002" s="12"/>
    </row>
    <row r="39003" spans="32:32" x14ac:dyDescent="0.2">
      <c r="AF39003" s="12"/>
    </row>
    <row r="39004" spans="32:32" x14ac:dyDescent="0.2">
      <c r="AF39004" s="12"/>
    </row>
    <row r="39005" spans="32:32" x14ac:dyDescent="0.2">
      <c r="AF39005" s="12"/>
    </row>
    <row r="39006" spans="32:32" x14ac:dyDescent="0.2">
      <c r="AF39006" s="12"/>
    </row>
    <row r="39007" spans="32:32" x14ac:dyDescent="0.2">
      <c r="AF39007" s="12"/>
    </row>
    <row r="39008" spans="32:32" x14ac:dyDescent="0.2">
      <c r="AF39008" s="12"/>
    </row>
    <row r="39009" spans="32:32" x14ac:dyDescent="0.2">
      <c r="AF39009" s="12"/>
    </row>
    <row r="39010" spans="32:32" x14ac:dyDescent="0.2">
      <c r="AF39010" s="12"/>
    </row>
    <row r="39011" spans="32:32" x14ac:dyDescent="0.2">
      <c r="AF39011" s="12"/>
    </row>
    <row r="39012" spans="32:32" x14ac:dyDescent="0.2">
      <c r="AF39012" s="12"/>
    </row>
    <row r="39013" spans="32:32" x14ac:dyDescent="0.2">
      <c r="AF39013" s="12"/>
    </row>
    <row r="39014" spans="32:32" x14ac:dyDescent="0.2">
      <c r="AF39014" s="12"/>
    </row>
    <row r="39015" spans="32:32" x14ac:dyDescent="0.2">
      <c r="AF39015" s="12"/>
    </row>
    <row r="39016" spans="32:32" x14ac:dyDescent="0.2">
      <c r="AF39016" s="12"/>
    </row>
    <row r="39017" spans="32:32" x14ac:dyDescent="0.2">
      <c r="AF39017" s="12"/>
    </row>
    <row r="39018" spans="32:32" x14ac:dyDescent="0.2">
      <c r="AF39018" s="12"/>
    </row>
    <row r="39019" spans="32:32" x14ac:dyDescent="0.2">
      <c r="AF39019" s="12"/>
    </row>
    <row r="39020" spans="32:32" x14ac:dyDescent="0.2">
      <c r="AF39020" s="12"/>
    </row>
    <row r="39021" spans="32:32" x14ac:dyDescent="0.2">
      <c r="AF39021" s="12"/>
    </row>
    <row r="39022" spans="32:32" x14ac:dyDescent="0.2">
      <c r="AF39022" s="12"/>
    </row>
    <row r="39023" spans="32:32" x14ac:dyDescent="0.2">
      <c r="AF39023" s="12"/>
    </row>
    <row r="39024" spans="32:32" x14ac:dyDescent="0.2">
      <c r="AF39024" s="12"/>
    </row>
    <row r="39025" spans="32:32" x14ac:dyDescent="0.2">
      <c r="AF39025" s="12"/>
    </row>
    <row r="39026" spans="32:32" x14ac:dyDescent="0.2">
      <c r="AF39026" s="12"/>
    </row>
    <row r="39027" spans="32:32" x14ac:dyDescent="0.2">
      <c r="AF39027" s="12"/>
    </row>
    <row r="39028" spans="32:32" x14ac:dyDescent="0.2">
      <c r="AF39028" s="12"/>
    </row>
    <row r="39029" spans="32:32" x14ac:dyDescent="0.2">
      <c r="AF39029" s="12"/>
    </row>
    <row r="39030" spans="32:32" x14ac:dyDescent="0.2">
      <c r="AF39030" s="12"/>
    </row>
    <row r="39031" spans="32:32" x14ac:dyDescent="0.2">
      <c r="AF39031" s="12"/>
    </row>
    <row r="39032" spans="32:32" x14ac:dyDescent="0.2">
      <c r="AF39032" s="12"/>
    </row>
    <row r="39033" spans="32:32" x14ac:dyDescent="0.2">
      <c r="AF39033" s="12"/>
    </row>
    <row r="39034" spans="32:32" x14ac:dyDescent="0.2">
      <c r="AF39034" s="12"/>
    </row>
    <row r="39035" spans="32:32" x14ac:dyDescent="0.2">
      <c r="AF39035" s="12"/>
    </row>
    <row r="39036" spans="32:32" x14ac:dyDescent="0.2">
      <c r="AF39036" s="12"/>
    </row>
    <row r="39037" spans="32:32" x14ac:dyDescent="0.2">
      <c r="AF39037" s="12"/>
    </row>
    <row r="39038" spans="32:32" x14ac:dyDescent="0.2">
      <c r="AF39038" s="12"/>
    </row>
    <row r="39039" spans="32:32" x14ac:dyDescent="0.2">
      <c r="AF39039" s="12"/>
    </row>
    <row r="39040" spans="32:32" x14ac:dyDescent="0.2">
      <c r="AF39040" s="12"/>
    </row>
    <row r="39041" spans="32:32" x14ac:dyDescent="0.2">
      <c r="AF39041" s="12"/>
    </row>
    <row r="39042" spans="32:32" x14ac:dyDescent="0.2">
      <c r="AF39042" s="12"/>
    </row>
    <row r="39043" spans="32:32" x14ac:dyDescent="0.2">
      <c r="AF39043" s="12"/>
    </row>
    <row r="39044" spans="32:32" x14ac:dyDescent="0.2">
      <c r="AF39044" s="12"/>
    </row>
    <row r="39045" spans="32:32" x14ac:dyDescent="0.2">
      <c r="AF39045" s="12"/>
    </row>
    <row r="39046" spans="32:32" x14ac:dyDescent="0.2">
      <c r="AF39046" s="12"/>
    </row>
    <row r="39047" spans="32:32" x14ac:dyDescent="0.2">
      <c r="AF39047" s="12"/>
    </row>
    <row r="39048" spans="32:32" x14ac:dyDescent="0.2">
      <c r="AF39048" s="12"/>
    </row>
    <row r="39049" spans="32:32" x14ac:dyDescent="0.2">
      <c r="AF39049" s="12"/>
    </row>
    <row r="39050" spans="32:32" x14ac:dyDescent="0.2">
      <c r="AF39050" s="12"/>
    </row>
    <row r="39051" spans="32:32" x14ac:dyDescent="0.2">
      <c r="AF39051" s="12"/>
    </row>
    <row r="39052" spans="32:32" x14ac:dyDescent="0.2">
      <c r="AF39052" s="12"/>
    </row>
    <row r="39053" spans="32:32" x14ac:dyDescent="0.2">
      <c r="AF39053" s="12"/>
    </row>
    <row r="39054" spans="32:32" x14ac:dyDescent="0.2">
      <c r="AF39054" s="12"/>
    </row>
    <row r="39055" spans="32:32" x14ac:dyDescent="0.2">
      <c r="AF39055" s="12"/>
    </row>
    <row r="39056" spans="32:32" x14ac:dyDescent="0.2">
      <c r="AF39056" s="12"/>
    </row>
    <row r="39057" spans="32:32" x14ac:dyDescent="0.2">
      <c r="AF39057" s="12"/>
    </row>
    <row r="39058" spans="32:32" x14ac:dyDescent="0.2">
      <c r="AF39058" s="12"/>
    </row>
    <row r="39059" spans="32:32" x14ac:dyDescent="0.2">
      <c r="AF39059" s="12"/>
    </row>
    <row r="39060" spans="32:32" x14ac:dyDescent="0.2">
      <c r="AF39060" s="12"/>
    </row>
    <row r="39061" spans="32:32" x14ac:dyDescent="0.2">
      <c r="AF39061" s="12"/>
    </row>
    <row r="39062" spans="32:32" x14ac:dyDescent="0.2">
      <c r="AF39062" s="12"/>
    </row>
    <row r="39063" spans="32:32" x14ac:dyDescent="0.2">
      <c r="AF39063" s="12"/>
    </row>
    <row r="39064" spans="32:32" x14ac:dyDescent="0.2">
      <c r="AF39064" s="12"/>
    </row>
    <row r="39065" spans="32:32" x14ac:dyDescent="0.2">
      <c r="AF39065" s="12"/>
    </row>
    <row r="39066" spans="32:32" x14ac:dyDescent="0.2">
      <c r="AF39066" s="12"/>
    </row>
    <row r="39067" spans="32:32" x14ac:dyDescent="0.2">
      <c r="AF39067" s="12"/>
    </row>
    <row r="39068" spans="32:32" x14ac:dyDescent="0.2">
      <c r="AF39068" s="12"/>
    </row>
    <row r="39069" spans="32:32" x14ac:dyDescent="0.2">
      <c r="AF39069" s="12"/>
    </row>
    <row r="39070" spans="32:32" x14ac:dyDescent="0.2">
      <c r="AF39070" s="12"/>
    </row>
    <row r="39071" spans="32:32" x14ac:dyDescent="0.2">
      <c r="AF39071" s="12"/>
    </row>
    <row r="39072" spans="32:32" x14ac:dyDescent="0.2">
      <c r="AF39072" s="12"/>
    </row>
    <row r="39073" spans="32:32" x14ac:dyDescent="0.2">
      <c r="AF39073" s="12"/>
    </row>
    <row r="39074" spans="32:32" x14ac:dyDescent="0.2">
      <c r="AF39074" s="12"/>
    </row>
    <row r="39075" spans="32:32" x14ac:dyDescent="0.2">
      <c r="AF39075" s="12"/>
    </row>
    <row r="39076" spans="32:32" x14ac:dyDescent="0.2">
      <c r="AF39076" s="12"/>
    </row>
    <row r="39077" spans="32:32" x14ac:dyDescent="0.2">
      <c r="AF39077" s="12"/>
    </row>
    <row r="39078" spans="32:32" x14ac:dyDescent="0.2">
      <c r="AF39078" s="12"/>
    </row>
    <row r="39079" spans="32:32" x14ac:dyDescent="0.2">
      <c r="AF39079" s="12"/>
    </row>
    <row r="39080" spans="32:32" x14ac:dyDescent="0.2">
      <c r="AF39080" s="12"/>
    </row>
    <row r="39081" spans="32:32" x14ac:dyDescent="0.2">
      <c r="AF39081" s="12"/>
    </row>
    <row r="39082" spans="32:32" x14ac:dyDescent="0.2">
      <c r="AF39082" s="12"/>
    </row>
    <row r="39083" spans="32:32" x14ac:dyDescent="0.2">
      <c r="AF39083" s="12"/>
    </row>
    <row r="39084" spans="32:32" x14ac:dyDescent="0.2">
      <c r="AF39084" s="12"/>
    </row>
    <row r="39085" spans="32:32" x14ac:dyDescent="0.2">
      <c r="AF39085" s="12"/>
    </row>
    <row r="39086" spans="32:32" x14ac:dyDescent="0.2">
      <c r="AF39086" s="12"/>
    </row>
    <row r="39087" spans="32:32" x14ac:dyDescent="0.2">
      <c r="AF39087" s="12"/>
    </row>
    <row r="39088" spans="32:32" x14ac:dyDescent="0.2">
      <c r="AF39088" s="12"/>
    </row>
    <row r="39089" spans="32:32" x14ac:dyDescent="0.2">
      <c r="AF39089" s="12"/>
    </row>
    <row r="39090" spans="32:32" x14ac:dyDescent="0.2">
      <c r="AF39090" s="12"/>
    </row>
    <row r="39091" spans="32:32" x14ac:dyDescent="0.2">
      <c r="AF39091" s="12"/>
    </row>
    <row r="39092" spans="32:32" x14ac:dyDescent="0.2">
      <c r="AF39092" s="12"/>
    </row>
    <row r="39093" spans="32:32" x14ac:dyDescent="0.2">
      <c r="AF39093" s="12"/>
    </row>
    <row r="39094" spans="32:32" x14ac:dyDescent="0.2">
      <c r="AF39094" s="12"/>
    </row>
    <row r="39095" spans="32:32" x14ac:dyDescent="0.2">
      <c r="AF39095" s="12"/>
    </row>
    <row r="39096" spans="32:32" x14ac:dyDescent="0.2">
      <c r="AF39096" s="12"/>
    </row>
    <row r="39097" spans="32:32" x14ac:dyDescent="0.2">
      <c r="AF39097" s="12"/>
    </row>
    <row r="39098" spans="32:32" x14ac:dyDescent="0.2">
      <c r="AF39098" s="12"/>
    </row>
    <row r="39099" spans="32:32" x14ac:dyDescent="0.2">
      <c r="AF39099" s="12"/>
    </row>
    <row r="39100" spans="32:32" x14ac:dyDescent="0.2">
      <c r="AF39100" s="12"/>
    </row>
    <row r="39101" spans="32:32" x14ac:dyDescent="0.2">
      <c r="AF39101" s="12"/>
    </row>
    <row r="39102" spans="32:32" x14ac:dyDescent="0.2">
      <c r="AF39102" s="12"/>
    </row>
    <row r="39103" spans="32:32" x14ac:dyDescent="0.2">
      <c r="AF39103" s="12"/>
    </row>
    <row r="39104" spans="32:32" x14ac:dyDescent="0.2">
      <c r="AF39104" s="12"/>
    </row>
    <row r="39105" spans="32:32" x14ac:dyDescent="0.2">
      <c r="AF39105" s="12"/>
    </row>
    <row r="39106" spans="32:32" x14ac:dyDescent="0.2">
      <c r="AF39106" s="12"/>
    </row>
    <row r="39107" spans="32:32" x14ac:dyDescent="0.2">
      <c r="AF39107" s="12"/>
    </row>
    <row r="39108" spans="32:32" x14ac:dyDescent="0.2">
      <c r="AF39108" s="12"/>
    </row>
    <row r="39109" spans="32:32" x14ac:dyDescent="0.2">
      <c r="AF39109" s="12"/>
    </row>
    <row r="39110" spans="32:32" x14ac:dyDescent="0.2">
      <c r="AF39110" s="12"/>
    </row>
    <row r="39111" spans="32:32" x14ac:dyDescent="0.2">
      <c r="AF39111" s="12"/>
    </row>
    <row r="39112" spans="32:32" x14ac:dyDescent="0.2">
      <c r="AF39112" s="12"/>
    </row>
    <row r="39113" spans="32:32" x14ac:dyDescent="0.2">
      <c r="AF39113" s="12"/>
    </row>
    <row r="39114" spans="32:32" x14ac:dyDescent="0.2">
      <c r="AF39114" s="12"/>
    </row>
    <row r="39115" spans="32:32" x14ac:dyDescent="0.2">
      <c r="AF39115" s="12"/>
    </row>
    <row r="39116" spans="32:32" x14ac:dyDescent="0.2">
      <c r="AF39116" s="12"/>
    </row>
    <row r="39117" spans="32:32" x14ac:dyDescent="0.2">
      <c r="AF39117" s="12"/>
    </row>
    <row r="39118" spans="32:32" x14ac:dyDescent="0.2">
      <c r="AF39118" s="12"/>
    </row>
    <row r="39119" spans="32:32" x14ac:dyDescent="0.2">
      <c r="AF39119" s="12"/>
    </row>
    <row r="39120" spans="32:32" x14ac:dyDescent="0.2">
      <c r="AF39120" s="12"/>
    </row>
    <row r="39121" spans="32:32" x14ac:dyDescent="0.2">
      <c r="AF39121" s="12"/>
    </row>
    <row r="39122" spans="32:32" x14ac:dyDescent="0.2">
      <c r="AF39122" s="12"/>
    </row>
    <row r="39123" spans="32:32" x14ac:dyDescent="0.2">
      <c r="AF39123" s="12"/>
    </row>
    <row r="39124" spans="32:32" x14ac:dyDescent="0.2">
      <c r="AF39124" s="12"/>
    </row>
    <row r="39125" spans="32:32" x14ac:dyDescent="0.2">
      <c r="AF39125" s="12"/>
    </row>
    <row r="39126" spans="32:32" x14ac:dyDescent="0.2">
      <c r="AF39126" s="12"/>
    </row>
    <row r="39127" spans="32:32" x14ac:dyDescent="0.2">
      <c r="AF39127" s="12"/>
    </row>
    <row r="39128" spans="32:32" x14ac:dyDescent="0.2">
      <c r="AF39128" s="12"/>
    </row>
    <row r="39129" spans="32:32" x14ac:dyDescent="0.2">
      <c r="AF39129" s="12"/>
    </row>
    <row r="39130" spans="32:32" x14ac:dyDescent="0.2">
      <c r="AF39130" s="12"/>
    </row>
    <row r="39131" spans="32:32" x14ac:dyDescent="0.2">
      <c r="AF39131" s="12"/>
    </row>
    <row r="39132" spans="32:32" x14ac:dyDescent="0.2">
      <c r="AF39132" s="12"/>
    </row>
    <row r="39133" spans="32:32" x14ac:dyDescent="0.2">
      <c r="AF39133" s="12"/>
    </row>
    <row r="39134" spans="32:32" x14ac:dyDescent="0.2">
      <c r="AF39134" s="12"/>
    </row>
    <row r="39135" spans="32:32" x14ac:dyDescent="0.2">
      <c r="AF39135" s="12"/>
    </row>
    <row r="39136" spans="32:32" x14ac:dyDescent="0.2">
      <c r="AF39136" s="12"/>
    </row>
    <row r="39137" spans="32:32" x14ac:dyDescent="0.2">
      <c r="AF39137" s="12"/>
    </row>
    <row r="39138" spans="32:32" x14ac:dyDescent="0.2">
      <c r="AF39138" s="12"/>
    </row>
    <row r="39139" spans="32:32" x14ac:dyDescent="0.2">
      <c r="AF39139" s="12"/>
    </row>
    <row r="39140" spans="32:32" x14ac:dyDescent="0.2">
      <c r="AF39140" s="12"/>
    </row>
    <row r="39141" spans="32:32" x14ac:dyDescent="0.2">
      <c r="AF39141" s="12"/>
    </row>
    <row r="39142" spans="32:32" x14ac:dyDescent="0.2">
      <c r="AF39142" s="12"/>
    </row>
    <row r="39143" spans="32:32" x14ac:dyDescent="0.2">
      <c r="AF39143" s="12"/>
    </row>
    <row r="39144" spans="32:32" x14ac:dyDescent="0.2">
      <c r="AF39144" s="12"/>
    </row>
    <row r="39145" spans="32:32" x14ac:dyDescent="0.2">
      <c r="AF39145" s="12"/>
    </row>
    <row r="39146" spans="32:32" x14ac:dyDescent="0.2">
      <c r="AF39146" s="12"/>
    </row>
    <row r="39147" spans="32:32" x14ac:dyDescent="0.2">
      <c r="AF39147" s="12"/>
    </row>
    <row r="39148" spans="32:32" x14ac:dyDescent="0.2">
      <c r="AF39148" s="12"/>
    </row>
    <row r="39149" spans="32:32" x14ac:dyDescent="0.2">
      <c r="AF39149" s="12"/>
    </row>
    <row r="39150" spans="32:32" x14ac:dyDescent="0.2">
      <c r="AF39150" s="12"/>
    </row>
    <row r="39151" spans="32:32" x14ac:dyDescent="0.2">
      <c r="AF39151" s="12"/>
    </row>
    <row r="39152" spans="32:32" x14ac:dyDescent="0.2">
      <c r="AF39152" s="12"/>
    </row>
    <row r="39153" spans="32:32" x14ac:dyDescent="0.2">
      <c r="AF39153" s="12"/>
    </row>
    <row r="39154" spans="32:32" x14ac:dyDescent="0.2">
      <c r="AF39154" s="12"/>
    </row>
    <row r="39155" spans="32:32" x14ac:dyDescent="0.2">
      <c r="AF39155" s="12"/>
    </row>
    <row r="39156" spans="32:32" x14ac:dyDescent="0.2">
      <c r="AF39156" s="12"/>
    </row>
    <row r="39157" spans="32:32" x14ac:dyDescent="0.2">
      <c r="AF39157" s="12"/>
    </row>
    <row r="39158" spans="32:32" x14ac:dyDescent="0.2">
      <c r="AF39158" s="12"/>
    </row>
    <row r="39159" spans="32:32" x14ac:dyDescent="0.2">
      <c r="AF39159" s="12"/>
    </row>
    <row r="39160" spans="32:32" x14ac:dyDescent="0.2">
      <c r="AF39160" s="12"/>
    </row>
    <row r="39161" spans="32:32" x14ac:dyDescent="0.2">
      <c r="AF39161" s="12"/>
    </row>
    <row r="39162" spans="32:32" x14ac:dyDescent="0.2">
      <c r="AF39162" s="12"/>
    </row>
    <row r="39163" spans="32:32" x14ac:dyDescent="0.2">
      <c r="AF39163" s="12"/>
    </row>
    <row r="39164" spans="32:32" x14ac:dyDescent="0.2">
      <c r="AF39164" s="12"/>
    </row>
    <row r="39165" spans="32:32" x14ac:dyDescent="0.2">
      <c r="AF39165" s="12"/>
    </row>
    <row r="39166" spans="32:32" x14ac:dyDescent="0.2">
      <c r="AF39166" s="12"/>
    </row>
    <row r="39167" spans="32:32" x14ac:dyDescent="0.2">
      <c r="AF39167" s="12"/>
    </row>
    <row r="39168" spans="32:32" x14ac:dyDescent="0.2">
      <c r="AF39168" s="12"/>
    </row>
    <row r="39169" spans="32:32" x14ac:dyDescent="0.2">
      <c r="AF39169" s="12"/>
    </row>
    <row r="39170" spans="32:32" x14ac:dyDescent="0.2">
      <c r="AF39170" s="12"/>
    </row>
    <row r="39171" spans="32:32" x14ac:dyDescent="0.2">
      <c r="AF39171" s="12"/>
    </row>
    <row r="39172" spans="32:32" x14ac:dyDescent="0.2">
      <c r="AF39172" s="12"/>
    </row>
    <row r="39173" spans="32:32" x14ac:dyDescent="0.2">
      <c r="AF39173" s="12"/>
    </row>
    <row r="39174" spans="32:32" x14ac:dyDescent="0.2">
      <c r="AF39174" s="12"/>
    </row>
    <row r="39175" spans="32:32" x14ac:dyDescent="0.2">
      <c r="AF39175" s="12"/>
    </row>
    <row r="39176" spans="32:32" x14ac:dyDescent="0.2">
      <c r="AF39176" s="12"/>
    </row>
    <row r="39177" spans="32:32" x14ac:dyDescent="0.2">
      <c r="AF39177" s="12"/>
    </row>
    <row r="39178" spans="32:32" x14ac:dyDescent="0.2">
      <c r="AF39178" s="12"/>
    </row>
    <row r="39179" spans="32:32" x14ac:dyDescent="0.2">
      <c r="AF39179" s="12"/>
    </row>
    <row r="39180" spans="32:32" x14ac:dyDescent="0.2">
      <c r="AF39180" s="12"/>
    </row>
    <row r="39181" spans="32:32" x14ac:dyDescent="0.2">
      <c r="AF39181" s="12"/>
    </row>
    <row r="39182" spans="32:32" x14ac:dyDescent="0.2">
      <c r="AF39182" s="12"/>
    </row>
    <row r="39183" spans="32:32" x14ac:dyDescent="0.2">
      <c r="AF39183" s="12"/>
    </row>
    <row r="39184" spans="32:32" x14ac:dyDescent="0.2">
      <c r="AF39184" s="12"/>
    </row>
    <row r="39185" spans="32:32" x14ac:dyDescent="0.2">
      <c r="AF39185" s="12"/>
    </row>
    <row r="39186" spans="32:32" x14ac:dyDescent="0.2">
      <c r="AF39186" s="12"/>
    </row>
    <row r="39187" spans="32:32" x14ac:dyDescent="0.2">
      <c r="AF39187" s="12"/>
    </row>
    <row r="39188" spans="32:32" x14ac:dyDescent="0.2">
      <c r="AF39188" s="12"/>
    </row>
    <row r="39189" spans="32:32" x14ac:dyDescent="0.2">
      <c r="AF39189" s="12"/>
    </row>
    <row r="39190" spans="32:32" x14ac:dyDescent="0.2">
      <c r="AF39190" s="12"/>
    </row>
    <row r="39191" spans="32:32" x14ac:dyDescent="0.2">
      <c r="AF39191" s="12"/>
    </row>
    <row r="39192" spans="32:32" x14ac:dyDescent="0.2">
      <c r="AF39192" s="12"/>
    </row>
    <row r="39193" spans="32:32" x14ac:dyDescent="0.2">
      <c r="AF39193" s="12"/>
    </row>
    <row r="39194" spans="32:32" x14ac:dyDescent="0.2">
      <c r="AF39194" s="12"/>
    </row>
    <row r="39195" spans="32:32" x14ac:dyDescent="0.2">
      <c r="AF39195" s="12"/>
    </row>
    <row r="39196" spans="32:32" x14ac:dyDescent="0.2">
      <c r="AF39196" s="12"/>
    </row>
    <row r="39197" spans="32:32" x14ac:dyDescent="0.2">
      <c r="AF39197" s="12"/>
    </row>
    <row r="39198" spans="32:32" x14ac:dyDescent="0.2">
      <c r="AF39198" s="12"/>
    </row>
    <row r="39199" spans="32:32" x14ac:dyDescent="0.2">
      <c r="AF39199" s="12"/>
    </row>
    <row r="39200" spans="32:32" x14ac:dyDescent="0.2">
      <c r="AF39200" s="12"/>
    </row>
    <row r="39201" spans="32:32" x14ac:dyDescent="0.2">
      <c r="AF39201" s="12"/>
    </row>
    <row r="39202" spans="32:32" x14ac:dyDescent="0.2">
      <c r="AF39202" s="12"/>
    </row>
    <row r="39203" spans="32:32" x14ac:dyDescent="0.2">
      <c r="AF39203" s="12"/>
    </row>
    <row r="39204" spans="32:32" x14ac:dyDescent="0.2">
      <c r="AF39204" s="12"/>
    </row>
    <row r="39205" spans="32:32" x14ac:dyDescent="0.2">
      <c r="AF39205" s="12"/>
    </row>
    <row r="39206" spans="32:32" x14ac:dyDescent="0.2">
      <c r="AF39206" s="12"/>
    </row>
    <row r="39207" spans="32:32" x14ac:dyDescent="0.2">
      <c r="AF39207" s="12"/>
    </row>
    <row r="39208" spans="32:32" x14ac:dyDescent="0.2">
      <c r="AF39208" s="12"/>
    </row>
    <row r="39209" spans="32:32" x14ac:dyDescent="0.2">
      <c r="AF39209" s="12"/>
    </row>
    <row r="39210" spans="32:32" x14ac:dyDescent="0.2">
      <c r="AF39210" s="12"/>
    </row>
    <row r="39211" spans="32:32" x14ac:dyDescent="0.2">
      <c r="AF39211" s="12"/>
    </row>
    <row r="39212" spans="32:32" x14ac:dyDescent="0.2">
      <c r="AF39212" s="12"/>
    </row>
    <row r="39213" spans="32:32" x14ac:dyDescent="0.2">
      <c r="AF39213" s="12"/>
    </row>
    <row r="39214" spans="32:32" x14ac:dyDescent="0.2">
      <c r="AF39214" s="12"/>
    </row>
    <row r="39215" spans="32:32" x14ac:dyDescent="0.2">
      <c r="AF39215" s="12"/>
    </row>
    <row r="39216" spans="32:32" x14ac:dyDescent="0.2">
      <c r="AF39216" s="12"/>
    </row>
    <row r="39217" spans="32:32" x14ac:dyDescent="0.2">
      <c r="AF39217" s="12"/>
    </row>
    <row r="39218" spans="32:32" x14ac:dyDescent="0.2">
      <c r="AF39218" s="12"/>
    </row>
    <row r="39219" spans="32:32" x14ac:dyDescent="0.2">
      <c r="AF39219" s="12"/>
    </row>
    <row r="39220" spans="32:32" x14ac:dyDescent="0.2">
      <c r="AF39220" s="12"/>
    </row>
    <row r="39221" spans="32:32" x14ac:dyDescent="0.2">
      <c r="AF39221" s="12"/>
    </row>
    <row r="39222" spans="32:32" x14ac:dyDescent="0.2">
      <c r="AF39222" s="12"/>
    </row>
    <row r="39223" spans="32:32" x14ac:dyDescent="0.2">
      <c r="AF39223" s="12"/>
    </row>
    <row r="39224" spans="32:32" x14ac:dyDescent="0.2">
      <c r="AF39224" s="12"/>
    </row>
    <row r="39225" spans="32:32" x14ac:dyDescent="0.2">
      <c r="AF39225" s="12"/>
    </row>
    <row r="39226" spans="32:32" x14ac:dyDescent="0.2">
      <c r="AF39226" s="12"/>
    </row>
    <row r="39227" spans="32:32" x14ac:dyDescent="0.2">
      <c r="AF39227" s="12"/>
    </row>
    <row r="39228" spans="32:32" x14ac:dyDescent="0.2">
      <c r="AF39228" s="12"/>
    </row>
    <row r="39229" spans="32:32" x14ac:dyDescent="0.2">
      <c r="AF39229" s="12"/>
    </row>
    <row r="39230" spans="32:32" x14ac:dyDescent="0.2">
      <c r="AF39230" s="12"/>
    </row>
    <row r="39231" spans="32:32" x14ac:dyDescent="0.2">
      <c r="AF39231" s="12"/>
    </row>
    <row r="39232" spans="32:32" x14ac:dyDescent="0.2">
      <c r="AF39232" s="12"/>
    </row>
    <row r="39233" spans="32:32" x14ac:dyDescent="0.2">
      <c r="AF39233" s="12"/>
    </row>
    <row r="39234" spans="32:32" x14ac:dyDescent="0.2">
      <c r="AF39234" s="12"/>
    </row>
    <row r="39235" spans="32:32" x14ac:dyDescent="0.2">
      <c r="AF39235" s="12"/>
    </row>
    <row r="39236" spans="32:32" x14ac:dyDescent="0.2">
      <c r="AF39236" s="12"/>
    </row>
    <row r="39237" spans="32:32" x14ac:dyDescent="0.2">
      <c r="AF39237" s="12"/>
    </row>
    <row r="39238" spans="32:32" x14ac:dyDescent="0.2">
      <c r="AF39238" s="12"/>
    </row>
    <row r="39239" spans="32:32" x14ac:dyDescent="0.2">
      <c r="AF39239" s="12"/>
    </row>
    <row r="39240" spans="32:32" x14ac:dyDescent="0.2">
      <c r="AF39240" s="12"/>
    </row>
    <row r="39241" spans="32:32" x14ac:dyDescent="0.2">
      <c r="AF39241" s="12"/>
    </row>
    <row r="39242" spans="32:32" x14ac:dyDescent="0.2">
      <c r="AF39242" s="12"/>
    </row>
    <row r="39243" spans="32:32" x14ac:dyDescent="0.2">
      <c r="AF39243" s="12"/>
    </row>
    <row r="39244" spans="32:32" x14ac:dyDescent="0.2">
      <c r="AF39244" s="12"/>
    </row>
    <row r="39245" spans="32:32" x14ac:dyDescent="0.2">
      <c r="AF39245" s="12"/>
    </row>
    <row r="39246" spans="32:32" x14ac:dyDescent="0.2">
      <c r="AF39246" s="12"/>
    </row>
    <row r="39247" spans="32:32" x14ac:dyDescent="0.2">
      <c r="AF39247" s="12"/>
    </row>
    <row r="39248" spans="32:32" x14ac:dyDescent="0.2">
      <c r="AF39248" s="12"/>
    </row>
    <row r="39249" spans="32:32" x14ac:dyDescent="0.2">
      <c r="AF39249" s="12"/>
    </row>
    <row r="39250" spans="32:32" x14ac:dyDescent="0.2">
      <c r="AF39250" s="12"/>
    </row>
    <row r="39251" spans="32:32" x14ac:dyDescent="0.2">
      <c r="AF39251" s="12"/>
    </row>
    <row r="39252" spans="32:32" x14ac:dyDescent="0.2">
      <c r="AF39252" s="12"/>
    </row>
    <row r="39253" spans="32:32" x14ac:dyDescent="0.2">
      <c r="AF39253" s="12"/>
    </row>
    <row r="39254" spans="32:32" x14ac:dyDescent="0.2">
      <c r="AF39254" s="12"/>
    </row>
    <row r="39255" spans="32:32" x14ac:dyDescent="0.2">
      <c r="AF39255" s="12"/>
    </row>
    <row r="39256" spans="32:32" x14ac:dyDescent="0.2">
      <c r="AF39256" s="12"/>
    </row>
    <row r="39257" spans="32:32" x14ac:dyDescent="0.2">
      <c r="AF39257" s="12"/>
    </row>
    <row r="39258" spans="32:32" x14ac:dyDescent="0.2">
      <c r="AF39258" s="12"/>
    </row>
    <row r="39259" spans="32:32" x14ac:dyDescent="0.2">
      <c r="AF39259" s="12"/>
    </row>
    <row r="39260" spans="32:32" x14ac:dyDescent="0.2">
      <c r="AF39260" s="12"/>
    </row>
    <row r="39261" spans="32:32" x14ac:dyDescent="0.2">
      <c r="AF39261" s="12"/>
    </row>
    <row r="39262" spans="32:32" x14ac:dyDescent="0.2">
      <c r="AF39262" s="12"/>
    </row>
    <row r="39263" spans="32:32" x14ac:dyDescent="0.2">
      <c r="AF39263" s="12"/>
    </row>
    <row r="39264" spans="32:32" x14ac:dyDescent="0.2">
      <c r="AF39264" s="12"/>
    </row>
    <row r="39265" spans="32:32" x14ac:dyDescent="0.2">
      <c r="AF39265" s="12"/>
    </row>
    <row r="39266" spans="32:32" x14ac:dyDescent="0.2">
      <c r="AF39266" s="12"/>
    </row>
    <row r="39267" spans="32:32" x14ac:dyDescent="0.2">
      <c r="AF39267" s="12"/>
    </row>
    <row r="39268" spans="32:32" x14ac:dyDescent="0.2">
      <c r="AF39268" s="12"/>
    </row>
    <row r="39269" spans="32:32" x14ac:dyDescent="0.2">
      <c r="AF39269" s="12"/>
    </row>
    <row r="39270" spans="32:32" x14ac:dyDescent="0.2">
      <c r="AF39270" s="12"/>
    </row>
    <row r="39271" spans="32:32" x14ac:dyDescent="0.2">
      <c r="AF39271" s="12"/>
    </row>
    <row r="39272" spans="32:32" x14ac:dyDescent="0.2">
      <c r="AF39272" s="12"/>
    </row>
    <row r="39273" spans="32:32" x14ac:dyDescent="0.2">
      <c r="AF39273" s="12"/>
    </row>
    <row r="39274" spans="32:32" x14ac:dyDescent="0.2">
      <c r="AF39274" s="12"/>
    </row>
    <row r="39275" spans="32:32" x14ac:dyDescent="0.2">
      <c r="AF39275" s="12"/>
    </row>
    <row r="39276" spans="32:32" x14ac:dyDescent="0.2">
      <c r="AF39276" s="12"/>
    </row>
    <row r="39277" spans="32:32" x14ac:dyDescent="0.2">
      <c r="AF39277" s="12"/>
    </row>
    <row r="39278" spans="32:32" x14ac:dyDescent="0.2">
      <c r="AF39278" s="12"/>
    </row>
    <row r="39279" spans="32:32" x14ac:dyDescent="0.2">
      <c r="AF39279" s="12"/>
    </row>
    <row r="39280" spans="32:32" x14ac:dyDescent="0.2">
      <c r="AF39280" s="12"/>
    </row>
    <row r="39281" spans="32:32" x14ac:dyDescent="0.2">
      <c r="AF39281" s="12"/>
    </row>
    <row r="39282" spans="32:32" x14ac:dyDescent="0.2">
      <c r="AF39282" s="12"/>
    </row>
    <row r="39283" spans="32:32" x14ac:dyDescent="0.2">
      <c r="AF39283" s="12"/>
    </row>
    <row r="39284" spans="32:32" x14ac:dyDescent="0.2">
      <c r="AF39284" s="12"/>
    </row>
    <row r="39285" spans="32:32" x14ac:dyDescent="0.2">
      <c r="AF39285" s="12"/>
    </row>
    <row r="39286" spans="32:32" x14ac:dyDescent="0.2">
      <c r="AF39286" s="12"/>
    </row>
    <row r="39287" spans="32:32" x14ac:dyDescent="0.2">
      <c r="AF39287" s="12"/>
    </row>
    <row r="39288" spans="32:32" x14ac:dyDescent="0.2">
      <c r="AF39288" s="12"/>
    </row>
    <row r="39289" spans="32:32" x14ac:dyDescent="0.2">
      <c r="AF39289" s="12"/>
    </row>
    <row r="39290" spans="32:32" x14ac:dyDescent="0.2">
      <c r="AF39290" s="12"/>
    </row>
    <row r="39291" spans="32:32" x14ac:dyDescent="0.2">
      <c r="AF39291" s="12"/>
    </row>
    <row r="39292" spans="32:32" x14ac:dyDescent="0.2">
      <c r="AF39292" s="12"/>
    </row>
    <row r="39293" spans="32:32" x14ac:dyDescent="0.2">
      <c r="AF39293" s="12"/>
    </row>
    <row r="39294" spans="32:32" x14ac:dyDescent="0.2">
      <c r="AF39294" s="12"/>
    </row>
    <row r="39295" spans="32:32" x14ac:dyDescent="0.2">
      <c r="AF39295" s="12"/>
    </row>
    <row r="39296" spans="32:32" x14ac:dyDescent="0.2">
      <c r="AF39296" s="12"/>
    </row>
    <row r="39297" spans="32:32" x14ac:dyDescent="0.2">
      <c r="AF39297" s="12"/>
    </row>
    <row r="39298" spans="32:32" x14ac:dyDescent="0.2">
      <c r="AF39298" s="12"/>
    </row>
    <row r="39299" spans="32:32" x14ac:dyDescent="0.2">
      <c r="AF39299" s="12"/>
    </row>
    <row r="39300" spans="32:32" x14ac:dyDescent="0.2">
      <c r="AF39300" s="12"/>
    </row>
    <row r="39301" spans="32:32" x14ac:dyDescent="0.2">
      <c r="AF39301" s="12"/>
    </row>
    <row r="39302" spans="32:32" x14ac:dyDescent="0.2">
      <c r="AF39302" s="12"/>
    </row>
    <row r="39303" spans="32:32" x14ac:dyDescent="0.2">
      <c r="AF39303" s="12"/>
    </row>
    <row r="39304" spans="32:32" x14ac:dyDescent="0.2">
      <c r="AF39304" s="12"/>
    </row>
    <row r="39305" spans="32:32" x14ac:dyDescent="0.2">
      <c r="AF39305" s="12"/>
    </row>
    <row r="39306" spans="32:32" x14ac:dyDescent="0.2">
      <c r="AF39306" s="12"/>
    </row>
    <row r="39307" spans="32:32" x14ac:dyDescent="0.2">
      <c r="AF39307" s="12"/>
    </row>
    <row r="39308" spans="32:32" x14ac:dyDescent="0.2">
      <c r="AF39308" s="12"/>
    </row>
    <row r="39309" spans="32:32" x14ac:dyDescent="0.2">
      <c r="AF39309" s="12"/>
    </row>
    <row r="39310" spans="32:32" x14ac:dyDescent="0.2">
      <c r="AF39310" s="12"/>
    </row>
    <row r="39311" spans="32:32" x14ac:dyDescent="0.2">
      <c r="AF39311" s="12"/>
    </row>
    <row r="39312" spans="32:32" x14ac:dyDescent="0.2">
      <c r="AF39312" s="12"/>
    </row>
    <row r="39313" spans="32:32" x14ac:dyDescent="0.2">
      <c r="AF39313" s="12"/>
    </row>
    <row r="39314" spans="32:32" x14ac:dyDescent="0.2">
      <c r="AF39314" s="12"/>
    </row>
    <row r="39315" spans="32:32" x14ac:dyDescent="0.2">
      <c r="AF39315" s="12"/>
    </row>
    <row r="39316" spans="32:32" x14ac:dyDescent="0.2">
      <c r="AF39316" s="12"/>
    </row>
    <row r="39317" spans="32:32" x14ac:dyDescent="0.2">
      <c r="AF39317" s="12"/>
    </row>
    <row r="39318" spans="32:32" x14ac:dyDescent="0.2">
      <c r="AF39318" s="12"/>
    </row>
    <row r="39319" spans="32:32" x14ac:dyDescent="0.2">
      <c r="AF39319" s="12"/>
    </row>
    <row r="39320" spans="32:32" x14ac:dyDescent="0.2">
      <c r="AF39320" s="12"/>
    </row>
    <row r="39321" spans="32:32" x14ac:dyDescent="0.2">
      <c r="AF39321" s="12"/>
    </row>
    <row r="39322" spans="32:32" x14ac:dyDescent="0.2">
      <c r="AF39322" s="12"/>
    </row>
    <row r="39323" spans="32:32" x14ac:dyDescent="0.2">
      <c r="AF39323" s="12"/>
    </row>
    <row r="39324" spans="32:32" x14ac:dyDescent="0.2">
      <c r="AF39324" s="12"/>
    </row>
    <row r="39325" spans="32:32" x14ac:dyDescent="0.2">
      <c r="AF39325" s="12"/>
    </row>
    <row r="39326" spans="32:32" x14ac:dyDescent="0.2">
      <c r="AF39326" s="12"/>
    </row>
    <row r="39327" spans="32:32" x14ac:dyDescent="0.2">
      <c r="AF39327" s="12"/>
    </row>
    <row r="39328" spans="32:32" x14ac:dyDescent="0.2">
      <c r="AF39328" s="12"/>
    </row>
    <row r="39329" spans="32:32" x14ac:dyDescent="0.2">
      <c r="AF39329" s="12"/>
    </row>
    <row r="39330" spans="32:32" x14ac:dyDescent="0.2">
      <c r="AF39330" s="12"/>
    </row>
    <row r="39331" spans="32:32" x14ac:dyDescent="0.2">
      <c r="AF39331" s="12"/>
    </row>
    <row r="39332" spans="32:32" x14ac:dyDescent="0.2">
      <c r="AF39332" s="12"/>
    </row>
    <row r="39333" spans="32:32" x14ac:dyDescent="0.2">
      <c r="AF39333" s="12"/>
    </row>
    <row r="39334" spans="32:32" x14ac:dyDescent="0.2">
      <c r="AF39334" s="12"/>
    </row>
    <row r="39335" spans="32:32" x14ac:dyDescent="0.2">
      <c r="AF39335" s="12"/>
    </row>
    <row r="39336" spans="32:32" x14ac:dyDescent="0.2">
      <c r="AF39336" s="12"/>
    </row>
    <row r="39337" spans="32:32" x14ac:dyDescent="0.2">
      <c r="AF39337" s="12"/>
    </row>
    <row r="39338" spans="32:32" x14ac:dyDescent="0.2">
      <c r="AF39338" s="12"/>
    </row>
    <row r="39339" spans="32:32" x14ac:dyDescent="0.2">
      <c r="AF39339" s="12"/>
    </row>
    <row r="39340" spans="32:32" x14ac:dyDescent="0.2">
      <c r="AF39340" s="12"/>
    </row>
    <row r="39341" spans="32:32" x14ac:dyDescent="0.2">
      <c r="AF39341" s="12"/>
    </row>
    <row r="39342" spans="32:32" x14ac:dyDescent="0.2">
      <c r="AF39342" s="12"/>
    </row>
    <row r="39343" spans="32:32" x14ac:dyDescent="0.2">
      <c r="AF39343" s="12"/>
    </row>
    <row r="39344" spans="32:32" x14ac:dyDescent="0.2">
      <c r="AF39344" s="12"/>
    </row>
    <row r="39345" spans="32:32" x14ac:dyDescent="0.2">
      <c r="AF39345" s="12"/>
    </row>
    <row r="39346" spans="32:32" x14ac:dyDescent="0.2">
      <c r="AF39346" s="12"/>
    </row>
    <row r="39347" spans="32:32" x14ac:dyDescent="0.2">
      <c r="AF39347" s="12"/>
    </row>
    <row r="39348" spans="32:32" x14ac:dyDescent="0.2">
      <c r="AF39348" s="12"/>
    </row>
    <row r="39349" spans="32:32" x14ac:dyDescent="0.2">
      <c r="AF39349" s="12"/>
    </row>
    <row r="39350" spans="32:32" x14ac:dyDescent="0.2">
      <c r="AF39350" s="12"/>
    </row>
    <row r="39351" spans="32:32" x14ac:dyDescent="0.2">
      <c r="AF39351" s="12"/>
    </row>
    <row r="39352" spans="32:32" x14ac:dyDescent="0.2">
      <c r="AF39352" s="12"/>
    </row>
    <row r="39353" spans="32:32" x14ac:dyDescent="0.2">
      <c r="AF39353" s="12"/>
    </row>
    <row r="39354" spans="32:32" x14ac:dyDescent="0.2">
      <c r="AF39354" s="12"/>
    </row>
    <row r="39355" spans="32:32" x14ac:dyDescent="0.2">
      <c r="AF39355" s="12"/>
    </row>
    <row r="39356" spans="32:32" x14ac:dyDescent="0.2">
      <c r="AF39356" s="12"/>
    </row>
    <row r="39357" spans="32:32" x14ac:dyDescent="0.2">
      <c r="AF39357" s="12"/>
    </row>
    <row r="39358" spans="32:32" x14ac:dyDescent="0.2">
      <c r="AF39358" s="12"/>
    </row>
    <row r="39359" spans="32:32" x14ac:dyDescent="0.2">
      <c r="AF39359" s="12"/>
    </row>
    <row r="39360" spans="32:32" x14ac:dyDescent="0.2">
      <c r="AF39360" s="12"/>
    </row>
    <row r="39361" spans="32:32" x14ac:dyDescent="0.2">
      <c r="AF39361" s="12"/>
    </row>
    <row r="39362" spans="32:32" x14ac:dyDescent="0.2">
      <c r="AF39362" s="12"/>
    </row>
    <row r="39363" spans="32:32" x14ac:dyDescent="0.2">
      <c r="AF39363" s="12"/>
    </row>
    <row r="39364" spans="32:32" x14ac:dyDescent="0.2">
      <c r="AF39364" s="12"/>
    </row>
    <row r="39365" spans="32:32" x14ac:dyDescent="0.2">
      <c r="AF39365" s="12"/>
    </row>
    <row r="39366" spans="32:32" x14ac:dyDescent="0.2">
      <c r="AF39366" s="12"/>
    </row>
    <row r="39367" spans="32:32" x14ac:dyDescent="0.2">
      <c r="AF39367" s="12"/>
    </row>
    <row r="39368" spans="32:32" x14ac:dyDescent="0.2">
      <c r="AF39368" s="12"/>
    </row>
    <row r="39369" spans="32:32" x14ac:dyDescent="0.2">
      <c r="AF39369" s="12"/>
    </row>
    <row r="39370" spans="32:32" x14ac:dyDescent="0.2">
      <c r="AF39370" s="12"/>
    </row>
    <row r="39371" spans="32:32" x14ac:dyDescent="0.2">
      <c r="AF39371" s="12"/>
    </row>
    <row r="39372" spans="32:32" x14ac:dyDescent="0.2">
      <c r="AF39372" s="12"/>
    </row>
    <row r="39373" spans="32:32" x14ac:dyDescent="0.2">
      <c r="AF39373" s="12"/>
    </row>
    <row r="39374" spans="32:32" x14ac:dyDescent="0.2">
      <c r="AF39374" s="12"/>
    </row>
    <row r="39375" spans="32:32" x14ac:dyDescent="0.2">
      <c r="AF39375" s="12"/>
    </row>
    <row r="39376" spans="32:32" x14ac:dyDescent="0.2">
      <c r="AF39376" s="12"/>
    </row>
    <row r="39377" spans="32:32" x14ac:dyDescent="0.2">
      <c r="AF39377" s="12"/>
    </row>
    <row r="39378" spans="32:32" x14ac:dyDescent="0.2">
      <c r="AF39378" s="12"/>
    </row>
    <row r="39379" spans="32:32" x14ac:dyDescent="0.2">
      <c r="AF39379" s="12"/>
    </row>
    <row r="39380" spans="32:32" x14ac:dyDescent="0.2">
      <c r="AF39380" s="12"/>
    </row>
    <row r="39381" spans="32:32" x14ac:dyDescent="0.2">
      <c r="AF39381" s="12"/>
    </row>
    <row r="39382" spans="32:32" x14ac:dyDescent="0.2">
      <c r="AF39382" s="12"/>
    </row>
    <row r="39383" spans="32:32" x14ac:dyDescent="0.2">
      <c r="AF39383" s="12"/>
    </row>
    <row r="39384" spans="32:32" x14ac:dyDescent="0.2">
      <c r="AF39384" s="12"/>
    </row>
    <row r="39385" spans="32:32" x14ac:dyDescent="0.2">
      <c r="AF39385" s="12"/>
    </row>
    <row r="39386" spans="32:32" x14ac:dyDescent="0.2">
      <c r="AF39386" s="12"/>
    </row>
    <row r="39387" spans="32:32" x14ac:dyDescent="0.2">
      <c r="AF39387" s="12"/>
    </row>
    <row r="39388" spans="32:32" x14ac:dyDescent="0.2">
      <c r="AF39388" s="12"/>
    </row>
    <row r="39389" spans="32:32" x14ac:dyDescent="0.2">
      <c r="AF39389" s="12"/>
    </row>
    <row r="39390" spans="32:32" x14ac:dyDescent="0.2">
      <c r="AF39390" s="12"/>
    </row>
    <row r="39391" spans="32:32" x14ac:dyDescent="0.2">
      <c r="AF39391" s="12"/>
    </row>
    <row r="39392" spans="32:32" x14ac:dyDescent="0.2">
      <c r="AF39392" s="12"/>
    </row>
    <row r="39393" spans="32:32" x14ac:dyDescent="0.2">
      <c r="AF39393" s="12"/>
    </row>
    <row r="39394" spans="32:32" x14ac:dyDescent="0.2">
      <c r="AF39394" s="12"/>
    </row>
    <row r="39395" spans="32:32" x14ac:dyDescent="0.2">
      <c r="AF39395" s="12"/>
    </row>
    <row r="39396" spans="32:32" x14ac:dyDescent="0.2">
      <c r="AF39396" s="12"/>
    </row>
    <row r="39397" spans="32:32" x14ac:dyDescent="0.2">
      <c r="AF39397" s="12"/>
    </row>
    <row r="39398" spans="32:32" x14ac:dyDescent="0.2">
      <c r="AF39398" s="12"/>
    </row>
    <row r="39399" spans="32:32" x14ac:dyDescent="0.2">
      <c r="AF39399" s="12"/>
    </row>
    <row r="39400" spans="32:32" x14ac:dyDescent="0.2">
      <c r="AF39400" s="12"/>
    </row>
    <row r="39401" spans="32:32" x14ac:dyDescent="0.2">
      <c r="AF39401" s="12"/>
    </row>
    <row r="39402" spans="32:32" x14ac:dyDescent="0.2">
      <c r="AF39402" s="12"/>
    </row>
    <row r="39403" spans="32:32" x14ac:dyDescent="0.2">
      <c r="AF39403" s="12"/>
    </row>
    <row r="39404" spans="32:32" x14ac:dyDescent="0.2">
      <c r="AF39404" s="12"/>
    </row>
    <row r="39405" spans="32:32" x14ac:dyDescent="0.2">
      <c r="AF39405" s="12"/>
    </row>
    <row r="39406" spans="32:32" x14ac:dyDescent="0.2">
      <c r="AF39406" s="12"/>
    </row>
    <row r="39407" spans="32:32" x14ac:dyDescent="0.2">
      <c r="AF39407" s="12"/>
    </row>
    <row r="39408" spans="32:32" x14ac:dyDescent="0.2">
      <c r="AF39408" s="12"/>
    </row>
    <row r="39409" spans="32:32" x14ac:dyDescent="0.2">
      <c r="AF39409" s="12"/>
    </row>
    <row r="39410" spans="32:32" x14ac:dyDescent="0.2">
      <c r="AF39410" s="12"/>
    </row>
    <row r="39411" spans="32:32" x14ac:dyDescent="0.2">
      <c r="AF39411" s="12"/>
    </row>
    <row r="39412" spans="32:32" x14ac:dyDescent="0.2">
      <c r="AF39412" s="12"/>
    </row>
    <row r="39413" spans="32:32" x14ac:dyDescent="0.2">
      <c r="AF39413" s="12"/>
    </row>
    <row r="39414" spans="32:32" x14ac:dyDescent="0.2">
      <c r="AF39414" s="12"/>
    </row>
    <row r="39415" spans="32:32" x14ac:dyDescent="0.2">
      <c r="AF39415" s="12"/>
    </row>
    <row r="39416" spans="32:32" x14ac:dyDescent="0.2">
      <c r="AF39416" s="12"/>
    </row>
    <row r="39417" spans="32:32" x14ac:dyDescent="0.2">
      <c r="AF39417" s="12"/>
    </row>
    <row r="39418" spans="32:32" x14ac:dyDescent="0.2">
      <c r="AF39418" s="12"/>
    </row>
    <row r="39419" spans="32:32" x14ac:dyDescent="0.2">
      <c r="AF39419" s="12"/>
    </row>
    <row r="39420" spans="32:32" x14ac:dyDescent="0.2">
      <c r="AF39420" s="12"/>
    </row>
    <row r="39421" spans="32:32" x14ac:dyDescent="0.2">
      <c r="AF39421" s="12"/>
    </row>
    <row r="39422" spans="32:32" x14ac:dyDescent="0.2">
      <c r="AF39422" s="12"/>
    </row>
    <row r="39423" spans="32:32" x14ac:dyDescent="0.2">
      <c r="AF39423" s="12"/>
    </row>
    <row r="39424" spans="32:32" x14ac:dyDescent="0.2">
      <c r="AF39424" s="12"/>
    </row>
    <row r="39425" spans="32:32" x14ac:dyDescent="0.2">
      <c r="AF39425" s="12"/>
    </row>
    <row r="39426" spans="32:32" x14ac:dyDescent="0.2">
      <c r="AF39426" s="12"/>
    </row>
    <row r="39427" spans="32:32" x14ac:dyDescent="0.2">
      <c r="AF39427" s="12"/>
    </row>
    <row r="39428" spans="32:32" x14ac:dyDescent="0.2">
      <c r="AF39428" s="12"/>
    </row>
    <row r="39429" spans="32:32" x14ac:dyDescent="0.2">
      <c r="AF39429" s="12"/>
    </row>
    <row r="39430" spans="32:32" x14ac:dyDescent="0.2">
      <c r="AF39430" s="12"/>
    </row>
    <row r="39431" spans="32:32" x14ac:dyDescent="0.2">
      <c r="AF39431" s="12"/>
    </row>
    <row r="39432" spans="32:32" x14ac:dyDescent="0.2">
      <c r="AF39432" s="12"/>
    </row>
    <row r="39433" spans="32:32" x14ac:dyDescent="0.2">
      <c r="AF39433" s="12"/>
    </row>
    <row r="39434" spans="32:32" x14ac:dyDescent="0.2">
      <c r="AF39434" s="12"/>
    </row>
    <row r="39435" spans="32:32" x14ac:dyDescent="0.2">
      <c r="AF39435" s="12"/>
    </row>
    <row r="39436" spans="32:32" x14ac:dyDescent="0.2">
      <c r="AF39436" s="12"/>
    </row>
    <row r="39437" spans="32:32" x14ac:dyDescent="0.2">
      <c r="AF39437" s="12"/>
    </row>
    <row r="39438" spans="32:32" x14ac:dyDescent="0.2">
      <c r="AF39438" s="12"/>
    </row>
    <row r="39439" spans="32:32" x14ac:dyDescent="0.2">
      <c r="AF39439" s="12"/>
    </row>
    <row r="39440" spans="32:32" x14ac:dyDescent="0.2">
      <c r="AF39440" s="12"/>
    </row>
    <row r="39441" spans="32:32" x14ac:dyDescent="0.2">
      <c r="AF39441" s="12"/>
    </row>
    <row r="39442" spans="32:32" x14ac:dyDescent="0.2">
      <c r="AF39442" s="12"/>
    </row>
    <row r="39443" spans="32:32" x14ac:dyDescent="0.2">
      <c r="AF39443" s="12"/>
    </row>
    <row r="39444" spans="32:32" x14ac:dyDescent="0.2">
      <c r="AF39444" s="12"/>
    </row>
    <row r="39445" spans="32:32" x14ac:dyDescent="0.2">
      <c r="AF39445" s="12"/>
    </row>
    <row r="39446" spans="32:32" x14ac:dyDescent="0.2">
      <c r="AF39446" s="12"/>
    </row>
    <row r="39447" spans="32:32" x14ac:dyDescent="0.2">
      <c r="AF39447" s="12"/>
    </row>
    <row r="39448" spans="32:32" x14ac:dyDescent="0.2">
      <c r="AF39448" s="12"/>
    </row>
    <row r="39449" spans="32:32" x14ac:dyDescent="0.2">
      <c r="AF39449" s="12"/>
    </row>
    <row r="39450" spans="32:32" x14ac:dyDescent="0.2">
      <c r="AF39450" s="12"/>
    </row>
    <row r="39451" spans="32:32" x14ac:dyDescent="0.2">
      <c r="AF39451" s="12"/>
    </row>
    <row r="39452" spans="32:32" x14ac:dyDescent="0.2">
      <c r="AF39452" s="12"/>
    </row>
    <row r="39453" spans="32:32" x14ac:dyDescent="0.2">
      <c r="AF39453" s="12"/>
    </row>
    <row r="39454" spans="32:32" x14ac:dyDescent="0.2">
      <c r="AF39454" s="12"/>
    </row>
    <row r="39455" spans="32:32" x14ac:dyDescent="0.2">
      <c r="AF39455" s="12"/>
    </row>
    <row r="39456" spans="32:32" x14ac:dyDescent="0.2">
      <c r="AF39456" s="12"/>
    </row>
    <row r="39457" spans="32:32" x14ac:dyDescent="0.2">
      <c r="AF39457" s="12"/>
    </row>
    <row r="39458" spans="32:32" x14ac:dyDescent="0.2">
      <c r="AF39458" s="12"/>
    </row>
    <row r="39459" spans="32:32" x14ac:dyDescent="0.2">
      <c r="AF39459" s="12"/>
    </row>
    <row r="39460" spans="32:32" x14ac:dyDescent="0.2">
      <c r="AF39460" s="12"/>
    </row>
    <row r="39461" spans="32:32" x14ac:dyDescent="0.2">
      <c r="AF39461" s="12"/>
    </row>
    <row r="39462" spans="32:32" x14ac:dyDescent="0.2">
      <c r="AF39462" s="12"/>
    </row>
    <row r="39463" spans="32:32" x14ac:dyDescent="0.2">
      <c r="AF39463" s="12"/>
    </row>
    <row r="39464" spans="32:32" x14ac:dyDescent="0.2">
      <c r="AF39464" s="12"/>
    </row>
    <row r="39465" spans="32:32" x14ac:dyDescent="0.2">
      <c r="AF39465" s="12"/>
    </row>
    <row r="39466" spans="32:32" x14ac:dyDescent="0.2">
      <c r="AF39466" s="12"/>
    </row>
    <row r="39467" spans="32:32" x14ac:dyDescent="0.2">
      <c r="AF39467" s="12"/>
    </row>
    <row r="39468" spans="32:32" x14ac:dyDescent="0.2">
      <c r="AF39468" s="12"/>
    </row>
    <row r="39469" spans="32:32" x14ac:dyDescent="0.2">
      <c r="AF39469" s="12"/>
    </row>
    <row r="39470" spans="32:32" x14ac:dyDescent="0.2">
      <c r="AF39470" s="12"/>
    </row>
    <row r="39471" spans="32:32" x14ac:dyDescent="0.2">
      <c r="AF39471" s="12"/>
    </row>
    <row r="39472" spans="32:32" x14ac:dyDescent="0.2">
      <c r="AF39472" s="12"/>
    </row>
    <row r="39473" spans="32:32" x14ac:dyDescent="0.2">
      <c r="AF39473" s="12"/>
    </row>
    <row r="39474" spans="32:32" x14ac:dyDescent="0.2">
      <c r="AF39474" s="12"/>
    </row>
    <row r="39475" spans="32:32" x14ac:dyDescent="0.2">
      <c r="AF39475" s="12"/>
    </row>
    <row r="39476" spans="32:32" x14ac:dyDescent="0.2">
      <c r="AF39476" s="12"/>
    </row>
    <row r="39477" spans="32:32" x14ac:dyDescent="0.2">
      <c r="AF39477" s="12"/>
    </row>
    <row r="39478" spans="32:32" x14ac:dyDescent="0.2">
      <c r="AF39478" s="12"/>
    </row>
    <row r="39479" spans="32:32" x14ac:dyDescent="0.2">
      <c r="AF39479" s="12"/>
    </row>
    <row r="39480" spans="32:32" x14ac:dyDescent="0.2">
      <c r="AF39480" s="12"/>
    </row>
    <row r="39481" spans="32:32" x14ac:dyDescent="0.2">
      <c r="AF39481" s="12"/>
    </row>
    <row r="39482" spans="32:32" x14ac:dyDescent="0.2">
      <c r="AF39482" s="12"/>
    </row>
    <row r="39483" spans="32:32" x14ac:dyDescent="0.2">
      <c r="AF39483" s="12"/>
    </row>
    <row r="39484" spans="32:32" x14ac:dyDescent="0.2">
      <c r="AF39484" s="12"/>
    </row>
    <row r="39485" spans="32:32" x14ac:dyDescent="0.2">
      <c r="AF39485" s="12"/>
    </row>
    <row r="39486" spans="32:32" x14ac:dyDescent="0.2">
      <c r="AF39486" s="12"/>
    </row>
    <row r="39487" spans="32:32" x14ac:dyDescent="0.2">
      <c r="AF39487" s="12"/>
    </row>
    <row r="39488" spans="32:32" x14ac:dyDescent="0.2">
      <c r="AF39488" s="12"/>
    </row>
    <row r="39489" spans="32:32" x14ac:dyDescent="0.2">
      <c r="AF39489" s="12"/>
    </row>
    <row r="39490" spans="32:32" x14ac:dyDescent="0.2">
      <c r="AF39490" s="12"/>
    </row>
    <row r="39491" spans="32:32" x14ac:dyDescent="0.2">
      <c r="AF39491" s="12"/>
    </row>
    <row r="39492" spans="32:32" x14ac:dyDescent="0.2">
      <c r="AF39492" s="12"/>
    </row>
    <row r="39493" spans="32:32" x14ac:dyDescent="0.2">
      <c r="AF39493" s="12"/>
    </row>
    <row r="39494" spans="32:32" x14ac:dyDescent="0.2">
      <c r="AF39494" s="12"/>
    </row>
    <row r="39495" spans="32:32" x14ac:dyDescent="0.2">
      <c r="AF39495" s="12"/>
    </row>
    <row r="39496" spans="32:32" x14ac:dyDescent="0.2">
      <c r="AF39496" s="12"/>
    </row>
    <row r="39497" spans="32:32" x14ac:dyDescent="0.2">
      <c r="AF39497" s="12"/>
    </row>
    <row r="39498" spans="32:32" x14ac:dyDescent="0.2">
      <c r="AF39498" s="12"/>
    </row>
    <row r="39499" spans="32:32" x14ac:dyDescent="0.2">
      <c r="AF39499" s="12"/>
    </row>
    <row r="39500" spans="32:32" x14ac:dyDescent="0.2">
      <c r="AF39500" s="12"/>
    </row>
    <row r="39501" spans="32:32" x14ac:dyDescent="0.2">
      <c r="AF39501" s="12"/>
    </row>
    <row r="39502" spans="32:32" x14ac:dyDescent="0.2">
      <c r="AF39502" s="12"/>
    </row>
    <row r="39503" spans="32:32" x14ac:dyDescent="0.2">
      <c r="AF39503" s="12"/>
    </row>
    <row r="39504" spans="32:32" x14ac:dyDescent="0.2">
      <c r="AF39504" s="12"/>
    </row>
    <row r="39505" spans="32:32" x14ac:dyDescent="0.2">
      <c r="AF39505" s="12"/>
    </row>
    <row r="39506" spans="32:32" x14ac:dyDescent="0.2">
      <c r="AF39506" s="12"/>
    </row>
    <row r="39507" spans="32:32" x14ac:dyDescent="0.2">
      <c r="AF39507" s="12"/>
    </row>
    <row r="39508" spans="32:32" x14ac:dyDescent="0.2">
      <c r="AF39508" s="12"/>
    </row>
    <row r="39509" spans="32:32" x14ac:dyDescent="0.2">
      <c r="AF39509" s="12"/>
    </row>
    <row r="39510" spans="32:32" x14ac:dyDescent="0.2">
      <c r="AF39510" s="12"/>
    </row>
    <row r="39511" spans="32:32" x14ac:dyDescent="0.2">
      <c r="AF39511" s="12"/>
    </row>
    <row r="39512" spans="32:32" x14ac:dyDescent="0.2">
      <c r="AF39512" s="12"/>
    </row>
    <row r="39513" spans="32:32" x14ac:dyDescent="0.2">
      <c r="AF39513" s="12"/>
    </row>
    <row r="39514" spans="32:32" x14ac:dyDescent="0.2">
      <c r="AF39514" s="12"/>
    </row>
    <row r="39515" spans="32:32" x14ac:dyDescent="0.2">
      <c r="AF39515" s="12"/>
    </row>
    <row r="39516" spans="32:32" x14ac:dyDescent="0.2">
      <c r="AF39516" s="12"/>
    </row>
    <row r="39517" spans="32:32" x14ac:dyDescent="0.2">
      <c r="AF39517" s="12"/>
    </row>
    <row r="39518" spans="32:32" x14ac:dyDescent="0.2">
      <c r="AF39518" s="12"/>
    </row>
    <row r="39519" spans="32:32" x14ac:dyDescent="0.2">
      <c r="AF39519" s="12"/>
    </row>
    <row r="39520" spans="32:32" x14ac:dyDescent="0.2">
      <c r="AF39520" s="12"/>
    </row>
    <row r="39521" spans="32:32" x14ac:dyDescent="0.2">
      <c r="AF39521" s="12"/>
    </row>
    <row r="39522" spans="32:32" x14ac:dyDescent="0.2">
      <c r="AF39522" s="12"/>
    </row>
    <row r="39523" spans="32:32" x14ac:dyDescent="0.2">
      <c r="AF39523" s="12"/>
    </row>
    <row r="39524" spans="32:32" x14ac:dyDescent="0.2">
      <c r="AF39524" s="12"/>
    </row>
    <row r="39525" spans="32:32" x14ac:dyDescent="0.2">
      <c r="AF39525" s="12"/>
    </row>
    <row r="39526" spans="32:32" x14ac:dyDescent="0.2">
      <c r="AF39526" s="12"/>
    </row>
    <row r="39527" spans="32:32" x14ac:dyDescent="0.2">
      <c r="AF39527" s="12"/>
    </row>
    <row r="39528" spans="32:32" x14ac:dyDescent="0.2">
      <c r="AF39528" s="12"/>
    </row>
    <row r="39529" spans="32:32" x14ac:dyDescent="0.2">
      <c r="AF39529" s="12"/>
    </row>
    <row r="39530" spans="32:32" x14ac:dyDescent="0.2">
      <c r="AF39530" s="12"/>
    </row>
    <row r="39531" spans="32:32" x14ac:dyDescent="0.2">
      <c r="AF39531" s="12"/>
    </row>
    <row r="39532" spans="32:32" x14ac:dyDescent="0.2">
      <c r="AF39532" s="12"/>
    </row>
    <row r="39533" spans="32:32" x14ac:dyDescent="0.2">
      <c r="AF39533" s="12"/>
    </row>
    <row r="39534" spans="32:32" x14ac:dyDescent="0.2">
      <c r="AF39534" s="12"/>
    </row>
    <row r="39535" spans="32:32" x14ac:dyDescent="0.2">
      <c r="AF39535" s="12"/>
    </row>
    <row r="39536" spans="32:32" x14ac:dyDescent="0.2">
      <c r="AF39536" s="12"/>
    </row>
    <row r="39537" spans="32:32" x14ac:dyDescent="0.2">
      <c r="AF39537" s="12"/>
    </row>
    <row r="39538" spans="32:32" x14ac:dyDescent="0.2">
      <c r="AF39538" s="12"/>
    </row>
    <row r="39539" spans="32:32" x14ac:dyDescent="0.2">
      <c r="AF39539" s="12"/>
    </row>
    <row r="39540" spans="32:32" x14ac:dyDescent="0.2">
      <c r="AF39540" s="12"/>
    </row>
    <row r="39541" spans="32:32" x14ac:dyDescent="0.2">
      <c r="AF39541" s="12"/>
    </row>
    <row r="39542" spans="32:32" x14ac:dyDescent="0.2">
      <c r="AF39542" s="12"/>
    </row>
    <row r="39543" spans="32:32" x14ac:dyDescent="0.2">
      <c r="AF39543" s="12"/>
    </row>
    <row r="39544" spans="32:32" x14ac:dyDescent="0.2">
      <c r="AF39544" s="12"/>
    </row>
    <row r="39545" spans="32:32" x14ac:dyDescent="0.2">
      <c r="AF39545" s="12"/>
    </row>
    <row r="39546" spans="32:32" x14ac:dyDescent="0.2">
      <c r="AF39546" s="12"/>
    </row>
    <row r="39547" spans="32:32" x14ac:dyDescent="0.2">
      <c r="AF39547" s="12"/>
    </row>
    <row r="39548" spans="32:32" x14ac:dyDescent="0.2">
      <c r="AF39548" s="12"/>
    </row>
    <row r="39549" spans="32:32" x14ac:dyDescent="0.2">
      <c r="AF39549" s="12"/>
    </row>
    <row r="39550" spans="32:32" x14ac:dyDescent="0.2">
      <c r="AF39550" s="12"/>
    </row>
    <row r="39551" spans="32:32" x14ac:dyDescent="0.2">
      <c r="AF39551" s="12"/>
    </row>
    <row r="39552" spans="32:32" x14ac:dyDescent="0.2">
      <c r="AF39552" s="12"/>
    </row>
    <row r="39553" spans="32:32" x14ac:dyDescent="0.2">
      <c r="AF39553" s="12"/>
    </row>
    <row r="39554" spans="32:32" x14ac:dyDescent="0.2">
      <c r="AF39554" s="12"/>
    </row>
    <row r="39555" spans="32:32" x14ac:dyDescent="0.2">
      <c r="AF39555" s="12"/>
    </row>
    <row r="39556" spans="32:32" x14ac:dyDescent="0.2">
      <c r="AF39556" s="12"/>
    </row>
    <row r="39557" spans="32:32" x14ac:dyDescent="0.2">
      <c r="AF39557" s="12"/>
    </row>
    <row r="39558" spans="32:32" x14ac:dyDescent="0.2">
      <c r="AF39558" s="12"/>
    </row>
    <row r="39559" spans="32:32" x14ac:dyDescent="0.2">
      <c r="AF39559" s="12"/>
    </row>
    <row r="39560" spans="32:32" x14ac:dyDescent="0.2">
      <c r="AF39560" s="12"/>
    </row>
    <row r="39561" spans="32:32" x14ac:dyDescent="0.2">
      <c r="AF39561" s="12"/>
    </row>
    <row r="39562" spans="32:32" x14ac:dyDescent="0.2">
      <c r="AF39562" s="12"/>
    </row>
    <row r="39563" spans="32:32" x14ac:dyDescent="0.2">
      <c r="AF39563" s="12"/>
    </row>
    <row r="39564" spans="32:32" x14ac:dyDescent="0.2">
      <c r="AF39564" s="12"/>
    </row>
    <row r="39565" spans="32:32" x14ac:dyDescent="0.2">
      <c r="AF39565" s="12"/>
    </row>
    <row r="39566" spans="32:32" x14ac:dyDescent="0.2">
      <c r="AF39566" s="12"/>
    </row>
    <row r="39567" spans="32:32" x14ac:dyDescent="0.2">
      <c r="AF39567" s="12"/>
    </row>
    <row r="39568" spans="32:32" x14ac:dyDescent="0.2">
      <c r="AF39568" s="12"/>
    </row>
    <row r="39569" spans="32:32" x14ac:dyDescent="0.2">
      <c r="AF39569" s="12"/>
    </row>
    <row r="39570" spans="32:32" x14ac:dyDescent="0.2">
      <c r="AF39570" s="12"/>
    </row>
    <row r="39571" spans="32:32" x14ac:dyDescent="0.2">
      <c r="AF39571" s="12"/>
    </row>
    <row r="39572" spans="32:32" x14ac:dyDescent="0.2">
      <c r="AF39572" s="12"/>
    </row>
    <row r="39573" spans="32:32" x14ac:dyDescent="0.2">
      <c r="AF39573" s="12"/>
    </row>
    <row r="39574" spans="32:32" x14ac:dyDescent="0.2">
      <c r="AF39574" s="12"/>
    </row>
    <row r="39575" spans="32:32" x14ac:dyDescent="0.2">
      <c r="AF39575" s="12"/>
    </row>
    <row r="39576" spans="32:32" x14ac:dyDescent="0.2">
      <c r="AF39576" s="12"/>
    </row>
    <row r="39577" spans="32:32" x14ac:dyDescent="0.2">
      <c r="AF39577" s="12"/>
    </row>
    <row r="39578" spans="32:32" x14ac:dyDescent="0.2">
      <c r="AF39578" s="12"/>
    </row>
    <row r="39579" spans="32:32" x14ac:dyDescent="0.2">
      <c r="AF39579" s="12"/>
    </row>
    <row r="39580" spans="32:32" x14ac:dyDescent="0.2">
      <c r="AF39580" s="12"/>
    </row>
    <row r="39581" spans="32:32" x14ac:dyDescent="0.2">
      <c r="AF39581" s="12"/>
    </row>
    <row r="39582" spans="32:32" x14ac:dyDescent="0.2">
      <c r="AF39582" s="12"/>
    </row>
    <row r="39583" spans="32:32" x14ac:dyDescent="0.2">
      <c r="AF39583" s="12"/>
    </row>
    <row r="39584" spans="32:32" x14ac:dyDescent="0.2">
      <c r="AF39584" s="12"/>
    </row>
    <row r="39585" spans="32:32" x14ac:dyDescent="0.2">
      <c r="AF39585" s="12"/>
    </row>
    <row r="39586" spans="32:32" x14ac:dyDescent="0.2">
      <c r="AF39586" s="12"/>
    </row>
    <row r="39587" spans="32:32" x14ac:dyDescent="0.2">
      <c r="AF39587" s="12"/>
    </row>
    <row r="39588" spans="32:32" x14ac:dyDescent="0.2">
      <c r="AF39588" s="12"/>
    </row>
    <row r="39589" spans="32:32" x14ac:dyDescent="0.2">
      <c r="AF39589" s="12"/>
    </row>
    <row r="39590" spans="32:32" x14ac:dyDescent="0.2">
      <c r="AF39590" s="12"/>
    </row>
    <row r="39591" spans="32:32" x14ac:dyDescent="0.2">
      <c r="AF39591" s="12"/>
    </row>
    <row r="39592" spans="32:32" x14ac:dyDescent="0.2">
      <c r="AF39592" s="12"/>
    </row>
    <row r="39593" spans="32:32" x14ac:dyDescent="0.2">
      <c r="AF39593" s="12"/>
    </row>
    <row r="39594" spans="32:32" x14ac:dyDescent="0.2">
      <c r="AF39594" s="12"/>
    </row>
    <row r="39595" spans="32:32" x14ac:dyDescent="0.2">
      <c r="AF39595" s="12"/>
    </row>
    <row r="39596" spans="32:32" x14ac:dyDescent="0.2">
      <c r="AF39596" s="12"/>
    </row>
    <row r="39597" spans="32:32" x14ac:dyDescent="0.2">
      <c r="AF39597" s="12"/>
    </row>
    <row r="39598" spans="32:32" x14ac:dyDescent="0.2">
      <c r="AF39598" s="12"/>
    </row>
    <row r="39599" spans="32:32" x14ac:dyDescent="0.2">
      <c r="AF39599" s="12"/>
    </row>
    <row r="39600" spans="32:32" x14ac:dyDescent="0.2">
      <c r="AF39600" s="12"/>
    </row>
    <row r="39601" spans="32:32" x14ac:dyDescent="0.2">
      <c r="AF39601" s="12"/>
    </row>
    <row r="39602" spans="32:32" x14ac:dyDescent="0.2">
      <c r="AF39602" s="12"/>
    </row>
    <row r="39603" spans="32:32" x14ac:dyDescent="0.2">
      <c r="AF39603" s="12"/>
    </row>
    <row r="39604" spans="32:32" x14ac:dyDescent="0.2">
      <c r="AF39604" s="12"/>
    </row>
    <row r="39605" spans="32:32" x14ac:dyDescent="0.2">
      <c r="AF39605" s="12"/>
    </row>
    <row r="39606" spans="32:32" x14ac:dyDescent="0.2">
      <c r="AF39606" s="12"/>
    </row>
    <row r="39607" spans="32:32" x14ac:dyDescent="0.2">
      <c r="AF39607" s="12"/>
    </row>
    <row r="39608" spans="32:32" x14ac:dyDescent="0.2">
      <c r="AF39608" s="12"/>
    </row>
    <row r="39609" spans="32:32" x14ac:dyDescent="0.2">
      <c r="AF39609" s="12"/>
    </row>
    <row r="39610" spans="32:32" x14ac:dyDescent="0.2">
      <c r="AF39610" s="12"/>
    </row>
    <row r="39611" spans="32:32" x14ac:dyDescent="0.2">
      <c r="AF39611" s="12"/>
    </row>
    <row r="39612" spans="32:32" x14ac:dyDescent="0.2">
      <c r="AF39612" s="12"/>
    </row>
    <row r="39613" spans="32:32" x14ac:dyDescent="0.2">
      <c r="AF39613" s="12"/>
    </row>
    <row r="39614" spans="32:32" x14ac:dyDescent="0.2">
      <c r="AF39614" s="12"/>
    </row>
    <row r="39615" spans="32:32" x14ac:dyDescent="0.2">
      <c r="AF39615" s="12"/>
    </row>
    <row r="39616" spans="32:32" x14ac:dyDescent="0.2">
      <c r="AF39616" s="12"/>
    </row>
    <row r="39617" spans="32:32" x14ac:dyDescent="0.2">
      <c r="AF39617" s="12"/>
    </row>
    <row r="39618" spans="32:32" x14ac:dyDescent="0.2">
      <c r="AF39618" s="12"/>
    </row>
    <row r="39619" spans="32:32" x14ac:dyDescent="0.2">
      <c r="AF39619" s="12"/>
    </row>
    <row r="39620" spans="32:32" x14ac:dyDescent="0.2">
      <c r="AF39620" s="12"/>
    </row>
    <row r="39621" spans="32:32" x14ac:dyDescent="0.2">
      <c r="AF39621" s="12"/>
    </row>
    <row r="39622" spans="32:32" x14ac:dyDescent="0.2">
      <c r="AF39622" s="12"/>
    </row>
    <row r="39623" spans="32:32" x14ac:dyDescent="0.2">
      <c r="AF39623" s="12"/>
    </row>
    <row r="39624" spans="32:32" x14ac:dyDescent="0.2">
      <c r="AF39624" s="12"/>
    </row>
    <row r="39625" spans="32:32" x14ac:dyDescent="0.2">
      <c r="AF39625" s="12"/>
    </row>
    <row r="39626" spans="32:32" x14ac:dyDescent="0.2">
      <c r="AF39626" s="12"/>
    </row>
    <row r="39627" spans="32:32" x14ac:dyDescent="0.2">
      <c r="AF39627" s="12"/>
    </row>
    <row r="39628" spans="32:32" x14ac:dyDescent="0.2">
      <c r="AF39628" s="12"/>
    </row>
    <row r="39629" spans="32:32" x14ac:dyDescent="0.2">
      <c r="AF39629" s="12"/>
    </row>
    <row r="39630" spans="32:32" x14ac:dyDescent="0.2">
      <c r="AF39630" s="12"/>
    </row>
    <row r="39631" spans="32:32" x14ac:dyDescent="0.2">
      <c r="AF39631" s="12"/>
    </row>
    <row r="39632" spans="32:32" x14ac:dyDescent="0.2">
      <c r="AF39632" s="12"/>
    </row>
    <row r="39633" spans="32:32" x14ac:dyDescent="0.2">
      <c r="AF39633" s="12"/>
    </row>
    <row r="39634" spans="32:32" x14ac:dyDescent="0.2">
      <c r="AF39634" s="12"/>
    </row>
    <row r="39635" spans="32:32" x14ac:dyDescent="0.2">
      <c r="AF39635" s="12"/>
    </row>
    <row r="39636" spans="32:32" x14ac:dyDescent="0.2">
      <c r="AF39636" s="12"/>
    </row>
    <row r="39637" spans="32:32" x14ac:dyDescent="0.2">
      <c r="AF39637" s="12"/>
    </row>
    <row r="39638" spans="32:32" x14ac:dyDescent="0.2">
      <c r="AF39638" s="12"/>
    </row>
    <row r="39639" spans="32:32" x14ac:dyDescent="0.2">
      <c r="AF39639" s="12"/>
    </row>
    <row r="39640" spans="32:32" x14ac:dyDescent="0.2">
      <c r="AF39640" s="12"/>
    </row>
    <row r="39641" spans="32:32" x14ac:dyDescent="0.2">
      <c r="AF39641" s="12"/>
    </row>
    <row r="39642" spans="32:32" x14ac:dyDescent="0.2">
      <c r="AF39642" s="12"/>
    </row>
    <row r="39643" spans="32:32" x14ac:dyDescent="0.2">
      <c r="AF39643" s="12"/>
    </row>
    <row r="39644" spans="32:32" x14ac:dyDescent="0.2">
      <c r="AF39644" s="12"/>
    </row>
    <row r="39645" spans="32:32" x14ac:dyDescent="0.2">
      <c r="AF39645" s="12"/>
    </row>
    <row r="39646" spans="32:32" x14ac:dyDescent="0.2">
      <c r="AF39646" s="12"/>
    </row>
    <row r="39647" spans="32:32" x14ac:dyDescent="0.2">
      <c r="AF39647" s="12"/>
    </row>
    <row r="39648" spans="32:32" x14ac:dyDescent="0.2">
      <c r="AF39648" s="12"/>
    </row>
    <row r="39649" spans="32:32" x14ac:dyDescent="0.2">
      <c r="AF39649" s="12"/>
    </row>
    <row r="39650" spans="32:32" x14ac:dyDescent="0.2">
      <c r="AF39650" s="12"/>
    </row>
    <row r="39651" spans="32:32" x14ac:dyDescent="0.2">
      <c r="AF39651" s="12"/>
    </row>
    <row r="39652" spans="32:32" x14ac:dyDescent="0.2">
      <c r="AF39652" s="12"/>
    </row>
    <row r="39653" spans="32:32" x14ac:dyDescent="0.2">
      <c r="AF39653" s="12"/>
    </row>
    <row r="39654" spans="32:32" x14ac:dyDescent="0.2">
      <c r="AF39654" s="12"/>
    </row>
    <row r="39655" spans="32:32" x14ac:dyDescent="0.2">
      <c r="AF39655" s="12"/>
    </row>
    <row r="39656" spans="32:32" x14ac:dyDescent="0.2">
      <c r="AF39656" s="12"/>
    </row>
    <row r="39657" spans="32:32" x14ac:dyDescent="0.2">
      <c r="AF39657" s="12"/>
    </row>
    <row r="39658" spans="32:32" x14ac:dyDescent="0.2">
      <c r="AF39658" s="12"/>
    </row>
    <row r="39659" spans="32:32" x14ac:dyDescent="0.2">
      <c r="AF39659" s="12"/>
    </row>
    <row r="39660" spans="32:32" x14ac:dyDescent="0.2">
      <c r="AF39660" s="12"/>
    </row>
    <row r="39661" spans="32:32" x14ac:dyDescent="0.2">
      <c r="AF39661" s="12"/>
    </row>
    <row r="39662" spans="32:32" x14ac:dyDescent="0.2">
      <c r="AF39662" s="12"/>
    </row>
    <row r="39663" spans="32:32" x14ac:dyDescent="0.2">
      <c r="AF39663" s="12"/>
    </row>
    <row r="39664" spans="32:32" x14ac:dyDescent="0.2">
      <c r="AF39664" s="12"/>
    </row>
    <row r="39665" spans="32:32" x14ac:dyDescent="0.2">
      <c r="AF39665" s="12"/>
    </row>
    <row r="39666" spans="32:32" x14ac:dyDescent="0.2">
      <c r="AF39666" s="12"/>
    </row>
    <row r="39667" spans="32:32" x14ac:dyDescent="0.2">
      <c r="AF39667" s="12"/>
    </row>
    <row r="39668" spans="32:32" x14ac:dyDescent="0.2">
      <c r="AF39668" s="12"/>
    </row>
    <row r="39669" spans="32:32" x14ac:dyDescent="0.2">
      <c r="AF39669" s="12"/>
    </row>
    <row r="39670" spans="32:32" x14ac:dyDescent="0.2">
      <c r="AF39670" s="12"/>
    </row>
    <row r="39671" spans="32:32" x14ac:dyDescent="0.2">
      <c r="AF39671" s="12"/>
    </row>
    <row r="39672" spans="32:32" x14ac:dyDescent="0.2">
      <c r="AF39672" s="12"/>
    </row>
    <row r="39673" spans="32:32" x14ac:dyDescent="0.2">
      <c r="AF39673" s="12"/>
    </row>
    <row r="39674" spans="32:32" x14ac:dyDescent="0.2">
      <c r="AF39674" s="12"/>
    </row>
    <row r="39675" spans="32:32" x14ac:dyDescent="0.2">
      <c r="AF39675" s="12"/>
    </row>
    <row r="39676" spans="32:32" x14ac:dyDescent="0.2">
      <c r="AF39676" s="12"/>
    </row>
    <row r="39677" spans="32:32" x14ac:dyDescent="0.2">
      <c r="AF39677" s="12"/>
    </row>
    <row r="39678" spans="32:32" x14ac:dyDescent="0.2">
      <c r="AF39678" s="12"/>
    </row>
    <row r="39679" spans="32:32" x14ac:dyDescent="0.2">
      <c r="AF39679" s="12"/>
    </row>
    <row r="39680" spans="32:32" x14ac:dyDescent="0.2">
      <c r="AF39680" s="12"/>
    </row>
    <row r="39681" spans="32:32" x14ac:dyDescent="0.2">
      <c r="AF39681" s="12"/>
    </row>
    <row r="39682" spans="32:32" x14ac:dyDescent="0.2">
      <c r="AF39682" s="12"/>
    </row>
    <row r="39683" spans="32:32" x14ac:dyDescent="0.2">
      <c r="AF39683" s="12"/>
    </row>
    <row r="39684" spans="32:32" x14ac:dyDescent="0.2">
      <c r="AF39684" s="12"/>
    </row>
    <row r="39685" spans="32:32" x14ac:dyDescent="0.2">
      <c r="AF39685" s="12"/>
    </row>
    <row r="39686" spans="32:32" x14ac:dyDescent="0.2">
      <c r="AF39686" s="12"/>
    </row>
    <row r="39687" spans="32:32" x14ac:dyDescent="0.2">
      <c r="AF39687" s="12"/>
    </row>
    <row r="39688" spans="32:32" x14ac:dyDescent="0.2">
      <c r="AF39688" s="12"/>
    </row>
    <row r="39689" spans="32:32" x14ac:dyDescent="0.2">
      <c r="AF39689" s="12"/>
    </row>
    <row r="39690" spans="32:32" x14ac:dyDescent="0.2">
      <c r="AF39690" s="12"/>
    </row>
    <row r="39691" spans="32:32" x14ac:dyDescent="0.2">
      <c r="AF39691" s="12"/>
    </row>
    <row r="39692" spans="32:32" x14ac:dyDescent="0.2">
      <c r="AF39692" s="12"/>
    </row>
    <row r="39693" spans="32:32" x14ac:dyDescent="0.2">
      <c r="AF39693" s="12"/>
    </row>
    <row r="39694" spans="32:32" x14ac:dyDescent="0.2">
      <c r="AF39694" s="12"/>
    </row>
    <row r="39695" spans="32:32" x14ac:dyDescent="0.2">
      <c r="AF39695" s="12"/>
    </row>
    <row r="39696" spans="32:32" x14ac:dyDescent="0.2">
      <c r="AF39696" s="12"/>
    </row>
    <row r="39697" spans="32:32" x14ac:dyDescent="0.2">
      <c r="AF39697" s="12"/>
    </row>
    <row r="39698" spans="32:32" x14ac:dyDescent="0.2">
      <c r="AF39698" s="12"/>
    </row>
    <row r="39699" spans="32:32" x14ac:dyDescent="0.2">
      <c r="AF39699" s="12"/>
    </row>
    <row r="39700" spans="32:32" x14ac:dyDescent="0.2">
      <c r="AF39700" s="12"/>
    </row>
    <row r="39701" spans="32:32" x14ac:dyDescent="0.2">
      <c r="AF39701" s="12"/>
    </row>
    <row r="39702" spans="32:32" x14ac:dyDescent="0.2">
      <c r="AF39702" s="12"/>
    </row>
    <row r="39703" spans="32:32" x14ac:dyDescent="0.2">
      <c r="AF39703" s="12"/>
    </row>
    <row r="39704" spans="32:32" x14ac:dyDescent="0.2">
      <c r="AF39704" s="12"/>
    </row>
    <row r="39705" spans="32:32" x14ac:dyDescent="0.2">
      <c r="AF39705" s="12"/>
    </row>
    <row r="39706" spans="32:32" x14ac:dyDescent="0.2">
      <c r="AF39706" s="12"/>
    </row>
    <row r="39707" spans="32:32" x14ac:dyDescent="0.2">
      <c r="AF39707" s="12"/>
    </row>
    <row r="39708" spans="32:32" x14ac:dyDescent="0.2">
      <c r="AF39708" s="12"/>
    </row>
    <row r="39709" spans="32:32" x14ac:dyDescent="0.2">
      <c r="AF39709" s="12"/>
    </row>
    <row r="39710" spans="32:32" x14ac:dyDescent="0.2">
      <c r="AF39710" s="12"/>
    </row>
    <row r="39711" spans="32:32" x14ac:dyDescent="0.2">
      <c r="AF39711" s="12"/>
    </row>
    <row r="39712" spans="32:32" x14ac:dyDescent="0.2">
      <c r="AF39712" s="12"/>
    </row>
    <row r="39713" spans="32:32" x14ac:dyDescent="0.2">
      <c r="AF39713" s="12"/>
    </row>
    <row r="39714" spans="32:32" x14ac:dyDescent="0.2">
      <c r="AF39714" s="12"/>
    </row>
    <row r="39715" spans="32:32" x14ac:dyDescent="0.2">
      <c r="AF39715" s="12"/>
    </row>
    <row r="39716" spans="32:32" x14ac:dyDescent="0.2">
      <c r="AF39716" s="12"/>
    </row>
    <row r="39717" spans="32:32" x14ac:dyDescent="0.2">
      <c r="AF39717" s="12"/>
    </row>
    <row r="39718" spans="32:32" x14ac:dyDescent="0.2">
      <c r="AF39718" s="12"/>
    </row>
    <row r="39719" spans="32:32" x14ac:dyDescent="0.2">
      <c r="AF39719" s="12"/>
    </row>
    <row r="39720" spans="32:32" x14ac:dyDescent="0.2">
      <c r="AF39720" s="12"/>
    </row>
    <row r="39721" spans="32:32" x14ac:dyDescent="0.2">
      <c r="AF39721" s="12"/>
    </row>
    <row r="39722" spans="32:32" x14ac:dyDescent="0.2">
      <c r="AF39722" s="12"/>
    </row>
    <row r="39723" spans="32:32" x14ac:dyDescent="0.2">
      <c r="AF39723" s="12"/>
    </row>
    <row r="39724" spans="32:32" x14ac:dyDescent="0.2">
      <c r="AF39724" s="12"/>
    </row>
    <row r="39725" spans="32:32" x14ac:dyDescent="0.2">
      <c r="AF39725" s="12"/>
    </row>
    <row r="39726" spans="32:32" x14ac:dyDescent="0.2">
      <c r="AF39726" s="12"/>
    </row>
    <row r="39727" spans="32:32" x14ac:dyDescent="0.2">
      <c r="AF39727" s="12"/>
    </row>
    <row r="39728" spans="32:32" x14ac:dyDescent="0.2">
      <c r="AF39728" s="12"/>
    </row>
    <row r="39729" spans="32:32" x14ac:dyDescent="0.2">
      <c r="AF39729" s="12"/>
    </row>
    <row r="39730" spans="32:32" x14ac:dyDescent="0.2">
      <c r="AF39730" s="12"/>
    </row>
    <row r="39731" spans="32:32" x14ac:dyDescent="0.2">
      <c r="AF39731" s="12"/>
    </row>
    <row r="39732" spans="32:32" x14ac:dyDescent="0.2">
      <c r="AF39732" s="12"/>
    </row>
    <row r="39733" spans="32:32" x14ac:dyDescent="0.2">
      <c r="AF39733" s="12"/>
    </row>
    <row r="39734" spans="32:32" x14ac:dyDescent="0.2">
      <c r="AF39734" s="12"/>
    </row>
    <row r="39735" spans="32:32" x14ac:dyDescent="0.2">
      <c r="AF39735" s="12"/>
    </row>
    <row r="39736" spans="32:32" x14ac:dyDescent="0.2">
      <c r="AF39736" s="12"/>
    </row>
    <row r="39737" spans="32:32" x14ac:dyDescent="0.2">
      <c r="AF39737" s="12"/>
    </row>
    <row r="39738" spans="32:32" x14ac:dyDescent="0.2">
      <c r="AF39738" s="12"/>
    </row>
    <row r="39739" spans="32:32" x14ac:dyDescent="0.2">
      <c r="AF39739" s="12"/>
    </row>
    <row r="39740" spans="32:32" x14ac:dyDescent="0.2">
      <c r="AF39740" s="12"/>
    </row>
    <row r="39741" spans="32:32" x14ac:dyDescent="0.2">
      <c r="AF39741" s="12"/>
    </row>
    <row r="39742" spans="32:32" x14ac:dyDescent="0.2">
      <c r="AF39742" s="12"/>
    </row>
    <row r="39743" spans="32:32" x14ac:dyDescent="0.2">
      <c r="AF39743" s="12"/>
    </row>
    <row r="39744" spans="32:32" x14ac:dyDescent="0.2">
      <c r="AF39744" s="12"/>
    </row>
    <row r="39745" spans="32:32" x14ac:dyDescent="0.2">
      <c r="AF39745" s="12"/>
    </row>
    <row r="39746" spans="32:32" x14ac:dyDescent="0.2">
      <c r="AF39746" s="12"/>
    </row>
    <row r="39747" spans="32:32" x14ac:dyDescent="0.2">
      <c r="AF39747" s="12"/>
    </row>
    <row r="39748" spans="32:32" x14ac:dyDescent="0.2">
      <c r="AF39748" s="12"/>
    </row>
    <row r="39749" spans="32:32" x14ac:dyDescent="0.2">
      <c r="AF39749" s="12"/>
    </row>
    <row r="39750" spans="32:32" x14ac:dyDescent="0.2">
      <c r="AF39750" s="12"/>
    </row>
    <row r="39751" spans="32:32" x14ac:dyDescent="0.2">
      <c r="AF39751" s="12"/>
    </row>
    <row r="39752" spans="32:32" x14ac:dyDescent="0.2">
      <c r="AF39752" s="12"/>
    </row>
    <row r="39753" spans="32:32" x14ac:dyDescent="0.2">
      <c r="AF39753" s="12"/>
    </row>
    <row r="39754" spans="32:32" x14ac:dyDescent="0.2">
      <c r="AF39754" s="12"/>
    </row>
    <row r="39755" spans="32:32" x14ac:dyDescent="0.2">
      <c r="AF39755" s="12"/>
    </row>
    <row r="39756" spans="32:32" x14ac:dyDescent="0.2">
      <c r="AF39756" s="12"/>
    </row>
    <row r="39757" spans="32:32" x14ac:dyDescent="0.2">
      <c r="AF39757" s="12"/>
    </row>
    <row r="39758" spans="32:32" x14ac:dyDescent="0.2">
      <c r="AF39758" s="12"/>
    </row>
    <row r="39759" spans="32:32" x14ac:dyDescent="0.2">
      <c r="AF39759" s="12"/>
    </row>
    <row r="39760" spans="32:32" x14ac:dyDescent="0.2">
      <c r="AF39760" s="12"/>
    </row>
    <row r="39761" spans="32:32" x14ac:dyDescent="0.2">
      <c r="AF39761" s="12"/>
    </row>
    <row r="39762" spans="32:32" x14ac:dyDescent="0.2">
      <c r="AF39762" s="12"/>
    </row>
    <row r="39763" spans="32:32" x14ac:dyDescent="0.2">
      <c r="AF39763" s="12"/>
    </row>
    <row r="39764" spans="32:32" x14ac:dyDescent="0.2">
      <c r="AF39764" s="12"/>
    </row>
    <row r="39765" spans="32:32" x14ac:dyDescent="0.2">
      <c r="AF39765" s="12"/>
    </row>
    <row r="39766" spans="32:32" x14ac:dyDescent="0.2">
      <c r="AF39766" s="12"/>
    </row>
    <row r="39767" spans="32:32" x14ac:dyDescent="0.2">
      <c r="AF39767" s="12"/>
    </row>
    <row r="39768" spans="32:32" x14ac:dyDescent="0.2">
      <c r="AF39768" s="12"/>
    </row>
    <row r="39769" spans="32:32" x14ac:dyDescent="0.2">
      <c r="AF39769" s="12"/>
    </row>
    <row r="39770" spans="32:32" x14ac:dyDescent="0.2">
      <c r="AF39770" s="12"/>
    </row>
    <row r="39771" spans="32:32" x14ac:dyDescent="0.2">
      <c r="AF39771" s="12"/>
    </row>
    <row r="39772" spans="32:32" x14ac:dyDescent="0.2">
      <c r="AF39772" s="12"/>
    </row>
    <row r="39773" spans="32:32" x14ac:dyDescent="0.2">
      <c r="AF39773" s="12"/>
    </row>
    <row r="39774" spans="32:32" x14ac:dyDescent="0.2">
      <c r="AF39774" s="12"/>
    </row>
    <row r="39775" spans="32:32" x14ac:dyDescent="0.2">
      <c r="AF39775" s="12"/>
    </row>
    <row r="39776" spans="32:32" x14ac:dyDescent="0.2">
      <c r="AF39776" s="12"/>
    </row>
    <row r="39777" spans="32:32" x14ac:dyDescent="0.2">
      <c r="AF39777" s="12"/>
    </row>
    <row r="39778" spans="32:32" x14ac:dyDescent="0.2">
      <c r="AF39778" s="12"/>
    </row>
    <row r="39779" spans="32:32" x14ac:dyDescent="0.2">
      <c r="AF39779" s="12"/>
    </row>
    <row r="39780" spans="32:32" x14ac:dyDescent="0.2">
      <c r="AF39780" s="12"/>
    </row>
    <row r="39781" spans="32:32" x14ac:dyDescent="0.2">
      <c r="AF39781" s="12"/>
    </row>
    <row r="39782" spans="32:32" x14ac:dyDescent="0.2">
      <c r="AF39782" s="12"/>
    </row>
    <row r="39783" spans="32:32" x14ac:dyDescent="0.2">
      <c r="AF39783" s="12"/>
    </row>
    <row r="39784" spans="32:32" x14ac:dyDescent="0.2">
      <c r="AF39784" s="12"/>
    </row>
    <row r="39785" spans="32:32" x14ac:dyDescent="0.2">
      <c r="AF39785" s="12"/>
    </row>
    <row r="39786" spans="32:32" x14ac:dyDescent="0.2">
      <c r="AF39786" s="12"/>
    </row>
    <row r="39787" spans="32:32" x14ac:dyDescent="0.2">
      <c r="AF39787" s="12"/>
    </row>
    <row r="39788" spans="32:32" x14ac:dyDescent="0.2">
      <c r="AF39788" s="12"/>
    </row>
    <row r="39789" spans="32:32" x14ac:dyDescent="0.2">
      <c r="AF39789" s="12"/>
    </row>
    <row r="39790" spans="32:32" x14ac:dyDescent="0.2">
      <c r="AF39790" s="12"/>
    </row>
    <row r="39791" spans="32:32" x14ac:dyDescent="0.2">
      <c r="AF39791" s="12"/>
    </row>
    <row r="39792" spans="32:32" x14ac:dyDescent="0.2">
      <c r="AF39792" s="12"/>
    </row>
    <row r="39793" spans="32:32" x14ac:dyDescent="0.2">
      <c r="AF39793" s="12"/>
    </row>
    <row r="39794" spans="32:32" x14ac:dyDescent="0.2">
      <c r="AF39794" s="12"/>
    </row>
    <row r="39795" spans="32:32" x14ac:dyDescent="0.2">
      <c r="AF39795" s="12"/>
    </row>
    <row r="39796" spans="32:32" x14ac:dyDescent="0.2">
      <c r="AF39796" s="12"/>
    </row>
    <row r="39797" spans="32:32" x14ac:dyDescent="0.2">
      <c r="AF39797" s="12"/>
    </row>
    <row r="39798" spans="32:32" x14ac:dyDescent="0.2">
      <c r="AF39798" s="12"/>
    </row>
    <row r="39799" spans="32:32" x14ac:dyDescent="0.2">
      <c r="AF39799" s="12"/>
    </row>
    <row r="39800" spans="32:32" x14ac:dyDescent="0.2">
      <c r="AF39800" s="12"/>
    </row>
    <row r="39801" spans="32:32" x14ac:dyDescent="0.2">
      <c r="AF39801" s="12"/>
    </row>
    <row r="39802" spans="32:32" x14ac:dyDescent="0.2">
      <c r="AF39802" s="12"/>
    </row>
    <row r="39803" spans="32:32" x14ac:dyDescent="0.2">
      <c r="AF39803" s="12"/>
    </row>
    <row r="39804" spans="32:32" x14ac:dyDescent="0.2">
      <c r="AF39804" s="12"/>
    </row>
    <row r="39805" spans="32:32" x14ac:dyDescent="0.2">
      <c r="AF39805" s="12"/>
    </row>
    <row r="39806" spans="32:32" x14ac:dyDescent="0.2">
      <c r="AF39806" s="12"/>
    </row>
    <row r="39807" spans="32:32" x14ac:dyDescent="0.2">
      <c r="AF39807" s="12"/>
    </row>
    <row r="39808" spans="32:32" x14ac:dyDescent="0.2">
      <c r="AF39808" s="12"/>
    </row>
    <row r="39809" spans="32:32" x14ac:dyDescent="0.2">
      <c r="AF39809" s="12"/>
    </row>
    <row r="39810" spans="32:32" x14ac:dyDescent="0.2">
      <c r="AF39810" s="12"/>
    </row>
    <row r="39811" spans="32:32" x14ac:dyDescent="0.2">
      <c r="AF39811" s="12"/>
    </row>
    <row r="39812" spans="32:32" x14ac:dyDescent="0.2">
      <c r="AF39812" s="12"/>
    </row>
    <row r="39813" spans="32:32" x14ac:dyDescent="0.2">
      <c r="AF39813" s="12"/>
    </row>
    <row r="39814" spans="32:32" x14ac:dyDescent="0.2">
      <c r="AF39814" s="12"/>
    </row>
    <row r="39815" spans="32:32" x14ac:dyDescent="0.2">
      <c r="AF39815" s="12"/>
    </row>
    <row r="39816" spans="32:32" x14ac:dyDescent="0.2">
      <c r="AF39816" s="12"/>
    </row>
    <row r="39817" spans="32:32" x14ac:dyDescent="0.2">
      <c r="AF39817" s="12"/>
    </row>
    <row r="39818" spans="32:32" x14ac:dyDescent="0.2">
      <c r="AF39818" s="12"/>
    </row>
    <row r="39819" spans="32:32" x14ac:dyDescent="0.2">
      <c r="AF39819" s="12"/>
    </row>
    <row r="39820" spans="32:32" x14ac:dyDescent="0.2">
      <c r="AF39820" s="12"/>
    </row>
    <row r="39821" spans="32:32" x14ac:dyDescent="0.2">
      <c r="AF39821" s="12"/>
    </row>
    <row r="39822" spans="32:32" x14ac:dyDescent="0.2">
      <c r="AF39822" s="12"/>
    </row>
    <row r="39823" spans="32:32" x14ac:dyDescent="0.2">
      <c r="AF39823" s="12"/>
    </row>
    <row r="39824" spans="32:32" x14ac:dyDescent="0.2">
      <c r="AF39824" s="12"/>
    </row>
    <row r="39825" spans="32:32" x14ac:dyDescent="0.2">
      <c r="AF39825" s="12"/>
    </row>
    <row r="39826" spans="32:32" x14ac:dyDescent="0.2">
      <c r="AF39826" s="12"/>
    </row>
    <row r="39827" spans="32:32" x14ac:dyDescent="0.2">
      <c r="AF39827" s="12"/>
    </row>
    <row r="39828" spans="32:32" x14ac:dyDescent="0.2">
      <c r="AF39828" s="12"/>
    </row>
    <row r="39829" spans="32:32" x14ac:dyDescent="0.2">
      <c r="AF39829" s="12"/>
    </row>
    <row r="39830" spans="32:32" x14ac:dyDescent="0.2">
      <c r="AF39830" s="12"/>
    </row>
    <row r="39831" spans="32:32" x14ac:dyDescent="0.2">
      <c r="AF39831" s="12"/>
    </row>
    <row r="39832" spans="32:32" x14ac:dyDescent="0.2">
      <c r="AF39832" s="12"/>
    </row>
    <row r="39833" spans="32:32" x14ac:dyDescent="0.2">
      <c r="AF39833" s="12"/>
    </row>
    <row r="39834" spans="32:32" x14ac:dyDescent="0.2">
      <c r="AF39834" s="12"/>
    </row>
    <row r="39835" spans="32:32" x14ac:dyDescent="0.2">
      <c r="AF39835" s="12"/>
    </row>
    <row r="39836" spans="32:32" x14ac:dyDescent="0.2">
      <c r="AF39836" s="12"/>
    </row>
    <row r="39837" spans="32:32" x14ac:dyDescent="0.2">
      <c r="AF39837" s="12"/>
    </row>
    <row r="39838" spans="32:32" x14ac:dyDescent="0.2">
      <c r="AF39838" s="12"/>
    </row>
    <row r="39839" spans="32:32" x14ac:dyDescent="0.2">
      <c r="AF39839" s="12"/>
    </row>
    <row r="39840" spans="32:32" x14ac:dyDescent="0.2">
      <c r="AF39840" s="12"/>
    </row>
    <row r="39841" spans="32:32" x14ac:dyDescent="0.2">
      <c r="AF39841" s="12"/>
    </row>
    <row r="39842" spans="32:32" x14ac:dyDescent="0.2">
      <c r="AF39842" s="12"/>
    </row>
    <row r="39843" spans="32:32" x14ac:dyDescent="0.2">
      <c r="AF39843" s="12"/>
    </row>
    <row r="39844" spans="32:32" x14ac:dyDescent="0.2">
      <c r="AF39844" s="12"/>
    </row>
    <row r="39845" spans="32:32" x14ac:dyDescent="0.2">
      <c r="AF39845" s="12"/>
    </row>
    <row r="39846" spans="32:32" x14ac:dyDescent="0.2">
      <c r="AF39846" s="12"/>
    </row>
    <row r="39847" spans="32:32" x14ac:dyDescent="0.2">
      <c r="AF39847" s="12"/>
    </row>
    <row r="39848" spans="32:32" x14ac:dyDescent="0.2">
      <c r="AF39848" s="12"/>
    </row>
    <row r="39849" spans="32:32" x14ac:dyDescent="0.2">
      <c r="AF39849" s="12"/>
    </row>
    <row r="39850" spans="32:32" x14ac:dyDescent="0.2">
      <c r="AF39850" s="12"/>
    </row>
    <row r="39851" spans="32:32" x14ac:dyDescent="0.2">
      <c r="AF39851" s="12"/>
    </row>
    <row r="39852" spans="32:32" x14ac:dyDescent="0.2">
      <c r="AF39852" s="12"/>
    </row>
    <row r="39853" spans="32:32" x14ac:dyDescent="0.2">
      <c r="AF39853" s="12"/>
    </row>
    <row r="39854" spans="32:32" x14ac:dyDescent="0.2">
      <c r="AF39854" s="12"/>
    </row>
    <row r="39855" spans="32:32" x14ac:dyDescent="0.2">
      <c r="AF39855" s="12"/>
    </row>
    <row r="39856" spans="32:32" x14ac:dyDescent="0.2">
      <c r="AF39856" s="12"/>
    </row>
    <row r="39857" spans="32:32" x14ac:dyDescent="0.2">
      <c r="AF39857" s="12"/>
    </row>
    <row r="39858" spans="32:32" x14ac:dyDescent="0.2">
      <c r="AF39858" s="12"/>
    </row>
    <row r="39859" spans="32:32" x14ac:dyDescent="0.2">
      <c r="AF39859" s="12"/>
    </row>
    <row r="39860" spans="32:32" x14ac:dyDescent="0.2">
      <c r="AF39860" s="12"/>
    </row>
    <row r="39861" spans="32:32" x14ac:dyDescent="0.2">
      <c r="AF39861" s="12"/>
    </row>
    <row r="39862" spans="32:32" x14ac:dyDescent="0.2">
      <c r="AF39862" s="12"/>
    </row>
    <row r="39863" spans="32:32" x14ac:dyDescent="0.2">
      <c r="AF39863" s="12"/>
    </row>
    <row r="39864" spans="32:32" x14ac:dyDescent="0.2">
      <c r="AF39864" s="12"/>
    </row>
    <row r="39865" spans="32:32" x14ac:dyDescent="0.2">
      <c r="AF39865" s="12"/>
    </row>
    <row r="39866" spans="32:32" x14ac:dyDescent="0.2">
      <c r="AF39866" s="12"/>
    </row>
    <row r="39867" spans="32:32" x14ac:dyDescent="0.2">
      <c r="AF39867" s="12"/>
    </row>
    <row r="39868" spans="32:32" x14ac:dyDescent="0.2">
      <c r="AF39868" s="12"/>
    </row>
    <row r="39869" spans="32:32" x14ac:dyDescent="0.2">
      <c r="AF39869" s="12"/>
    </row>
    <row r="39870" spans="32:32" x14ac:dyDescent="0.2">
      <c r="AF39870" s="12"/>
    </row>
    <row r="39871" spans="32:32" x14ac:dyDescent="0.2">
      <c r="AF39871" s="12"/>
    </row>
    <row r="39872" spans="32:32" x14ac:dyDescent="0.2">
      <c r="AF39872" s="12"/>
    </row>
    <row r="39873" spans="32:32" x14ac:dyDescent="0.2">
      <c r="AF39873" s="12"/>
    </row>
    <row r="39874" spans="32:32" x14ac:dyDescent="0.2">
      <c r="AF39874" s="12"/>
    </row>
    <row r="39875" spans="32:32" x14ac:dyDescent="0.2">
      <c r="AF39875" s="12"/>
    </row>
    <row r="39876" spans="32:32" x14ac:dyDescent="0.2">
      <c r="AF39876" s="12"/>
    </row>
    <row r="39877" spans="32:32" x14ac:dyDescent="0.2">
      <c r="AF39877" s="12"/>
    </row>
    <row r="39878" spans="32:32" x14ac:dyDescent="0.2">
      <c r="AF39878" s="12"/>
    </row>
    <row r="39879" spans="32:32" x14ac:dyDescent="0.2">
      <c r="AF39879" s="12"/>
    </row>
    <row r="39880" spans="32:32" x14ac:dyDescent="0.2">
      <c r="AF39880" s="12"/>
    </row>
    <row r="39881" spans="32:32" x14ac:dyDescent="0.2">
      <c r="AF39881" s="12"/>
    </row>
    <row r="39882" spans="32:32" x14ac:dyDescent="0.2">
      <c r="AF39882" s="12"/>
    </row>
    <row r="39883" spans="32:32" x14ac:dyDescent="0.2">
      <c r="AF39883" s="12"/>
    </row>
    <row r="39884" spans="32:32" x14ac:dyDescent="0.2">
      <c r="AF39884" s="12"/>
    </row>
    <row r="39885" spans="32:32" x14ac:dyDescent="0.2">
      <c r="AF39885" s="12"/>
    </row>
    <row r="39886" spans="32:32" x14ac:dyDescent="0.2">
      <c r="AF39886" s="12"/>
    </row>
    <row r="39887" spans="32:32" x14ac:dyDescent="0.2">
      <c r="AF39887" s="12"/>
    </row>
    <row r="39888" spans="32:32" x14ac:dyDescent="0.2">
      <c r="AF39888" s="12"/>
    </row>
    <row r="39889" spans="32:32" x14ac:dyDescent="0.2">
      <c r="AF39889" s="12"/>
    </row>
    <row r="39890" spans="32:32" x14ac:dyDescent="0.2">
      <c r="AF39890" s="12"/>
    </row>
    <row r="39891" spans="32:32" x14ac:dyDescent="0.2">
      <c r="AF39891" s="12"/>
    </row>
    <row r="39892" spans="32:32" x14ac:dyDescent="0.2">
      <c r="AF39892" s="12"/>
    </row>
    <row r="39893" spans="32:32" x14ac:dyDescent="0.2">
      <c r="AF39893" s="12"/>
    </row>
    <row r="39894" spans="32:32" x14ac:dyDescent="0.2">
      <c r="AF39894" s="12"/>
    </row>
    <row r="39895" spans="32:32" x14ac:dyDescent="0.2">
      <c r="AF39895" s="12"/>
    </row>
    <row r="39896" spans="32:32" x14ac:dyDescent="0.2">
      <c r="AF39896" s="12"/>
    </row>
    <row r="39897" spans="32:32" x14ac:dyDescent="0.2">
      <c r="AF39897" s="12"/>
    </row>
    <row r="39898" spans="32:32" x14ac:dyDescent="0.2">
      <c r="AF39898" s="12"/>
    </row>
    <row r="39899" spans="32:32" x14ac:dyDescent="0.2">
      <c r="AF39899" s="12"/>
    </row>
    <row r="39900" spans="32:32" x14ac:dyDescent="0.2">
      <c r="AF39900" s="12"/>
    </row>
    <row r="39901" spans="32:32" x14ac:dyDescent="0.2">
      <c r="AF39901" s="12"/>
    </row>
    <row r="39902" spans="32:32" x14ac:dyDescent="0.2">
      <c r="AF39902" s="12"/>
    </row>
    <row r="39903" spans="32:32" x14ac:dyDescent="0.2">
      <c r="AF39903" s="12"/>
    </row>
    <row r="39904" spans="32:32" x14ac:dyDescent="0.2">
      <c r="AF39904" s="12"/>
    </row>
    <row r="39905" spans="32:32" x14ac:dyDescent="0.2">
      <c r="AF39905" s="12"/>
    </row>
    <row r="39906" spans="32:32" x14ac:dyDescent="0.2">
      <c r="AF39906" s="12"/>
    </row>
    <row r="39907" spans="32:32" x14ac:dyDescent="0.2">
      <c r="AF39907" s="12"/>
    </row>
    <row r="39908" spans="32:32" x14ac:dyDescent="0.2">
      <c r="AF39908" s="12"/>
    </row>
    <row r="39909" spans="32:32" x14ac:dyDescent="0.2">
      <c r="AF39909" s="12"/>
    </row>
    <row r="39910" spans="32:32" x14ac:dyDescent="0.2">
      <c r="AF39910" s="12"/>
    </row>
    <row r="39911" spans="32:32" x14ac:dyDescent="0.2">
      <c r="AF39911" s="12"/>
    </row>
    <row r="39912" spans="32:32" x14ac:dyDescent="0.2">
      <c r="AF39912" s="12"/>
    </row>
    <row r="39913" spans="32:32" x14ac:dyDescent="0.2">
      <c r="AF39913" s="12"/>
    </row>
    <row r="39914" spans="32:32" x14ac:dyDescent="0.2">
      <c r="AF39914" s="12"/>
    </row>
    <row r="39915" spans="32:32" x14ac:dyDescent="0.2">
      <c r="AF39915" s="12"/>
    </row>
    <row r="39916" spans="32:32" x14ac:dyDescent="0.2">
      <c r="AF39916" s="12"/>
    </row>
    <row r="39917" spans="32:32" x14ac:dyDescent="0.2">
      <c r="AF39917" s="12"/>
    </row>
    <row r="39918" spans="32:32" x14ac:dyDescent="0.2">
      <c r="AF39918" s="12"/>
    </row>
    <row r="39919" spans="32:32" x14ac:dyDescent="0.2">
      <c r="AF39919" s="12"/>
    </row>
    <row r="39920" spans="32:32" x14ac:dyDescent="0.2">
      <c r="AF39920" s="12"/>
    </row>
    <row r="39921" spans="32:32" x14ac:dyDescent="0.2">
      <c r="AF39921" s="12"/>
    </row>
    <row r="39922" spans="32:32" x14ac:dyDescent="0.2">
      <c r="AF39922" s="12"/>
    </row>
    <row r="39923" spans="32:32" x14ac:dyDescent="0.2">
      <c r="AF39923" s="12"/>
    </row>
    <row r="39924" spans="32:32" x14ac:dyDescent="0.2">
      <c r="AF39924" s="12"/>
    </row>
    <row r="39925" spans="32:32" x14ac:dyDescent="0.2">
      <c r="AF39925" s="12"/>
    </row>
    <row r="39926" spans="32:32" x14ac:dyDescent="0.2">
      <c r="AF39926" s="12"/>
    </row>
    <row r="39927" spans="32:32" x14ac:dyDescent="0.2">
      <c r="AF39927" s="12"/>
    </row>
    <row r="39928" spans="32:32" x14ac:dyDescent="0.2">
      <c r="AF39928" s="12"/>
    </row>
    <row r="39929" spans="32:32" x14ac:dyDescent="0.2">
      <c r="AF39929" s="12"/>
    </row>
    <row r="39930" spans="32:32" x14ac:dyDescent="0.2">
      <c r="AF39930" s="12"/>
    </row>
    <row r="39931" spans="32:32" x14ac:dyDescent="0.2">
      <c r="AF39931" s="12"/>
    </row>
    <row r="39932" spans="32:32" x14ac:dyDescent="0.2">
      <c r="AF39932" s="12"/>
    </row>
    <row r="39933" spans="32:32" x14ac:dyDescent="0.2">
      <c r="AF39933" s="12"/>
    </row>
    <row r="39934" spans="32:32" x14ac:dyDescent="0.2">
      <c r="AF39934" s="12"/>
    </row>
    <row r="39935" spans="32:32" x14ac:dyDescent="0.2">
      <c r="AF39935" s="12"/>
    </row>
    <row r="39936" spans="32:32" x14ac:dyDescent="0.2">
      <c r="AF39936" s="12"/>
    </row>
    <row r="39937" spans="32:32" x14ac:dyDescent="0.2">
      <c r="AF39937" s="12"/>
    </row>
    <row r="39938" spans="32:32" x14ac:dyDescent="0.2">
      <c r="AF39938" s="12"/>
    </row>
    <row r="39939" spans="32:32" x14ac:dyDescent="0.2">
      <c r="AF39939" s="12"/>
    </row>
    <row r="39940" spans="32:32" x14ac:dyDescent="0.2">
      <c r="AF39940" s="12"/>
    </row>
    <row r="39941" spans="32:32" x14ac:dyDescent="0.2">
      <c r="AF39941" s="12"/>
    </row>
    <row r="39942" spans="32:32" x14ac:dyDescent="0.2">
      <c r="AF39942" s="12"/>
    </row>
    <row r="39943" spans="32:32" x14ac:dyDescent="0.2">
      <c r="AF39943" s="12"/>
    </row>
    <row r="39944" spans="32:32" x14ac:dyDescent="0.2">
      <c r="AF39944" s="12"/>
    </row>
    <row r="39945" spans="32:32" x14ac:dyDescent="0.2">
      <c r="AF39945" s="12"/>
    </row>
    <row r="39946" spans="32:32" x14ac:dyDescent="0.2">
      <c r="AF39946" s="12"/>
    </row>
    <row r="39947" spans="32:32" x14ac:dyDescent="0.2">
      <c r="AF39947" s="12"/>
    </row>
    <row r="39948" spans="32:32" x14ac:dyDescent="0.2">
      <c r="AF39948" s="12"/>
    </row>
    <row r="39949" spans="32:32" x14ac:dyDescent="0.2">
      <c r="AF39949" s="12"/>
    </row>
    <row r="39950" spans="32:32" x14ac:dyDescent="0.2">
      <c r="AF39950" s="12"/>
    </row>
    <row r="39951" spans="32:32" x14ac:dyDescent="0.2">
      <c r="AF39951" s="12"/>
    </row>
    <row r="39952" spans="32:32" x14ac:dyDescent="0.2">
      <c r="AF39952" s="12"/>
    </row>
    <row r="39953" spans="32:32" x14ac:dyDescent="0.2">
      <c r="AF39953" s="12"/>
    </row>
    <row r="39954" spans="32:32" x14ac:dyDescent="0.2">
      <c r="AF39954" s="12"/>
    </row>
    <row r="39955" spans="32:32" x14ac:dyDescent="0.2">
      <c r="AF39955" s="12"/>
    </row>
    <row r="39956" spans="32:32" x14ac:dyDescent="0.2">
      <c r="AF39956" s="12"/>
    </row>
    <row r="39957" spans="32:32" x14ac:dyDescent="0.2">
      <c r="AF39957" s="12"/>
    </row>
    <row r="39958" spans="32:32" x14ac:dyDescent="0.2">
      <c r="AF39958" s="12"/>
    </row>
    <row r="39959" spans="32:32" x14ac:dyDescent="0.2">
      <c r="AF39959" s="12"/>
    </row>
    <row r="39960" spans="32:32" x14ac:dyDescent="0.2">
      <c r="AF39960" s="12"/>
    </row>
    <row r="39961" spans="32:32" x14ac:dyDescent="0.2">
      <c r="AF39961" s="12"/>
    </row>
    <row r="39962" spans="32:32" x14ac:dyDescent="0.2">
      <c r="AF39962" s="12"/>
    </row>
    <row r="39963" spans="32:32" x14ac:dyDescent="0.2">
      <c r="AF39963" s="12"/>
    </row>
    <row r="39964" spans="32:32" x14ac:dyDescent="0.2">
      <c r="AF39964" s="12"/>
    </row>
    <row r="39965" spans="32:32" x14ac:dyDescent="0.2">
      <c r="AF39965" s="12"/>
    </row>
    <row r="39966" spans="32:32" x14ac:dyDescent="0.2">
      <c r="AF39966" s="12"/>
    </row>
    <row r="39967" spans="32:32" x14ac:dyDescent="0.2">
      <c r="AF39967" s="12"/>
    </row>
    <row r="39968" spans="32:32" x14ac:dyDescent="0.2">
      <c r="AF39968" s="12"/>
    </row>
    <row r="39969" spans="32:32" x14ac:dyDescent="0.2">
      <c r="AF39969" s="12"/>
    </row>
    <row r="39970" spans="32:32" x14ac:dyDescent="0.2">
      <c r="AF39970" s="12"/>
    </row>
    <row r="39971" spans="32:32" x14ac:dyDescent="0.2">
      <c r="AF39971" s="12"/>
    </row>
    <row r="39972" spans="32:32" x14ac:dyDescent="0.2">
      <c r="AF39972" s="12"/>
    </row>
    <row r="39973" spans="32:32" x14ac:dyDescent="0.2">
      <c r="AF39973" s="12"/>
    </row>
    <row r="39974" spans="32:32" x14ac:dyDescent="0.2">
      <c r="AF39974" s="12"/>
    </row>
    <row r="39975" spans="32:32" x14ac:dyDescent="0.2">
      <c r="AF39975" s="12"/>
    </row>
    <row r="39976" spans="32:32" x14ac:dyDescent="0.2">
      <c r="AF39976" s="12"/>
    </row>
    <row r="39977" spans="32:32" x14ac:dyDescent="0.2">
      <c r="AF39977" s="12"/>
    </row>
    <row r="39978" spans="32:32" x14ac:dyDescent="0.2">
      <c r="AF39978" s="12"/>
    </row>
    <row r="39979" spans="32:32" x14ac:dyDescent="0.2">
      <c r="AF39979" s="12"/>
    </row>
    <row r="39980" spans="32:32" x14ac:dyDescent="0.2">
      <c r="AF39980" s="12"/>
    </row>
    <row r="39981" spans="32:32" x14ac:dyDescent="0.2">
      <c r="AF39981" s="12"/>
    </row>
    <row r="39982" spans="32:32" x14ac:dyDescent="0.2">
      <c r="AF39982" s="12"/>
    </row>
    <row r="39983" spans="32:32" x14ac:dyDescent="0.2">
      <c r="AF39983" s="12"/>
    </row>
    <row r="39984" spans="32:32" x14ac:dyDescent="0.2">
      <c r="AF39984" s="12"/>
    </row>
    <row r="39985" spans="32:32" x14ac:dyDescent="0.2">
      <c r="AF39985" s="12"/>
    </row>
    <row r="39986" spans="32:32" x14ac:dyDescent="0.2">
      <c r="AF39986" s="12"/>
    </row>
    <row r="39987" spans="32:32" x14ac:dyDescent="0.2">
      <c r="AF39987" s="12"/>
    </row>
    <row r="39988" spans="32:32" x14ac:dyDescent="0.2">
      <c r="AF39988" s="12"/>
    </row>
    <row r="39989" spans="32:32" x14ac:dyDescent="0.2">
      <c r="AF39989" s="12"/>
    </row>
    <row r="39990" spans="32:32" x14ac:dyDescent="0.2">
      <c r="AF39990" s="12"/>
    </row>
    <row r="39991" spans="32:32" x14ac:dyDescent="0.2">
      <c r="AF39991" s="12"/>
    </row>
    <row r="39992" spans="32:32" x14ac:dyDescent="0.2">
      <c r="AF39992" s="12"/>
    </row>
    <row r="39993" spans="32:32" x14ac:dyDescent="0.2">
      <c r="AF39993" s="12"/>
    </row>
    <row r="39994" spans="32:32" x14ac:dyDescent="0.2">
      <c r="AF39994" s="12"/>
    </row>
    <row r="39995" spans="32:32" x14ac:dyDescent="0.2">
      <c r="AF39995" s="12"/>
    </row>
    <row r="39996" spans="32:32" x14ac:dyDescent="0.2">
      <c r="AF39996" s="12"/>
    </row>
    <row r="39997" spans="32:32" x14ac:dyDescent="0.2">
      <c r="AF39997" s="12"/>
    </row>
    <row r="39998" spans="32:32" x14ac:dyDescent="0.2">
      <c r="AF39998" s="12"/>
    </row>
    <row r="39999" spans="32:32" x14ac:dyDescent="0.2">
      <c r="AF39999" s="12"/>
    </row>
    <row r="40000" spans="32:32" x14ac:dyDescent="0.2">
      <c r="AF40000" s="12"/>
    </row>
    <row r="40001" spans="32:32" x14ac:dyDescent="0.2">
      <c r="AF40001" s="12"/>
    </row>
    <row r="40002" spans="32:32" x14ac:dyDescent="0.2">
      <c r="AF40002" s="12"/>
    </row>
    <row r="40003" spans="32:32" x14ac:dyDescent="0.2">
      <c r="AF40003" s="12"/>
    </row>
    <row r="40004" spans="32:32" x14ac:dyDescent="0.2">
      <c r="AF40004" s="12"/>
    </row>
    <row r="40005" spans="32:32" x14ac:dyDescent="0.2">
      <c r="AF40005" s="12"/>
    </row>
    <row r="40006" spans="32:32" x14ac:dyDescent="0.2">
      <c r="AF40006" s="12"/>
    </row>
    <row r="40007" spans="32:32" x14ac:dyDescent="0.2">
      <c r="AF40007" s="12"/>
    </row>
    <row r="40008" spans="32:32" x14ac:dyDescent="0.2">
      <c r="AF40008" s="12"/>
    </row>
    <row r="40009" spans="32:32" x14ac:dyDescent="0.2">
      <c r="AF40009" s="12"/>
    </row>
    <row r="40010" spans="32:32" x14ac:dyDescent="0.2">
      <c r="AF40010" s="12"/>
    </row>
    <row r="40011" spans="32:32" x14ac:dyDescent="0.2">
      <c r="AF40011" s="12"/>
    </row>
    <row r="40012" spans="32:32" x14ac:dyDescent="0.2">
      <c r="AF40012" s="12"/>
    </row>
    <row r="40013" spans="32:32" x14ac:dyDescent="0.2">
      <c r="AF40013" s="12"/>
    </row>
    <row r="40014" spans="32:32" x14ac:dyDescent="0.2">
      <c r="AF40014" s="12"/>
    </row>
    <row r="40015" spans="32:32" x14ac:dyDescent="0.2">
      <c r="AF40015" s="12"/>
    </row>
    <row r="40016" spans="32:32" x14ac:dyDescent="0.2">
      <c r="AF40016" s="12"/>
    </row>
    <row r="40017" spans="32:32" x14ac:dyDescent="0.2">
      <c r="AF40017" s="12"/>
    </row>
    <row r="40018" spans="32:32" x14ac:dyDescent="0.2">
      <c r="AF40018" s="12"/>
    </row>
    <row r="40019" spans="32:32" x14ac:dyDescent="0.2">
      <c r="AF40019" s="12"/>
    </row>
    <row r="40020" spans="32:32" x14ac:dyDescent="0.2">
      <c r="AF40020" s="12"/>
    </row>
    <row r="40021" spans="32:32" x14ac:dyDescent="0.2">
      <c r="AF40021" s="12"/>
    </row>
    <row r="40022" spans="32:32" x14ac:dyDescent="0.2">
      <c r="AF40022" s="12"/>
    </row>
    <row r="40023" spans="32:32" x14ac:dyDescent="0.2">
      <c r="AF40023" s="12"/>
    </row>
    <row r="40024" spans="32:32" x14ac:dyDescent="0.2">
      <c r="AF40024" s="12"/>
    </row>
    <row r="40025" spans="32:32" x14ac:dyDescent="0.2">
      <c r="AF40025" s="12"/>
    </row>
    <row r="40026" spans="32:32" x14ac:dyDescent="0.2">
      <c r="AF40026" s="12"/>
    </row>
    <row r="40027" spans="32:32" x14ac:dyDescent="0.2">
      <c r="AF40027" s="12"/>
    </row>
    <row r="40028" spans="32:32" x14ac:dyDescent="0.2">
      <c r="AF40028" s="12"/>
    </row>
    <row r="40029" spans="32:32" x14ac:dyDescent="0.2">
      <c r="AF40029" s="12"/>
    </row>
    <row r="40030" spans="32:32" x14ac:dyDescent="0.2">
      <c r="AF40030" s="12"/>
    </row>
    <row r="40031" spans="32:32" x14ac:dyDescent="0.2">
      <c r="AF40031" s="12"/>
    </row>
    <row r="40032" spans="32:32" x14ac:dyDescent="0.2">
      <c r="AF40032" s="12"/>
    </row>
    <row r="40033" spans="32:32" x14ac:dyDescent="0.2">
      <c r="AF40033" s="12"/>
    </row>
    <row r="40034" spans="32:32" x14ac:dyDescent="0.2">
      <c r="AF40034" s="12"/>
    </row>
    <row r="40035" spans="32:32" x14ac:dyDescent="0.2">
      <c r="AF40035" s="12"/>
    </row>
    <row r="40036" spans="32:32" x14ac:dyDescent="0.2">
      <c r="AF40036" s="12"/>
    </row>
    <row r="40037" spans="32:32" x14ac:dyDescent="0.2">
      <c r="AF40037" s="12"/>
    </row>
    <row r="40038" spans="32:32" x14ac:dyDescent="0.2">
      <c r="AF40038" s="12"/>
    </row>
    <row r="40039" spans="32:32" x14ac:dyDescent="0.2">
      <c r="AF40039" s="12"/>
    </row>
    <row r="40040" spans="32:32" x14ac:dyDescent="0.2">
      <c r="AF40040" s="12"/>
    </row>
    <row r="40041" spans="32:32" x14ac:dyDescent="0.2">
      <c r="AF40041" s="12"/>
    </row>
    <row r="40042" spans="32:32" x14ac:dyDescent="0.2">
      <c r="AF40042" s="12"/>
    </row>
    <row r="40043" spans="32:32" x14ac:dyDescent="0.2">
      <c r="AF40043" s="12"/>
    </row>
    <row r="40044" spans="32:32" x14ac:dyDescent="0.2">
      <c r="AF40044" s="12"/>
    </row>
    <row r="40045" spans="32:32" x14ac:dyDescent="0.2">
      <c r="AF40045" s="12"/>
    </row>
    <row r="40046" spans="32:32" x14ac:dyDescent="0.2">
      <c r="AF40046" s="12"/>
    </row>
    <row r="40047" spans="32:32" x14ac:dyDescent="0.2">
      <c r="AF40047" s="12"/>
    </row>
    <row r="40048" spans="32:32" x14ac:dyDescent="0.2">
      <c r="AF40048" s="12"/>
    </row>
    <row r="40049" spans="32:32" x14ac:dyDescent="0.2">
      <c r="AF40049" s="12"/>
    </row>
    <row r="40050" spans="32:32" x14ac:dyDescent="0.2">
      <c r="AF40050" s="12"/>
    </row>
    <row r="40051" spans="32:32" x14ac:dyDescent="0.2">
      <c r="AF40051" s="12"/>
    </row>
    <row r="40052" spans="32:32" x14ac:dyDescent="0.2">
      <c r="AF40052" s="12"/>
    </row>
    <row r="40053" spans="32:32" x14ac:dyDescent="0.2">
      <c r="AF40053" s="12"/>
    </row>
    <row r="40054" spans="32:32" x14ac:dyDescent="0.2">
      <c r="AF40054" s="12"/>
    </row>
    <row r="40055" spans="32:32" x14ac:dyDescent="0.2">
      <c r="AF40055" s="12"/>
    </row>
    <row r="40056" spans="32:32" x14ac:dyDescent="0.2">
      <c r="AF40056" s="12"/>
    </row>
    <row r="40057" spans="32:32" x14ac:dyDescent="0.2">
      <c r="AF40057" s="12"/>
    </row>
    <row r="40058" spans="32:32" x14ac:dyDescent="0.2">
      <c r="AF40058" s="12"/>
    </row>
    <row r="40059" spans="32:32" x14ac:dyDescent="0.2">
      <c r="AF40059" s="12"/>
    </row>
    <row r="40060" spans="32:32" x14ac:dyDescent="0.2">
      <c r="AF40060" s="12"/>
    </row>
    <row r="40061" spans="32:32" x14ac:dyDescent="0.2">
      <c r="AF40061" s="12"/>
    </row>
    <row r="40062" spans="32:32" x14ac:dyDescent="0.2">
      <c r="AF40062" s="12"/>
    </row>
    <row r="40063" spans="32:32" x14ac:dyDescent="0.2">
      <c r="AF40063" s="12"/>
    </row>
    <row r="40064" spans="32:32" x14ac:dyDescent="0.2">
      <c r="AF40064" s="12"/>
    </row>
    <row r="40065" spans="32:32" x14ac:dyDescent="0.2">
      <c r="AF40065" s="12"/>
    </row>
    <row r="40066" spans="32:32" x14ac:dyDescent="0.2">
      <c r="AF40066" s="12"/>
    </row>
    <row r="40067" spans="32:32" x14ac:dyDescent="0.2">
      <c r="AF40067" s="12"/>
    </row>
    <row r="40068" spans="32:32" x14ac:dyDescent="0.2">
      <c r="AF40068" s="12"/>
    </row>
    <row r="40069" spans="32:32" x14ac:dyDescent="0.2">
      <c r="AF40069" s="12"/>
    </row>
    <row r="40070" spans="32:32" x14ac:dyDescent="0.2">
      <c r="AF40070" s="12"/>
    </row>
    <row r="40071" spans="32:32" x14ac:dyDescent="0.2">
      <c r="AF40071" s="12"/>
    </row>
    <row r="40072" spans="32:32" x14ac:dyDescent="0.2">
      <c r="AF40072" s="12"/>
    </row>
    <row r="40073" spans="32:32" x14ac:dyDescent="0.2">
      <c r="AF40073" s="12"/>
    </row>
    <row r="40074" spans="32:32" x14ac:dyDescent="0.2">
      <c r="AF40074" s="12"/>
    </row>
    <row r="40075" spans="32:32" x14ac:dyDescent="0.2">
      <c r="AF40075" s="12"/>
    </row>
    <row r="40076" spans="32:32" x14ac:dyDescent="0.2">
      <c r="AF40076" s="12"/>
    </row>
    <row r="40077" spans="32:32" x14ac:dyDescent="0.2">
      <c r="AF40077" s="12"/>
    </row>
    <row r="40078" spans="32:32" x14ac:dyDescent="0.2">
      <c r="AF40078" s="12"/>
    </row>
    <row r="40079" spans="32:32" x14ac:dyDescent="0.2">
      <c r="AF40079" s="12"/>
    </row>
    <row r="40080" spans="32:32" x14ac:dyDescent="0.2">
      <c r="AF40080" s="12"/>
    </row>
    <row r="40081" spans="32:32" x14ac:dyDescent="0.2">
      <c r="AF40081" s="12"/>
    </row>
    <row r="40082" spans="32:32" x14ac:dyDescent="0.2">
      <c r="AF40082" s="12"/>
    </row>
    <row r="40083" spans="32:32" x14ac:dyDescent="0.2">
      <c r="AF40083" s="12"/>
    </row>
    <row r="40084" spans="32:32" x14ac:dyDescent="0.2">
      <c r="AF40084" s="12"/>
    </row>
    <row r="40085" spans="32:32" x14ac:dyDescent="0.2">
      <c r="AF40085" s="12"/>
    </row>
    <row r="40086" spans="32:32" x14ac:dyDescent="0.2">
      <c r="AF40086" s="12"/>
    </row>
    <row r="40087" spans="32:32" x14ac:dyDescent="0.2">
      <c r="AF40087" s="12"/>
    </row>
    <row r="40088" spans="32:32" x14ac:dyDescent="0.2">
      <c r="AF40088" s="12"/>
    </row>
    <row r="40089" spans="32:32" x14ac:dyDescent="0.2">
      <c r="AF40089" s="12"/>
    </row>
    <row r="40090" spans="32:32" x14ac:dyDescent="0.2">
      <c r="AF40090" s="12"/>
    </row>
    <row r="40091" spans="32:32" x14ac:dyDescent="0.2">
      <c r="AF40091" s="12"/>
    </row>
    <row r="40092" spans="32:32" x14ac:dyDescent="0.2">
      <c r="AF40092" s="12"/>
    </row>
    <row r="40093" spans="32:32" x14ac:dyDescent="0.2">
      <c r="AF40093" s="12"/>
    </row>
    <row r="40094" spans="32:32" x14ac:dyDescent="0.2">
      <c r="AF40094" s="12"/>
    </row>
    <row r="40095" spans="32:32" x14ac:dyDescent="0.2">
      <c r="AF40095" s="12"/>
    </row>
    <row r="40096" spans="32:32" x14ac:dyDescent="0.2">
      <c r="AF40096" s="12"/>
    </row>
    <row r="40097" spans="32:32" x14ac:dyDescent="0.2">
      <c r="AF40097" s="12"/>
    </row>
    <row r="40098" spans="32:32" x14ac:dyDescent="0.2">
      <c r="AF40098" s="12"/>
    </row>
    <row r="40099" spans="32:32" x14ac:dyDescent="0.2">
      <c r="AF40099" s="12"/>
    </row>
    <row r="40100" spans="32:32" x14ac:dyDescent="0.2">
      <c r="AF40100" s="12"/>
    </row>
    <row r="40101" spans="32:32" x14ac:dyDescent="0.2">
      <c r="AF40101" s="12"/>
    </row>
    <row r="40102" spans="32:32" x14ac:dyDescent="0.2">
      <c r="AF40102" s="12"/>
    </row>
    <row r="40103" spans="32:32" x14ac:dyDescent="0.2">
      <c r="AF40103" s="12"/>
    </row>
    <row r="40104" spans="32:32" x14ac:dyDescent="0.2">
      <c r="AF40104" s="12"/>
    </row>
    <row r="40105" spans="32:32" x14ac:dyDescent="0.2">
      <c r="AF40105" s="12"/>
    </row>
    <row r="40106" spans="32:32" x14ac:dyDescent="0.2">
      <c r="AF40106" s="12"/>
    </row>
    <row r="40107" spans="32:32" x14ac:dyDescent="0.2">
      <c r="AF40107" s="12"/>
    </row>
    <row r="40108" spans="32:32" x14ac:dyDescent="0.2">
      <c r="AF40108" s="12"/>
    </row>
    <row r="40109" spans="32:32" x14ac:dyDescent="0.2">
      <c r="AF40109" s="12"/>
    </row>
    <row r="40110" spans="32:32" x14ac:dyDescent="0.2">
      <c r="AF40110" s="12"/>
    </row>
    <row r="40111" spans="32:32" x14ac:dyDescent="0.2">
      <c r="AF40111" s="12"/>
    </row>
    <row r="40112" spans="32:32" x14ac:dyDescent="0.2">
      <c r="AF40112" s="12"/>
    </row>
    <row r="40113" spans="32:32" x14ac:dyDescent="0.2">
      <c r="AF40113" s="12"/>
    </row>
    <row r="40114" spans="32:32" x14ac:dyDescent="0.2">
      <c r="AF40114" s="12"/>
    </row>
    <row r="40115" spans="32:32" x14ac:dyDescent="0.2">
      <c r="AF40115" s="12"/>
    </row>
    <row r="40116" spans="32:32" x14ac:dyDescent="0.2">
      <c r="AF40116" s="12"/>
    </row>
    <row r="40117" spans="32:32" x14ac:dyDescent="0.2">
      <c r="AF40117" s="12"/>
    </row>
    <row r="40118" spans="32:32" x14ac:dyDescent="0.2">
      <c r="AF40118" s="12"/>
    </row>
    <row r="40119" spans="32:32" x14ac:dyDescent="0.2">
      <c r="AF40119" s="12"/>
    </row>
    <row r="40120" spans="32:32" x14ac:dyDescent="0.2">
      <c r="AF40120" s="12"/>
    </row>
    <row r="40121" spans="32:32" x14ac:dyDescent="0.2">
      <c r="AF40121" s="12"/>
    </row>
    <row r="40122" spans="32:32" x14ac:dyDescent="0.2">
      <c r="AF40122" s="12"/>
    </row>
    <row r="40123" spans="32:32" x14ac:dyDescent="0.2">
      <c r="AF40123" s="12"/>
    </row>
    <row r="40124" spans="32:32" x14ac:dyDescent="0.2">
      <c r="AF40124" s="12"/>
    </row>
    <row r="40125" spans="32:32" x14ac:dyDescent="0.2">
      <c r="AF40125" s="12"/>
    </row>
    <row r="40126" spans="32:32" x14ac:dyDescent="0.2">
      <c r="AF40126" s="12"/>
    </row>
    <row r="40127" spans="32:32" x14ac:dyDescent="0.2">
      <c r="AF40127" s="12"/>
    </row>
    <row r="40128" spans="32:32" x14ac:dyDescent="0.2">
      <c r="AF40128" s="12"/>
    </row>
    <row r="40129" spans="32:32" x14ac:dyDescent="0.2">
      <c r="AF40129" s="12"/>
    </row>
    <row r="40130" spans="32:32" x14ac:dyDescent="0.2">
      <c r="AF40130" s="12"/>
    </row>
    <row r="40131" spans="32:32" x14ac:dyDescent="0.2">
      <c r="AF40131" s="12"/>
    </row>
    <row r="40132" spans="32:32" x14ac:dyDescent="0.2">
      <c r="AF40132" s="12"/>
    </row>
    <row r="40133" spans="32:32" x14ac:dyDescent="0.2">
      <c r="AF40133" s="12"/>
    </row>
    <row r="40134" spans="32:32" x14ac:dyDescent="0.2">
      <c r="AF40134" s="12"/>
    </row>
    <row r="40135" spans="32:32" x14ac:dyDescent="0.2">
      <c r="AF40135" s="12"/>
    </row>
    <row r="40136" spans="32:32" x14ac:dyDescent="0.2">
      <c r="AF40136" s="12"/>
    </row>
    <row r="40137" spans="32:32" x14ac:dyDescent="0.2">
      <c r="AF40137" s="12"/>
    </row>
    <row r="40138" spans="32:32" x14ac:dyDescent="0.2">
      <c r="AF40138" s="12"/>
    </row>
    <row r="40139" spans="32:32" x14ac:dyDescent="0.2">
      <c r="AF40139" s="12"/>
    </row>
    <row r="40140" spans="32:32" x14ac:dyDescent="0.2">
      <c r="AF40140" s="12"/>
    </row>
    <row r="40141" spans="32:32" x14ac:dyDescent="0.2">
      <c r="AF40141" s="12"/>
    </row>
    <row r="40142" spans="32:32" x14ac:dyDescent="0.2">
      <c r="AF40142" s="12"/>
    </row>
    <row r="40143" spans="32:32" x14ac:dyDescent="0.2">
      <c r="AF40143" s="12"/>
    </row>
    <row r="40144" spans="32:32" x14ac:dyDescent="0.2">
      <c r="AF40144" s="12"/>
    </row>
    <row r="40145" spans="32:32" x14ac:dyDescent="0.2">
      <c r="AF40145" s="12"/>
    </row>
    <row r="40146" spans="32:32" x14ac:dyDescent="0.2">
      <c r="AF40146" s="12"/>
    </row>
    <row r="40147" spans="32:32" x14ac:dyDescent="0.2">
      <c r="AF40147" s="12"/>
    </row>
    <row r="40148" spans="32:32" x14ac:dyDescent="0.2">
      <c r="AF40148" s="12"/>
    </row>
    <row r="40149" spans="32:32" x14ac:dyDescent="0.2">
      <c r="AF40149" s="12"/>
    </row>
    <row r="40150" spans="32:32" x14ac:dyDescent="0.2">
      <c r="AF40150" s="12"/>
    </row>
    <row r="40151" spans="32:32" x14ac:dyDescent="0.2">
      <c r="AF40151" s="12"/>
    </row>
    <row r="40152" spans="32:32" x14ac:dyDescent="0.2">
      <c r="AF40152" s="12"/>
    </row>
    <row r="40153" spans="32:32" x14ac:dyDescent="0.2">
      <c r="AF40153" s="12"/>
    </row>
    <row r="40154" spans="32:32" x14ac:dyDescent="0.2">
      <c r="AF40154" s="12"/>
    </row>
    <row r="40155" spans="32:32" x14ac:dyDescent="0.2">
      <c r="AF40155" s="12"/>
    </row>
    <row r="40156" spans="32:32" x14ac:dyDescent="0.2">
      <c r="AF40156" s="12"/>
    </row>
    <row r="40157" spans="32:32" x14ac:dyDescent="0.2">
      <c r="AF40157" s="12"/>
    </row>
    <row r="40158" spans="32:32" x14ac:dyDescent="0.2">
      <c r="AF40158" s="12"/>
    </row>
    <row r="40159" spans="32:32" x14ac:dyDescent="0.2">
      <c r="AF40159" s="12"/>
    </row>
    <row r="40160" spans="32:32" x14ac:dyDescent="0.2">
      <c r="AF40160" s="12"/>
    </row>
    <row r="40161" spans="32:32" x14ac:dyDescent="0.2">
      <c r="AF40161" s="12"/>
    </row>
    <row r="40162" spans="32:32" x14ac:dyDescent="0.2">
      <c r="AF40162" s="12"/>
    </row>
    <row r="40163" spans="32:32" x14ac:dyDescent="0.2">
      <c r="AF40163" s="12"/>
    </row>
    <row r="40164" spans="32:32" x14ac:dyDescent="0.2">
      <c r="AF40164" s="12"/>
    </row>
    <row r="40165" spans="32:32" x14ac:dyDescent="0.2">
      <c r="AF40165" s="12"/>
    </row>
    <row r="40166" spans="32:32" x14ac:dyDescent="0.2">
      <c r="AF40166" s="12"/>
    </row>
    <row r="40167" spans="32:32" x14ac:dyDescent="0.2">
      <c r="AF40167" s="12"/>
    </row>
    <row r="40168" spans="32:32" x14ac:dyDescent="0.2">
      <c r="AF40168" s="12"/>
    </row>
    <row r="40169" spans="32:32" x14ac:dyDescent="0.2">
      <c r="AF40169" s="12"/>
    </row>
    <row r="40170" spans="32:32" x14ac:dyDescent="0.2">
      <c r="AF40170" s="12"/>
    </row>
    <row r="40171" spans="32:32" x14ac:dyDescent="0.2">
      <c r="AF40171" s="12"/>
    </row>
    <row r="40172" spans="32:32" x14ac:dyDescent="0.2">
      <c r="AF40172" s="12"/>
    </row>
    <row r="40173" spans="32:32" x14ac:dyDescent="0.2">
      <c r="AF40173" s="12"/>
    </row>
    <row r="40174" spans="32:32" x14ac:dyDescent="0.2">
      <c r="AF40174" s="12"/>
    </row>
    <row r="40175" spans="32:32" x14ac:dyDescent="0.2">
      <c r="AF40175" s="12"/>
    </row>
    <row r="40176" spans="32:32" x14ac:dyDescent="0.2">
      <c r="AF40176" s="12"/>
    </row>
    <row r="40177" spans="32:32" x14ac:dyDescent="0.2">
      <c r="AF40177" s="12"/>
    </row>
    <row r="40178" spans="32:32" x14ac:dyDescent="0.2">
      <c r="AF40178" s="12"/>
    </row>
    <row r="40179" spans="32:32" x14ac:dyDescent="0.2">
      <c r="AF40179" s="12"/>
    </row>
    <row r="40180" spans="32:32" x14ac:dyDescent="0.2">
      <c r="AF40180" s="12"/>
    </row>
    <row r="40181" spans="32:32" x14ac:dyDescent="0.2">
      <c r="AF40181" s="12"/>
    </row>
    <row r="40182" spans="32:32" x14ac:dyDescent="0.2">
      <c r="AF40182" s="12"/>
    </row>
    <row r="40183" spans="32:32" x14ac:dyDescent="0.2">
      <c r="AF40183" s="12"/>
    </row>
    <row r="40184" spans="32:32" x14ac:dyDescent="0.2">
      <c r="AF40184" s="12"/>
    </row>
    <row r="40185" spans="32:32" x14ac:dyDescent="0.2">
      <c r="AF40185" s="12"/>
    </row>
    <row r="40186" spans="32:32" x14ac:dyDescent="0.2">
      <c r="AF40186" s="12"/>
    </row>
    <row r="40187" spans="32:32" x14ac:dyDescent="0.2">
      <c r="AF40187" s="12"/>
    </row>
    <row r="40188" spans="32:32" x14ac:dyDescent="0.2">
      <c r="AF40188" s="12"/>
    </row>
    <row r="40189" spans="32:32" x14ac:dyDescent="0.2">
      <c r="AF40189" s="12"/>
    </row>
    <row r="40190" spans="32:32" x14ac:dyDescent="0.2">
      <c r="AF40190" s="12"/>
    </row>
    <row r="40191" spans="32:32" x14ac:dyDescent="0.2">
      <c r="AF40191" s="12"/>
    </row>
    <row r="40192" spans="32:32" x14ac:dyDescent="0.2">
      <c r="AF40192" s="12"/>
    </row>
    <row r="40193" spans="32:32" x14ac:dyDescent="0.2">
      <c r="AF40193" s="12"/>
    </row>
    <row r="40194" spans="32:32" x14ac:dyDescent="0.2">
      <c r="AF40194" s="12"/>
    </row>
    <row r="40195" spans="32:32" x14ac:dyDescent="0.2">
      <c r="AF40195" s="12"/>
    </row>
    <row r="40196" spans="32:32" x14ac:dyDescent="0.2">
      <c r="AF40196" s="12"/>
    </row>
    <row r="40197" spans="32:32" x14ac:dyDescent="0.2">
      <c r="AF40197" s="12"/>
    </row>
    <row r="40198" spans="32:32" x14ac:dyDescent="0.2">
      <c r="AF40198" s="12"/>
    </row>
    <row r="40199" spans="32:32" x14ac:dyDescent="0.2">
      <c r="AF40199" s="12"/>
    </row>
    <row r="40200" spans="32:32" x14ac:dyDescent="0.2">
      <c r="AF40200" s="12"/>
    </row>
    <row r="40201" spans="32:32" x14ac:dyDescent="0.2">
      <c r="AF40201" s="12"/>
    </row>
    <row r="40202" spans="32:32" x14ac:dyDescent="0.2">
      <c r="AF40202" s="12"/>
    </row>
    <row r="40203" spans="32:32" x14ac:dyDescent="0.2">
      <c r="AF40203" s="12"/>
    </row>
    <row r="40204" spans="32:32" x14ac:dyDescent="0.2">
      <c r="AF40204" s="12"/>
    </row>
    <row r="40205" spans="32:32" x14ac:dyDescent="0.2">
      <c r="AF40205" s="12"/>
    </row>
    <row r="40206" spans="32:32" x14ac:dyDescent="0.2">
      <c r="AF40206" s="12"/>
    </row>
    <row r="40207" spans="32:32" x14ac:dyDescent="0.2">
      <c r="AF40207" s="12"/>
    </row>
    <row r="40208" spans="32:32" x14ac:dyDescent="0.2">
      <c r="AF40208" s="12"/>
    </row>
    <row r="40209" spans="32:32" x14ac:dyDescent="0.2">
      <c r="AF40209" s="12"/>
    </row>
    <row r="40210" spans="32:32" x14ac:dyDescent="0.2">
      <c r="AF40210" s="12"/>
    </row>
    <row r="40211" spans="32:32" x14ac:dyDescent="0.2">
      <c r="AF40211" s="12"/>
    </row>
    <row r="40212" spans="32:32" x14ac:dyDescent="0.2">
      <c r="AF40212" s="12"/>
    </row>
    <row r="40213" spans="32:32" x14ac:dyDescent="0.2">
      <c r="AF40213" s="12"/>
    </row>
    <row r="40214" spans="32:32" x14ac:dyDescent="0.2">
      <c r="AF40214" s="12"/>
    </row>
    <row r="40215" spans="32:32" x14ac:dyDescent="0.2">
      <c r="AF40215" s="12"/>
    </row>
    <row r="40216" spans="32:32" x14ac:dyDescent="0.2">
      <c r="AF40216" s="12"/>
    </row>
    <row r="40217" spans="32:32" x14ac:dyDescent="0.2">
      <c r="AF40217" s="12"/>
    </row>
    <row r="40218" spans="32:32" x14ac:dyDescent="0.2">
      <c r="AF40218" s="12"/>
    </row>
    <row r="40219" spans="32:32" x14ac:dyDescent="0.2">
      <c r="AF40219" s="12"/>
    </row>
    <row r="40220" spans="32:32" x14ac:dyDescent="0.2">
      <c r="AF40220" s="12"/>
    </row>
    <row r="40221" spans="32:32" x14ac:dyDescent="0.2">
      <c r="AF40221" s="12"/>
    </row>
    <row r="40222" spans="32:32" x14ac:dyDescent="0.2">
      <c r="AF40222" s="12"/>
    </row>
    <row r="40223" spans="32:32" x14ac:dyDescent="0.2">
      <c r="AF40223" s="12"/>
    </row>
    <row r="40224" spans="32:32" x14ac:dyDescent="0.2">
      <c r="AF40224" s="12"/>
    </row>
    <row r="40225" spans="32:32" x14ac:dyDescent="0.2">
      <c r="AF40225" s="12"/>
    </row>
    <row r="40226" spans="32:32" x14ac:dyDescent="0.2">
      <c r="AF40226" s="12"/>
    </row>
    <row r="40227" spans="32:32" x14ac:dyDescent="0.2">
      <c r="AF40227" s="12"/>
    </row>
    <row r="40228" spans="32:32" x14ac:dyDescent="0.2">
      <c r="AF40228" s="12"/>
    </row>
    <row r="40229" spans="32:32" x14ac:dyDescent="0.2">
      <c r="AF40229" s="12"/>
    </row>
    <row r="40230" spans="32:32" x14ac:dyDescent="0.2">
      <c r="AF40230" s="12"/>
    </row>
    <row r="40231" spans="32:32" x14ac:dyDescent="0.2">
      <c r="AF40231" s="12"/>
    </row>
    <row r="40232" spans="32:32" x14ac:dyDescent="0.2">
      <c r="AF40232" s="12"/>
    </row>
    <row r="40233" spans="32:32" x14ac:dyDescent="0.2">
      <c r="AF40233" s="12"/>
    </row>
    <row r="40234" spans="32:32" x14ac:dyDescent="0.2">
      <c r="AF40234" s="12"/>
    </row>
    <row r="40235" spans="32:32" x14ac:dyDescent="0.2">
      <c r="AF40235" s="12"/>
    </row>
    <row r="40236" spans="32:32" x14ac:dyDescent="0.2">
      <c r="AF40236" s="12"/>
    </row>
    <row r="40237" spans="32:32" x14ac:dyDescent="0.2">
      <c r="AF40237" s="12"/>
    </row>
    <row r="40238" spans="32:32" x14ac:dyDescent="0.2">
      <c r="AF40238" s="12"/>
    </row>
    <row r="40239" spans="32:32" x14ac:dyDescent="0.2">
      <c r="AF40239" s="12"/>
    </row>
    <row r="40240" spans="32:32" x14ac:dyDescent="0.2">
      <c r="AF40240" s="12"/>
    </row>
    <row r="40241" spans="32:32" x14ac:dyDescent="0.2">
      <c r="AF40241" s="12"/>
    </row>
    <row r="40242" spans="32:32" x14ac:dyDescent="0.2">
      <c r="AF40242" s="12"/>
    </row>
    <row r="40243" spans="32:32" x14ac:dyDescent="0.2">
      <c r="AF40243" s="12"/>
    </row>
    <row r="40244" spans="32:32" x14ac:dyDescent="0.2">
      <c r="AF40244" s="12"/>
    </row>
    <row r="40245" spans="32:32" x14ac:dyDescent="0.2">
      <c r="AF40245" s="12"/>
    </row>
    <row r="40246" spans="32:32" x14ac:dyDescent="0.2">
      <c r="AF40246" s="12"/>
    </row>
    <row r="40247" spans="32:32" x14ac:dyDescent="0.2">
      <c r="AF40247" s="12"/>
    </row>
    <row r="40248" spans="32:32" x14ac:dyDescent="0.2">
      <c r="AF40248" s="12"/>
    </row>
    <row r="40249" spans="32:32" x14ac:dyDescent="0.2">
      <c r="AF40249" s="12"/>
    </row>
    <row r="40250" spans="32:32" x14ac:dyDescent="0.2">
      <c r="AF40250" s="12"/>
    </row>
    <row r="40251" spans="32:32" x14ac:dyDescent="0.2">
      <c r="AF40251" s="12"/>
    </row>
    <row r="40252" spans="32:32" x14ac:dyDescent="0.2">
      <c r="AF40252" s="12"/>
    </row>
    <row r="40253" spans="32:32" x14ac:dyDescent="0.2">
      <c r="AF40253" s="12"/>
    </row>
    <row r="40254" spans="32:32" x14ac:dyDescent="0.2">
      <c r="AF40254" s="12"/>
    </row>
    <row r="40255" spans="32:32" x14ac:dyDescent="0.2">
      <c r="AF40255" s="12"/>
    </row>
    <row r="40256" spans="32:32" x14ac:dyDescent="0.2">
      <c r="AF40256" s="12"/>
    </row>
    <row r="40257" spans="32:32" x14ac:dyDescent="0.2">
      <c r="AF40257" s="12"/>
    </row>
    <row r="40258" spans="32:32" x14ac:dyDescent="0.2">
      <c r="AF40258" s="12"/>
    </row>
    <row r="40259" spans="32:32" x14ac:dyDescent="0.2">
      <c r="AF40259" s="12"/>
    </row>
    <row r="40260" spans="32:32" x14ac:dyDescent="0.2">
      <c r="AF40260" s="12"/>
    </row>
    <row r="40261" spans="32:32" x14ac:dyDescent="0.2">
      <c r="AF40261" s="12"/>
    </row>
    <row r="40262" spans="32:32" x14ac:dyDescent="0.2">
      <c r="AF40262" s="12"/>
    </row>
    <row r="40263" spans="32:32" x14ac:dyDescent="0.2">
      <c r="AF40263" s="12"/>
    </row>
    <row r="40264" spans="32:32" x14ac:dyDescent="0.2">
      <c r="AF40264" s="12"/>
    </row>
    <row r="40265" spans="32:32" x14ac:dyDescent="0.2">
      <c r="AF40265" s="12"/>
    </row>
    <row r="40266" spans="32:32" x14ac:dyDescent="0.2">
      <c r="AF40266" s="12"/>
    </row>
    <row r="40267" spans="32:32" x14ac:dyDescent="0.2">
      <c r="AF40267" s="12"/>
    </row>
    <row r="40268" spans="32:32" x14ac:dyDescent="0.2">
      <c r="AF40268" s="12"/>
    </row>
    <row r="40269" spans="32:32" x14ac:dyDescent="0.2">
      <c r="AF40269" s="12"/>
    </row>
    <row r="40270" spans="32:32" x14ac:dyDescent="0.2">
      <c r="AF40270" s="12"/>
    </row>
    <row r="40271" spans="32:32" x14ac:dyDescent="0.2">
      <c r="AF40271" s="12"/>
    </row>
    <row r="40272" spans="32:32" x14ac:dyDescent="0.2">
      <c r="AF40272" s="12"/>
    </row>
    <row r="40273" spans="32:32" x14ac:dyDescent="0.2">
      <c r="AF40273" s="12"/>
    </row>
    <row r="40274" spans="32:32" x14ac:dyDescent="0.2">
      <c r="AF40274" s="12"/>
    </row>
    <row r="40275" spans="32:32" x14ac:dyDescent="0.2">
      <c r="AF40275" s="12"/>
    </row>
    <row r="40276" spans="32:32" x14ac:dyDescent="0.2">
      <c r="AF40276" s="12"/>
    </row>
    <row r="40277" spans="32:32" x14ac:dyDescent="0.2">
      <c r="AF40277" s="12"/>
    </row>
    <row r="40278" spans="32:32" x14ac:dyDescent="0.2">
      <c r="AF40278" s="12"/>
    </row>
    <row r="40279" spans="32:32" x14ac:dyDescent="0.2">
      <c r="AF40279" s="12"/>
    </row>
    <row r="40280" spans="32:32" x14ac:dyDescent="0.2">
      <c r="AF40280" s="12"/>
    </row>
    <row r="40281" spans="32:32" x14ac:dyDescent="0.2">
      <c r="AF40281" s="12"/>
    </row>
    <row r="40282" spans="32:32" x14ac:dyDescent="0.2">
      <c r="AF40282" s="12"/>
    </row>
    <row r="40283" spans="32:32" x14ac:dyDescent="0.2">
      <c r="AF40283" s="12"/>
    </row>
    <row r="40284" spans="32:32" x14ac:dyDescent="0.2">
      <c r="AF40284" s="12"/>
    </row>
    <row r="40285" spans="32:32" x14ac:dyDescent="0.2">
      <c r="AF40285" s="12"/>
    </row>
    <row r="40286" spans="32:32" x14ac:dyDescent="0.2">
      <c r="AF40286" s="12"/>
    </row>
    <row r="40287" spans="32:32" x14ac:dyDescent="0.2">
      <c r="AF40287" s="12"/>
    </row>
    <row r="40288" spans="32:32" x14ac:dyDescent="0.2">
      <c r="AF40288" s="12"/>
    </row>
    <row r="40289" spans="32:32" x14ac:dyDescent="0.2">
      <c r="AF40289" s="12"/>
    </row>
    <row r="40290" spans="32:32" x14ac:dyDescent="0.2">
      <c r="AF40290" s="12"/>
    </row>
    <row r="40291" spans="32:32" x14ac:dyDescent="0.2">
      <c r="AF40291" s="12"/>
    </row>
    <row r="40292" spans="32:32" x14ac:dyDescent="0.2">
      <c r="AF40292" s="12"/>
    </row>
    <row r="40293" spans="32:32" x14ac:dyDescent="0.2">
      <c r="AF40293" s="12"/>
    </row>
    <row r="40294" spans="32:32" x14ac:dyDescent="0.2">
      <c r="AF40294" s="12"/>
    </row>
    <row r="40295" spans="32:32" x14ac:dyDescent="0.2">
      <c r="AF40295" s="12"/>
    </row>
    <row r="40296" spans="32:32" x14ac:dyDescent="0.2">
      <c r="AF40296" s="12"/>
    </row>
    <row r="40297" spans="32:32" x14ac:dyDescent="0.2">
      <c r="AF40297" s="12"/>
    </row>
    <row r="40298" spans="32:32" x14ac:dyDescent="0.2">
      <c r="AF40298" s="12"/>
    </row>
    <row r="40299" spans="32:32" x14ac:dyDescent="0.2">
      <c r="AF40299" s="12"/>
    </row>
    <row r="40300" spans="32:32" x14ac:dyDescent="0.2">
      <c r="AF40300" s="12"/>
    </row>
    <row r="40301" spans="32:32" x14ac:dyDescent="0.2">
      <c r="AF40301" s="12"/>
    </row>
    <row r="40302" spans="32:32" x14ac:dyDescent="0.2">
      <c r="AF40302" s="12"/>
    </row>
    <row r="40303" spans="32:32" x14ac:dyDescent="0.2">
      <c r="AF40303" s="12"/>
    </row>
    <row r="40304" spans="32:32" x14ac:dyDescent="0.2">
      <c r="AF40304" s="12"/>
    </row>
    <row r="40305" spans="32:32" x14ac:dyDescent="0.2">
      <c r="AF40305" s="12"/>
    </row>
    <row r="40306" spans="32:32" x14ac:dyDescent="0.2">
      <c r="AF40306" s="12"/>
    </row>
    <row r="40307" spans="32:32" x14ac:dyDescent="0.2">
      <c r="AF40307" s="12"/>
    </row>
    <row r="40308" spans="32:32" x14ac:dyDescent="0.2">
      <c r="AF40308" s="12"/>
    </row>
    <row r="40309" spans="32:32" x14ac:dyDescent="0.2">
      <c r="AF40309" s="12"/>
    </row>
    <row r="40310" spans="32:32" x14ac:dyDescent="0.2">
      <c r="AF40310" s="12"/>
    </row>
    <row r="40311" spans="32:32" x14ac:dyDescent="0.2">
      <c r="AF40311" s="12"/>
    </row>
    <row r="40312" spans="32:32" x14ac:dyDescent="0.2">
      <c r="AF40312" s="12"/>
    </row>
    <row r="40313" spans="32:32" x14ac:dyDescent="0.2">
      <c r="AF40313" s="12"/>
    </row>
    <row r="40314" spans="32:32" x14ac:dyDescent="0.2">
      <c r="AF40314" s="12"/>
    </row>
    <row r="40315" spans="32:32" x14ac:dyDescent="0.2">
      <c r="AF40315" s="12"/>
    </row>
    <row r="40316" spans="32:32" x14ac:dyDescent="0.2">
      <c r="AF40316" s="12"/>
    </row>
    <row r="40317" spans="32:32" x14ac:dyDescent="0.2">
      <c r="AF40317" s="12"/>
    </row>
    <row r="40318" spans="32:32" x14ac:dyDescent="0.2">
      <c r="AF40318" s="12"/>
    </row>
    <row r="40319" spans="32:32" x14ac:dyDescent="0.2">
      <c r="AF40319" s="12"/>
    </row>
    <row r="40320" spans="32:32" x14ac:dyDescent="0.2">
      <c r="AF40320" s="12"/>
    </row>
    <row r="40321" spans="32:32" x14ac:dyDescent="0.2">
      <c r="AF40321" s="12"/>
    </row>
    <row r="40322" spans="32:32" x14ac:dyDescent="0.2">
      <c r="AF40322" s="12"/>
    </row>
    <row r="40323" spans="32:32" x14ac:dyDescent="0.2">
      <c r="AF40323" s="12"/>
    </row>
    <row r="40324" spans="32:32" x14ac:dyDescent="0.2">
      <c r="AF40324" s="12"/>
    </row>
    <row r="40325" spans="32:32" x14ac:dyDescent="0.2">
      <c r="AF40325" s="12"/>
    </row>
    <row r="40326" spans="32:32" x14ac:dyDescent="0.2">
      <c r="AF40326" s="12"/>
    </row>
    <row r="40327" spans="32:32" x14ac:dyDescent="0.2">
      <c r="AF40327" s="12"/>
    </row>
    <row r="40328" spans="32:32" x14ac:dyDescent="0.2">
      <c r="AF40328" s="12"/>
    </row>
    <row r="40329" spans="32:32" x14ac:dyDescent="0.2">
      <c r="AF40329" s="12"/>
    </row>
    <row r="40330" spans="32:32" x14ac:dyDescent="0.2">
      <c r="AF40330" s="12"/>
    </row>
    <row r="40331" spans="32:32" x14ac:dyDescent="0.2">
      <c r="AF40331" s="12"/>
    </row>
    <row r="40332" spans="32:32" x14ac:dyDescent="0.2">
      <c r="AF40332" s="12"/>
    </row>
    <row r="40333" spans="32:32" x14ac:dyDescent="0.2">
      <c r="AF40333" s="12"/>
    </row>
    <row r="40334" spans="32:32" x14ac:dyDescent="0.2">
      <c r="AF40334" s="12"/>
    </row>
    <row r="40335" spans="32:32" x14ac:dyDescent="0.2">
      <c r="AF40335" s="12"/>
    </row>
    <row r="40336" spans="32:32" x14ac:dyDescent="0.2">
      <c r="AF40336" s="12"/>
    </row>
    <row r="40337" spans="32:32" x14ac:dyDescent="0.2">
      <c r="AF40337" s="12"/>
    </row>
    <row r="40338" spans="32:32" x14ac:dyDescent="0.2">
      <c r="AF40338" s="12"/>
    </row>
    <row r="40339" spans="32:32" x14ac:dyDescent="0.2">
      <c r="AF40339" s="12"/>
    </row>
    <row r="40340" spans="32:32" x14ac:dyDescent="0.2">
      <c r="AF40340" s="12"/>
    </row>
    <row r="40341" spans="32:32" x14ac:dyDescent="0.2">
      <c r="AF40341" s="12"/>
    </row>
    <row r="40342" spans="32:32" x14ac:dyDescent="0.2">
      <c r="AF40342" s="12"/>
    </row>
    <row r="40343" spans="32:32" x14ac:dyDescent="0.2">
      <c r="AF40343" s="12"/>
    </row>
    <row r="40344" spans="32:32" x14ac:dyDescent="0.2">
      <c r="AF40344" s="12"/>
    </row>
    <row r="40345" spans="32:32" x14ac:dyDescent="0.2">
      <c r="AF40345" s="12"/>
    </row>
    <row r="40346" spans="32:32" x14ac:dyDescent="0.2">
      <c r="AF40346" s="12"/>
    </row>
    <row r="40347" spans="32:32" x14ac:dyDescent="0.2">
      <c r="AF40347" s="12"/>
    </row>
    <row r="40348" spans="32:32" x14ac:dyDescent="0.2">
      <c r="AF40348" s="12"/>
    </row>
    <row r="40349" spans="32:32" x14ac:dyDescent="0.2">
      <c r="AF40349" s="12"/>
    </row>
    <row r="40350" spans="32:32" x14ac:dyDescent="0.2">
      <c r="AF40350" s="12"/>
    </row>
    <row r="40351" spans="32:32" x14ac:dyDescent="0.2">
      <c r="AF40351" s="12"/>
    </row>
    <row r="40352" spans="32:32" x14ac:dyDescent="0.2">
      <c r="AF40352" s="12"/>
    </row>
    <row r="40353" spans="32:32" x14ac:dyDescent="0.2">
      <c r="AF40353" s="12"/>
    </row>
    <row r="40354" spans="32:32" x14ac:dyDescent="0.2">
      <c r="AF40354" s="12"/>
    </row>
    <row r="40355" spans="32:32" x14ac:dyDescent="0.2">
      <c r="AF40355" s="12"/>
    </row>
    <row r="40356" spans="32:32" x14ac:dyDescent="0.2">
      <c r="AF40356" s="12"/>
    </row>
    <row r="40357" spans="32:32" x14ac:dyDescent="0.2">
      <c r="AF40357" s="12"/>
    </row>
    <row r="40358" spans="32:32" x14ac:dyDescent="0.2">
      <c r="AF40358" s="12"/>
    </row>
    <row r="40359" spans="32:32" x14ac:dyDescent="0.2">
      <c r="AF40359" s="12"/>
    </row>
    <row r="40360" spans="32:32" x14ac:dyDescent="0.2">
      <c r="AF40360" s="12"/>
    </row>
    <row r="40361" spans="32:32" x14ac:dyDescent="0.2">
      <c r="AF40361" s="12"/>
    </row>
    <row r="40362" spans="32:32" x14ac:dyDescent="0.2">
      <c r="AF40362" s="12"/>
    </row>
    <row r="40363" spans="32:32" x14ac:dyDescent="0.2">
      <c r="AF40363" s="12"/>
    </row>
    <row r="40364" spans="32:32" x14ac:dyDescent="0.2">
      <c r="AF40364" s="12"/>
    </row>
    <row r="40365" spans="32:32" x14ac:dyDescent="0.2">
      <c r="AF40365" s="12"/>
    </row>
    <row r="40366" spans="32:32" x14ac:dyDescent="0.2">
      <c r="AF40366" s="12"/>
    </row>
    <row r="40367" spans="32:32" x14ac:dyDescent="0.2">
      <c r="AF40367" s="12"/>
    </row>
    <row r="40368" spans="32:32" x14ac:dyDescent="0.2">
      <c r="AF40368" s="12"/>
    </row>
    <row r="40369" spans="32:32" x14ac:dyDescent="0.2">
      <c r="AF40369" s="12"/>
    </row>
    <row r="40370" spans="32:32" x14ac:dyDescent="0.2">
      <c r="AF40370" s="12"/>
    </row>
    <row r="40371" spans="32:32" x14ac:dyDescent="0.2">
      <c r="AF40371" s="12"/>
    </row>
    <row r="40372" spans="32:32" x14ac:dyDescent="0.2">
      <c r="AF40372" s="12"/>
    </row>
    <row r="40373" spans="32:32" x14ac:dyDescent="0.2">
      <c r="AF40373" s="12"/>
    </row>
    <row r="40374" spans="32:32" x14ac:dyDescent="0.2">
      <c r="AF40374" s="12"/>
    </row>
    <row r="40375" spans="32:32" x14ac:dyDescent="0.2">
      <c r="AF40375" s="12"/>
    </row>
    <row r="40376" spans="32:32" x14ac:dyDescent="0.2">
      <c r="AF40376" s="12"/>
    </row>
    <row r="40377" spans="32:32" x14ac:dyDescent="0.2">
      <c r="AF40377" s="12"/>
    </row>
    <row r="40378" spans="32:32" x14ac:dyDescent="0.2">
      <c r="AF40378" s="12"/>
    </row>
    <row r="40379" spans="32:32" x14ac:dyDescent="0.2">
      <c r="AF40379" s="12"/>
    </row>
    <row r="40380" spans="32:32" x14ac:dyDescent="0.2">
      <c r="AF40380" s="12"/>
    </row>
    <row r="40381" spans="32:32" x14ac:dyDescent="0.2">
      <c r="AF40381" s="12"/>
    </row>
    <row r="40382" spans="32:32" x14ac:dyDescent="0.2">
      <c r="AF40382" s="12"/>
    </row>
    <row r="40383" spans="32:32" x14ac:dyDescent="0.2">
      <c r="AF40383" s="12"/>
    </row>
    <row r="40384" spans="32:32" x14ac:dyDescent="0.2">
      <c r="AF40384" s="12"/>
    </row>
    <row r="40385" spans="32:32" x14ac:dyDescent="0.2">
      <c r="AF40385" s="12"/>
    </row>
    <row r="40386" spans="32:32" x14ac:dyDescent="0.2">
      <c r="AF40386" s="12"/>
    </row>
    <row r="40387" spans="32:32" x14ac:dyDescent="0.2">
      <c r="AF40387" s="12"/>
    </row>
    <row r="40388" spans="32:32" x14ac:dyDescent="0.2">
      <c r="AF40388" s="12"/>
    </row>
    <row r="40389" spans="32:32" x14ac:dyDescent="0.2">
      <c r="AF40389" s="12"/>
    </row>
    <row r="40390" spans="32:32" x14ac:dyDescent="0.2">
      <c r="AF40390" s="12"/>
    </row>
    <row r="40391" spans="32:32" x14ac:dyDescent="0.2">
      <c r="AF40391" s="12"/>
    </row>
    <row r="40392" spans="32:32" x14ac:dyDescent="0.2">
      <c r="AF40392" s="12"/>
    </row>
    <row r="40393" spans="32:32" x14ac:dyDescent="0.2">
      <c r="AF40393" s="12"/>
    </row>
    <row r="40394" spans="32:32" x14ac:dyDescent="0.2">
      <c r="AF40394" s="12"/>
    </row>
    <row r="40395" spans="32:32" x14ac:dyDescent="0.2">
      <c r="AF40395" s="12"/>
    </row>
    <row r="40396" spans="32:32" x14ac:dyDescent="0.2">
      <c r="AF40396" s="12"/>
    </row>
    <row r="40397" spans="32:32" x14ac:dyDescent="0.2">
      <c r="AF40397" s="12"/>
    </row>
    <row r="40398" spans="32:32" x14ac:dyDescent="0.2">
      <c r="AF40398" s="12"/>
    </row>
    <row r="40399" spans="32:32" x14ac:dyDescent="0.2">
      <c r="AF40399" s="12"/>
    </row>
    <row r="40400" spans="32:32" x14ac:dyDescent="0.2">
      <c r="AF40400" s="12"/>
    </row>
    <row r="40401" spans="32:32" x14ac:dyDescent="0.2">
      <c r="AF40401" s="12"/>
    </row>
    <row r="40402" spans="32:32" x14ac:dyDescent="0.2">
      <c r="AF40402" s="12"/>
    </row>
    <row r="40403" spans="32:32" x14ac:dyDescent="0.2">
      <c r="AF40403" s="12"/>
    </row>
    <row r="40404" spans="32:32" x14ac:dyDescent="0.2">
      <c r="AF40404" s="12"/>
    </row>
    <row r="40405" spans="32:32" x14ac:dyDescent="0.2">
      <c r="AF40405" s="12"/>
    </row>
    <row r="40406" spans="32:32" x14ac:dyDescent="0.2">
      <c r="AF40406" s="12"/>
    </row>
    <row r="40407" spans="32:32" x14ac:dyDescent="0.2">
      <c r="AF40407" s="12"/>
    </row>
    <row r="40408" spans="32:32" x14ac:dyDescent="0.2">
      <c r="AF40408" s="12"/>
    </row>
    <row r="40409" spans="32:32" x14ac:dyDescent="0.2">
      <c r="AF40409" s="12"/>
    </row>
    <row r="40410" spans="32:32" x14ac:dyDescent="0.2">
      <c r="AF40410" s="12"/>
    </row>
    <row r="40411" spans="32:32" x14ac:dyDescent="0.2">
      <c r="AF40411" s="12"/>
    </row>
    <row r="40412" spans="32:32" x14ac:dyDescent="0.2">
      <c r="AF40412" s="12"/>
    </row>
    <row r="40413" spans="32:32" x14ac:dyDescent="0.2">
      <c r="AF40413" s="12"/>
    </row>
    <row r="40414" spans="32:32" x14ac:dyDescent="0.2">
      <c r="AF40414" s="12"/>
    </row>
    <row r="40415" spans="32:32" x14ac:dyDescent="0.2">
      <c r="AF40415" s="12"/>
    </row>
    <row r="40416" spans="32:32" x14ac:dyDescent="0.2">
      <c r="AF40416" s="12"/>
    </row>
    <row r="40417" spans="32:32" x14ac:dyDescent="0.2">
      <c r="AF40417" s="12"/>
    </row>
    <row r="40418" spans="32:32" x14ac:dyDescent="0.2">
      <c r="AF40418" s="12"/>
    </row>
    <row r="40419" spans="32:32" x14ac:dyDescent="0.2">
      <c r="AF40419" s="12"/>
    </row>
    <row r="40420" spans="32:32" x14ac:dyDescent="0.2">
      <c r="AF40420" s="12"/>
    </row>
    <row r="40421" spans="32:32" x14ac:dyDescent="0.2">
      <c r="AF40421" s="12"/>
    </row>
    <row r="40422" spans="32:32" x14ac:dyDescent="0.2">
      <c r="AF40422" s="12"/>
    </row>
    <row r="40423" spans="32:32" x14ac:dyDescent="0.2">
      <c r="AF40423" s="12"/>
    </row>
    <row r="40424" spans="32:32" x14ac:dyDescent="0.2">
      <c r="AF40424" s="12"/>
    </row>
    <row r="40425" spans="32:32" x14ac:dyDescent="0.2">
      <c r="AF40425" s="12"/>
    </row>
    <row r="40426" spans="32:32" x14ac:dyDescent="0.2">
      <c r="AF40426" s="12"/>
    </row>
    <row r="40427" spans="32:32" x14ac:dyDescent="0.2">
      <c r="AF40427" s="12"/>
    </row>
    <row r="40428" spans="32:32" x14ac:dyDescent="0.2">
      <c r="AF40428" s="12"/>
    </row>
    <row r="40429" spans="32:32" x14ac:dyDescent="0.2">
      <c r="AF40429" s="12"/>
    </row>
    <row r="40430" spans="32:32" x14ac:dyDescent="0.2">
      <c r="AF40430" s="12"/>
    </row>
    <row r="40431" spans="32:32" x14ac:dyDescent="0.2">
      <c r="AF40431" s="12"/>
    </row>
    <row r="40432" spans="32:32" x14ac:dyDescent="0.2">
      <c r="AF40432" s="12"/>
    </row>
    <row r="40433" spans="32:32" x14ac:dyDescent="0.2">
      <c r="AF40433" s="12"/>
    </row>
    <row r="40434" spans="32:32" x14ac:dyDescent="0.2">
      <c r="AF40434" s="12"/>
    </row>
    <row r="40435" spans="32:32" x14ac:dyDescent="0.2">
      <c r="AF40435" s="12"/>
    </row>
    <row r="40436" spans="32:32" x14ac:dyDescent="0.2">
      <c r="AF40436" s="12"/>
    </row>
    <row r="40437" spans="32:32" x14ac:dyDescent="0.2">
      <c r="AF40437" s="12"/>
    </row>
    <row r="40438" spans="32:32" x14ac:dyDescent="0.2">
      <c r="AF40438" s="12"/>
    </row>
    <row r="40439" spans="32:32" x14ac:dyDescent="0.2">
      <c r="AF40439" s="12"/>
    </row>
    <row r="40440" spans="32:32" x14ac:dyDescent="0.2">
      <c r="AF40440" s="12"/>
    </row>
    <row r="40441" spans="32:32" x14ac:dyDescent="0.2">
      <c r="AF40441" s="12"/>
    </row>
    <row r="40442" spans="32:32" x14ac:dyDescent="0.2">
      <c r="AF40442" s="12"/>
    </row>
    <row r="40443" spans="32:32" x14ac:dyDescent="0.2">
      <c r="AF40443" s="12"/>
    </row>
    <row r="40444" spans="32:32" x14ac:dyDescent="0.2">
      <c r="AF40444" s="12"/>
    </row>
    <row r="40445" spans="32:32" x14ac:dyDescent="0.2">
      <c r="AF40445" s="12"/>
    </row>
    <row r="40446" spans="32:32" x14ac:dyDescent="0.2">
      <c r="AF40446" s="12"/>
    </row>
    <row r="40447" spans="32:32" x14ac:dyDescent="0.2">
      <c r="AF40447" s="12"/>
    </row>
    <row r="40448" spans="32:32" x14ac:dyDescent="0.2">
      <c r="AF40448" s="12"/>
    </row>
    <row r="40449" spans="32:32" x14ac:dyDescent="0.2">
      <c r="AF40449" s="12"/>
    </row>
    <row r="40450" spans="32:32" x14ac:dyDescent="0.2">
      <c r="AF40450" s="12"/>
    </row>
    <row r="40451" spans="32:32" x14ac:dyDescent="0.2">
      <c r="AF40451" s="12"/>
    </row>
    <row r="40452" spans="32:32" x14ac:dyDescent="0.2">
      <c r="AF40452" s="12"/>
    </row>
    <row r="40453" spans="32:32" x14ac:dyDescent="0.2">
      <c r="AF40453" s="12"/>
    </row>
    <row r="40454" spans="32:32" x14ac:dyDescent="0.2">
      <c r="AF40454" s="12"/>
    </row>
    <row r="40455" spans="32:32" x14ac:dyDescent="0.2">
      <c r="AF40455" s="12"/>
    </row>
    <row r="40456" spans="32:32" x14ac:dyDescent="0.2">
      <c r="AF40456" s="12"/>
    </row>
    <row r="40457" spans="32:32" x14ac:dyDescent="0.2">
      <c r="AF40457" s="12"/>
    </row>
    <row r="40458" spans="32:32" x14ac:dyDescent="0.2">
      <c r="AF40458" s="12"/>
    </row>
    <row r="40459" spans="32:32" x14ac:dyDescent="0.2">
      <c r="AF40459" s="12"/>
    </row>
    <row r="40460" spans="32:32" x14ac:dyDescent="0.2">
      <c r="AF40460" s="12"/>
    </row>
    <row r="40461" spans="32:32" x14ac:dyDescent="0.2">
      <c r="AF40461" s="12"/>
    </row>
    <row r="40462" spans="32:32" x14ac:dyDescent="0.2">
      <c r="AF40462" s="12"/>
    </row>
    <row r="40463" spans="32:32" x14ac:dyDescent="0.2">
      <c r="AF40463" s="12"/>
    </row>
    <row r="40464" spans="32:32" x14ac:dyDescent="0.2">
      <c r="AF40464" s="12"/>
    </row>
    <row r="40465" spans="32:32" x14ac:dyDescent="0.2">
      <c r="AF40465" s="12"/>
    </row>
    <row r="40466" spans="32:32" x14ac:dyDescent="0.2">
      <c r="AF40466" s="12"/>
    </row>
    <row r="40467" spans="32:32" x14ac:dyDescent="0.2">
      <c r="AF40467" s="12"/>
    </row>
    <row r="40468" spans="32:32" x14ac:dyDescent="0.2">
      <c r="AF40468" s="12"/>
    </row>
    <row r="40469" spans="32:32" x14ac:dyDescent="0.2">
      <c r="AF40469" s="12"/>
    </row>
    <row r="40470" spans="32:32" x14ac:dyDescent="0.2">
      <c r="AF40470" s="12"/>
    </row>
    <row r="40471" spans="32:32" x14ac:dyDescent="0.2">
      <c r="AF40471" s="12"/>
    </row>
    <row r="40472" spans="32:32" x14ac:dyDescent="0.2">
      <c r="AF40472" s="12"/>
    </row>
    <row r="40473" spans="32:32" x14ac:dyDescent="0.2">
      <c r="AF40473" s="12"/>
    </row>
    <row r="40474" spans="32:32" x14ac:dyDescent="0.2">
      <c r="AF40474" s="12"/>
    </row>
    <row r="40475" spans="32:32" x14ac:dyDescent="0.2">
      <c r="AF40475" s="12"/>
    </row>
    <row r="40476" spans="32:32" x14ac:dyDescent="0.2">
      <c r="AF40476" s="12"/>
    </row>
    <row r="40477" spans="32:32" x14ac:dyDescent="0.2">
      <c r="AF40477" s="12"/>
    </row>
    <row r="40478" spans="32:32" x14ac:dyDescent="0.2">
      <c r="AF40478" s="12"/>
    </row>
    <row r="40479" spans="32:32" x14ac:dyDescent="0.2">
      <c r="AF40479" s="12"/>
    </row>
    <row r="40480" spans="32:32" x14ac:dyDescent="0.2">
      <c r="AF40480" s="12"/>
    </row>
    <row r="40481" spans="32:32" x14ac:dyDescent="0.2">
      <c r="AF40481" s="12"/>
    </row>
    <row r="40482" spans="32:32" x14ac:dyDescent="0.2">
      <c r="AF40482" s="12"/>
    </row>
    <row r="40483" spans="32:32" x14ac:dyDescent="0.2">
      <c r="AF40483" s="12"/>
    </row>
    <row r="40484" spans="32:32" x14ac:dyDescent="0.2">
      <c r="AF40484" s="12"/>
    </row>
    <row r="40485" spans="32:32" x14ac:dyDescent="0.2">
      <c r="AF40485" s="12"/>
    </row>
    <row r="40486" spans="32:32" x14ac:dyDescent="0.2">
      <c r="AF40486" s="12"/>
    </row>
    <row r="40487" spans="32:32" x14ac:dyDescent="0.2">
      <c r="AF40487" s="12"/>
    </row>
    <row r="40488" spans="32:32" x14ac:dyDescent="0.2">
      <c r="AF40488" s="12"/>
    </row>
    <row r="40489" spans="32:32" x14ac:dyDescent="0.2">
      <c r="AF40489" s="12"/>
    </row>
    <row r="40490" spans="32:32" x14ac:dyDescent="0.2">
      <c r="AF40490" s="12"/>
    </row>
    <row r="40491" spans="32:32" x14ac:dyDescent="0.2">
      <c r="AF40491" s="12"/>
    </row>
    <row r="40492" spans="32:32" x14ac:dyDescent="0.2">
      <c r="AF40492" s="12"/>
    </row>
    <row r="40493" spans="32:32" x14ac:dyDescent="0.2">
      <c r="AF40493" s="12"/>
    </row>
    <row r="40494" spans="32:32" x14ac:dyDescent="0.2">
      <c r="AF40494" s="12"/>
    </row>
    <row r="40495" spans="32:32" x14ac:dyDescent="0.2">
      <c r="AF40495" s="12"/>
    </row>
    <row r="40496" spans="32:32" x14ac:dyDescent="0.2">
      <c r="AF40496" s="12"/>
    </row>
    <row r="40497" spans="32:32" x14ac:dyDescent="0.2">
      <c r="AF40497" s="12"/>
    </row>
    <row r="40498" spans="32:32" x14ac:dyDescent="0.2">
      <c r="AF40498" s="12"/>
    </row>
    <row r="40499" spans="32:32" x14ac:dyDescent="0.2">
      <c r="AF40499" s="12"/>
    </row>
    <row r="40500" spans="32:32" x14ac:dyDescent="0.2">
      <c r="AF40500" s="12"/>
    </row>
    <row r="40501" spans="32:32" x14ac:dyDescent="0.2">
      <c r="AF40501" s="12"/>
    </row>
    <row r="40502" spans="32:32" x14ac:dyDescent="0.2">
      <c r="AF40502" s="12"/>
    </row>
    <row r="40503" spans="32:32" x14ac:dyDescent="0.2">
      <c r="AF40503" s="12"/>
    </row>
    <row r="40504" spans="32:32" x14ac:dyDescent="0.2">
      <c r="AF40504" s="12"/>
    </row>
    <row r="40505" spans="32:32" x14ac:dyDescent="0.2">
      <c r="AF40505" s="12"/>
    </row>
    <row r="40506" spans="32:32" x14ac:dyDescent="0.2">
      <c r="AF40506" s="12"/>
    </row>
    <row r="40507" spans="32:32" x14ac:dyDescent="0.2">
      <c r="AF40507" s="12"/>
    </row>
    <row r="40508" spans="32:32" x14ac:dyDescent="0.2">
      <c r="AF40508" s="12"/>
    </row>
    <row r="40509" spans="32:32" x14ac:dyDescent="0.2">
      <c r="AF40509" s="12"/>
    </row>
    <row r="40510" spans="32:32" x14ac:dyDescent="0.2">
      <c r="AF40510" s="12"/>
    </row>
    <row r="40511" spans="32:32" x14ac:dyDescent="0.2">
      <c r="AF40511" s="12"/>
    </row>
    <row r="40512" spans="32:32" x14ac:dyDescent="0.2">
      <c r="AF40512" s="12"/>
    </row>
    <row r="40513" spans="32:32" x14ac:dyDescent="0.2">
      <c r="AF40513" s="12"/>
    </row>
    <row r="40514" spans="32:32" x14ac:dyDescent="0.2">
      <c r="AF40514" s="12"/>
    </row>
    <row r="40515" spans="32:32" x14ac:dyDescent="0.2">
      <c r="AF40515" s="12"/>
    </row>
    <row r="40516" spans="32:32" x14ac:dyDescent="0.2">
      <c r="AF40516" s="12"/>
    </row>
    <row r="40517" spans="32:32" x14ac:dyDescent="0.2">
      <c r="AF40517" s="12"/>
    </row>
    <row r="40518" spans="32:32" x14ac:dyDescent="0.2">
      <c r="AF40518" s="12"/>
    </row>
    <row r="40519" spans="32:32" x14ac:dyDescent="0.2">
      <c r="AF40519" s="12"/>
    </row>
    <row r="40520" spans="32:32" x14ac:dyDescent="0.2">
      <c r="AF40520" s="12"/>
    </row>
    <row r="40521" spans="32:32" x14ac:dyDescent="0.2">
      <c r="AF40521" s="12"/>
    </row>
    <row r="40522" spans="32:32" x14ac:dyDescent="0.2">
      <c r="AF40522" s="12"/>
    </row>
    <row r="40523" spans="32:32" x14ac:dyDescent="0.2">
      <c r="AF40523" s="12"/>
    </row>
    <row r="40524" spans="32:32" x14ac:dyDescent="0.2">
      <c r="AF40524" s="12"/>
    </row>
    <row r="40525" spans="32:32" x14ac:dyDescent="0.2">
      <c r="AF40525" s="12"/>
    </row>
    <row r="40526" spans="32:32" x14ac:dyDescent="0.2">
      <c r="AF40526" s="12"/>
    </row>
    <row r="40527" spans="32:32" x14ac:dyDescent="0.2">
      <c r="AF40527" s="12"/>
    </row>
    <row r="40528" spans="32:32" x14ac:dyDescent="0.2">
      <c r="AF40528" s="12"/>
    </row>
    <row r="40529" spans="32:32" x14ac:dyDescent="0.2">
      <c r="AF40529" s="12"/>
    </row>
    <row r="40530" spans="32:32" x14ac:dyDescent="0.2">
      <c r="AF40530" s="12"/>
    </row>
    <row r="40531" spans="32:32" x14ac:dyDescent="0.2">
      <c r="AF40531" s="12"/>
    </row>
    <row r="40532" spans="32:32" x14ac:dyDescent="0.2">
      <c r="AF40532" s="12"/>
    </row>
    <row r="40533" spans="32:32" x14ac:dyDescent="0.2">
      <c r="AF40533" s="12"/>
    </row>
    <row r="40534" spans="32:32" x14ac:dyDescent="0.2">
      <c r="AF40534" s="12"/>
    </row>
    <row r="40535" spans="32:32" x14ac:dyDescent="0.2">
      <c r="AF40535" s="12"/>
    </row>
    <row r="40536" spans="32:32" x14ac:dyDescent="0.2">
      <c r="AF40536" s="12"/>
    </row>
    <row r="40537" spans="32:32" x14ac:dyDescent="0.2">
      <c r="AF40537" s="12"/>
    </row>
    <row r="40538" spans="32:32" x14ac:dyDescent="0.2">
      <c r="AF40538" s="12"/>
    </row>
    <row r="40539" spans="32:32" x14ac:dyDescent="0.2">
      <c r="AF40539" s="12"/>
    </row>
    <row r="40540" spans="32:32" x14ac:dyDescent="0.2">
      <c r="AF40540" s="12"/>
    </row>
    <row r="40541" spans="32:32" x14ac:dyDescent="0.2">
      <c r="AF40541" s="12"/>
    </row>
    <row r="40542" spans="32:32" x14ac:dyDescent="0.2">
      <c r="AF40542" s="12"/>
    </row>
    <row r="40543" spans="32:32" x14ac:dyDescent="0.2">
      <c r="AF40543" s="12"/>
    </row>
    <row r="40544" spans="32:32" x14ac:dyDescent="0.2">
      <c r="AF40544" s="12"/>
    </row>
    <row r="40545" spans="32:32" x14ac:dyDescent="0.2">
      <c r="AF40545" s="12"/>
    </row>
    <row r="40546" spans="32:32" x14ac:dyDescent="0.2">
      <c r="AF40546" s="12"/>
    </row>
    <row r="40547" spans="32:32" x14ac:dyDescent="0.2">
      <c r="AF40547" s="12"/>
    </row>
    <row r="40548" spans="32:32" x14ac:dyDescent="0.2">
      <c r="AF40548" s="12"/>
    </row>
    <row r="40549" spans="32:32" x14ac:dyDescent="0.2">
      <c r="AF40549" s="12"/>
    </row>
    <row r="40550" spans="32:32" x14ac:dyDescent="0.2">
      <c r="AF40550" s="12"/>
    </row>
    <row r="40551" spans="32:32" x14ac:dyDescent="0.2">
      <c r="AF40551" s="12"/>
    </row>
    <row r="40552" spans="32:32" x14ac:dyDescent="0.2">
      <c r="AF40552" s="12"/>
    </row>
    <row r="40553" spans="32:32" x14ac:dyDescent="0.2">
      <c r="AF40553" s="12"/>
    </row>
    <row r="40554" spans="32:32" x14ac:dyDescent="0.2">
      <c r="AF40554" s="12"/>
    </row>
    <row r="40555" spans="32:32" x14ac:dyDescent="0.2">
      <c r="AF40555" s="12"/>
    </row>
    <row r="40556" spans="32:32" x14ac:dyDescent="0.2">
      <c r="AF40556" s="12"/>
    </row>
    <row r="40557" spans="32:32" x14ac:dyDescent="0.2">
      <c r="AF40557" s="12"/>
    </row>
    <row r="40558" spans="32:32" x14ac:dyDescent="0.2">
      <c r="AF40558" s="12"/>
    </row>
    <row r="40559" spans="32:32" x14ac:dyDescent="0.2">
      <c r="AF40559" s="12"/>
    </row>
    <row r="40560" spans="32:32" x14ac:dyDescent="0.2">
      <c r="AF40560" s="12"/>
    </row>
    <row r="40561" spans="32:32" x14ac:dyDescent="0.2">
      <c r="AF40561" s="12"/>
    </row>
    <row r="40562" spans="32:32" x14ac:dyDescent="0.2">
      <c r="AF40562" s="12"/>
    </row>
    <row r="40563" spans="32:32" x14ac:dyDescent="0.2">
      <c r="AF40563" s="12"/>
    </row>
    <row r="40564" spans="32:32" x14ac:dyDescent="0.2">
      <c r="AF40564" s="12"/>
    </row>
    <row r="40565" spans="32:32" x14ac:dyDescent="0.2">
      <c r="AF40565" s="12"/>
    </row>
    <row r="40566" spans="32:32" x14ac:dyDescent="0.2">
      <c r="AF40566" s="12"/>
    </row>
    <row r="40567" spans="32:32" x14ac:dyDescent="0.2">
      <c r="AF40567" s="12"/>
    </row>
    <row r="40568" spans="32:32" x14ac:dyDescent="0.2">
      <c r="AF40568" s="12"/>
    </row>
    <row r="40569" spans="32:32" x14ac:dyDescent="0.2">
      <c r="AF40569" s="12"/>
    </row>
    <row r="40570" spans="32:32" x14ac:dyDescent="0.2">
      <c r="AF40570" s="12"/>
    </row>
    <row r="40571" spans="32:32" x14ac:dyDescent="0.2">
      <c r="AF40571" s="12"/>
    </row>
    <row r="40572" spans="32:32" x14ac:dyDescent="0.2">
      <c r="AF40572" s="12"/>
    </row>
    <row r="40573" spans="32:32" x14ac:dyDescent="0.2">
      <c r="AF40573" s="12"/>
    </row>
    <row r="40574" spans="32:32" x14ac:dyDescent="0.2">
      <c r="AF40574" s="12"/>
    </row>
    <row r="40575" spans="32:32" x14ac:dyDescent="0.2">
      <c r="AF40575" s="12"/>
    </row>
    <row r="40576" spans="32:32" x14ac:dyDescent="0.2">
      <c r="AF40576" s="12"/>
    </row>
    <row r="40577" spans="32:32" x14ac:dyDescent="0.2">
      <c r="AF40577" s="12"/>
    </row>
    <row r="40578" spans="32:32" x14ac:dyDescent="0.2">
      <c r="AF40578" s="12"/>
    </row>
    <row r="40579" spans="32:32" x14ac:dyDescent="0.2">
      <c r="AF40579" s="12"/>
    </row>
    <row r="40580" spans="32:32" x14ac:dyDescent="0.2">
      <c r="AF40580" s="12"/>
    </row>
    <row r="40581" spans="32:32" x14ac:dyDescent="0.2">
      <c r="AF40581" s="12"/>
    </row>
    <row r="40582" spans="32:32" x14ac:dyDescent="0.2">
      <c r="AF40582" s="12"/>
    </row>
    <row r="40583" spans="32:32" x14ac:dyDescent="0.2">
      <c r="AF40583" s="12"/>
    </row>
    <row r="40584" spans="32:32" x14ac:dyDescent="0.2">
      <c r="AF40584" s="12"/>
    </row>
    <row r="40585" spans="32:32" x14ac:dyDescent="0.2">
      <c r="AF40585" s="12"/>
    </row>
    <row r="40586" spans="32:32" x14ac:dyDescent="0.2">
      <c r="AF40586" s="12"/>
    </row>
    <row r="40587" spans="32:32" x14ac:dyDescent="0.2">
      <c r="AF40587" s="12"/>
    </row>
    <row r="40588" spans="32:32" x14ac:dyDescent="0.2">
      <c r="AF40588" s="12"/>
    </row>
    <row r="40589" spans="32:32" x14ac:dyDescent="0.2">
      <c r="AF40589" s="12"/>
    </row>
    <row r="40590" spans="32:32" x14ac:dyDescent="0.2">
      <c r="AF40590" s="12"/>
    </row>
    <row r="40591" spans="32:32" x14ac:dyDescent="0.2">
      <c r="AF40591" s="12"/>
    </row>
    <row r="40592" spans="32:32" x14ac:dyDescent="0.2">
      <c r="AF40592" s="12"/>
    </row>
    <row r="40593" spans="32:32" x14ac:dyDescent="0.2">
      <c r="AF40593" s="12"/>
    </row>
    <row r="40594" spans="32:32" x14ac:dyDescent="0.2">
      <c r="AF40594" s="12"/>
    </row>
    <row r="40595" spans="32:32" x14ac:dyDescent="0.2">
      <c r="AF40595" s="12"/>
    </row>
    <row r="40596" spans="32:32" x14ac:dyDescent="0.2">
      <c r="AF40596" s="12"/>
    </row>
    <row r="40597" spans="32:32" x14ac:dyDescent="0.2">
      <c r="AF40597" s="12"/>
    </row>
    <row r="40598" spans="32:32" x14ac:dyDescent="0.2">
      <c r="AF40598" s="12"/>
    </row>
    <row r="40599" spans="32:32" x14ac:dyDescent="0.2">
      <c r="AF40599" s="12"/>
    </row>
    <row r="40600" spans="32:32" x14ac:dyDescent="0.2">
      <c r="AF40600" s="12"/>
    </row>
    <row r="40601" spans="32:32" x14ac:dyDescent="0.2">
      <c r="AF40601" s="12"/>
    </row>
    <row r="40602" spans="32:32" x14ac:dyDescent="0.2">
      <c r="AF40602" s="12"/>
    </row>
    <row r="40603" spans="32:32" x14ac:dyDescent="0.2">
      <c r="AF40603" s="12"/>
    </row>
    <row r="40604" spans="32:32" x14ac:dyDescent="0.2">
      <c r="AF40604" s="12"/>
    </row>
    <row r="40605" spans="32:32" x14ac:dyDescent="0.2">
      <c r="AF40605" s="12"/>
    </row>
    <row r="40606" spans="32:32" x14ac:dyDescent="0.2">
      <c r="AF40606" s="12"/>
    </row>
    <row r="40607" spans="32:32" x14ac:dyDescent="0.2">
      <c r="AF40607" s="12"/>
    </row>
    <row r="40608" spans="32:32" x14ac:dyDescent="0.2">
      <c r="AF40608" s="12"/>
    </row>
    <row r="40609" spans="32:32" x14ac:dyDescent="0.2">
      <c r="AF40609" s="12"/>
    </row>
    <row r="40610" spans="32:32" x14ac:dyDescent="0.2">
      <c r="AF40610" s="12"/>
    </row>
    <row r="40611" spans="32:32" x14ac:dyDescent="0.2">
      <c r="AF40611" s="12"/>
    </row>
    <row r="40612" spans="32:32" x14ac:dyDescent="0.2">
      <c r="AF40612" s="12"/>
    </row>
    <row r="40613" spans="32:32" x14ac:dyDescent="0.2">
      <c r="AF40613" s="12"/>
    </row>
    <row r="40614" spans="32:32" x14ac:dyDescent="0.2">
      <c r="AF40614" s="12"/>
    </row>
    <row r="40615" spans="32:32" x14ac:dyDescent="0.2">
      <c r="AF40615" s="12"/>
    </row>
    <row r="40616" spans="32:32" x14ac:dyDescent="0.2">
      <c r="AF40616" s="12"/>
    </row>
    <row r="40617" spans="32:32" x14ac:dyDescent="0.2">
      <c r="AF40617" s="12"/>
    </row>
    <row r="40618" spans="32:32" x14ac:dyDescent="0.2">
      <c r="AF40618" s="12"/>
    </row>
    <row r="40619" spans="32:32" x14ac:dyDescent="0.2">
      <c r="AF40619" s="12"/>
    </row>
    <row r="40620" spans="32:32" x14ac:dyDescent="0.2">
      <c r="AF40620" s="12"/>
    </row>
    <row r="40621" spans="32:32" x14ac:dyDescent="0.2">
      <c r="AF40621" s="12"/>
    </row>
    <row r="40622" spans="32:32" x14ac:dyDescent="0.2">
      <c r="AF40622" s="12"/>
    </row>
    <row r="40623" spans="32:32" x14ac:dyDescent="0.2">
      <c r="AF40623" s="12"/>
    </row>
    <row r="40624" spans="32:32" x14ac:dyDescent="0.2">
      <c r="AF40624" s="12"/>
    </row>
    <row r="40625" spans="32:32" x14ac:dyDescent="0.2">
      <c r="AF40625" s="12"/>
    </row>
    <row r="40626" spans="32:32" x14ac:dyDescent="0.2">
      <c r="AF40626" s="12"/>
    </row>
    <row r="40627" spans="32:32" x14ac:dyDescent="0.2">
      <c r="AF40627" s="12"/>
    </row>
    <row r="40628" spans="32:32" x14ac:dyDescent="0.2">
      <c r="AF40628" s="12"/>
    </row>
    <row r="40629" spans="32:32" x14ac:dyDescent="0.2">
      <c r="AF40629" s="12"/>
    </row>
    <row r="40630" spans="32:32" x14ac:dyDescent="0.2">
      <c r="AF40630" s="12"/>
    </row>
    <row r="40631" spans="32:32" x14ac:dyDescent="0.2">
      <c r="AF40631" s="12"/>
    </row>
    <row r="40632" spans="32:32" x14ac:dyDescent="0.2">
      <c r="AF40632" s="12"/>
    </row>
    <row r="40633" spans="32:32" x14ac:dyDescent="0.2">
      <c r="AF40633" s="12"/>
    </row>
    <row r="40634" spans="32:32" x14ac:dyDescent="0.2">
      <c r="AF40634" s="12"/>
    </row>
    <row r="40635" spans="32:32" x14ac:dyDescent="0.2">
      <c r="AF40635" s="12"/>
    </row>
    <row r="40636" spans="32:32" x14ac:dyDescent="0.2">
      <c r="AF40636" s="12"/>
    </row>
    <row r="40637" spans="32:32" x14ac:dyDescent="0.2">
      <c r="AF40637" s="12"/>
    </row>
    <row r="40638" spans="32:32" x14ac:dyDescent="0.2">
      <c r="AF40638" s="12"/>
    </row>
    <row r="40639" spans="32:32" x14ac:dyDescent="0.2">
      <c r="AF40639" s="12"/>
    </row>
    <row r="40640" spans="32:32" x14ac:dyDescent="0.2">
      <c r="AF40640" s="12"/>
    </row>
    <row r="40641" spans="32:32" x14ac:dyDescent="0.2">
      <c r="AF40641" s="12"/>
    </row>
    <row r="40642" spans="32:32" x14ac:dyDescent="0.2">
      <c r="AF40642" s="12"/>
    </row>
    <row r="40643" spans="32:32" x14ac:dyDescent="0.2">
      <c r="AF40643" s="12"/>
    </row>
    <row r="40644" spans="32:32" x14ac:dyDescent="0.2">
      <c r="AF40644" s="12"/>
    </row>
    <row r="40645" spans="32:32" x14ac:dyDescent="0.2">
      <c r="AF40645" s="12"/>
    </row>
    <row r="40646" spans="32:32" x14ac:dyDescent="0.2">
      <c r="AF40646" s="12"/>
    </row>
    <row r="40647" spans="32:32" x14ac:dyDescent="0.2">
      <c r="AF40647" s="12"/>
    </row>
    <row r="40648" spans="32:32" x14ac:dyDescent="0.2">
      <c r="AF40648" s="12"/>
    </row>
    <row r="40649" spans="32:32" x14ac:dyDescent="0.2">
      <c r="AF40649" s="12"/>
    </row>
    <row r="40650" spans="32:32" x14ac:dyDescent="0.2">
      <c r="AF40650" s="12"/>
    </row>
    <row r="40651" spans="32:32" x14ac:dyDescent="0.2">
      <c r="AF40651" s="12"/>
    </row>
    <row r="40652" spans="32:32" x14ac:dyDescent="0.2">
      <c r="AF40652" s="12"/>
    </row>
    <row r="40653" spans="32:32" x14ac:dyDescent="0.2">
      <c r="AF40653" s="12"/>
    </row>
    <row r="40654" spans="32:32" x14ac:dyDescent="0.2">
      <c r="AF40654" s="12"/>
    </row>
    <row r="40655" spans="32:32" x14ac:dyDescent="0.2">
      <c r="AF40655" s="12"/>
    </row>
    <row r="40656" spans="32:32" x14ac:dyDescent="0.2">
      <c r="AF40656" s="12"/>
    </row>
    <row r="40657" spans="32:32" x14ac:dyDescent="0.2">
      <c r="AF40657" s="12"/>
    </row>
    <row r="40658" spans="32:32" x14ac:dyDescent="0.2">
      <c r="AF40658" s="12"/>
    </row>
    <row r="40659" spans="32:32" x14ac:dyDescent="0.2">
      <c r="AF40659" s="12"/>
    </row>
    <row r="40660" spans="32:32" x14ac:dyDescent="0.2">
      <c r="AF40660" s="12"/>
    </row>
    <row r="40661" spans="32:32" x14ac:dyDescent="0.2">
      <c r="AF40661" s="12"/>
    </row>
    <row r="40662" spans="32:32" x14ac:dyDescent="0.2">
      <c r="AF40662" s="12"/>
    </row>
    <row r="40663" spans="32:32" x14ac:dyDescent="0.2">
      <c r="AF40663" s="12"/>
    </row>
    <row r="40664" spans="32:32" x14ac:dyDescent="0.2">
      <c r="AF40664" s="12"/>
    </row>
    <row r="40665" spans="32:32" x14ac:dyDescent="0.2">
      <c r="AF40665" s="12"/>
    </row>
    <row r="40666" spans="32:32" x14ac:dyDescent="0.2">
      <c r="AF40666" s="12"/>
    </row>
    <row r="40667" spans="32:32" x14ac:dyDescent="0.2">
      <c r="AF40667" s="12"/>
    </row>
    <row r="40668" spans="32:32" x14ac:dyDescent="0.2">
      <c r="AF40668" s="12"/>
    </row>
    <row r="40669" spans="32:32" x14ac:dyDescent="0.2">
      <c r="AF40669" s="12"/>
    </row>
    <row r="40670" spans="32:32" x14ac:dyDescent="0.2">
      <c r="AF40670" s="12"/>
    </row>
    <row r="40671" spans="32:32" x14ac:dyDescent="0.2">
      <c r="AF40671" s="12"/>
    </row>
    <row r="40672" spans="32:32" x14ac:dyDescent="0.2">
      <c r="AF40672" s="12"/>
    </row>
    <row r="40673" spans="32:32" x14ac:dyDescent="0.2">
      <c r="AF40673" s="12"/>
    </row>
    <row r="40674" spans="32:32" x14ac:dyDescent="0.2">
      <c r="AF40674" s="12"/>
    </row>
    <row r="40675" spans="32:32" x14ac:dyDescent="0.2">
      <c r="AF40675" s="12"/>
    </row>
    <row r="40676" spans="32:32" x14ac:dyDescent="0.2">
      <c r="AF40676" s="12"/>
    </row>
    <row r="40677" spans="32:32" x14ac:dyDescent="0.2">
      <c r="AF40677" s="12"/>
    </row>
    <row r="40678" spans="32:32" x14ac:dyDescent="0.2">
      <c r="AF40678" s="12"/>
    </row>
    <row r="40679" spans="32:32" x14ac:dyDescent="0.2">
      <c r="AF40679" s="12"/>
    </row>
    <row r="40680" spans="32:32" x14ac:dyDescent="0.2">
      <c r="AF40680" s="12"/>
    </row>
    <row r="40681" spans="32:32" x14ac:dyDescent="0.2">
      <c r="AF40681" s="12"/>
    </row>
    <row r="40682" spans="32:32" x14ac:dyDescent="0.2">
      <c r="AF40682" s="12"/>
    </row>
    <row r="40683" spans="32:32" x14ac:dyDescent="0.2">
      <c r="AF40683" s="12"/>
    </row>
    <row r="40684" spans="32:32" x14ac:dyDescent="0.2">
      <c r="AF40684" s="12"/>
    </row>
    <row r="40685" spans="32:32" x14ac:dyDescent="0.2">
      <c r="AF40685" s="12"/>
    </row>
    <row r="40686" spans="32:32" x14ac:dyDescent="0.2">
      <c r="AF40686" s="12"/>
    </row>
    <row r="40687" spans="32:32" x14ac:dyDescent="0.2">
      <c r="AF40687" s="12"/>
    </row>
    <row r="40688" spans="32:32" x14ac:dyDescent="0.2">
      <c r="AF40688" s="12"/>
    </row>
    <row r="40689" spans="32:32" x14ac:dyDescent="0.2">
      <c r="AF40689" s="12"/>
    </row>
    <row r="40690" spans="32:32" x14ac:dyDescent="0.2">
      <c r="AF40690" s="12"/>
    </row>
    <row r="40691" spans="32:32" x14ac:dyDescent="0.2">
      <c r="AF40691" s="12"/>
    </row>
    <row r="40692" spans="32:32" x14ac:dyDescent="0.2">
      <c r="AF40692" s="12"/>
    </row>
    <row r="40693" spans="32:32" x14ac:dyDescent="0.2">
      <c r="AF40693" s="12"/>
    </row>
    <row r="40694" spans="32:32" x14ac:dyDescent="0.2">
      <c r="AF40694" s="12"/>
    </row>
    <row r="40695" spans="32:32" x14ac:dyDescent="0.2">
      <c r="AF40695" s="12"/>
    </row>
    <row r="40696" spans="32:32" x14ac:dyDescent="0.2">
      <c r="AF40696" s="12"/>
    </row>
    <row r="40697" spans="32:32" x14ac:dyDescent="0.2">
      <c r="AF40697" s="12"/>
    </row>
    <row r="40698" spans="32:32" x14ac:dyDescent="0.2">
      <c r="AF40698" s="12"/>
    </row>
    <row r="40699" spans="32:32" x14ac:dyDescent="0.2">
      <c r="AF40699" s="12"/>
    </row>
    <row r="40700" spans="32:32" x14ac:dyDescent="0.2">
      <c r="AF40700" s="12"/>
    </row>
    <row r="40701" spans="32:32" x14ac:dyDescent="0.2">
      <c r="AF40701" s="12"/>
    </row>
    <row r="40702" spans="32:32" x14ac:dyDescent="0.2">
      <c r="AF40702" s="12"/>
    </row>
    <row r="40703" spans="32:32" x14ac:dyDescent="0.2">
      <c r="AF40703" s="12"/>
    </row>
    <row r="40704" spans="32:32" x14ac:dyDescent="0.2">
      <c r="AF40704" s="12"/>
    </row>
    <row r="40705" spans="32:32" x14ac:dyDescent="0.2">
      <c r="AF40705" s="12"/>
    </row>
    <row r="40706" spans="32:32" x14ac:dyDescent="0.2">
      <c r="AF40706" s="12"/>
    </row>
    <row r="40707" spans="32:32" x14ac:dyDescent="0.2">
      <c r="AF40707" s="12"/>
    </row>
    <row r="40708" spans="32:32" x14ac:dyDescent="0.2">
      <c r="AF40708" s="12"/>
    </row>
    <row r="40709" spans="32:32" x14ac:dyDescent="0.2">
      <c r="AF40709" s="12"/>
    </row>
    <row r="40710" spans="32:32" x14ac:dyDescent="0.2">
      <c r="AF40710" s="12"/>
    </row>
    <row r="40711" spans="32:32" x14ac:dyDescent="0.2">
      <c r="AF40711" s="12"/>
    </row>
    <row r="40712" spans="32:32" x14ac:dyDescent="0.2">
      <c r="AF40712" s="12"/>
    </row>
    <row r="40713" spans="32:32" x14ac:dyDescent="0.2">
      <c r="AF40713" s="12"/>
    </row>
    <row r="40714" spans="32:32" x14ac:dyDescent="0.2">
      <c r="AF40714" s="12"/>
    </row>
    <row r="40715" spans="32:32" x14ac:dyDescent="0.2">
      <c r="AF40715" s="12"/>
    </row>
    <row r="40716" spans="32:32" x14ac:dyDescent="0.2">
      <c r="AF40716" s="12"/>
    </row>
    <row r="40717" spans="32:32" x14ac:dyDescent="0.2">
      <c r="AF40717" s="12"/>
    </row>
    <row r="40718" spans="32:32" x14ac:dyDescent="0.2">
      <c r="AF40718" s="12"/>
    </row>
    <row r="40719" spans="32:32" x14ac:dyDescent="0.2">
      <c r="AF40719" s="12"/>
    </row>
    <row r="40720" spans="32:32" x14ac:dyDescent="0.2">
      <c r="AF40720" s="12"/>
    </row>
    <row r="40721" spans="32:32" x14ac:dyDescent="0.2">
      <c r="AF40721" s="12"/>
    </row>
    <row r="40722" spans="32:32" x14ac:dyDescent="0.2">
      <c r="AF40722" s="12"/>
    </row>
    <row r="40723" spans="32:32" x14ac:dyDescent="0.2">
      <c r="AF40723" s="12"/>
    </row>
    <row r="40724" spans="32:32" x14ac:dyDescent="0.2">
      <c r="AF40724" s="12"/>
    </row>
    <row r="40725" spans="32:32" x14ac:dyDescent="0.2">
      <c r="AF40725" s="12"/>
    </row>
    <row r="40726" spans="32:32" x14ac:dyDescent="0.2">
      <c r="AF40726" s="12"/>
    </row>
    <row r="40727" spans="32:32" x14ac:dyDescent="0.2">
      <c r="AF40727" s="12"/>
    </row>
    <row r="40728" spans="32:32" x14ac:dyDescent="0.2">
      <c r="AF40728" s="12"/>
    </row>
    <row r="40729" spans="32:32" x14ac:dyDescent="0.2">
      <c r="AF40729" s="12"/>
    </row>
    <row r="40730" spans="32:32" x14ac:dyDescent="0.2">
      <c r="AF40730" s="12"/>
    </row>
    <row r="40731" spans="32:32" x14ac:dyDescent="0.2">
      <c r="AF40731" s="12"/>
    </row>
    <row r="40732" spans="32:32" x14ac:dyDescent="0.2">
      <c r="AF40732" s="12"/>
    </row>
    <row r="40733" spans="32:32" x14ac:dyDescent="0.2">
      <c r="AF40733" s="12"/>
    </row>
    <row r="40734" spans="32:32" x14ac:dyDescent="0.2">
      <c r="AF40734" s="12"/>
    </row>
    <row r="40735" spans="32:32" x14ac:dyDescent="0.2">
      <c r="AF40735" s="12"/>
    </row>
    <row r="40736" spans="32:32" x14ac:dyDescent="0.2">
      <c r="AF40736" s="12"/>
    </row>
    <row r="40737" spans="32:32" x14ac:dyDescent="0.2">
      <c r="AF40737" s="12"/>
    </row>
    <row r="40738" spans="32:32" x14ac:dyDescent="0.2">
      <c r="AF40738" s="12"/>
    </row>
    <row r="40739" spans="32:32" x14ac:dyDescent="0.2">
      <c r="AF40739" s="12"/>
    </row>
    <row r="40740" spans="32:32" x14ac:dyDescent="0.2">
      <c r="AF40740" s="12"/>
    </row>
    <row r="40741" spans="32:32" x14ac:dyDescent="0.2">
      <c r="AF40741" s="12"/>
    </row>
    <row r="40742" spans="32:32" x14ac:dyDescent="0.2">
      <c r="AF40742" s="12"/>
    </row>
    <row r="40743" spans="32:32" x14ac:dyDescent="0.2">
      <c r="AF40743" s="12"/>
    </row>
    <row r="40744" spans="32:32" x14ac:dyDescent="0.2">
      <c r="AF40744" s="12"/>
    </row>
    <row r="40745" spans="32:32" x14ac:dyDescent="0.2">
      <c r="AF40745" s="12"/>
    </row>
    <row r="40746" spans="32:32" x14ac:dyDescent="0.2">
      <c r="AF40746" s="12"/>
    </row>
    <row r="40747" spans="32:32" x14ac:dyDescent="0.2">
      <c r="AF40747" s="12"/>
    </row>
    <row r="40748" spans="32:32" x14ac:dyDescent="0.2">
      <c r="AF40748" s="12"/>
    </row>
    <row r="40749" spans="32:32" x14ac:dyDescent="0.2">
      <c r="AF40749" s="12"/>
    </row>
    <row r="40750" spans="32:32" x14ac:dyDescent="0.2">
      <c r="AF40750" s="12"/>
    </row>
    <row r="40751" spans="32:32" x14ac:dyDescent="0.2">
      <c r="AF40751" s="12"/>
    </row>
    <row r="40752" spans="32:32" x14ac:dyDescent="0.2">
      <c r="AF40752" s="12"/>
    </row>
    <row r="40753" spans="32:32" x14ac:dyDescent="0.2">
      <c r="AF40753" s="12"/>
    </row>
    <row r="40754" spans="32:32" x14ac:dyDescent="0.2">
      <c r="AF40754" s="12"/>
    </row>
    <row r="40755" spans="32:32" x14ac:dyDescent="0.2">
      <c r="AF40755" s="12"/>
    </row>
    <row r="40756" spans="32:32" x14ac:dyDescent="0.2">
      <c r="AF40756" s="12"/>
    </row>
    <row r="40757" spans="32:32" x14ac:dyDescent="0.2">
      <c r="AF40757" s="12"/>
    </row>
    <row r="40758" spans="32:32" x14ac:dyDescent="0.2">
      <c r="AF40758" s="12"/>
    </row>
    <row r="40759" spans="32:32" x14ac:dyDescent="0.2">
      <c r="AF40759" s="12"/>
    </row>
    <row r="40760" spans="32:32" x14ac:dyDescent="0.2">
      <c r="AF40760" s="12"/>
    </row>
    <row r="40761" spans="32:32" x14ac:dyDescent="0.2">
      <c r="AF40761" s="12"/>
    </row>
    <row r="40762" spans="32:32" x14ac:dyDescent="0.2">
      <c r="AF40762" s="12"/>
    </row>
    <row r="40763" spans="32:32" x14ac:dyDescent="0.2">
      <c r="AF40763" s="12"/>
    </row>
    <row r="40764" spans="32:32" x14ac:dyDescent="0.2">
      <c r="AF40764" s="12"/>
    </row>
    <row r="40765" spans="32:32" x14ac:dyDescent="0.2">
      <c r="AF40765" s="12"/>
    </row>
    <row r="40766" spans="32:32" x14ac:dyDescent="0.2">
      <c r="AF40766" s="12"/>
    </row>
    <row r="40767" spans="32:32" x14ac:dyDescent="0.2">
      <c r="AF40767" s="12"/>
    </row>
    <row r="40768" spans="32:32" x14ac:dyDescent="0.2">
      <c r="AF40768" s="12"/>
    </row>
    <row r="40769" spans="32:32" x14ac:dyDescent="0.2">
      <c r="AF40769" s="12"/>
    </row>
    <row r="40770" spans="32:32" x14ac:dyDescent="0.2">
      <c r="AF40770" s="12"/>
    </row>
    <row r="40771" spans="32:32" x14ac:dyDescent="0.2">
      <c r="AF40771" s="12"/>
    </row>
    <row r="40772" spans="32:32" x14ac:dyDescent="0.2">
      <c r="AF40772" s="12"/>
    </row>
    <row r="40773" spans="32:32" x14ac:dyDescent="0.2">
      <c r="AF40773" s="12"/>
    </row>
    <row r="40774" spans="32:32" x14ac:dyDescent="0.2">
      <c r="AF40774" s="12"/>
    </row>
    <row r="40775" spans="32:32" x14ac:dyDescent="0.2">
      <c r="AF40775" s="12"/>
    </row>
    <row r="40776" spans="32:32" x14ac:dyDescent="0.2">
      <c r="AF40776" s="12"/>
    </row>
    <row r="40777" spans="32:32" x14ac:dyDescent="0.2">
      <c r="AF40777" s="12"/>
    </row>
    <row r="40778" spans="32:32" x14ac:dyDescent="0.2">
      <c r="AF40778" s="12"/>
    </row>
    <row r="40779" spans="32:32" x14ac:dyDescent="0.2">
      <c r="AF40779" s="12"/>
    </row>
    <row r="40780" spans="32:32" x14ac:dyDescent="0.2">
      <c r="AF40780" s="12"/>
    </row>
    <row r="40781" spans="32:32" x14ac:dyDescent="0.2">
      <c r="AF40781" s="12"/>
    </row>
    <row r="40782" spans="32:32" x14ac:dyDescent="0.2">
      <c r="AF40782" s="12"/>
    </row>
    <row r="40783" spans="32:32" x14ac:dyDescent="0.2">
      <c r="AF40783" s="12"/>
    </row>
    <row r="40784" spans="32:32" x14ac:dyDescent="0.2">
      <c r="AF40784" s="12"/>
    </row>
    <row r="40785" spans="32:32" x14ac:dyDescent="0.2">
      <c r="AF40785" s="12"/>
    </row>
    <row r="40786" spans="32:32" x14ac:dyDescent="0.2">
      <c r="AF40786" s="12"/>
    </row>
    <row r="40787" spans="32:32" x14ac:dyDescent="0.2">
      <c r="AF40787" s="12"/>
    </row>
    <row r="40788" spans="32:32" x14ac:dyDescent="0.2">
      <c r="AF40788" s="12"/>
    </row>
    <row r="40789" spans="32:32" x14ac:dyDescent="0.2">
      <c r="AF40789" s="12"/>
    </row>
    <row r="40790" spans="32:32" x14ac:dyDescent="0.2">
      <c r="AF40790" s="12"/>
    </row>
    <row r="40791" spans="32:32" x14ac:dyDescent="0.2">
      <c r="AF40791" s="12"/>
    </row>
    <row r="40792" spans="32:32" x14ac:dyDescent="0.2">
      <c r="AF40792" s="12"/>
    </row>
    <row r="40793" spans="32:32" x14ac:dyDescent="0.2">
      <c r="AF40793" s="12"/>
    </row>
    <row r="40794" spans="32:32" x14ac:dyDescent="0.2">
      <c r="AF40794" s="12"/>
    </row>
    <row r="40795" spans="32:32" x14ac:dyDescent="0.2">
      <c r="AF40795" s="12"/>
    </row>
    <row r="40796" spans="32:32" x14ac:dyDescent="0.2">
      <c r="AF40796" s="12"/>
    </row>
    <row r="40797" spans="32:32" x14ac:dyDescent="0.2">
      <c r="AF40797" s="12"/>
    </row>
    <row r="40798" spans="32:32" x14ac:dyDescent="0.2">
      <c r="AF40798" s="12"/>
    </row>
    <row r="40799" spans="32:32" x14ac:dyDescent="0.2">
      <c r="AF40799" s="12"/>
    </row>
    <row r="40800" spans="32:32" x14ac:dyDescent="0.2">
      <c r="AF40800" s="12"/>
    </row>
    <row r="40801" spans="32:32" x14ac:dyDescent="0.2">
      <c r="AF40801" s="12"/>
    </row>
    <row r="40802" spans="32:32" x14ac:dyDescent="0.2">
      <c r="AF40802" s="12"/>
    </row>
    <row r="40803" spans="32:32" x14ac:dyDescent="0.2">
      <c r="AF40803" s="12"/>
    </row>
    <row r="40804" spans="32:32" x14ac:dyDescent="0.2">
      <c r="AF40804" s="12"/>
    </row>
    <row r="40805" spans="32:32" x14ac:dyDescent="0.2">
      <c r="AF40805" s="12"/>
    </row>
    <row r="40806" spans="32:32" x14ac:dyDescent="0.2">
      <c r="AF40806" s="12"/>
    </row>
    <row r="40807" spans="32:32" x14ac:dyDescent="0.2">
      <c r="AF40807" s="12"/>
    </row>
    <row r="40808" spans="32:32" x14ac:dyDescent="0.2">
      <c r="AF40808" s="12"/>
    </row>
    <row r="40809" spans="32:32" x14ac:dyDescent="0.2">
      <c r="AF40809" s="12"/>
    </row>
    <row r="40810" spans="32:32" x14ac:dyDescent="0.2">
      <c r="AF40810" s="12"/>
    </row>
    <row r="40811" spans="32:32" x14ac:dyDescent="0.2">
      <c r="AF40811" s="12"/>
    </row>
    <row r="40812" spans="32:32" x14ac:dyDescent="0.2">
      <c r="AF40812" s="12"/>
    </row>
    <row r="40813" spans="32:32" x14ac:dyDescent="0.2">
      <c r="AF40813" s="12"/>
    </row>
    <row r="40814" spans="32:32" x14ac:dyDescent="0.2">
      <c r="AF40814" s="12"/>
    </row>
    <row r="40815" spans="32:32" x14ac:dyDescent="0.2">
      <c r="AF40815" s="12"/>
    </row>
    <row r="40816" spans="32:32" x14ac:dyDescent="0.2">
      <c r="AF40816" s="12"/>
    </row>
    <row r="40817" spans="32:32" x14ac:dyDescent="0.2">
      <c r="AF40817" s="12"/>
    </row>
    <row r="40818" spans="32:32" x14ac:dyDescent="0.2">
      <c r="AF40818" s="12"/>
    </row>
    <row r="40819" spans="32:32" x14ac:dyDescent="0.2">
      <c r="AF40819" s="12"/>
    </row>
    <row r="40820" spans="32:32" x14ac:dyDescent="0.2">
      <c r="AF40820" s="12"/>
    </row>
    <row r="40821" spans="32:32" x14ac:dyDescent="0.2">
      <c r="AF40821" s="12"/>
    </row>
    <row r="40822" spans="32:32" x14ac:dyDescent="0.2">
      <c r="AF40822" s="12"/>
    </row>
    <row r="40823" spans="32:32" x14ac:dyDescent="0.2">
      <c r="AF40823" s="12"/>
    </row>
    <row r="40824" spans="32:32" x14ac:dyDescent="0.2">
      <c r="AF40824" s="12"/>
    </row>
    <row r="40825" spans="32:32" x14ac:dyDescent="0.2">
      <c r="AF40825" s="12"/>
    </row>
    <row r="40826" spans="32:32" x14ac:dyDescent="0.2">
      <c r="AF40826" s="12"/>
    </row>
    <row r="40827" spans="32:32" x14ac:dyDescent="0.2">
      <c r="AF40827" s="12"/>
    </row>
    <row r="40828" spans="32:32" x14ac:dyDescent="0.2">
      <c r="AF40828" s="12"/>
    </row>
    <row r="40829" spans="32:32" x14ac:dyDescent="0.2">
      <c r="AF40829" s="12"/>
    </row>
    <row r="40830" spans="32:32" x14ac:dyDescent="0.2">
      <c r="AF40830" s="12"/>
    </row>
    <row r="40831" spans="32:32" x14ac:dyDescent="0.2">
      <c r="AF40831" s="12"/>
    </row>
    <row r="40832" spans="32:32" x14ac:dyDescent="0.2">
      <c r="AF40832" s="12"/>
    </row>
    <row r="40833" spans="32:32" x14ac:dyDescent="0.2">
      <c r="AF40833" s="12"/>
    </row>
    <row r="40834" spans="32:32" x14ac:dyDescent="0.2">
      <c r="AF40834" s="12"/>
    </row>
    <row r="40835" spans="32:32" x14ac:dyDescent="0.2">
      <c r="AF40835" s="12"/>
    </row>
    <row r="40836" spans="32:32" x14ac:dyDescent="0.2">
      <c r="AF40836" s="12"/>
    </row>
    <row r="40837" spans="32:32" x14ac:dyDescent="0.2">
      <c r="AF40837" s="12"/>
    </row>
    <row r="40838" spans="32:32" x14ac:dyDescent="0.2">
      <c r="AF40838" s="12"/>
    </row>
    <row r="40839" spans="32:32" x14ac:dyDescent="0.2">
      <c r="AF40839" s="12"/>
    </row>
    <row r="40840" spans="32:32" x14ac:dyDescent="0.2">
      <c r="AF40840" s="12"/>
    </row>
    <row r="40841" spans="32:32" x14ac:dyDescent="0.2">
      <c r="AF40841" s="12"/>
    </row>
    <row r="40842" spans="32:32" x14ac:dyDescent="0.2">
      <c r="AF40842" s="12"/>
    </row>
    <row r="40843" spans="32:32" x14ac:dyDescent="0.2">
      <c r="AF40843" s="12"/>
    </row>
    <row r="40844" spans="32:32" x14ac:dyDescent="0.2">
      <c r="AF40844" s="12"/>
    </row>
    <row r="40845" spans="32:32" x14ac:dyDescent="0.2">
      <c r="AF40845" s="12"/>
    </row>
    <row r="40846" spans="32:32" x14ac:dyDescent="0.2">
      <c r="AF40846" s="12"/>
    </row>
    <row r="40847" spans="32:32" x14ac:dyDescent="0.2">
      <c r="AF40847" s="12"/>
    </row>
    <row r="40848" spans="32:32" x14ac:dyDescent="0.2">
      <c r="AF40848" s="12"/>
    </row>
    <row r="40849" spans="32:32" x14ac:dyDescent="0.2">
      <c r="AF40849" s="12"/>
    </row>
    <row r="40850" spans="32:32" x14ac:dyDescent="0.2">
      <c r="AF40850" s="12"/>
    </row>
    <row r="40851" spans="32:32" x14ac:dyDescent="0.2">
      <c r="AF40851" s="12"/>
    </row>
    <row r="40852" spans="32:32" x14ac:dyDescent="0.2">
      <c r="AF40852" s="12"/>
    </row>
    <row r="40853" spans="32:32" x14ac:dyDescent="0.2">
      <c r="AF40853" s="12"/>
    </row>
    <row r="40854" spans="32:32" x14ac:dyDescent="0.2">
      <c r="AF40854" s="12"/>
    </row>
    <row r="40855" spans="32:32" x14ac:dyDescent="0.2">
      <c r="AF40855" s="12"/>
    </row>
    <row r="40856" spans="32:32" x14ac:dyDescent="0.2">
      <c r="AF40856" s="12"/>
    </row>
    <row r="40857" spans="32:32" x14ac:dyDescent="0.2">
      <c r="AF40857" s="12"/>
    </row>
    <row r="40858" spans="32:32" x14ac:dyDescent="0.2">
      <c r="AF40858" s="12"/>
    </row>
    <row r="40859" spans="32:32" x14ac:dyDescent="0.2">
      <c r="AF40859" s="12"/>
    </row>
    <row r="40860" spans="32:32" x14ac:dyDescent="0.2">
      <c r="AF40860" s="12"/>
    </row>
    <row r="40861" spans="32:32" x14ac:dyDescent="0.2">
      <c r="AF40861" s="12"/>
    </row>
    <row r="40862" spans="32:32" x14ac:dyDescent="0.2">
      <c r="AF40862" s="12"/>
    </row>
    <row r="40863" spans="32:32" x14ac:dyDescent="0.2">
      <c r="AF40863" s="12"/>
    </row>
    <row r="40864" spans="32:32" x14ac:dyDescent="0.2">
      <c r="AF40864" s="12"/>
    </row>
    <row r="40865" spans="32:32" x14ac:dyDescent="0.2">
      <c r="AF40865" s="12"/>
    </row>
    <row r="40866" spans="32:32" x14ac:dyDescent="0.2">
      <c r="AF40866" s="12"/>
    </row>
    <row r="40867" spans="32:32" x14ac:dyDescent="0.2">
      <c r="AF40867" s="12"/>
    </row>
    <row r="40868" spans="32:32" x14ac:dyDescent="0.2">
      <c r="AF40868" s="12"/>
    </row>
    <row r="40869" spans="32:32" x14ac:dyDescent="0.2">
      <c r="AF40869" s="12"/>
    </row>
    <row r="40870" spans="32:32" x14ac:dyDescent="0.2">
      <c r="AF40870" s="12"/>
    </row>
    <row r="40871" spans="32:32" x14ac:dyDescent="0.2">
      <c r="AF40871" s="12"/>
    </row>
    <row r="40872" spans="32:32" x14ac:dyDescent="0.2">
      <c r="AF40872" s="12"/>
    </row>
    <row r="40873" spans="32:32" x14ac:dyDescent="0.2">
      <c r="AF40873" s="12"/>
    </row>
    <row r="40874" spans="32:32" x14ac:dyDescent="0.2">
      <c r="AF40874" s="12"/>
    </row>
    <row r="40875" spans="32:32" x14ac:dyDescent="0.2">
      <c r="AF40875" s="12"/>
    </row>
    <row r="40876" spans="32:32" x14ac:dyDescent="0.2">
      <c r="AF40876" s="12"/>
    </row>
    <row r="40877" spans="32:32" x14ac:dyDescent="0.2">
      <c r="AF40877" s="12"/>
    </row>
    <row r="40878" spans="32:32" x14ac:dyDescent="0.2">
      <c r="AF40878" s="12"/>
    </row>
    <row r="40879" spans="32:32" x14ac:dyDescent="0.2">
      <c r="AF40879" s="12"/>
    </row>
    <row r="40880" spans="32:32" x14ac:dyDescent="0.2">
      <c r="AF40880" s="12"/>
    </row>
    <row r="40881" spans="32:32" x14ac:dyDescent="0.2">
      <c r="AF40881" s="12"/>
    </row>
    <row r="40882" spans="32:32" x14ac:dyDescent="0.2">
      <c r="AF40882" s="12"/>
    </row>
    <row r="40883" spans="32:32" x14ac:dyDescent="0.2">
      <c r="AF40883" s="12"/>
    </row>
    <row r="40884" spans="32:32" x14ac:dyDescent="0.2">
      <c r="AF40884" s="12"/>
    </row>
    <row r="40885" spans="32:32" x14ac:dyDescent="0.2">
      <c r="AF40885" s="12"/>
    </row>
    <row r="40886" spans="32:32" x14ac:dyDescent="0.2">
      <c r="AF40886" s="12"/>
    </row>
    <row r="40887" spans="32:32" x14ac:dyDescent="0.2">
      <c r="AF40887" s="12"/>
    </row>
    <row r="40888" spans="32:32" x14ac:dyDescent="0.2">
      <c r="AF40888" s="12"/>
    </row>
    <row r="40889" spans="32:32" x14ac:dyDescent="0.2">
      <c r="AF40889" s="12"/>
    </row>
    <row r="40890" spans="32:32" x14ac:dyDescent="0.2">
      <c r="AF40890" s="12"/>
    </row>
    <row r="40891" spans="32:32" x14ac:dyDescent="0.2">
      <c r="AF40891" s="12"/>
    </row>
    <row r="40892" spans="32:32" x14ac:dyDescent="0.2">
      <c r="AF40892" s="12"/>
    </row>
    <row r="40893" spans="32:32" x14ac:dyDescent="0.2">
      <c r="AF40893" s="12"/>
    </row>
    <row r="40894" spans="32:32" x14ac:dyDescent="0.2">
      <c r="AF40894" s="12"/>
    </row>
    <row r="40895" spans="32:32" x14ac:dyDescent="0.2">
      <c r="AF40895" s="12"/>
    </row>
    <row r="40896" spans="32:32" x14ac:dyDescent="0.2">
      <c r="AF40896" s="12"/>
    </row>
    <row r="40897" spans="32:32" x14ac:dyDescent="0.2">
      <c r="AF40897" s="12"/>
    </row>
    <row r="40898" spans="32:32" x14ac:dyDescent="0.2">
      <c r="AF40898" s="12"/>
    </row>
    <row r="40899" spans="32:32" x14ac:dyDescent="0.2">
      <c r="AF40899" s="12"/>
    </row>
    <row r="40900" spans="32:32" x14ac:dyDescent="0.2">
      <c r="AF40900" s="12"/>
    </row>
    <row r="40901" spans="32:32" x14ac:dyDescent="0.2">
      <c r="AF40901" s="12"/>
    </row>
    <row r="40902" spans="32:32" x14ac:dyDescent="0.2">
      <c r="AF40902" s="12"/>
    </row>
    <row r="40903" spans="32:32" x14ac:dyDescent="0.2">
      <c r="AF40903" s="12"/>
    </row>
    <row r="40904" spans="32:32" x14ac:dyDescent="0.2">
      <c r="AF40904" s="12"/>
    </row>
    <row r="40905" spans="32:32" x14ac:dyDescent="0.2">
      <c r="AF40905" s="12"/>
    </row>
    <row r="40906" spans="32:32" x14ac:dyDescent="0.2">
      <c r="AF40906" s="12"/>
    </row>
    <row r="40907" spans="32:32" x14ac:dyDescent="0.2">
      <c r="AF40907" s="12"/>
    </row>
    <row r="40908" spans="32:32" x14ac:dyDescent="0.2">
      <c r="AF40908" s="12"/>
    </row>
    <row r="40909" spans="32:32" x14ac:dyDescent="0.2">
      <c r="AF40909" s="12"/>
    </row>
    <row r="40910" spans="32:32" x14ac:dyDescent="0.2">
      <c r="AF40910" s="12"/>
    </row>
    <row r="40911" spans="32:32" x14ac:dyDescent="0.2">
      <c r="AF40911" s="12"/>
    </row>
    <row r="40912" spans="32:32" x14ac:dyDescent="0.2">
      <c r="AF40912" s="12"/>
    </row>
    <row r="40913" spans="32:32" x14ac:dyDescent="0.2">
      <c r="AF40913" s="12"/>
    </row>
    <row r="40914" spans="32:32" x14ac:dyDescent="0.2">
      <c r="AF40914" s="12"/>
    </row>
    <row r="40915" spans="32:32" x14ac:dyDescent="0.2">
      <c r="AF40915" s="12"/>
    </row>
    <row r="40916" spans="32:32" x14ac:dyDescent="0.2">
      <c r="AF40916" s="12"/>
    </row>
    <row r="40917" spans="32:32" x14ac:dyDescent="0.2">
      <c r="AF40917" s="12"/>
    </row>
    <row r="40918" spans="32:32" x14ac:dyDescent="0.2">
      <c r="AF40918" s="12"/>
    </row>
    <row r="40919" spans="32:32" x14ac:dyDescent="0.2">
      <c r="AF40919" s="12"/>
    </row>
    <row r="40920" spans="32:32" x14ac:dyDescent="0.2">
      <c r="AF40920" s="12"/>
    </row>
    <row r="40921" spans="32:32" x14ac:dyDescent="0.2">
      <c r="AF40921" s="12"/>
    </row>
    <row r="40922" spans="32:32" x14ac:dyDescent="0.2">
      <c r="AF40922" s="12"/>
    </row>
    <row r="40923" spans="32:32" x14ac:dyDescent="0.2">
      <c r="AF40923" s="12"/>
    </row>
    <row r="40924" spans="32:32" x14ac:dyDescent="0.2">
      <c r="AF40924" s="12"/>
    </row>
    <row r="40925" spans="32:32" x14ac:dyDescent="0.2">
      <c r="AF40925" s="12"/>
    </row>
    <row r="40926" spans="32:32" x14ac:dyDescent="0.2">
      <c r="AF40926" s="12"/>
    </row>
    <row r="40927" spans="32:32" x14ac:dyDescent="0.2">
      <c r="AF40927" s="12"/>
    </row>
    <row r="40928" spans="32:32" x14ac:dyDescent="0.2">
      <c r="AF40928" s="12"/>
    </row>
    <row r="40929" spans="32:32" x14ac:dyDescent="0.2">
      <c r="AF40929" s="12"/>
    </row>
    <row r="40930" spans="32:32" x14ac:dyDescent="0.2">
      <c r="AF40930" s="12"/>
    </row>
    <row r="40931" spans="32:32" x14ac:dyDescent="0.2">
      <c r="AF40931" s="12"/>
    </row>
    <row r="40932" spans="32:32" x14ac:dyDescent="0.2">
      <c r="AF40932" s="12"/>
    </row>
    <row r="40933" spans="32:32" x14ac:dyDescent="0.2">
      <c r="AF40933" s="12"/>
    </row>
    <row r="40934" spans="32:32" x14ac:dyDescent="0.2">
      <c r="AF40934" s="12"/>
    </row>
    <row r="40935" spans="32:32" x14ac:dyDescent="0.2">
      <c r="AF40935" s="12"/>
    </row>
    <row r="40936" spans="32:32" x14ac:dyDescent="0.2">
      <c r="AF40936" s="12"/>
    </row>
    <row r="40937" spans="32:32" x14ac:dyDescent="0.2">
      <c r="AF40937" s="12"/>
    </row>
    <row r="40938" spans="32:32" x14ac:dyDescent="0.2">
      <c r="AF40938" s="12"/>
    </row>
    <row r="40939" spans="32:32" x14ac:dyDescent="0.2">
      <c r="AF40939" s="12"/>
    </row>
    <row r="40940" spans="32:32" x14ac:dyDescent="0.2">
      <c r="AF40940" s="12"/>
    </row>
    <row r="40941" spans="32:32" x14ac:dyDescent="0.2">
      <c r="AF40941" s="12"/>
    </row>
    <row r="40942" spans="32:32" x14ac:dyDescent="0.2">
      <c r="AF40942" s="12"/>
    </row>
    <row r="40943" spans="32:32" x14ac:dyDescent="0.2">
      <c r="AF40943" s="12"/>
    </row>
    <row r="40944" spans="32:32" x14ac:dyDescent="0.2">
      <c r="AF40944" s="12"/>
    </row>
    <row r="40945" spans="32:32" x14ac:dyDescent="0.2">
      <c r="AF40945" s="12"/>
    </row>
    <row r="40946" spans="32:32" x14ac:dyDescent="0.2">
      <c r="AF40946" s="12"/>
    </row>
    <row r="40947" spans="32:32" x14ac:dyDescent="0.2">
      <c r="AF40947" s="12"/>
    </row>
    <row r="40948" spans="32:32" x14ac:dyDescent="0.2">
      <c r="AF40948" s="12"/>
    </row>
    <row r="40949" spans="32:32" x14ac:dyDescent="0.2">
      <c r="AF40949" s="12"/>
    </row>
    <row r="40950" spans="32:32" x14ac:dyDescent="0.2">
      <c r="AF40950" s="12"/>
    </row>
    <row r="40951" spans="32:32" x14ac:dyDescent="0.2">
      <c r="AF40951" s="12"/>
    </row>
    <row r="40952" spans="32:32" x14ac:dyDescent="0.2">
      <c r="AF40952" s="12"/>
    </row>
    <row r="40953" spans="32:32" x14ac:dyDescent="0.2">
      <c r="AF40953" s="12"/>
    </row>
    <row r="40954" spans="32:32" x14ac:dyDescent="0.2">
      <c r="AF40954" s="12"/>
    </row>
    <row r="40955" spans="32:32" x14ac:dyDescent="0.2">
      <c r="AF40955" s="12"/>
    </row>
    <row r="40956" spans="32:32" x14ac:dyDescent="0.2">
      <c r="AF40956" s="12"/>
    </row>
    <row r="40957" spans="32:32" x14ac:dyDescent="0.2">
      <c r="AF40957" s="12"/>
    </row>
    <row r="40958" spans="32:32" x14ac:dyDescent="0.2">
      <c r="AF40958" s="12"/>
    </row>
    <row r="40959" spans="32:32" x14ac:dyDescent="0.2">
      <c r="AF40959" s="12"/>
    </row>
    <row r="40960" spans="32:32" x14ac:dyDescent="0.2">
      <c r="AF40960" s="12"/>
    </row>
    <row r="40961" spans="32:32" x14ac:dyDescent="0.2">
      <c r="AF40961" s="12"/>
    </row>
    <row r="40962" spans="32:32" x14ac:dyDescent="0.2">
      <c r="AF40962" s="12"/>
    </row>
    <row r="40963" spans="32:32" x14ac:dyDescent="0.2">
      <c r="AF40963" s="12"/>
    </row>
    <row r="40964" spans="32:32" x14ac:dyDescent="0.2">
      <c r="AF40964" s="12"/>
    </row>
    <row r="40965" spans="32:32" x14ac:dyDescent="0.2">
      <c r="AF40965" s="12"/>
    </row>
    <row r="40966" spans="32:32" x14ac:dyDescent="0.2">
      <c r="AF40966" s="12"/>
    </row>
    <row r="40967" spans="32:32" x14ac:dyDescent="0.2">
      <c r="AF40967" s="12"/>
    </row>
    <row r="40968" spans="32:32" x14ac:dyDescent="0.2">
      <c r="AF40968" s="12"/>
    </row>
    <row r="40969" spans="32:32" x14ac:dyDescent="0.2">
      <c r="AF40969" s="12"/>
    </row>
    <row r="40970" spans="32:32" x14ac:dyDescent="0.2">
      <c r="AF40970" s="12"/>
    </row>
    <row r="40971" spans="32:32" x14ac:dyDescent="0.2">
      <c r="AF40971" s="12"/>
    </row>
    <row r="40972" spans="32:32" x14ac:dyDescent="0.2">
      <c r="AF40972" s="12"/>
    </row>
    <row r="40973" spans="32:32" x14ac:dyDescent="0.2">
      <c r="AF40973" s="12"/>
    </row>
    <row r="40974" spans="32:32" x14ac:dyDescent="0.2">
      <c r="AF40974" s="12"/>
    </row>
    <row r="40975" spans="32:32" x14ac:dyDescent="0.2">
      <c r="AF40975" s="12"/>
    </row>
    <row r="40976" spans="32:32" x14ac:dyDescent="0.2">
      <c r="AF40976" s="12"/>
    </row>
    <row r="40977" spans="32:32" x14ac:dyDescent="0.2">
      <c r="AF40977" s="12"/>
    </row>
    <row r="40978" spans="32:32" x14ac:dyDescent="0.2">
      <c r="AF40978" s="12"/>
    </row>
    <row r="40979" spans="32:32" x14ac:dyDescent="0.2">
      <c r="AF40979" s="12"/>
    </row>
    <row r="40980" spans="32:32" x14ac:dyDescent="0.2">
      <c r="AF40980" s="12"/>
    </row>
    <row r="40981" spans="32:32" x14ac:dyDescent="0.2">
      <c r="AF40981" s="12"/>
    </row>
    <row r="40982" spans="32:32" x14ac:dyDescent="0.2">
      <c r="AF40982" s="12"/>
    </row>
    <row r="40983" spans="32:32" x14ac:dyDescent="0.2">
      <c r="AF40983" s="12"/>
    </row>
    <row r="40984" spans="32:32" x14ac:dyDescent="0.2">
      <c r="AF40984" s="12"/>
    </row>
    <row r="40985" spans="32:32" x14ac:dyDescent="0.2">
      <c r="AF40985" s="12"/>
    </row>
    <row r="40986" spans="32:32" x14ac:dyDescent="0.2">
      <c r="AF40986" s="12"/>
    </row>
    <row r="40987" spans="32:32" x14ac:dyDescent="0.2">
      <c r="AF40987" s="12"/>
    </row>
    <row r="40988" spans="32:32" x14ac:dyDescent="0.2">
      <c r="AF40988" s="12"/>
    </row>
    <row r="40989" spans="32:32" x14ac:dyDescent="0.2">
      <c r="AF40989" s="12"/>
    </row>
    <row r="40990" spans="32:32" x14ac:dyDescent="0.2">
      <c r="AF40990" s="12"/>
    </row>
    <row r="40991" spans="32:32" x14ac:dyDescent="0.2">
      <c r="AF40991" s="12"/>
    </row>
    <row r="40992" spans="32:32" x14ac:dyDescent="0.2">
      <c r="AF40992" s="12"/>
    </row>
    <row r="40993" spans="32:32" x14ac:dyDescent="0.2">
      <c r="AF40993" s="12"/>
    </row>
    <row r="40994" spans="32:32" x14ac:dyDescent="0.2">
      <c r="AF40994" s="12"/>
    </row>
    <row r="40995" spans="32:32" x14ac:dyDescent="0.2">
      <c r="AF40995" s="12"/>
    </row>
    <row r="40996" spans="32:32" x14ac:dyDescent="0.2">
      <c r="AF40996" s="12"/>
    </row>
    <row r="40997" spans="32:32" x14ac:dyDescent="0.2">
      <c r="AF40997" s="12"/>
    </row>
    <row r="40998" spans="32:32" x14ac:dyDescent="0.2">
      <c r="AF40998" s="12"/>
    </row>
    <row r="40999" spans="32:32" x14ac:dyDescent="0.2">
      <c r="AF40999" s="12"/>
    </row>
    <row r="41000" spans="32:32" x14ac:dyDescent="0.2">
      <c r="AF41000" s="12"/>
    </row>
    <row r="41001" spans="32:32" x14ac:dyDescent="0.2">
      <c r="AF41001" s="12"/>
    </row>
    <row r="41002" spans="32:32" x14ac:dyDescent="0.2">
      <c r="AF41002" s="12"/>
    </row>
    <row r="41003" spans="32:32" x14ac:dyDescent="0.2">
      <c r="AF41003" s="12"/>
    </row>
    <row r="41004" spans="32:32" x14ac:dyDescent="0.2">
      <c r="AF41004" s="12"/>
    </row>
    <row r="41005" spans="32:32" x14ac:dyDescent="0.2">
      <c r="AF41005" s="12"/>
    </row>
    <row r="41006" spans="32:32" x14ac:dyDescent="0.2">
      <c r="AF41006" s="12"/>
    </row>
    <row r="41007" spans="32:32" x14ac:dyDescent="0.2">
      <c r="AF41007" s="12"/>
    </row>
    <row r="41008" spans="32:32" x14ac:dyDescent="0.2">
      <c r="AF41008" s="12"/>
    </row>
    <row r="41009" spans="32:32" x14ac:dyDescent="0.2">
      <c r="AF41009" s="12"/>
    </row>
    <row r="41010" spans="32:32" x14ac:dyDescent="0.2">
      <c r="AF41010" s="12"/>
    </row>
    <row r="41011" spans="32:32" x14ac:dyDescent="0.2">
      <c r="AF41011" s="12"/>
    </row>
    <row r="41012" spans="32:32" x14ac:dyDescent="0.2">
      <c r="AF41012" s="12"/>
    </row>
    <row r="41013" spans="32:32" x14ac:dyDescent="0.2">
      <c r="AF41013" s="12"/>
    </row>
    <row r="41014" spans="32:32" x14ac:dyDescent="0.2">
      <c r="AF41014" s="12"/>
    </row>
    <row r="41015" spans="32:32" x14ac:dyDescent="0.2">
      <c r="AF41015" s="12"/>
    </row>
    <row r="41016" spans="32:32" x14ac:dyDescent="0.2">
      <c r="AF41016" s="12"/>
    </row>
    <row r="41017" spans="32:32" x14ac:dyDescent="0.2">
      <c r="AF41017" s="12"/>
    </row>
    <row r="41018" spans="32:32" x14ac:dyDescent="0.2">
      <c r="AF41018" s="12"/>
    </row>
    <row r="41019" spans="32:32" x14ac:dyDescent="0.2">
      <c r="AF41019" s="12"/>
    </row>
    <row r="41020" spans="32:32" x14ac:dyDescent="0.2">
      <c r="AF41020" s="12"/>
    </row>
    <row r="41021" spans="32:32" x14ac:dyDescent="0.2">
      <c r="AF41021" s="12"/>
    </row>
    <row r="41022" spans="32:32" x14ac:dyDescent="0.2">
      <c r="AF41022" s="12"/>
    </row>
    <row r="41023" spans="32:32" x14ac:dyDescent="0.2">
      <c r="AF41023" s="12"/>
    </row>
    <row r="41024" spans="32:32" x14ac:dyDescent="0.2">
      <c r="AF41024" s="12"/>
    </row>
    <row r="41025" spans="32:32" x14ac:dyDescent="0.2">
      <c r="AF41025" s="12"/>
    </row>
    <row r="41026" spans="32:32" x14ac:dyDescent="0.2">
      <c r="AF41026" s="12"/>
    </row>
    <row r="41027" spans="32:32" x14ac:dyDescent="0.2">
      <c r="AF41027" s="12"/>
    </row>
    <row r="41028" spans="32:32" x14ac:dyDescent="0.2">
      <c r="AF41028" s="12"/>
    </row>
    <row r="41029" spans="32:32" x14ac:dyDescent="0.2">
      <c r="AF41029" s="12"/>
    </row>
    <row r="41030" spans="32:32" x14ac:dyDescent="0.2">
      <c r="AF41030" s="12"/>
    </row>
    <row r="41031" spans="32:32" x14ac:dyDescent="0.2">
      <c r="AF41031" s="12"/>
    </row>
    <row r="41032" spans="32:32" x14ac:dyDescent="0.2">
      <c r="AF41032" s="12"/>
    </row>
    <row r="41033" spans="32:32" x14ac:dyDescent="0.2">
      <c r="AF41033" s="12"/>
    </row>
    <row r="41034" spans="32:32" x14ac:dyDescent="0.2">
      <c r="AF41034" s="12"/>
    </row>
    <row r="41035" spans="32:32" x14ac:dyDescent="0.2">
      <c r="AF41035" s="12"/>
    </row>
    <row r="41036" spans="32:32" x14ac:dyDescent="0.2">
      <c r="AF41036" s="12"/>
    </row>
    <row r="41037" spans="32:32" x14ac:dyDescent="0.2">
      <c r="AF41037" s="12"/>
    </row>
    <row r="41038" spans="32:32" x14ac:dyDescent="0.2">
      <c r="AF41038" s="12"/>
    </row>
    <row r="41039" spans="32:32" x14ac:dyDescent="0.2">
      <c r="AF41039" s="12"/>
    </row>
    <row r="41040" spans="32:32" x14ac:dyDescent="0.2">
      <c r="AF41040" s="12"/>
    </row>
    <row r="41041" spans="32:32" x14ac:dyDescent="0.2">
      <c r="AF41041" s="12"/>
    </row>
    <row r="41042" spans="32:32" x14ac:dyDescent="0.2">
      <c r="AF41042" s="12"/>
    </row>
    <row r="41043" spans="32:32" x14ac:dyDescent="0.2">
      <c r="AF41043" s="12"/>
    </row>
    <row r="41044" spans="32:32" x14ac:dyDescent="0.2">
      <c r="AF41044" s="12"/>
    </row>
    <row r="41045" spans="32:32" x14ac:dyDescent="0.2">
      <c r="AF41045" s="12"/>
    </row>
    <row r="41046" spans="32:32" x14ac:dyDescent="0.2">
      <c r="AF41046" s="12"/>
    </row>
    <row r="41047" spans="32:32" x14ac:dyDescent="0.2">
      <c r="AF41047" s="12"/>
    </row>
    <row r="41048" spans="32:32" x14ac:dyDescent="0.2">
      <c r="AF41048" s="12"/>
    </row>
    <row r="41049" spans="32:32" x14ac:dyDescent="0.2">
      <c r="AF41049" s="12"/>
    </row>
    <row r="41050" spans="32:32" x14ac:dyDescent="0.2">
      <c r="AF41050" s="12"/>
    </row>
    <row r="41051" spans="32:32" x14ac:dyDescent="0.2">
      <c r="AF41051" s="12"/>
    </row>
    <row r="41052" spans="32:32" x14ac:dyDescent="0.2">
      <c r="AF41052" s="12"/>
    </row>
    <row r="41053" spans="32:32" x14ac:dyDescent="0.2">
      <c r="AF41053" s="12"/>
    </row>
    <row r="41054" spans="32:32" x14ac:dyDescent="0.2">
      <c r="AF41054" s="12"/>
    </row>
    <row r="41055" spans="32:32" x14ac:dyDescent="0.2">
      <c r="AF41055" s="12"/>
    </row>
    <row r="41056" spans="32:32" x14ac:dyDescent="0.2">
      <c r="AF41056" s="12"/>
    </row>
    <row r="41057" spans="32:32" x14ac:dyDescent="0.2">
      <c r="AF41057" s="12"/>
    </row>
    <row r="41058" spans="32:32" x14ac:dyDescent="0.2">
      <c r="AF41058" s="12"/>
    </row>
    <row r="41059" spans="32:32" x14ac:dyDescent="0.2">
      <c r="AF41059" s="12"/>
    </row>
    <row r="41060" spans="32:32" x14ac:dyDescent="0.2">
      <c r="AF41060" s="12"/>
    </row>
    <row r="41061" spans="32:32" x14ac:dyDescent="0.2">
      <c r="AF41061" s="12"/>
    </row>
    <row r="41062" spans="32:32" x14ac:dyDescent="0.2">
      <c r="AF41062" s="12"/>
    </row>
    <row r="41063" spans="32:32" x14ac:dyDescent="0.2">
      <c r="AF41063" s="12"/>
    </row>
    <row r="41064" spans="32:32" x14ac:dyDescent="0.2">
      <c r="AF41064" s="12"/>
    </row>
    <row r="41065" spans="32:32" x14ac:dyDescent="0.2">
      <c r="AF41065" s="12"/>
    </row>
    <row r="41066" spans="32:32" x14ac:dyDescent="0.2">
      <c r="AF41066" s="12"/>
    </row>
    <row r="41067" spans="32:32" x14ac:dyDescent="0.2">
      <c r="AF41067" s="12"/>
    </row>
    <row r="41068" spans="32:32" x14ac:dyDescent="0.2">
      <c r="AF41068" s="12"/>
    </row>
    <row r="41069" spans="32:32" x14ac:dyDescent="0.2">
      <c r="AF41069" s="12"/>
    </row>
    <row r="41070" spans="32:32" x14ac:dyDescent="0.2">
      <c r="AF41070" s="12"/>
    </row>
    <row r="41071" spans="32:32" x14ac:dyDescent="0.2">
      <c r="AF41071" s="12"/>
    </row>
    <row r="41072" spans="32:32" x14ac:dyDescent="0.2">
      <c r="AF41072" s="12"/>
    </row>
    <row r="41073" spans="32:32" x14ac:dyDescent="0.2">
      <c r="AF41073" s="12"/>
    </row>
    <row r="41074" spans="32:32" x14ac:dyDescent="0.2">
      <c r="AF41074" s="12"/>
    </row>
    <row r="41075" spans="32:32" x14ac:dyDescent="0.2">
      <c r="AF41075" s="12"/>
    </row>
    <row r="41076" spans="32:32" x14ac:dyDescent="0.2">
      <c r="AF41076" s="12"/>
    </row>
    <row r="41077" spans="32:32" x14ac:dyDescent="0.2">
      <c r="AF41077" s="12"/>
    </row>
    <row r="41078" spans="32:32" x14ac:dyDescent="0.2">
      <c r="AF41078" s="12"/>
    </row>
    <row r="41079" spans="32:32" x14ac:dyDescent="0.2">
      <c r="AF41079" s="12"/>
    </row>
    <row r="41080" spans="32:32" x14ac:dyDescent="0.2">
      <c r="AF41080" s="12"/>
    </row>
    <row r="41081" spans="32:32" x14ac:dyDescent="0.2">
      <c r="AF41081" s="12"/>
    </row>
    <row r="41082" spans="32:32" x14ac:dyDescent="0.2">
      <c r="AF41082" s="12"/>
    </row>
    <row r="41083" spans="32:32" x14ac:dyDescent="0.2">
      <c r="AF41083" s="12"/>
    </row>
    <row r="41084" spans="32:32" x14ac:dyDescent="0.2">
      <c r="AF41084" s="12"/>
    </row>
    <row r="41085" spans="32:32" x14ac:dyDescent="0.2">
      <c r="AF41085" s="12"/>
    </row>
    <row r="41086" spans="32:32" x14ac:dyDescent="0.2">
      <c r="AF41086" s="12"/>
    </row>
    <row r="41087" spans="32:32" x14ac:dyDescent="0.2">
      <c r="AF41087" s="12"/>
    </row>
    <row r="41088" spans="32:32" x14ac:dyDescent="0.2">
      <c r="AF41088" s="12"/>
    </row>
    <row r="41089" spans="32:32" x14ac:dyDescent="0.2">
      <c r="AF41089" s="12"/>
    </row>
    <row r="41090" spans="32:32" x14ac:dyDescent="0.2">
      <c r="AF41090" s="12"/>
    </row>
    <row r="41091" spans="32:32" x14ac:dyDescent="0.2">
      <c r="AF41091" s="12"/>
    </row>
    <row r="41092" spans="32:32" x14ac:dyDescent="0.2">
      <c r="AF41092" s="12"/>
    </row>
    <row r="41093" spans="32:32" x14ac:dyDescent="0.2">
      <c r="AF41093" s="12"/>
    </row>
    <row r="41094" spans="32:32" x14ac:dyDescent="0.2">
      <c r="AF41094" s="12"/>
    </row>
    <row r="41095" spans="32:32" x14ac:dyDescent="0.2">
      <c r="AF41095" s="12"/>
    </row>
    <row r="41096" spans="32:32" x14ac:dyDescent="0.2">
      <c r="AF41096" s="12"/>
    </row>
    <row r="41097" spans="32:32" x14ac:dyDescent="0.2">
      <c r="AF41097" s="12"/>
    </row>
    <row r="41098" spans="32:32" x14ac:dyDescent="0.2">
      <c r="AF41098" s="12"/>
    </row>
    <row r="41099" spans="32:32" x14ac:dyDescent="0.2">
      <c r="AF41099" s="12"/>
    </row>
    <row r="41100" spans="32:32" x14ac:dyDescent="0.2">
      <c r="AF41100" s="12"/>
    </row>
    <row r="41101" spans="32:32" x14ac:dyDescent="0.2">
      <c r="AF41101" s="12"/>
    </row>
    <row r="41102" spans="32:32" x14ac:dyDescent="0.2">
      <c r="AF41102" s="12"/>
    </row>
    <row r="41103" spans="32:32" x14ac:dyDescent="0.2">
      <c r="AF41103" s="12"/>
    </row>
    <row r="41104" spans="32:32" x14ac:dyDescent="0.2">
      <c r="AF41104" s="12"/>
    </row>
    <row r="41105" spans="32:32" x14ac:dyDescent="0.2">
      <c r="AF41105" s="12"/>
    </row>
    <row r="41106" spans="32:32" x14ac:dyDescent="0.2">
      <c r="AF41106" s="12"/>
    </row>
    <row r="41107" spans="32:32" x14ac:dyDescent="0.2">
      <c r="AF41107" s="12"/>
    </row>
    <row r="41108" spans="32:32" x14ac:dyDescent="0.2">
      <c r="AF41108" s="12"/>
    </row>
    <row r="41109" spans="32:32" x14ac:dyDescent="0.2">
      <c r="AF41109" s="12"/>
    </row>
    <row r="41110" spans="32:32" x14ac:dyDescent="0.2">
      <c r="AF41110" s="12"/>
    </row>
    <row r="41111" spans="32:32" x14ac:dyDescent="0.2">
      <c r="AF41111" s="12"/>
    </row>
    <row r="41112" spans="32:32" x14ac:dyDescent="0.2">
      <c r="AF41112" s="12"/>
    </row>
    <row r="41113" spans="32:32" x14ac:dyDescent="0.2">
      <c r="AF41113" s="12"/>
    </row>
    <row r="41114" spans="32:32" x14ac:dyDescent="0.2">
      <c r="AF41114" s="12"/>
    </row>
    <row r="41115" spans="32:32" x14ac:dyDescent="0.2">
      <c r="AF41115" s="12"/>
    </row>
    <row r="41116" spans="32:32" x14ac:dyDescent="0.2">
      <c r="AF41116" s="12"/>
    </row>
    <row r="41117" spans="32:32" x14ac:dyDescent="0.2">
      <c r="AF41117" s="12"/>
    </row>
    <row r="41118" spans="32:32" x14ac:dyDescent="0.2">
      <c r="AF41118" s="12"/>
    </row>
    <row r="41119" spans="32:32" x14ac:dyDescent="0.2">
      <c r="AF41119" s="12"/>
    </row>
    <row r="41120" spans="32:32" x14ac:dyDescent="0.2">
      <c r="AF41120" s="12"/>
    </row>
    <row r="41121" spans="32:32" x14ac:dyDescent="0.2">
      <c r="AF41121" s="12"/>
    </row>
    <row r="41122" spans="32:32" x14ac:dyDescent="0.2">
      <c r="AF41122" s="12"/>
    </row>
    <row r="41123" spans="32:32" x14ac:dyDescent="0.2">
      <c r="AF41123" s="12"/>
    </row>
    <row r="41124" spans="32:32" x14ac:dyDescent="0.2">
      <c r="AF41124" s="12"/>
    </row>
    <row r="41125" spans="32:32" x14ac:dyDescent="0.2">
      <c r="AF41125" s="12"/>
    </row>
    <row r="41126" spans="32:32" x14ac:dyDescent="0.2">
      <c r="AF41126" s="12"/>
    </row>
    <row r="41127" spans="32:32" x14ac:dyDescent="0.2">
      <c r="AF41127" s="12"/>
    </row>
    <row r="41128" spans="32:32" x14ac:dyDescent="0.2">
      <c r="AF41128" s="12"/>
    </row>
    <row r="41129" spans="32:32" x14ac:dyDescent="0.2">
      <c r="AF41129" s="12"/>
    </row>
    <row r="41130" spans="32:32" x14ac:dyDescent="0.2">
      <c r="AF41130" s="12"/>
    </row>
    <row r="41131" spans="32:32" x14ac:dyDescent="0.2">
      <c r="AF41131" s="12"/>
    </row>
    <row r="41132" spans="32:32" x14ac:dyDescent="0.2">
      <c r="AF41132" s="12"/>
    </row>
    <row r="41133" spans="32:32" x14ac:dyDescent="0.2">
      <c r="AF41133" s="12"/>
    </row>
    <row r="41134" spans="32:32" x14ac:dyDescent="0.2">
      <c r="AF41134" s="12"/>
    </row>
    <row r="41135" spans="32:32" x14ac:dyDescent="0.2">
      <c r="AF41135" s="12"/>
    </row>
    <row r="41136" spans="32:32" x14ac:dyDescent="0.2">
      <c r="AF41136" s="12"/>
    </row>
    <row r="41137" spans="32:32" x14ac:dyDescent="0.2">
      <c r="AF41137" s="12"/>
    </row>
    <row r="41138" spans="32:32" x14ac:dyDescent="0.2">
      <c r="AF41138" s="12"/>
    </row>
    <row r="41139" spans="32:32" x14ac:dyDescent="0.2">
      <c r="AF41139" s="12"/>
    </row>
    <row r="41140" spans="32:32" x14ac:dyDescent="0.2">
      <c r="AF41140" s="12"/>
    </row>
    <row r="41141" spans="32:32" x14ac:dyDescent="0.2">
      <c r="AF41141" s="12"/>
    </row>
    <row r="41142" spans="32:32" x14ac:dyDescent="0.2">
      <c r="AF41142" s="12"/>
    </row>
    <row r="41143" spans="32:32" x14ac:dyDescent="0.2">
      <c r="AF41143" s="12"/>
    </row>
    <row r="41144" spans="32:32" x14ac:dyDescent="0.2">
      <c r="AF41144" s="12"/>
    </row>
    <row r="41145" spans="32:32" x14ac:dyDescent="0.2">
      <c r="AF41145" s="12"/>
    </row>
    <row r="41146" spans="32:32" x14ac:dyDescent="0.2">
      <c r="AF41146" s="12"/>
    </row>
    <row r="41147" spans="32:32" x14ac:dyDescent="0.2">
      <c r="AF41147" s="12"/>
    </row>
    <row r="41148" spans="32:32" x14ac:dyDescent="0.2">
      <c r="AF41148" s="12"/>
    </row>
    <row r="41149" spans="32:32" x14ac:dyDescent="0.2">
      <c r="AF41149" s="12"/>
    </row>
    <row r="41150" spans="32:32" x14ac:dyDescent="0.2">
      <c r="AF41150" s="12"/>
    </row>
    <row r="41151" spans="32:32" x14ac:dyDescent="0.2">
      <c r="AF41151" s="12"/>
    </row>
    <row r="41152" spans="32:32" x14ac:dyDescent="0.2">
      <c r="AF41152" s="12"/>
    </row>
    <row r="41153" spans="32:32" x14ac:dyDescent="0.2">
      <c r="AF41153" s="12"/>
    </row>
    <row r="41154" spans="32:32" x14ac:dyDescent="0.2">
      <c r="AF41154" s="12"/>
    </row>
    <row r="41155" spans="32:32" x14ac:dyDescent="0.2">
      <c r="AF41155" s="12"/>
    </row>
    <row r="41156" spans="32:32" x14ac:dyDescent="0.2">
      <c r="AF41156" s="12"/>
    </row>
    <row r="41157" spans="32:32" x14ac:dyDescent="0.2">
      <c r="AF41157" s="12"/>
    </row>
    <row r="41158" spans="32:32" x14ac:dyDescent="0.2">
      <c r="AF41158" s="12"/>
    </row>
    <row r="41159" spans="32:32" x14ac:dyDescent="0.2">
      <c r="AF41159" s="12"/>
    </row>
    <row r="41160" spans="32:32" x14ac:dyDescent="0.2">
      <c r="AF41160" s="12"/>
    </row>
    <row r="41161" spans="32:32" x14ac:dyDescent="0.2">
      <c r="AF41161" s="12"/>
    </row>
    <row r="41162" spans="32:32" x14ac:dyDescent="0.2">
      <c r="AF41162" s="12"/>
    </row>
    <row r="41163" spans="32:32" x14ac:dyDescent="0.2">
      <c r="AF41163" s="12"/>
    </row>
    <row r="41164" spans="32:32" x14ac:dyDescent="0.2">
      <c r="AF41164" s="12"/>
    </row>
    <row r="41165" spans="32:32" x14ac:dyDescent="0.2">
      <c r="AF41165" s="12"/>
    </row>
    <row r="41166" spans="32:32" x14ac:dyDescent="0.2">
      <c r="AF41166" s="12"/>
    </row>
    <row r="41167" spans="32:32" x14ac:dyDescent="0.2">
      <c r="AF41167" s="12"/>
    </row>
    <row r="41168" spans="32:32" x14ac:dyDescent="0.2">
      <c r="AF41168" s="12"/>
    </row>
    <row r="41169" spans="32:32" x14ac:dyDescent="0.2">
      <c r="AF41169" s="12"/>
    </row>
    <row r="41170" spans="32:32" x14ac:dyDescent="0.2">
      <c r="AF41170" s="12"/>
    </row>
    <row r="41171" spans="32:32" x14ac:dyDescent="0.2">
      <c r="AF41171" s="12"/>
    </row>
    <row r="41172" spans="32:32" x14ac:dyDescent="0.2">
      <c r="AF41172" s="12"/>
    </row>
    <row r="41173" spans="32:32" x14ac:dyDescent="0.2">
      <c r="AF41173" s="12"/>
    </row>
    <row r="41174" spans="32:32" x14ac:dyDescent="0.2">
      <c r="AF41174" s="12"/>
    </row>
    <row r="41175" spans="32:32" x14ac:dyDescent="0.2">
      <c r="AF41175" s="12"/>
    </row>
    <row r="41176" spans="32:32" x14ac:dyDescent="0.2">
      <c r="AF41176" s="12"/>
    </row>
    <row r="41177" spans="32:32" x14ac:dyDescent="0.2">
      <c r="AF41177" s="12"/>
    </row>
    <row r="41178" spans="32:32" x14ac:dyDescent="0.2">
      <c r="AF41178" s="12"/>
    </row>
    <row r="41179" spans="32:32" x14ac:dyDescent="0.2">
      <c r="AF41179" s="12"/>
    </row>
    <row r="41180" spans="32:32" x14ac:dyDescent="0.2">
      <c r="AF41180" s="12"/>
    </row>
    <row r="41181" spans="32:32" x14ac:dyDescent="0.2">
      <c r="AF41181" s="12"/>
    </row>
    <row r="41182" spans="32:32" x14ac:dyDescent="0.2">
      <c r="AF41182" s="12"/>
    </row>
    <row r="41183" spans="32:32" x14ac:dyDescent="0.2">
      <c r="AF41183" s="12"/>
    </row>
    <row r="41184" spans="32:32" x14ac:dyDescent="0.2">
      <c r="AF41184" s="12"/>
    </row>
    <row r="41185" spans="32:32" x14ac:dyDescent="0.2">
      <c r="AF41185" s="12"/>
    </row>
    <row r="41186" spans="32:32" x14ac:dyDescent="0.2">
      <c r="AF41186" s="12"/>
    </row>
    <row r="41187" spans="32:32" x14ac:dyDescent="0.2">
      <c r="AF41187" s="12"/>
    </row>
    <row r="41188" spans="32:32" x14ac:dyDescent="0.2">
      <c r="AF41188" s="12"/>
    </row>
    <row r="41189" spans="32:32" x14ac:dyDescent="0.2">
      <c r="AF41189" s="12"/>
    </row>
    <row r="41190" spans="32:32" x14ac:dyDescent="0.2">
      <c r="AF41190" s="12"/>
    </row>
    <row r="41191" spans="32:32" x14ac:dyDescent="0.2">
      <c r="AF41191" s="12"/>
    </row>
    <row r="41192" spans="32:32" x14ac:dyDescent="0.2">
      <c r="AF41192" s="12"/>
    </row>
    <row r="41193" spans="32:32" x14ac:dyDescent="0.2">
      <c r="AF41193" s="12"/>
    </row>
    <row r="41194" spans="32:32" x14ac:dyDescent="0.2">
      <c r="AF41194" s="12"/>
    </row>
    <row r="41195" spans="32:32" x14ac:dyDescent="0.2">
      <c r="AF41195" s="12"/>
    </row>
    <row r="41196" spans="32:32" x14ac:dyDescent="0.2">
      <c r="AF41196" s="12"/>
    </row>
    <row r="41197" spans="32:32" x14ac:dyDescent="0.2">
      <c r="AF41197" s="12"/>
    </row>
    <row r="41198" spans="32:32" x14ac:dyDescent="0.2">
      <c r="AF41198" s="12"/>
    </row>
    <row r="41199" spans="32:32" x14ac:dyDescent="0.2">
      <c r="AF41199" s="12"/>
    </row>
    <row r="41200" spans="32:32" x14ac:dyDescent="0.2">
      <c r="AF41200" s="12"/>
    </row>
    <row r="41201" spans="32:32" x14ac:dyDescent="0.2">
      <c r="AF41201" s="12"/>
    </row>
    <row r="41202" spans="32:32" x14ac:dyDescent="0.2">
      <c r="AF41202" s="12"/>
    </row>
    <row r="41203" spans="32:32" x14ac:dyDescent="0.2">
      <c r="AF41203" s="12"/>
    </row>
    <row r="41204" spans="32:32" x14ac:dyDescent="0.2">
      <c r="AF41204" s="12"/>
    </row>
    <row r="41205" spans="32:32" x14ac:dyDescent="0.2">
      <c r="AF41205" s="12"/>
    </row>
    <row r="41206" spans="32:32" x14ac:dyDescent="0.2">
      <c r="AF41206" s="12"/>
    </row>
    <row r="41207" spans="32:32" x14ac:dyDescent="0.2">
      <c r="AF41207" s="12"/>
    </row>
    <row r="41208" spans="32:32" x14ac:dyDescent="0.2">
      <c r="AF41208" s="12"/>
    </row>
    <row r="41209" spans="32:32" x14ac:dyDescent="0.2">
      <c r="AF41209" s="12"/>
    </row>
    <row r="41210" spans="32:32" x14ac:dyDescent="0.2">
      <c r="AF41210" s="12"/>
    </row>
    <row r="41211" spans="32:32" x14ac:dyDescent="0.2">
      <c r="AF41211" s="12"/>
    </row>
    <row r="41212" spans="32:32" x14ac:dyDescent="0.2">
      <c r="AF41212" s="12"/>
    </row>
    <row r="41213" spans="32:32" x14ac:dyDescent="0.2">
      <c r="AF41213" s="12"/>
    </row>
    <row r="41214" spans="32:32" x14ac:dyDescent="0.2">
      <c r="AF41214" s="12"/>
    </row>
    <row r="41215" spans="32:32" x14ac:dyDescent="0.2">
      <c r="AF41215" s="12"/>
    </row>
    <row r="41216" spans="32:32" x14ac:dyDescent="0.2">
      <c r="AF41216" s="12"/>
    </row>
    <row r="41217" spans="32:32" x14ac:dyDescent="0.2">
      <c r="AF41217" s="12"/>
    </row>
    <row r="41218" spans="32:32" x14ac:dyDescent="0.2">
      <c r="AF41218" s="12"/>
    </row>
    <row r="41219" spans="32:32" x14ac:dyDescent="0.2">
      <c r="AF41219" s="12"/>
    </row>
    <row r="41220" spans="32:32" x14ac:dyDescent="0.2">
      <c r="AF41220" s="12"/>
    </row>
    <row r="41221" spans="32:32" x14ac:dyDescent="0.2">
      <c r="AF41221" s="12"/>
    </row>
    <row r="41222" spans="32:32" x14ac:dyDescent="0.2">
      <c r="AF41222" s="12"/>
    </row>
    <row r="41223" spans="32:32" x14ac:dyDescent="0.2">
      <c r="AF41223" s="12"/>
    </row>
    <row r="41224" spans="32:32" x14ac:dyDescent="0.2">
      <c r="AF41224" s="12"/>
    </row>
    <row r="41225" spans="32:32" x14ac:dyDescent="0.2">
      <c r="AF41225" s="12"/>
    </row>
    <row r="41226" spans="32:32" x14ac:dyDescent="0.2">
      <c r="AF41226" s="12"/>
    </row>
    <row r="41227" spans="32:32" x14ac:dyDescent="0.2">
      <c r="AF41227" s="12"/>
    </row>
    <row r="41228" spans="32:32" x14ac:dyDescent="0.2">
      <c r="AF41228" s="12"/>
    </row>
    <row r="41229" spans="32:32" x14ac:dyDescent="0.2">
      <c r="AF41229" s="12"/>
    </row>
    <row r="41230" spans="32:32" x14ac:dyDescent="0.2">
      <c r="AF41230" s="12"/>
    </row>
    <row r="41231" spans="32:32" x14ac:dyDescent="0.2">
      <c r="AF41231" s="12"/>
    </row>
    <row r="41232" spans="32:32" x14ac:dyDescent="0.2">
      <c r="AF41232" s="12"/>
    </row>
    <row r="41233" spans="32:32" x14ac:dyDescent="0.2">
      <c r="AF41233" s="12"/>
    </row>
    <row r="41234" spans="32:32" x14ac:dyDescent="0.2">
      <c r="AF41234" s="12"/>
    </row>
    <row r="41235" spans="32:32" x14ac:dyDescent="0.2">
      <c r="AF41235" s="12"/>
    </row>
    <row r="41236" spans="32:32" x14ac:dyDescent="0.2">
      <c r="AF41236" s="12"/>
    </row>
    <row r="41237" spans="32:32" x14ac:dyDescent="0.2">
      <c r="AF41237" s="12"/>
    </row>
    <row r="41238" spans="32:32" x14ac:dyDescent="0.2">
      <c r="AF41238" s="12"/>
    </row>
    <row r="41239" spans="32:32" x14ac:dyDescent="0.2">
      <c r="AF41239" s="12"/>
    </row>
    <row r="41240" spans="32:32" x14ac:dyDescent="0.2">
      <c r="AF41240" s="12"/>
    </row>
    <row r="41241" spans="32:32" x14ac:dyDescent="0.2">
      <c r="AF41241" s="12"/>
    </row>
    <row r="41242" spans="32:32" x14ac:dyDescent="0.2">
      <c r="AF41242" s="12"/>
    </row>
    <row r="41243" spans="32:32" x14ac:dyDescent="0.2">
      <c r="AF41243" s="12"/>
    </row>
    <row r="41244" spans="32:32" x14ac:dyDescent="0.2">
      <c r="AF41244" s="12"/>
    </row>
    <row r="41245" spans="32:32" x14ac:dyDescent="0.2">
      <c r="AF41245" s="12"/>
    </row>
    <row r="41246" spans="32:32" x14ac:dyDescent="0.2">
      <c r="AF41246" s="12"/>
    </row>
    <row r="41247" spans="32:32" x14ac:dyDescent="0.2">
      <c r="AF41247" s="12"/>
    </row>
    <row r="41248" spans="32:32" x14ac:dyDescent="0.2">
      <c r="AF41248" s="12"/>
    </row>
    <row r="41249" spans="32:32" x14ac:dyDescent="0.2">
      <c r="AF41249" s="12"/>
    </row>
    <row r="41250" spans="32:32" x14ac:dyDescent="0.2">
      <c r="AF41250" s="12"/>
    </row>
    <row r="41251" spans="32:32" x14ac:dyDescent="0.2">
      <c r="AF41251" s="12"/>
    </row>
    <row r="41252" spans="32:32" x14ac:dyDescent="0.2">
      <c r="AF41252" s="12"/>
    </row>
    <row r="41253" spans="32:32" x14ac:dyDescent="0.2">
      <c r="AF41253" s="12"/>
    </row>
    <row r="41254" spans="32:32" x14ac:dyDescent="0.2">
      <c r="AF41254" s="12"/>
    </row>
    <row r="41255" spans="32:32" x14ac:dyDescent="0.2">
      <c r="AF41255" s="12"/>
    </row>
    <row r="41256" spans="32:32" x14ac:dyDescent="0.2">
      <c r="AF41256" s="12"/>
    </row>
    <row r="41257" spans="32:32" x14ac:dyDescent="0.2">
      <c r="AF41257" s="12"/>
    </row>
    <row r="41258" spans="32:32" x14ac:dyDescent="0.2">
      <c r="AF41258" s="12"/>
    </row>
    <row r="41259" spans="32:32" x14ac:dyDescent="0.2">
      <c r="AF41259" s="12"/>
    </row>
    <row r="41260" spans="32:32" x14ac:dyDescent="0.2">
      <c r="AF41260" s="12"/>
    </row>
    <row r="41261" spans="32:32" x14ac:dyDescent="0.2">
      <c r="AF41261" s="12"/>
    </row>
    <row r="41262" spans="32:32" x14ac:dyDescent="0.2">
      <c r="AF41262" s="12"/>
    </row>
    <row r="41263" spans="32:32" x14ac:dyDescent="0.2">
      <c r="AF41263" s="12"/>
    </row>
    <row r="41264" spans="32:32" x14ac:dyDescent="0.2">
      <c r="AF41264" s="12"/>
    </row>
    <row r="41265" spans="32:32" x14ac:dyDescent="0.2">
      <c r="AF41265" s="12"/>
    </row>
    <row r="41266" spans="32:32" x14ac:dyDescent="0.2">
      <c r="AF41266" s="12"/>
    </row>
    <row r="41267" spans="32:32" x14ac:dyDescent="0.2">
      <c r="AF41267" s="12"/>
    </row>
    <row r="41268" spans="32:32" x14ac:dyDescent="0.2">
      <c r="AF41268" s="12"/>
    </row>
    <row r="41269" spans="32:32" x14ac:dyDescent="0.2">
      <c r="AF41269" s="12"/>
    </row>
    <row r="41270" spans="32:32" x14ac:dyDescent="0.2">
      <c r="AF41270" s="12"/>
    </row>
    <row r="41271" spans="32:32" x14ac:dyDescent="0.2">
      <c r="AF41271" s="12"/>
    </row>
    <row r="41272" spans="32:32" x14ac:dyDescent="0.2">
      <c r="AF41272" s="12"/>
    </row>
    <row r="41273" spans="32:32" x14ac:dyDescent="0.2">
      <c r="AF41273" s="12"/>
    </row>
    <row r="41274" spans="32:32" x14ac:dyDescent="0.2">
      <c r="AF41274" s="12"/>
    </row>
    <row r="41275" spans="32:32" x14ac:dyDescent="0.2">
      <c r="AF41275" s="12"/>
    </row>
    <row r="41276" spans="32:32" x14ac:dyDescent="0.2">
      <c r="AF41276" s="12"/>
    </row>
    <row r="41277" spans="32:32" x14ac:dyDescent="0.2">
      <c r="AF41277" s="12"/>
    </row>
    <row r="41278" spans="32:32" x14ac:dyDescent="0.2">
      <c r="AF41278" s="12"/>
    </row>
    <row r="41279" spans="32:32" x14ac:dyDescent="0.2">
      <c r="AF41279" s="12"/>
    </row>
    <row r="41280" spans="32:32" x14ac:dyDescent="0.2">
      <c r="AF41280" s="12"/>
    </row>
    <row r="41281" spans="32:32" x14ac:dyDescent="0.2">
      <c r="AF41281" s="12"/>
    </row>
    <row r="41282" spans="32:32" x14ac:dyDescent="0.2">
      <c r="AF41282" s="12"/>
    </row>
    <row r="41283" spans="32:32" x14ac:dyDescent="0.2">
      <c r="AF41283" s="12"/>
    </row>
    <row r="41284" spans="32:32" x14ac:dyDescent="0.2">
      <c r="AF41284" s="12"/>
    </row>
    <row r="41285" spans="32:32" x14ac:dyDescent="0.2">
      <c r="AF41285" s="12"/>
    </row>
    <row r="41286" spans="32:32" x14ac:dyDescent="0.2">
      <c r="AF41286" s="12"/>
    </row>
    <row r="41287" spans="32:32" x14ac:dyDescent="0.2">
      <c r="AF41287" s="12"/>
    </row>
    <row r="41288" spans="32:32" x14ac:dyDescent="0.2">
      <c r="AF41288" s="12"/>
    </row>
    <row r="41289" spans="32:32" x14ac:dyDescent="0.2">
      <c r="AF41289" s="12"/>
    </row>
    <row r="41290" spans="32:32" x14ac:dyDescent="0.2">
      <c r="AF41290" s="12"/>
    </row>
    <row r="41291" spans="32:32" x14ac:dyDescent="0.2">
      <c r="AF41291" s="12"/>
    </row>
    <row r="41292" spans="32:32" x14ac:dyDescent="0.2">
      <c r="AF41292" s="12"/>
    </row>
    <row r="41293" spans="32:32" x14ac:dyDescent="0.2">
      <c r="AF41293" s="12"/>
    </row>
    <row r="41294" spans="32:32" x14ac:dyDescent="0.2">
      <c r="AF41294" s="12"/>
    </row>
    <row r="41295" spans="32:32" x14ac:dyDescent="0.2">
      <c r="AF41295" s="12"/>
    </row>
    <row r="41296" spans="32:32" x14ac:dyDescent="0.2">
      <c r="AF41296" s="12"/>
    </row>
    <row r="41297" spans="32:32" x14ac:dyDescent="0.2">
      <c r="AF41297" s="12"/>
    </row>
    <row r="41298" spans="32:32" x14ac:dyDescent="0.2">
      <c r="AF41298" s="12"/>
    </row>
    <row r="41299" spans="32:32" x14ac:dyDescent="0.2">
      <c r="AF41299" s="12"/>
    </row>
    <row r="41300" spans="32:32" x14ac:dyDescent="0.2">
      <c r="AF41300" s="12"/>
    </row>
    <row r="41301" spans="32:32" x14ac:dyDescent="0.2">
      <c r="AF41301" s="12"/>
    </row>
    <row r="41302" spans="32:32" x14ac:dyDescent="0.2">
      <c r="AF41302" s="12"/>
    </row>
    <row r="41303" spans="32:32" x14ac:dyDescent="0.2">
      <c r="AF41303" s="12"/>
    </row>
    <row r="41304" spans="32:32" x14ac:dyDescent="0.2">
      <c r="AF41304" s="12"/>
    </row>
    <row r="41305" spans="32:32" x14ac:dyDescent="0.2">
      <c r="AF41305" s="12"/>
    </row>
    <row r="41306" spans="32:32" x14ac:dyDescent="0.2">
      <c r="AF41306" s="12"/>
    </row>
    <row r="41307" spans="32:32" x14ac:dyDescent="0.2">
      <c r="AF41307" s="12"/>
    </row>
    <row r="41308" spans="32:32" x14ac:dyDescent="0.2">
      <c r="AF41308" s="12"/>
    </row>
    <row r="41309" spans="32:32" x14ac:dyDescent="0.2">
      <c r="AF41309" s="12"/>
    </row>
    <row r="41310" spans="32:32" x14ac:dyDescent="0.2">
      <c r="AF41310" s="12"/>
    </row>
    <row r="41311" spans="32:32" x14ac:dyDescent="0.2">
      <c r="AF41311" s="12"/>
    </row>
    <row r="41312" spans="32:32" x14ac:dyDescent="0.2">
      <c r="AF41312" s="12"/>
    </row>
    <row r="41313" spans="32:32" x14ac:dyDescent="0.2">
      <c r="AF41313" s="12"/>
    </row>
    <row r="41314" spans="32:32" x14ac:dyDescent="0.2">
      <c r="AF41314" s="12"/>
    </row>
    <row r="41315" spans="32:32" x14ac:dyDescent="0.2">
      <c r="AF41315" s="12"/>
    </row>
    <row r="41316" spans="32:32" x14ac:dyDescent="0.2">
      <c r="AF41316" s="12"/>
    </row>
    <row r="41317" spans="32:32" x14ac:dyDescent="0.2">
      <c r="AF41317" s="12"/>
    </row>
    <row r="41318" spans="32:32" x14ac:dyDescent="0.2">
      <c r="AF41318" s="12"/>
    </row>
    <row r="41319" spans="32:32" x14ac:dyDescent="0.2">
      <c r="AF41319" s="12"/>
    </row>
    <row r="41320" spans="32:32" x14ac:dyDescent="0.2">
      <c r="AF41320" s="12"/>
    </row>
    <row r="41321" spans="32:32" x14ac:dyDescent="0.2">
      <c r="AF41321" s="12"/>
    </row>
    <row r="41322" spans="32:32" x14ac:dyDescent="0.2">
      <c r="AF41322" s="12"/>
    </row>
    <row r="41323" spans="32:32" x14ac:dyDescent="0.2">
      <c r="AF41323" s="12"/>
    </row>
    <row r="41324" spans="32:32" x14ac:dyDescent="0.2">
      <c r="AF41324" s="12"/>
    </row>
    <row r="41325" spans="32:32" x14ac:dyDescent="0.2">
      <c r="AF41325" s="12"/>
    </row>
    <row r="41326" spans="32:32" x14ac:dyDescent="0.2">
      <c r="AF41326" s="12"/>
    </row>
    <row r="41327" spans="32:32" x14ac:dyDescent="0.2">
      <c r="AF41327" s="12"/>
    </row>
    <row r="41328" spans="32:32" x14ac:dyDescent="0.2">
      <c r="AF41328" s="12"/>
    </row>
    <row r="41329" spans="32:32" x14ac:dyDescent="0.2">
      <c r="AF41329" s="12"/>
    </row>
    <row r="41330" spans="32:32" x14ac:dyDescent="0.2">
      <c r="AF41330" s="12"/>
    </row>
    <row r="41331" spans="32:32" x14ac:dyDescent="0.2">
      <c r="AF41331" s="12"/>
    </row>
    <row r="41332" spans="32:32" x14ac:dyDescent="0.2">
      <c r="AF41332" s="12"/>
    </row>
    <row r="41333" spans="32:32" x14ac:dyDescent="0.2">
      <c r="AF41333" s="12"/>
    </row>
    <row r="41334" spans="32:32" x14ac:dyDescent="0.2">
      <c r="AF41334" s="12"/>
    </row>
    <row r="41335" spans="32:32" x14ac:dyDescent="0.2">
      <c r="AF41335" s="12"/>
    </row>
    <row r="41336" spans="32:32" x14ac:dyDescent="0.2">
      <c r="AF41336" s="12"/>
    </row>
    <row r="41337" spans="32:32" x14ac:dyDescent="0.2">
      <c r="AF41337" s="12"/>
    </row>
    <row r="41338" spans="32:32" x14ac:dyDescent="0.2">
      <c r="AF41338" s="12"/>
    </row>
    <row r="41339" spans="32:32" x14ac:dyDescent="0.2">
      <c r="AF41339" s="12"/>
    </row>
    <row r="41340" spans="32:32" x14ac:dyDescent="0.2">
      <c r="AF41340" s="12"/>
    </row>
    <row r="41341" spans="32:32" x14ac:dyDescent="0.2">
      <c r="AF41341" s="12"/>
    </row>
    <row r="41342" spans="32:32" x14ac:dyDescent="0.2">
      <c r="AF41342" s="12"/>
    </row>
    <row r="41343" spans="32:32" x14ac:dyDescent="0.2">
      <c r="AF41343" s="12"/>
    </row>
    <row r="41344" spans="32:32" x14ac:dyDescent="0.2">
      <c r="AF41344" s="12"/>
    </row>
    <row r="41345" spans="32:32" x14ac:dyDescent="0.2">
      <c r="AF41345" s="12"/>
    </row>
    <row r="41346" spans="32:32" x14ac:dyDescent="0.2">
      <c r="AF41346" s="12"/>
    </row>
    <row r="41347" spans="32:32" x14ac:dyDescent="0.2">
      <c r="AF41347" s="12"/>
    </row>
    <row r="41348" spans="32:32" x14ac:dyDescent="0.2">
      <c r="AF41348" s="12"/>
    </row>
    <row r="41349" spans="32:32" x14ac:dyDescent="0.2">
      <c r="AF41349" s="12"/>
    </row>
    <row r="41350" spans="32:32" x14ac:dyDescent="0.2">
      <c r="AF41350" s="12"/>
    </row>
    <row r="41351" spans="32:32" x14ac:dyDescent="0.2">
      <c r="AF41351" s="12"/>
    </row>
    <row r="41352" spans="32:32" x14ac:dyDescent="0.2">
      <c r="AF41352" s="12"/>
    </row>
    <row r="41353" spans="32:32" x14ac:dyDescent="0.2">
      <c r="AF41353" s="12"/>
    </row>
    <row r="41354" spans="32:32" x14ac:dyDescent="0.2">
      <c r="AF41354" s="12"/>
    </row>
    <row r="41355" spans="32:32" x14ac:dyDescent="0.2">
      <c r="AF41355" s="12"/>
    </row>
    <row r="41356" spans="32:32" x14ac:dyDescent="0.2">
      <c r="AF41356" s="12"/>
    </row>
    <row r="41357" spans="32:32" x14ac:dyDescent="0.2">
      <c r="AF41357" s="12"/>
    </row>
    <row r="41358" spans="32:32" x14ac:dyDescent="0.2">
      <c r="AF41358" s="12"/>
    </row>
    <row r="41359" spans="32:32" x14ac:dyDescent="0.2">
      <c r="AF41359" s="12"/>
    </row>
    <row r="41360" spans="32:32" x14ac:dyDescent="0.2">
      <c r="AF41360" s="12"/>
    </row>
    <row r="41361" spans="32:32" x14ac:dyDescent="0.2">
      <c r="AF41361" s="12"/>
    </row>
    <row r="41362" spans="32:32" x14ac:dyDescent="0.2">
      <c r="AF41362" s="12"/>
    </row>
    <row r="41363" spans="32:32" x14ac:dyDescent="0.2">
      <c r="AF41363" s="12"/>
    </row>
    <row r="41364" spans="32:32" x14ac:dyDescent="0.2">
      <c r="AF41364" s="12"/>
    </row>
    <row r="41365" spans="32:32" x14ac:dyDescent="0.2">
      <c r="AF41365" s="12"/>
    </row>
    <row r="41366" spans="32:32" x14ac:dyDescent="0.2">
      <c r="AF41366" s="12"/>
    </row>
    <row r="41367" spans="32:32" x14ac:dyDescent="0.2">
      <c r="AF41367" s="12"/>
    </row>
    <row r="41368" spans="32:32" x14ac:dyDescent="0.2">
      <c r="AF41368" s="12"/>
    </row>
    <row r="41369" spans="32:32" x14ac:dyDescent="0.2">
      <c r="AF41369" s="12"/>
    </row>
    <row r="41370" spans="32:32" x14ac:dyDescent="0.2">
      <c r="AF41370" s="12"/>
    </row>
    <row r="41371" spans="32:32" x14ac:dyDescent="0.2">
      <c r="AF41371" s="12"/>
    </row>
    <row r="41372" spans="32:32" x14ac:dyDescent="0.2">
      <c r="AF41372" s="12"/>
    </row>
    <row r="41373" spans="32:32" x14ac:dyDescent="0.2">
      <c r="AF41373" s="12"/>
    </row>
    <row r="41374" spans="32:32" x14ac:dyDescent="0.2">
      <c r="AF41374" s="12"/>
    </row>
    <row r="41375" spans="32:32" x14ac:dyDescent="0.2">
      <c r="AF41375" s="12"/>
    </row>
    <row r="41376" spans="32:32" x14ac:dyDescent="0.2">
      <c r="AF41376" s="12"/>
    </row>
    <row r="41377" spans="32:32" x14ac:dyDescent="0.2">
      <c r="AF41377" s="12"/>
    </row>
    <row r="41378" spans="32:32" x14ac:dyDescent="0.2">
      <c r="AF41378" s="12"/>
    </row>
    <row r="41379" spans="32:32" x14ac:dyDescent="0.2">
      <c r="AF41379" s="12"/>
    </row>
    <row r="41380" spans="32:32" x14ac:dyDescent="0.2">
      <c r="AF41380" s="12"/>
    </row>
    <row r="41381" spans="32:32" x14ac:dyDescent="0.2">
      <c r="AF41381" s="12"/>
    </row>
    <row r="41382" spans="32:32" x14ac:dyDescent="0.2">
      <c r="AF41382" s="12"/>
    </row>
    <row r="41383" spans="32:32" x14ac:dyDescent="0.2">
      <c r="AF41383" s="12"/>
    </row>
    <row r="41384" spans="32:32" x14ac:dyDescent="0.2">
      <c r="AF41384" s="12"/>
    </row>
    <row r="41385" spans="32:32" x14ac:dyDescent="0.2">
      <c r="AF41385" s="12"/>
    </row>
    <row r="41386" spans="32:32" x14ac:dyDescent="0.2">
      <c r="AF41386" s="12"/>
    </row>
    <row r="41387" spans="32:32" x14ac:dyDescent="0.2">
      <c r="AF41387" s="12"/>
    </row>
    <row r="41388" spans="32:32" x14ac:dyDescent="0.2">
      <c r="AF41388" s="12"/>
    </row>
    <row r="41389" spans="32:32" x14ac:dyDescent="0.2">
      <c r="AF41389" s="12"/>
    </row>
    <row r="41390" spans="32:32" x14ac:dyDescent="0.2">
      <c r="AF41390" s="12"/>
    </row>
    <row r="41391" spans="32:32" x14ac:dyDescent="0.2">
      <c r="AF41391" s="12"/>
    </row>
    <row r="41392" spans="32:32" x14ac:dyDescent="0.2">
      <c r="AF41392" s="12"/>
    </row>
    <row r="41393" spans="32:32" x14ac:dyDescent="0.2">
      <c r="AF41393" s="12"/>
    </row>
    <row r="41394" spans="32:32" x14ac:dyDescent="0.2">
      <c r="AF41394" s="12"/>
    </row>
    <row r="41395" spans="32:32" x14ac:dyDescent="0.2">
      <c r="AF41395" s="12"/>
    </row>
    <row r="41396" spans="32:32" x14ac:dyDescent="0.2">
      <c r="AF41396" s="12"/>
    </row>
    <row r="41397" spans="32:32" x14ac:dyDescent="0.2">
      <c r="AF41397" s="12"/>
    </row>
    <row r="41398" spans="32:32" x14ac:dyDescent="0.2">
      <c r="AF41398" s="12"/>
    </row>
    <row r="41399" spans="32:32" x14ac:dyDescent="0.2">
      <c r="AF41399" s="12"/>
    </row>
    <row r="41400" spans="32:32" x14ac:dyDescent="0.2">
      <c r="AF41400" s="12"/>
    </row>
    <row r="41401" spans="32:32" x14ac:dyDescent="0.2">
      <c r="AF41401" s="12"/>
    </row>
    <row r="41402" spans="32:32" x14ac:dyDescent="0.2">
      <c r="AF41402" s="12"/>
    </row>
    <row r="41403" spans="32:32" x14ac:dyDescent="0.2">
      <c r="AF41403" s="12"/>
    </row>
    <row r="41404" spans="32:32" x14ac:dyDescent="0.2">
      <c r="AF41404" s="12"/>
    </row>
    <row r="41405" spans="32:32" x14ac:dyDescent="0.2">
      <c r="AF41405" s="12"/>
    </row>
    <row r="41406" spans="32:32" x14ac:dyDescent="0.2">
      <c r="AF41406" s="12"/>
    </row>
    <row r="41407" spans="32:32" x14ac:dyDescent="0.2">
      <c r="AF41407" s="12"/>
    </row>
    <row r="41408" spans="32:32" x14ac:dyDescent="0.2">
      <c r="AF41408" s="12"/>
    </row>
    <row r="41409" spans="32:32" x14ac:dyDescent="0.2">
      <c r="AF41409" s="12"/>
    </row>
    <row r="41410" spans="32:32" x14ac:dyDescent="0.2">
      <c r="AF41410" s="12"/>
    </row>
    <row r="41411" spans="32:32" x14ac:dyDescent="0.2">
      <c r="AF41411" s="12"/>
    </row>
    <row r="41412" spans="32:32" x14ac:dyDescent="0.2">
      <c r="AF41412" s="12"/>
    </row>
    <row r="41413" spans="32:32" x14ac:dyDescent="0.2">
      <c r="AF41413" s="12"/>
    </row>
    <row r="41414" spans="32:32" x14ac:dyDescent="0.2">
      <c r="AF41414" s="12"/>
    </row>
    <row r="41415" spans="32:32" x14ac:dyDescent="0.2">
      <c r="AF41415" s="12"/>
    </row>
    <row r="41416" spans="32:32" x14ac:dyDescent="0.2">
      <c r="AF41416" s="12"/>
    </row>
    <row r="41417" spans="32:32" x14ac:dyDescent="0.2">
      <c r="AF41417" s="12"/>
    </row>
    <row r="41418" spans="32:32" x14ac:dyDescent="0.2">
      <c r="AF41418" s="12"/>
    </row>
    <row r="41419" spans="32:32" x14ac:dyDescent="0.2">
      <c r="AF41419" s="12"/>
    </row>
    <row r="41420" spans="32:32" x14ac:dyDescent="0.2">
      <c r="AF41420" s="12"/>
    </row>
    <row r="41421" spans="32:32" x14ac:dyDescent="0.2">
      <c r="AF41421" s="12"/>
    </row>
    <row r="41422" spans="32:32" x14ac:dyDescent="0.2">
      <c r="AF41422" s="12"/>
    </row>
    <row r="41423" spans="32:32" x14ac:dyDescent="0.2">
      <c r="AF41423" s="12"/>
    </row>
    <row r="41424" spans="32:32" x14ac:dyDescent="0.2">
      <c r="AF41424" s="12"/>
    </row>
    <row r="41425" spans="32:32" x14ac:dyDescent="0.2">
      <c r="AF41425" s="12"/>
    </row>
    <row r="41426" spans="32:32" x14ac:dyDescent="0.2">
      <c r="AF41426" s="12"/>
    </row>
    <row r="41427" spans="32:32" x14ac:dyDescent="0.2">
      <c r="AF41427" s="12"/>
    </row>
    <row r="41428" spans="32:32" x14ac:dyDescent="0.2">
      <c r="AF41428" s="12"/>
    </row>
    <row r="41429" spans="32:32" x14ac:dyDescent="0.2">
      <c r="AF41429" s="12"/>
    </row>
    <row r="41430" spans="32:32" x14ac:dyDescent="0.2">
      <c r="AF41430" s="12"/>
    </row>
    <row r="41431" spans="32:32" x14ac:dyDescent="0.2">
      <c r="AF41431" s="12"/>
    </row>
    <row r="41432" spans="32:32" x14ac:dyDescent="0.2">
      <c r="AF41432" s="12"/>
    </row>
    <row r="41433" spans="32:32" x14ac:dyDescent="0.2">
      <c r="AF41433" s="12"/>
    </row>
    <row r="41434" spans="32:32" x14ac:dyDescent="0.2">
      <c r="AF41434" s="12"/>
    </row>
    <row r="41435" spans="32:32" x14ac:dyDescent="0.2">
      <c r="AF41435" s="12"/>
    </row>
    <row r="41436" spans="32:32" x14ac:dyDescent="0.2">
      <c r="AF41436" s="12"/>
    </row>
    <row r="41437" spans="32:32" x14ac:dyDescent="0.2">
      <c r="AF41437" s="12"/>
    </row>
    <row r="41438" spans="32:32" x14ac:dyDescent="0.2">
      <c r="AF41438" s="12"/>
    </row>
    <row r="41439" spans="32:32" x14ac:dyDescent="0.2">
      <c r="AF41439" s="12"/>
    </row>
    <row r="41440" spans="32:32" x14ac:dyDescent="0.2">
      <c r="AF41440" s="12"/>
    </row>
    <row r="41441" spans="32:32" x14ac:dyDescent="0.2">
      <c r="AF41441" s="12"/>
    </row>
    <row r="41442" spans="32:32" x14ac:dyDescent="0.2">
      <c r="AF41442" s="12"/>
    </row>
    <row r="41443" spans="32:32" x14ac:dyDescent="0.2">
      <c r="AF41443" s="12"/>
    </row>
    <row r="41444" spans="32:32" x14ac:dyDescent="0.2">
      <c r="AF41444" s="12"/>
    </row>
    <row r="41445" spans="32:32" x14ac:dyDescent="0.2">
      <c r="AF41445" s="12"/>
    </row>
    <row r="41446" spans="32:32" x14ac:dyDescent="0.2">
      <c r="AF41446" s="12"/>
    </row>
    <row r="41447" spans="32:32" x14ac:dyDescent="0.2">
      <c r="AF41447" s="12"/>
    </row>
    <row r="41448" spans="32:32" x14ac:dyDescent="0.2">
      <c r="AF41448" s="12"/>
    </row>
    <row r="41449" spans="32:32" x14ac:dyDescent="0.2">
      <c r="AF41449" s="12"/>
    </row>
    <row r="41450" spans="32:32" x14ac:dyDescent="0.2">
      <c r="AF41450" s="12"/>
    </row>
    <row r="41451" spans="32:32" x14ac:dyDescent="0.2">
      <c r="AF41451" s="12"/>
    </row>
    <row r="41452" spans="32:32" x14ac:dyDescent="0.2">
      <c r="AF41452" s="12"/>
    </row>
    <row r="41453" spans="32:32" x14ac:dyDescent="0.2">
      <c r="AF41453" s="12"/>
    </row>
    <row r="41454" spans="32:32" x14ac:dyDescent="0.2">
      <c r="AF41454" s="12"/>
    </row>
    <row r="41455" spans="32:32" x14ac:dyDescent="0.2">
      <c r="AF41455" s="12"/>
    </row>
    <row r="41456" spans="32:32" x14ac:dyDescent="0.2">
      <c r="AF41456" s="12"/>
    </row>
    <row r="41457" spans="32:32" x14ac:dyDescent="0.2">
      <c r="AF41457" s="12"/>
    </row>
    <row r="41458" spans="32:32" x14ac:dyDescent="0.2">
      <c r="AF41458" s="12"/>
    </row>
    <row r="41459" spans="32:32" x14ac:dyDescent="0.2">
      <c r="AF41459" s="12"/>
    </row>
    <row r="41460" spans="32:32" x14ac:dyDescent="0.2">
      <c r="AF41460" s="12"/>
    </row>
    <row r="41461" spans="32:32" x14ac:dyDescent="0.2">
      <c r="AF41461" s="12"/>
    </row>
    <row r="41462" spans="32:32" x14ac:dyDescent="0.2">
      <c r="AF41462" s="12"/>
    </row>
    <row r="41463" spans="32:32" x14ac:dyDescent="0.2">
      <c r="AF41463" s="12"/>
    </row>
    <row r="41464" spans="32:32" x14ac:dyDescent="0.2">
      <c r="AF41464" s="12"/>
    </row>
    <row r="41465" spans="32:32" x14ac:dyDescent="0.2">
      <c r="AF41465" s="12"/>
    </row>
    <row r="41466" spans="32:32" x14ac:dyDescent="0.2">
      <c r="AF41466" s="12"/>
    </row>
    <row r="41467" spans="32:32" x14ac:dyDescent="0.2">
      <c r="AF41467" s="12"/>
    </row>
    <row r="41468" spans="32:32" x14ac:dyDescent="0.2">
      <c r="AF41468" s="12"/>
    </row>
    <row r="41469" spans="32:32" x14ac:dyDescent="0.2">
      <c r="AF41469" s="12"/>
    </row>
    <row r="41470" spans="32:32" x14ac:dyDescent="0.2">
      <c r="AF41470" s="12"/>
    </row>
    <row r="41471" spans="32:32" x14ac:dyDescent="0.2">
      <c r="AF41471" s="12"/>
    </row>
    <row r="41472" spans="32:32" x14ac:dyDescent="0.2">
      <c r="AF41472" s="12"/>
    </row>
    <row r="41473" spans="32:32" x14ac:dyDescent="0.2">
      <c r="AF41473" s="12"/>
    </row>
    <row r="41474" spans="32:32" x14ac:dyDescent="0.2">
      <c r="AF41474" s="12"/>
    </row>
    <row r="41475" spans="32:32" x14ac:dyDescent="0.2">
      <c r="AF41475" s="12"/>
    </row>
    <row r="41476" spans="32:32" x14ac:dyDescent="0.2">
      <c r="AF41476" s="12"/>
    </row>
    <row r="41477" spans="32:32" x14ac:dyDescent="0.2">
      <c r="AF41477" s="12"/>
    </row>
    <row r="41478" spans="32:32" x14ac:dyDescent="0.2">
      <c r="AF41478" s="12"/>
    </row>
    <row r="41479" spans="32:32" x14ac:dyDescent="0.2">
      <c r="AF41479" s="12"/>
    </row>
    <row r="41480" spans="32:32" x14ac:dyDescent="0.2">
      <c r="AF41480" s="12"/>
    </row>
    <row r="41481" spans="32:32" x14ac:dyDescent="0.2">
      <c r="AF41481" s="12"/>
    </row>
    <row r="41482" spans="32:32" x14ac:dyDescent="0.2">
      <c r="AF41482" s="12"/>
    </row>
    <row r="41483" spans="32:32" x14ac:dyDescent="0.2">
      <c r="AF41483" s="12"/>
    </row>
    <row r="41484" spans="32:32" x14ac:dyDescent="0.2">
      <c r="AF41484" s="12"/>
    </row>
    <row r="41485" spans="32:32" x14ac:dyDescent="0.2">
      <c r="AF41485" s="12"/>
    </row>
    <row r="41486" spans="32:32" x14ac:dyDescent="0.2">
      <c r="AF41486" s="12"/>
    </row>
    <row r="41487" spans="32:32" x14ac:dyDescent="0.2">
      <c r="AF41487" s="12"/>
    </row>
    <row r="41488" spans="32:32" x14ac:dyDescent="0.2">
      <c r="AF41488" s="12"/>
    </row>
    <row r="41489" spans="32:32" x14ac:dyDescent="0.2">
      <c r="AF41489" s="12"/>
    </row>
    <row r="41490" spans="32:32" x14ac:dyDescent="0.2">
      <c r="AF41490" s="12"/>
    </row>
    <row r="41491" spans="32:32" x14ac:dyDescent="0.2">
      <c r="AF41491" s="12"/>
    </row>
    <row r="41492" spans="32:32" x14ac:dyDescent="0.2">
      <c r="AF41492" s="12"/>
    </row>
    <row r="41493" spans="32:32" x14ac:dyDescent="0.2">
      <c r="AF41493" s="12"/>
    </row>
    <row r="41494" spans="32:32" x14ac:dyDescent="0.2">
      <c r="AF41494" s="12"/>
    </row>
    <row r="41495" spans="32:32" x14ac:dyDescent="0.2">
      <c r="AF41495" s="12"/>
    </row>
    <row r="41496" spans="32:32" x14ac:dyDescent="0.2">
      <c r="AF41496" s="12"/>
    </row>
    <row r="41497" spans="32:32" x14ac:dyDescent="0.2">
      <c r="AF41497" s="12"/>
    </row>
    <row r="41498" spans="32:32" x14ac:dyDescent="0.2">
      <c r="AF41498" s="12"/>
    </row>
    <row r="41499" spans="32:32" x14ac:dyDescent="0.2">
      <c r="AF41499" s="12"/>
    </row>
    <row r="41500" spans="32:32" x14ac:dyDescent="0.2">
      <c r="AF41500" s="12"/>
    </row>
    <row r="41501" spans="32:32" x14ac:dyDescent="0.2">
      <c r="AF41501" s="12"/>
    </row>
    <row r="41502" spans="32:32" x14ac:dyDescent="0.2">
      <c r="AF41502" s="12"/>
    </row>
    <row r="41503" spans="32:32" x14ac:dyDescent="0.2">
      <c r="AF41503" s="12"/>
    </row>
    <row r="41504" spans="32:32" x14ac:dyDescent="0.2">
      <c r="AF41504" s="12"/>
    </row>
    <row r="41505" spans="32:32" x14ac:dyDescent="0.2">
      <c r="AF41505" s="12"/>
    </row>
    <row r="41506" spans="32:32" x14ac:dyDescent="0.2">
      <c r="AF41506" s="12"/>
    </row>
    <row r="41507" spans="32:32" x14ac:dyDescent="0.2">
      <c r="AF41507" s="12"/>
    </row>
    <row r="41508" spans="32:32" x14ac:dyDescent="0.2">
      <c r="AF41508" s="12"/>
    </row>
    <row r="41509" spans="32:32" x14ac:dyDescent="0.2">
      <c r="AF41509" s="12"/>
    </row>
    <row r="41510" spans="32:32" x14ac:dyDescent="0.2">
      <c r="AF41510" s="12"/>
    </row>
    <row r="41511" spans="32:32" x14ac:dyDescent="0.2">
      <c r="AF41511" s="12"/>
    </row>
    <row r="41512" spans="32:32" x14ac:dyDescent="0.2">
      <c r="AF41512" s="12"/>
    </row>
    <row r="41513" spans="32:32" x14ac:dyDescent="0.2">
      <c r="AF41513" s="12"/>
    </row>
    <row r="41514" spans="32:32" x14ac:dyDescent="0.2">
      <c r="AF41514" s="12"/>
    </row>
    <row r="41515" spans="32:32" x14ac:dyDescent="0.2">
      <c r="AF41515" s="12"/>
    </row>
    <row r="41516" spans="32:32" x14ac:dyDescent="0.2">
      <c r="AF41516" s="12"/>
    </row>
    <row r="41517" spans="32:32" x14ac:dyDescent="0.2">
      <c r="AF41517" s="12"/>
    </row>
    <row r="41518" spans="32:32" x14ac:dyDescent="0.2">
      <c r="AF41518" s="12"/>
    </row>
    <row r="41519" spans="32:32" x14ac:dyDescent="0.2">
      <c r="AF41519" s="12"/>
    </row>
    <row r="41520" spans="32:32" x14ac:dyDescent="0.2">
      <c r="AF41520" s="12"/>
    </row>
    <row r="41521" spans="32:32" x14ac:dyDescent="0.2">
      <c r="AF41521" s="12"/>
    </row>
    <row r="41522" spans="32:32" x14ac:dyDescent="0.2">
      <c r="AF41522" s="12"/>
    </row>
    <row r="41523" spans="32:32" x14ac:dyDescent="0.2">
      <c r="AF41523" s="12"/>
    </row>
    <row r="41524" spans="32:32" x14ac:dyDescent="0.2">
      <c r="AF41524" s="12"/>
    </row>
    <row r="41525" spans="32:32" x14ac:dyDescent="0.2">
      <c r="AF41525" s="12"/>
    </row>
    <row r="41526" spans="32:32" x14ac:dyDescent="0.2">
      <c r="AF41526" s="12"/>
    </row>
    <row r="41527" spans="32:32" x14ac:dyDescent="0.2">
      <c r="AF41527" s="12"/>
    </row>
    <row r="41528" spans="32:32" x14ac:dyDescent="0.2">
      <c r="AF41528" s="12"/>
    </row>
    <row r="41529" spans="32:32" x14ac:dyDescent="0.2">
      <c r="AF41529" s="12"/>
    </row>
    <row r="41530" spans="32:32" x14ac:dyDescent="0.2">
      <c r="AF41530" s="12"/>
    </row>
    <row r="41531" spans="32:32" x14ac:dyDescent="0.2">
      <c r="AF41531" s="12"/>
    </row>
    <row r="41532" spans="32:32" x14ac:dyDescent="0.2">
      <c r="AF41532" s="12"/>
    </row>
    <row r="41533" spans="32:32" x14ac:dyDescent="0.2">
      <c r="AF41533" s="12"/>
    </row>
    <row r="41534" spans="32:32" x14ac:dyDescent="0.2">
      <c r="AF41534" s="12"/>
    </row>
    <row r="41535" spans="32:32" x14ac:dyDescent="0.2">
      <c r="AF41535" s="12"/>
    </row>
    <row r="41536" spans="32:32" x14ac:dyDescent="0.2">
      <c r="AF41536" s="12"/>
    </row>
    <row r="41537" spans="32:32" x14ac:dyDescent="0.2">
      <c r="AF41537" s="12"/>
    </row>
    <row r="41538" spans="32:32" x14ac:dyDescent="0.2">
      <c r="AF41538" s="12"/>
    </row>
    <row r="41539" spans="32:32" x14ac:dyDescent="0.2">
      <c r="AF41539" s="12"/>
    </row>
    <row r="41540" spans="32:32" x14ac:dyDescent="0.2">
      <c r="AF41540" s="12"/>
    </row>
    <row r="41541" spans="32:32" x14ac:dyDescent="0.2">
      <c r="AF41541" s="12"/>
    </row>
    <row r="41542" spans="32:32" x14ac:dyDescent="0.2">
      <c r="AF41542" s="12"/>
    </row>
    <row r="41543" spans="32:32" x14ac:dyDescent="0.2">
      <c r="AF41543" s="12"/>
    </row>
    <row r="41544" spans="32:32" x14ac:dyDescent="0.2">
      <c r="AF41544" s="12"/>
    </row>
    <row r="41545" spans="32:32" x14ac:dyDescent="0.2">
      <c r="AF41545" s="12"/>
    </row>
    <row r="41546" spans="32:32" x14ac:dyDescent="0.2">
      <c r="AF41546" s="12"/>
    </row>
    <row r="41547" spans="32:32" x14ac:dyDescent="0.2">
      <c r="AF41547" s="12"/>
    </row>
    <row r="41548" spans="32:32" x14ac:dyDescent="0.2">
      <c r="AF41548" s="12"/>
    </row>
    <row r="41549" spans="32:32" x14ac:dyDescent="0.2">
      <c r="AF41549" s="12"/>
    </row>
    <row r="41550" spans="32:32" x14ac:dyDescent="0.2">
      <c r="AF41550" s="12"/>
    </row>
    <row r="41551" spans="32:32" x14ac:dyDescent="0.2">
      <c r="AF41551" s="12"/>
    </row>
    <row r="41552" spans="32:32" x14ac:dyDescent="0.2">
      <c r="AF41552" s="12"/>
    </row>
    <row r="41553" spans="32:32" x14ac:dyDescent="0.2">
      <c r="AF41553" s="12"/>
    </row>
    <row r="41554" spans="32:32" x14ac:dyDescent="0.2">
      <c r="AF41554" s="12"/>
    </row>
    <row r="41555" spans="32:32" x14ac:dyDescent="0.2">
      <c r="AF41555" s="12"/>
    </row>
    <row r="41556" spans="32:32" x14ac:dyDescent="0.2">
      <c r="AF41556" s="12"/>
    </row>
    <row r="41557" spans="32:32" x14ac:dyDescent="0.2">
      <c r="AF41557" s="12"/>
    </row>
    <row r="41558" spans="32:32" x14ac:dyDescent="0.2">
      <c r="AF41558" s="12"/>
    </row>
    <row r="41559" spans="32:32" x14ac:dyDescent="0.2">
      <c r="AF41559" s="12"/>
    </row>
    <row r="41560" spans="32:32" x14ac:dyDescent="0.2">
      <c r="AF41560" s="12"/>
    </row>
    <row r="41561" spans="32:32" x14ac:dyDescent="0.2">
      <c r="AF41561" s="12"/>
    </row>
    <row r="41562" spans="32:32" x14ac:dyDescent="0.2">
      <c r="AF41562" s="12"/>
    </row>
    <row r="41563" spans="32:32" x14ac:dyDescent="0.2">
      <c r="AF41563" s="12"/>
    </row>
    <row r="41564" spans="32:32" x14ac:dyDescent="0.2">
      <c r="AF41564" s="12"/>
    </row>
    <row r="41565" spans="32:32" x14ac:dyDescent="0.2">
      <c r="AF41565" s="12"/>
    </row>
    <row r="41566" spans="32:32" x14ac:dyDescent="0.2">
      <c r="AF41566" s="12"/>
    </row>
    <row r="41567" spans="32:32" x14ac:dyDescent="0.2">
      <c r="AF41567" s="12"/>
    </row>
    <row r="41568" spans="32:32" x14ac:dyDescent="0.2">
      <c r="AF41568" s="12"/>
    </row>
    <row r="41569" spans="32:32" x14ac:dyDescent="0.2">
      <c r="AF41569" s="12"/>
    </row>
    <row r="41570" spans="32:32" x14ac:dyDescent="0.2">
      <c r="AF41570" s="12"/>
    </row>
    <row r="41571" spans="32:32" x14ac:dyDescent="0.2">
      <c r="AF41571" s="12"/>
    </row>
    <row r="41572" spans="32:32" x14ac:dyDescent="0.2">
      <c r="AF41572" s="12"/>
    </row>
    <row r="41573" spans="32:32" x14ac:dyDescent="0.2">
      <c r="AF41573" s="12"/>
    </row>
    <row r="41574" spans="32:32" x14ac:dyDescent="0.2">
      <c r="AF41574" s="12"/>
    </row>
    <row r="41575" spans="32:32" x14ac:dyDescent="0.2">
      <c r="AF41575" s="12"/>
    </row>
    <row r="41576" spans="32:32" x14ac:dyDescent="0.2">
      <c r="AF41576" s="12"/>
    </row>
    <row r="41577" spans="32:32" x14ac:dyDescent="0.2">
      <c r="AF41577" s="12"/>
    </row>
    <row r="41578" spans="32:32" x14ac:dyDescent="0.2">
      <c r="AF41578" s="12"/>
    </row>
    <row r="41579" spans="32:32" x14ac:dyDescent="0.2">
      <c r="AF41579" s="12"/>
    </row>
    <row r="41580" spans="32:32" x14ac:dyDescent="0.2">
      <c r="AF41580" s="12"/>
    </row>
    <row r="41581" spans="32:32" x14ac:dyDescent="0.2">
      <c r="AF41581" s="12"/>
    </row>
    <row r="41582" spans="32:32" x14ac:dyDescent="0.2">
      <c r="AF41582" s="12"/>
    </row>
    <row r="41583" spans="32:32" x14ac:dyDescent="0.2">
      <c r="AF41583" s="12"/>
    </row>
    <row r="41584" spans="32:32" x14ac:dyDescent="0.2">
      <c r="AF41584" s="12"/>
    </row>
    <row r="41585" spans="32:32" x14ac:dyDescent="0.2">
      <c r="AF41585" s="12"/>
    </row>
    <row r="41586" spans="32:32" x14ac:dyDescent="0.2">
      <c r="AF41586" s="12"/>
    </row>
    <row r="41587" spans="32:32" x14ac:dyDescent="0.2">
      <c r="AF41587" s="12"/>
    </row>
    <row r="41588" spans="32:32" x14ac:dyDescent="0.2">
      <c r="AF41588" s="12"/>
    </row>
    <row r="41589" spans="32:32" x14ac:dyDescent="0.2">
      <c r="AF41589" s="12"/>
    </row>
    <row r="41590" spans="32:32" x14ac:dyDescent="0.2">
      <c r="AF41590" s="12"/>
    </row>
    <row r="41591" spans="32:32" x14ac:dyDescent="0.2">
      <c r="AF41591" s="12"/>
    </row>
    <row r="41592" spans="32:32" x14ac:dyDescent="0.2">
      <c r="AF41592" s="12"/>
    </row>
    <row r="41593" spans="32:32" x14ac:dyDescent="0.2">
      <c r="AF41593" s="12"/>
    </row>
    <row r="41594" spans="32:32" x14ac:dyDescent="0.2">
      <c r="AF41594" s="12"/>
    </row>
    <row r="41595" spans="32:32" x14ac:dyDescent="0.2">
      <c r="AF41595" s="12"/>
    </row>
    <row r="41596" spans="32:32" x14ac:dyDescent="0.2">
      <c r="AF41596" s="12"/>
    </row>
    <row r="41597" spans="32:32" x14ac:dyDescent="0.2">
      <c r="AF41597" s="12"/>
    </row>
    <row r="41598" spans="32:32" x14ac:dyDescent="0.2">
      <c r="AF41598" s="12"/>
    </row>
    <row r="41599" spans="32:32" x14ac:dyDescent="0.2">
      <c r="AF41599" s="12"/>
    </row>
    <row r="41600" spans="32:32" x14ac:dyDescent="0.2">
      <c r="AF41600" s="12"/>
    </row>
    <row r="41601" spans="32:32" x14ac:dyDescent="0.2">
      <c r="AF41601" s="12"/>
    </row>
    <row r="41602" spans="32:32" x14ac:dyDescent="0.2">
      <c r="AF41602" s="12"/>
    </row>
    <row r="41603" spans="32:32" x14ac:dyDescent="0.2">
      <c r="AF41603" s="12"/>
    </row>
    <row r="41604" spans="32:32" x14ac:dyDescent="0.2">
      <c r="AF41604" s="12"/>
    </row>
    <row r="41605" spans="32:32" x14ac:dyDescent="0.2">
      <c r="AF41605" s="12"/>
    </row>
    <row r="41606" spans="32:32" x14ac:dyDescent="0.2">
      <c r="AF41606" s="12"/>
    </row>
    <row r="41607" spans="32:32" x14ac:dyDescent="0.2">
      <c r="AF41607" s="12"/>
    </row>
    <row r="41608" spans="32:32" x14ac:dyDescent="0.2">
      <c r="AF41608" s="12"/>
    </row>
    <row r="41609" spans="32:32" x14ac:dyDescent="0.2">
      <c r="AF41609" s="12"/>
    </row>
    <row r="41610" spans="32:32" x14ac:dyDescent="0.2">
      <c r="AF41610" s="12"/>
    </row>
    <row r="41611" spans="32:32" x14ac:dyDescent="0.2">
      <c r="AF41611" s="12"/>
    </row>
    <row r="41612" spans="32:32" x14ac:dyDescent="0.2">
      <c r="AF41612" s="12"/>
    </row>
    <row r="41613" spans="32:32" x14ac:dyDescent="0.2">
      <c r="AF41613" s="12"/>
    </row>
    <row r="41614" spans="32:32" x14ac:dyDescent="0.2">
      <c r="AF41614" s="12"/>
    </row>
    <row r="41615" spans="32:32" x14ac:dyDescent="0.2">
      <c r="AF41615" s="12"/>
    </row>
    <row r="41616" spans="32:32" x14ac:dyDescent="0.2">
      <c r="AF41616" s="12"/>
    </row>
    <row r="41617" spans="32:32" x14ac:dyDescent="0.2">
      <c r="AF41617" s="12"/>
    </row>
    <row r="41618" spans="32:32" x14ac:dyDescent="0.2">
      <c r="AF41618" s="12"/>
    </row>
    <row r="41619" spans="32:32" x14ac:dyDescent="0.2">
      <c r="AF41619" s="12"/>
    </row>
    <row r="41620" spans="32:32" x14ac:dyDescent="0.2">
      <c r="AF41620" s="12"/>
    </row>
    <row r="41621" spans="32:32" x14ac:dyDescent="0.2">
      <c r="AF41621" s="12"/>
    </row>
    <row r="41622" spans="32:32" x14ac:dyDescent="0.2">
      <c r="AF41622" s="12"/>
    </row>
    <row r="41623" spans="32:32" x14ac:dyDescent="0.2">
      <c r="AF41623" s="12"/>
    </row>
    <row r="41624" spans="32:32" x14ac:dyDescent="0.2">
      <c r="AF41624" s="12"/>
    </row>
    <row r="41625" spans="32:32" x14ac:dyDescent="0.2">
      <c r="AF41625" s="12"/>
    </row>
    <row r="41626" spans="32:32" x14ac:dyDescent="0.2">
      <c r="AF41626" s="12"/>
    </row>
    <row r="41627" spans="32:32" x14ac:dyDescent="0.2">
      <c r="AF41627" s="12"/>
    </row>
    <row r="41628" spans="32:32" x14ac:dyDescent="0.2">
      <c r="AF41628" s="12"/>
    </row>
    <row r="41629" spans="32:32" x14ac:dyDescent="0.2">
      <c r="AF41629" s="12"/>
    </row>
    <row r="41630" spans="32:32" x14ac:dyDescent="0.2">
      <c r="AF41630" s="12"/>
    </row>
    <row r="41631" spans="32:32" x14ac:dyDescent="0.2">
      <c r="AF41631" s="12"/>
    </row>
    <row r="41632" spans="32:32" x14ac:dyDescent="0.2">
      <c r="AF41632" s="12"/>
    </row>
    <row r="41633" spans="32:32" x14ac:dyDescent="0.2">
      <c r="AF41633" s="12"/>
    </row>
    <row r="41634" spans="32:32" x14ac:dyDescent="0.2">
      <c r="AF41634" s="12"/>
    </row>
    <row r="41635" spans="32:32" x14ac:dyDescent="0.2">
      <c r="AF41635" s="12"/>
    </row>
    <row r="41636" spans="32:32" x14ac:dyDescent="0.2">
      <c r="AF41636" s="12"/>
    </row>
    <row r="41637" spans="32:32" x14ac:dyDescent="0.2">
      <c r="AF41637" s="12"/>
    </row>
    <row r="41638" spans="32:32" x14ac:dyDescent="0.2">
      <c r="AF41638" s="12"/>
    </row>
    <row r="41639" spans="32:32" x14ac:dyDescent="0.2">
      <c r="AF41639" s="12"/>
    </row>
    <row r="41640" spans="32:32" x14ac:dyDescent="0.2">
      <c r="AF41640" s="12"/>
    </row>
    <row r="41641" spans="32:32" x14ac:dyDescent="0.2">
      <c r="AF41641" s="12"/>
    </row>
    <row r="41642" spans="32:32" x14ac:dyDescent="0.2">
      <c r="AF41642" s="12"/>
    </row>
    <row r="41643" spans="32:32" x14ac:dyDescent="0.2">
      <c r="AF41643" s="12"/>
    </row>
    <row r="41644" spans="32:32" x14ac:dyDescent="0.2">
      <c r="AF41644" s="12"/>
    </row>
    <row r="41645" spans="32:32" x14ac:dyDescent="0.2">
      <c r="AF41645" s="12"/>
    </row>
    <row r="41646" spans="32:32" x14ac:dyDescent="0.2">
      <c r="AF41646" s="12"/>
    </row>
    <row r="41647" spans="32:32" x14ac:dyDescent="0.2">
      <c r="AF41647" s="12"/>
    </row>
    <row r="41648" spans="32:32" x14ac:dyDescent="0.2">
      <c r="AF41648" s="12"/>
    </row>
    <row r="41649" spans="32:32" x14ac:dyDescent="0.2">
      <c r="AF41649" s="12"/>
    </row>
    <row r="41650" spans="32:32" x14ac:dyDescent="0.2">
      <c r="AF41650" s="12"/>
    </row>
    <row r="41651" spans="32:32" x14ac:dyDescent="0.2">
      <c r="AF41651" s="12"/>
    </row>
    <row r="41652" spans="32:32" x14ac:dyDescent="0.2">
      <c r="AF41652" s="12"/>
    </row>
    <row r="41653" spans="32:32" x14ac:dyDescent="0.2">
      <c r="AF41653" s="12"/>
    </row>
    <row r="41654" spans="32:32" x14ac:dyDescent="0.2">
      <c r="AF41654" s="12"/>
    </row>
    <row r="41655" spans="32:32" x14ac:dyDescent="0.2">
      <c r="AF41655" s="12"/>
    </row>
    <row r="41656" spans="32:32" x14ac:dyDescent="0.2">
      <c r="AF41656" s="12"/>
    </row>
    <row r="41657" spans="32:32" x14ac:dyDescent="0.2">
      <c r="AF41657" s="12"/>
    </row>
    <row r="41658" spans="32:32" x14ac:dyDescent="0.2">
      <c r="AF41658" s="12"/>
    </row>
    <row r="41659" spans="32:32" x14ac:dyDescent="0.2">
      <c r="AF41659" s="12"/>
    </row>
    <row r="41660" spans="32:32" x14ac:dyDescent="0.2">
      <c r="AF41660" s="12"/>
    </row>
    <row r="41661" spans="32:32" x14ac:dyDescent="0.2">
      <c r="AF41661" s="12"/>
    </row>
    <row r="41662" spans="32:32" x14ac:dyDescent="0.2">
      <c r="AF41662" s="12"/>
    </row>
    <row r="41663" spans="32:32" x14ac:dyDescent="0.2">
      <c r="AF41663" s="12"/>
    </row>
    <row r="41664" spans="32:32" x14ac:dyDescent="0.2">
      <c r="AF41664" s="12"/>
    </row>
    <row r="41665" spans="32:32" x14ac:dyDescent="0.2">
      <c r="AF41665" s="12"/>
    </row>
    <row r="41666" spans="32:32" x14ac:dyDescent="0.2">
      <c r="AF41666" s="12"/>
    </row>
    <row r="41667" spans="32:32" x14ac:dyDescent="0.2">
      <c r="AF41667" s="12"/>
    </row>
    <row r="41668" spans="32:32" x14ac:dyDescent="0.2">
      <c r="AF41668" s="12"/>
    </row>
    <row r="41669" spans="32:32" x14ac:dyDescent="0.2">
      <c r="AF41669" s="12"/>
    </row>
    <row r="41670" spans="32:32" x14ac:dyDescent="0.2">
      <c r="AF41670" s="12"/>
    </row>
    <row r="41671" spans="32:32" x14ac:dyDescent="0.2">
      <c r="AF41671" s="12"/>
    </row>
    <row r="41672" spans="32:32" x14ac:dyDescent="0.2">
      <c r="AF41672" s="12"/>
    </row>
    <row r="41673" spans="32:32" x14ac:dyDescent="0.2">
      <c r="AF41673" s="12"/>
    </row>
    <row r="41674" spans="32:32" x14ac:dyDescent="0.2">
      <c r="AF41674" s="12"/>
    </row>
    <row r="41675" spans="32:32" x14ac:dyDescent="0.2">
      <c r="AF41675" s="12"/>
    </row>
    <row r="41676" spans="32:32" x14ac:dyDescent="0.2">
      <c r="AF41676" s="12"/>
    </row>
    <row r="41677" spans="32:32" x14ac:dyDescent="0.2">
      <c r="AF41677" s="12"/>
    </row>
    <row r="41678" spans="32:32" x14ac:dyDescent="0.2">
      <c r="AF41678" s="12"/>
    </row>
    <row r="41679" spans="32:32" x14ac:dyDescent="0.2">
      <c r="AF41679" s="12"/>
    </row>
    <row r="41680" spans="32:32" x14ac:dyDescent="0.2">
      <c r="AF41680" s="12"/>
    </row>
    <row r="41681" spans="32:32" x14ac:dyDescent="0.2">
      <c r="AF41681" s="12"/>
    </row>
    <row r="41682" spans="32:32" x14ac:dyDescent="0.2">
      <c r="AF41682" s="12"/>
    </row>
    <row r="41683" spans="32:32" x14ac:dyDescent="0.2">
      <c r="AF41683" s="12"/>
    </row>
    <row r="41684" spans="32:32" x14ac:dyDescent="0.2">
      <c r="AF41684" s="12"/>
    </row>
    <row r="41685" spans="32:32" x14ac:dyDescent="0.2">
      <c r="AF41685" s="12"/>
    </row>
    <row r="41686" spans="32:32" x14ac:dyDescent="0.2">
      <c r="AF41686" s="12"/>
    </row>
    <row r="41687" spans="32:32" x14ac:dyDescent="0.2">
      <c r="AF41687" s="12"/>
    </row>
    <row r="41688" spans="32:32" x14ac:dyDescent="0.2">
      <c r="AF41688" s="12"/>
    </row>
    <row r="41689" spans="32:32" x14ac:dyDescent="0.2">
      <c r="AF41689" s="12"/>
    </row>
    <row r="41690" spans="32:32" x14ac:dyDescent="0.2">
      <c r="AF41690" s="12"/>
    </row>
    <row r="41691" spans="32:32" x14ac:dyDescent="0.2">
      <c r="AF41691" s="12"/>
    </row>
    <row r="41692" spans="32:32" x14ac:dyDescent="0.2">
      <c r="AF41692" s="12"/>
    </row>
    <row r="41693" spans="32:32" x14ac:dyDescent="0.2">
      <c r="AF41693" s="12"/>
    </row>
    <row r="41694" spans="32:32" x14ac:dyDescent="0.2">
      <c r="AF41694" s="12"/>
    </row>
    <row r="41695" spans="32:32" x14ac:dyDescent="0.2">
      <c r="AF41695" s="12"/>
    </row>
    <row r="41696" spans="32:32" x14ac:dyDescent="0.2">
      <c r="AF41696" s="12"/>
    </row>
    <row r="41697" spans="32:32" x14ac:dyDescent="0.2">
      <c r="AF41697" s="12"/>
    </row>
    <row r="41698" spans="32:32" x14ac:dyDescent="0.2">
      <c r="AF41698" s="12"/>
    </row>
    <row r="41699" spans="32:32" x14ac:dyDescent="0.2">
      <c r="AF41699" s="12"/>
    </row>
    <row r="41700" spans="32:32" x14ac:dyDescent="0.2">
      <c r="AF41700" s="12"/>
    </row>
    <row r="41701" spans="32:32" x14ac:dyDescent="0.2">
      <c r="AF41701" s="12"/>
    </row>
    <row r="41702" spans="32:32" x14ac:dyDescent="0.2">
      <c r="AF41702" s="12"/>
    </row>
    <row r="41703" spans="32:32" x14ac:dyDescent="0.2">
      <c r="AF41703" s="12"/>
    </row>
    <row r="41704" spans="32:32" x14ac:dyDescent="0.2">
      <c r="AF41704" s="12"/>
    </row>
    <row r="41705" spans="32:32" x14ac:dyDescent="0.2">
      <c r="AF41705" s="12"/>
    </row>
    <row r="41706" spans="32:32" x14ac:dyDescent="0.2">
      <c r="AF41706" s="12"/>
    </row>
    <row r="41707" spans="32:32" x14ac:dyDescent="0.2">
      <c r="AF41707" s="12"/>
    </row>
    <row r="41708" spans="32:32" x14ac:dyDescent="0.2">
      <c r="AF41708" s="12"/>
    </row>
    <row r="41709" spans="32:32" x14ac:dyDescent="0.2">
      <c r="AF41709" s="12"/>
    </row>
    <row r="41710" spans="32:32" x14ac:dyDescent="0.2">
      <c r="AF41710" s="12"/>
    </row>
    <row r="41711" spans="32:32" x14ac:dyDescent="0.2">
      <c r="AF41711" s="12"/>
    </row>
    <row r="41712" spans="32:32" x14ac:dyDescent="0.2">
      <c r="AF41712" s="12"/>
    </row>
    <row r="41713" spans="32:32" x14ac:dyDescent="0.2">
      <c r="AF41713" s="12"/>
    </row>
    <row r="41714" spans="32:32" x14ac:dyDescent="0.2">
      <c r="AF41714" s="12"/>
    </row>
    <row r="41715" spans="32:32" x14ac:dyDescent="0.2">
      <c r="AF41715" s="12"/>
    </row>
    <row r="41716" spans="32:32" x14ac:dyDescent="0.2">
      <c r="AF41716" s="12"/>
    </row>
    <row r="41717" spans="32:32" x14ac:dyDescent="0.2">
      <c r="AF41717" s="12"/>
    </row>
    <row r="41718" spans="32:32" x14ac:dyDescent="0.2">
      <c r="AF41718" s="12"/>
    </row>
    <row r="41719" spans="32:32" x14ac:dyDescent="0.2">
      <c r="AF41719" s="12"/>
    </row>
    <row r="41720" spans="32:32" x14ac:dyDescent="0.2">
      <c r="AF41720" s="12"/>
    </row>
    <row r="41721" spans="32:32" x14ac:dyDescent="0.2">
      <c r="AF41721" s="12"/>
    </row>
    <row r="41722" spans="32:32" x14ac:dyDescent="0.2">
      <c r="AF41722" s="12"/>
    </row>
    <row r="41723" spans="32:32" x14ac:dyDescent="0.2">
      <c r="AF41723" s="12"/>
    </row>
    <row r="41724" spans="32:32" x14ac:dyDescent="0.2">
      <c r="AF41724" s="12"/>
    </row>
    <row r="41725" spans="32:32" x14ac:dyDescent="0.2">
      <c r="AF41725" s="12"/>
    </row>
    <row r="41726" spans="32:32" x14ac:dyDescent="0.2">
      <c r="AF41726" s="12"/>
    </row>
    <row r="41727" spans="32:32" x14ac:dyDescent="0.2">
      <c r="AF41727" s="12"/>
    </row>
    <row r="41728" spans="32:32" x14ac:dyDescent="0.2">
      <c r="AF41728" s="12"/>
    </row>
    <row r="41729" spans="32:32" x14ac:dyDescent="0.2">
      <c r="AF41729" s="12"/>
    </row>
    <row r="41730" spans="32:32" x14ac:dyDescent="0.2">
      <c r="AF41730" s="12"/>
    </row>
    <row r="41731" spans="32:32" x14ac:dyDescent="0.2">
      <c r="AF41731" s="12"/>
    </row>
    <row r="41732" spans="32:32" x14ac:dyDescent="0.2">
      <c r="AF41732" s="12"/>
    </row>
    <row r="41733" spans="32:32" x14ac:dyDescent="0.2">
      <c r="AF41733" s="12"/>
    </row>
    <row r="41734" spans="32:32" x14ac:dyDescent="0.2">
      <c r="AF41734" s="12"/>
    </row>
    <row r="41735" spans="32:32" x14ac:dyDescent="0.2">
      <c r="AF41735" s="12"/>
    </row>
    <row r="41736" spans="32:32" x14ac:dyDescent="0.2">
      <c r="AF41736" s="12"/>
    </row>
    <row r="41737" spans="32:32" x14ac:dyDescent="0.2">
      <c r="AF41737" s="12"/>
    </row>
    <row r="41738" spans="32:32" x14ac:dyDescent="0.2">
      <c r="AF41738" s="12"/>
    </row>
    <row r="41739" spans="32:32" x14ac:dyDescent="0.2">
      <c r="AF41739" s="12"/>
    </row>
    <row r="41740" spans="32:32" x14ac:dyDescent="0.2">
      <c r="AF41740" s="12"/>
    </row>
    <row r="41741" spans="32:32" x14ac:dyDescent="0.2">
      <c r="AF41741" s="12"/>
    </row>
    <row r="41742" spans="32:32" x14ac:dyDescent="0.2">
      <c r="AF41742" s="12"/>
    </row>
    <row r="41743" spans="32:32" x14ac:dyDescent="0.2">
      <c r="AF41743" s="12"/>
    </row>
    <row r="41744" spans="32:32" x14ac:dyDescent="0.2">
      <c r="AF41744" s="12"/>
    </row>
    <row r="41745" spans="32:32" x14ac:dyDescent="0.2">
      <c r="AF41745" s="12"/>
    </row>
    <row r="41746" spans="32:32" x14ac:dyDescent="0.2">
      <c r="AF41746" s="12"/>
    </row>
    <row r="41747" spans="32:32" x14ac:dyDescent="0.2">
      <c r="AF41747" s="12"/>
    </row>
    <row r="41748" spans="32:32" x14ac:dyDescent="0.2">
      <c r="AF41748" s="12"/>
    </row>
    <row r="41749" spans="32:32" x14ac:dyDescent="0.2">
      <c r="AF41749" s="12"/>
    </row>
    <row r="41750" spans="32:32" x14ac:dyDescent="0.2">
      <c r="AF41750" s="12"/>
    </row>
    <row r="41751" spans="32:32" x14ac:dyDescent="0.2">
      <c r="AF41751" s="12"/>
    </row>
    <row r="41752" spans="32:32" x14ac:dyDescent="0.2">
      <c r="AF41752" s="12"/>
    </row>
    <row r="41753" spans="32:32" x14ac:dyDescent="0.2">
      <c r="AF41753" s="12"/>
    </row>
    <row r="41754" spans="32:32" x14ac:dyDescent="0.2">
      <c r="AF41754" s="12"/>
    </row>
    <row r="41755" spans="32:32" x14ac:dyDescent="0.2">
      <c r="AF41755" s="12"/>
    </row>
    <row r="41756" spans="32:32" x14ac:dyDescent="0.2">
      <c r="AF41756" s="12"/>
    </row>
    <row r="41757" spans="32:32" x14ac:dyDescent="0.2">
      <c r="AF41757" s="12"/>
    </row>
    <row r="41758" spans="32:32" x14ac:dyDescent="0.2">
      <c r="AF41758" s="12"/>
    </row>
    <row r="41759" spans="32:32" x14ac:dyDescent="0.2">
      <c r="AF41759" s="12"/>
    </row>
    <row r="41760" spans="32:32" x14ac:dyDescent="0.2">
      <c r="AF41760" s="12"/>
    </row>
    <row r="41761" spans="32:32" x14ac:dyDescent="0.2">
      <c r="AF41761" s="12"/>
    </row>
    <row r="41762" spans="32:32" x14ac:dyDescent="0.2">
      <c r="AF41762" s="12"/>
    </row>
    <row r="41763" spans="32:32" x14ac:dyDescent="0.2">
      <c r="AF41763" s="12"/>
    </row>
    <row r="41764" spans="32:32" x14ac:dyDescent="0.2">
      <c r="AF41764" s="12"/>
    </row>
    <row r="41765" spans="32:32" x14ac:dyDescent="0.2">
      <c r="AF41765" s="12"/>
    </row>
    <row r="41766" spans="32:32" x14ac:dyDescent="0.2">
      <c r="AF41766" s="12"/>
    </row>
    <row r="41767" spans="32:32" x14ac:dyDescent="0.2">
      <c r="AF41767" s="12"/>
    </row>
    <row r="41768" spans="32:32" x14ac:dyDescent="0.2">
      <c r="AF41768" s="12"/>
    </row>
    <row r="41769" spans="32:32" x14ac:dyDescent="0.2">
      <c r="AF41769" s="12"/>
    </row>
    <row r="41770" spans="32:32" x14ac:dyDescent="0.2">
      <c r="AF41770" s="12"/>
    </row>
    <row r="41771" spans="32:32" x14ac:dyDescent="0.2">
      <c r="AF41771" s="12"/>
    </row>
    <row r="41772" spans="32:32" x14ac:dyDescent="0.2">
      <c r="AF41772" s="12"/>
    </row>
    <row r="41773" spans="32:32" x14ac:dyDescent="0.2">
      <c r="AF41773" s="12"/>
    </row>
    <row r="41774" spans="32:32" x14ac:dyDescent="0.2">
      <c r="AF41774" s="12"/>
    </row>
    <row r="41775" spans="32:32" x14ac:dyDescent="0.2">
      <c r="AF41775" s="12"/>
    </row>
    <row r="41776" spans="32:32" x14ac:dyDescent="0.2">
      <c r="AF41776" s="12"/>
    </row>
    <row r="41777" spans="32:32" x14ac:dyDescent="0.2">
      <c r="AF41777" s="12"/>
    </row>
    <row r="41778" spans="32:32" x14ac:dyDescent="0.2">
      <c r="AF41778" s="12"/>
    </row>
    <row r="41779" spans="32:32" x14ac:dyDescent="0.2">
      <c r="AF41779" s="12"/>
    </row>
    <row r="41780" spans="32:32" x14ac:dyDescent="0.2">
      <c r="AF41780" s="12"/>
    </row>
    <row r="41781" spans="32:32" x14ac:dyDescent="0.2">
      <c r="AF41781" s="12"/>
    </row>
    <row r="41782" spans="32:32" x14ac:dyDescent="0.2">
      <c r="AF41782" s="12"/>
    </row>
    <row r="41783" spans="32:32" x14ac:dyDescent="0.2">
      <c r="AF41783" s="12"/>
    </row>
    <row r="41784" spans="32:32" x14ac:dyDescent="0.2">
      <c r="AF41784" s="12"/>
    </row>
    <row r="41785" spans="32:32" x14ac:dyDescent="0.2">
      <c r="AF41785" s="12"/>
    </row>
    <row r="41786" spans="32:32" x14ac:dyDescent="0.2">
      <c r="AF41786" s="12"/>
    </row>
    <row r="41787" spans="32:32" x14ac:dyDescent="0.2">
      <c r="AF41787" s="12"/>
    </row>
    <row r="41788" spans="32:32" x14ac:dyDescent="0.2">
      <c r="AF41788" s="12"/>
    </row>
    <row r="41789" spans="32:32" x14ac:dyDescent="0.2">
      <c r="AF41789" s="12"/>
    </row>
    <row r="41790" spans="32:32" x14ac:dyDescent="0.2">
      <c r="AF41790" s="12"/>
    </row>
    <row r="41791" spans="32:32" x14ac:dyDescent="0.2">
      <c r="AF41791" s="12"/>
    </row>
    <row r="41792" spans="32:32" x14ac:dyDescent="0.2">
      <c r="AF41792" s="12"/>
    </row>
    <row r="41793" spans="32:32" x14ac:dyDescent="0.2">
      <c r="AF41793" s="12"/>
    </row>
    <row r="41794" spans="32:32" x14ac:dyDescent="0.2">
      <c r="AF41794" s="12"/>
    </row>
    <row r="41795" spans="32:32" x14ac:dyDescent="0.2">
      <c r="AF41795" s="12"/>
    </row>
    <row r="41796" spans="32:32" x14ac:dyDescent="0.2">
      <c r="AF41796" s="12"/>
    </row>
    <row r="41797" spans="32:32" x14ac:dyDescent="0.2">
      <c r="AF41797" s="12"/>
    </row>
    <row r="41798" spans="32:32" x14ac:dyDescent="0.2">
      <c r="AF41798" s="12"/>
    </row>
    <row r="41799" spans="32:32" x14ac:dyDescent="0.2">
      <c r="AF41799" s="12"/>
    </row>
    <row r="41800" spans="32:32" x14ac:dyDescent="0.2">
      <c r="AF41800" s="12"/>
    </row>
    <row r="41801" spans="32:32" x14ac:dyDescent="0.2">
      <c r="AF41801" s="12"/>
    </row>
    <row r="41802" spans="32:32" x14ac:dyDescent="0.2">
      <c r="AF41802" s="12"/>
    </row>
    <row r="41803" spans="32:32" x14ac:dyDescent="0.2">
      <c r="AF41803" s="12"/>
    </row>
    <row r="41804" spans="32:32" x14ac:dyDescent="0.2">
      <c r="AF41804" s="12"/>
    </row>
    <row r="41805" spans="32:32" x14ac:dyDescent="0.2">
      <c r="AF41805" s="12"/>
    </row>
    <row r="41806" spans="32:32" x14ac:dyDescent="0.2">
      <c r="AF41806" s="12"/>
    </row>
    <row r="41807" spans="32:32" x14ac:dyDescent="0.2">
      <c r="AF41807" s="12"/>
    </row>
    <row r="41808" spans="32:32" x14ac:dyDescent="0.2">
      <c r="AF41808" s="12"/>
    </row>
    <row r="41809" spans="32:32" x14ac:dyDescent="0.2">
      <c r="AF41809" s="12"/>
    </row>
    <row r="41810" spans="32:32" x14ac:dyDescent="0.2">
      <c r="AF41810" s="12"/>
    </row>
    <row r="41811" spans="32:32" x14ac:dyDescent="0.2">
      <c r="AF41811" s="12"/>
    </row>
    <row r="41812" spans="32:32" x14ac:dyDescent="0.2">
      <c r="AF41812" s="12"/>
    </row>
    <row r="41813" spans="32:32" x14ac:dyDescent="0.2">
      <c r="AF41813" s="12"/>
    </row>
    <row r="41814" spans="32:32" x14ac:dyDescent="0.2">
      <c r="AF41814" s="12"/>
    </row>
    <row r="41815" spans="32:32" x14ac:dyDescent="0.2">
      <c r="AF41815" s="12"/>
    </row>
    <row r="41816" spans="32:32" x14ac:dyDescent="0.2">
      <c r="AF41816" s="12"/>
    </row>
    <row r="41817" spans="32:32" x14ac:dyDescent="0.2">
      <c r="AF41817" s="12"/>
    </row>
    <row r="41818" spans="32:32" x14ac:dyDescent="0.2">
      <c r="AF41818" s="12"/>
    </row>
    <row r="41819" spans="32:32" x14ac:dyDescent="0.2">
      <c r="AF41819" s="12"/>
    </row>
    <row r="41820" spans="32:32" x14ac:dyDescent="0.2">
      <c r="AF41820" s="12"/>
    </row>
    <row r="41821" spans="32:32" x14ac:dyDescent="0.2">
      <c r="AF41821" s="12"/>
    </row>
    <row r="41822" spans="32:32" x14ac:dyDescent="0.2">
      <c r="AF41822" s="12"/>
    </row>
    <row r="41823" spans="32:32" x14ac:dyDescent="0.2">
      <c r="AF41823" s="12"/>
    </row>
    <row r="41824" spans="32:32" x14ac:dyDescent="0.2">
      <c r="AF41824" s="12"/>
    </row>
    <row r="41825" spans="32:32" x14ac:dyDescent="0.2">
      <c r="AF41825" s="12"/>
    </row>
    <row r="41826" spans="32:32" x14ac:dyDescent="0.2">
      <c r="AF41826" s="12"/>
    </row>
    <row r="41827" spans="32:32" x14ac:dyDescent="0.2">
      <c r="AF41827" s="12"/>
    </row>
    <row r="41828" spans="32:32" x14ac:dyDescent="0.2">
      <c r="AF41828" s="12"/>
    </row>
    <row r="41829" spans="32:32" x14ac:dyDescent="0.2">
      <c r="AF41829" s="12"/>
    </row>
    <row r="41830" spans="32:32" x14ac:dyDescent="0.2">
      <c r="AF41830" s="12"/>
    </row>
    <row r="41831" spans="32:32" x14ac:dyDescent="0.2">
      <c r="AF41831" s="12"/>
    </row>
    <row r="41832" spans="32:32" x14ac:dyDescent="0.2">
      <c r="AF41832" s="12"/>
    </row>
    <row r="41833" spans="32:32" x14ac:dyDescent="0.2">
      <c r="AF41833" s="12"/>
    </row>
    <row r="41834" spans="32:32" x14ac:dyDescent="0.2">
      <c r="AF41834" s="12"/>
    </row>
    <row r="41835" spans="32:32" x14ac:dyDescent="0.2">
      <c r="AF41835" s="12"/>
    </row>
    <row r="41836" spans="32:32" x14ac:dyDescent="0.2">
      <c r="AF41836" s="12"/>
    </row>
    <row r="41837" spans="32:32" x14ac:dyDescent="0.2">
      <c r="AF41837" s="12"/>
    </row>
    <row r="41838" spans="32:32" x14ac:dyDescent="0.2">
      <c r="AF41838" s="12"/>
    </row>
    <row r="41839" spans="32:32" x14ac:dyDescent="0.2">
      <c r="AF41839" s="12"/>
    </row>
    <row r="41840" spans="32:32" x14ac:dyDescent="0.2">
      <c r="AF41840" s="12"/>
    </row>
    <row r="41841" spans="32:32" x14ac:dyDescent="0.2">
      <c r="AF41841" s="12"/>
    </row>
    <row r="41842" spans="32:32" x14ac:dyDescent="0.2">
      <c r="AF41842" s="12"/>
    </row>
    <row r="41843" spans="32:32" x14ac:dyDescent="0.2">
      <c r="AF41843" s="12"/>
    </row>
    <row r="41844" spans="32:32" x14ac:dyDescent="0.2">
      <c r="AF41844" s="12"/>
    </row>
    <row r="41845" spans="32:32" x14ac:dyDescent="0.2">
      <c r="AF41845" s="12"/>
    </row>
    <row r="41846" spans="32:32" x14ac:dyDescent="0.2">
      <c r="AF41846" s="12"/>
    </row>
    <row r="41847" spans="32:32" x14ac:dyDescent="0.2">
      <c r="AF41847" s="12"/>
    </row>
    <row r="41848" spans="32:32" x14ac:dyDescent="0.2">
      <c r="AF41848" s="12"/>
    </row>
    <row r="41849" spans="32:32" x14ac:dyDescent="0.2">
      <c r="AF41849" s="12"/>
    </row>
    <row r="41850" spans="32:32" x14ac:dyDescent="0.2">
      <c r="AF41850" s="12"/>
    </row>
    <row r="41851" spans="32:32" x14ac:dyDescent="0.2">
      <c r="AF41851" s="12"/>
    </row>
    <row r="41852" spans="32:32" x14ac:dyDescent="0.2">
      <c r="AF41852" s="12"/>
    </row>
    <row r="41853" spans="32:32" x14ac:dyDescent="0.2">
      <c r="AF41853" s="12"/>
    </row>
    <row r="41854" spans="32:32" x14ac:dyDescent="0.2">
      <c r="AF41854" s="12"/>
    </row>
    <row r="41855" spans="32:32" x14ac:dyDescent="0.2">
      <c r="AF41855" s="12"/>
    </row>
    <row r="41856" spans="32:32" x14ac:dyDescent="0.2">
      <c r="AF41856" s="12"/>
    </row>
    <row r="41857" spans="32:32" x14ac:dyDescent="0.2">
      <c r="AF41857" s="12"/>
    </row>
    <row r="41858" spans="32:32" x14ac:dyDescent="0.2">
      <c r="AF41858" s="12"/>
    </row>
    <row r="41859" spans="32:32" x14ac:dyDescent="0.2">
      <c r="AF41859" s="12"/>
    </row>
    <row r="41860" spans="32:32" x14ac:dyDescent="0.2">
      <c r="AF41860" s="12"/>
    </row>
    <row r="41861" spans="32:32" x14ac:dyDescent="0.2">
      <c r="AF41861" s="12"/>
    </row>
    <row r="41862" spans="32:32" x14ac:dyDescent="0.2">
      <c r="AF41862" s="12"/>
    </row>
    <row r="41863" spans="32:32" x14ac:dyDescent="0.2">
      <c r="AF41863" s="12"/>
    </row>
    <row r="41864" spans="32:32" x14ac:dyDescent="0.2">
      <c r="AF41864" s="12"/>
    </row>
    <row r="41865" spans="32:32" x14ac:dyDescent="0.2">
      <c r="AF41865" s="12"/>
    </row>
    <row r="41866" spans="32:32" x14ac:dyDescent="0.2">
      <c r="AF41866" s="12"/>
    </row>
    <row r="41867" spans="32:32" x14ac:dyDescent="0.2">
      <c r="AF41867" s="12"/>
    </row>
    <row r="41868" spans="32:32" x14ac:dyDescent="0.2">
      <c r="AF41868" s="12"/>
    </row>
    <row r="41869" spans="32:32" x14ac:dyDescent="0.2">
      <c r="AF41869" s="12"/>
    </row>
    <row r="41870" spans="32:32" x14ac:dyDescent="0.2">
      <c r="AF41870" s="12"/>
    </row>
    <row r="41871" spans="32:32" x14ac:dyDescent="0.2">
      <c r="AF41871" s="12"/>
    </row>
    <row r="41872" spans="32:32" x14ac:dyDescent="0.2">
      <c r="AF41872" s="12"/>
    </row>
    <row r="41873" spans="32:32" x14ac:dyDescent="0.2">
      <c r="AF41873" s="12"/>
    </row>
    <row r="41874" spans="32:32" x14ac:dyDescent="0.2">
      <c r="AF41874" s="12"/>
    </row>
    <row r="41875" spans="32:32" x14ac:dyDescent="0.2">
      <c r="AF41875" s="12"/>
    </row>
    <row r="41876" spans="32:32" x14ac:dyDescent="0.2">
      <c r="AF41876" s="12"/>
    </row>
    <row r="41877" spans="32:32" x14ac:dyDescent="0.2">
      <c r="AF41877" s="12"/>
    </row>
    <row r="41878" spans="32:32" x14ac:dyDescent="0.2">
      <c r="AF41878" s="12"/>
    </row>
    <row r="41879" spans="32:32" x14ac:dyDescent="0.2">
      <c r="AF41879" s="12"/>
    </row>
    <row r="41880" spans="32:32" x14ac:dyDescent="0.2">
      <c r="AF41880" s="12"/>
    </row>
    <row r="41881" spans="32:32" x14ac:dyDescent="0.2">
      <c r="AF41881" s="12"/>
    </row>
    <row r="41882" spans="32:32" x14ac:dyDescent="0.2">
      <c r="AF41882" s="12"/>
    </row>
    <row r="41883" spans="32:32" x14ac:dyDescent="0.2">
      <c r="AF41883" s="12"/>
    </row>
    <row r="41884" spans="32:32" x14ac:dyDescent="0.2">
      <c r="AF41884" s="12"/>
    </row>
    <row r="41885" spans="32:32" x14ac:dyDescent="0.2">
      <c r="AF41885" s="12"/>
    </row>
    <row r="41886" spans="32:32" x14ac:dyDescent="0.2">
      <c r="AF41886" s="12"/>
    </row>
    <row r="41887" spans="32:32" x14ac:dyDescent="0.2">
      <c r="AF41887" s="12"/>
    </row>
    <row r="41888" spans="32:32" x14ac:dyDescent="0.2">
      <c r="AF41888" s="12"/>
    </row>
    <row r="41889" spans="32:32" x14ac:dyDescent="0.2">
      <c r="AF41889" s="12"/>
    </row>
    <row r="41890" spans="32:32" x14ac:dyDescent="0.2">
      <c r="AF41890" s="12"/>
    </row>
    <row r="41891" spans="32:32" x14ac:dyDescent="0.2">
      <c r="AF41891" s="12"/>
    </row>
    <row r="41892" spans="32:32" x14ac:dyDescent="0.2">
      <c r="AF41892" s="12"/>
    </row>
    <row r="41893" spans="32:32" x14ac:dyDescent="0.2">
      <c r="AF41893" s="12"/>
    </row>
    <row r="41894" spans="32:32" x14ac:dyDescent="0.2">
      <c r="AF41894" s="12"/>
    </row>
    <row r="41895" spans="32:32" x14ac:dyDescent="0.2">
      <c r="AF41895" s="12"/>
    </row>
    <row r="41896" spans="32:32" x14ac:dyDescent="0.2">
      <c r="AF41896" s="12"/>
    </row>
    <row r="41897" spans="32:32" x14ac:dyDescent="0.2">
      <c r="AF41897" s="12"/>
    </row>
    <row r="41898" spans="32:32" x14ac:dyDescent="0.2">
      <c r="AF41898" s="12"/>
    </row>
    <row r="41899" spans="32:32" x14ac:dyDescent="0.2">
      <c r="AF41899" s="12"/>
    </row>
    <row r="41900" spans="32:32" x14ac:dyDescent="0.2">
      <c r="AF41900" s="12"/>
    </row>
    <row r="41901" spans="32:32" x14ac:dyDescent="0.2">
      <c r="AF41901" s="12"/>
    </row>
    <row r="41902" spans="32:32" x14ac:dyDescent="0.2">
      <c r="AF41902" s="12"/>
    </row>
    <row r="41903" spans="32:32" x14ac:dyDescent="0.2">
      <c r="AF41903" s="12"/>
    </row>
    <row r="41904" spans="32:32" x14ac:dyDescent="0.2">
      <c r="AF41904" s="12"/>
    </row>
    <row r="41905" spans="32:32" x14ac:dyDescent="0.2">
      <c r="AF41905" s="12"/>
    </row>
    <row r="41906" spans="32:32" x14ac:dyDescent="0.2">
      <c r="AF41906" s="12"/>
    </row>
    <row r="41907" spans="32:32" x14ac:dyDescent="0.2">
      <c r="AF41907" s="12"/>
    </row>
    <row r="41908" spans="32:32" x14ac:dyDescent="0.2">
      <c r="AF41908" s="12"/>
    </row>
    <row r="41909" spans="32:32" x14ac:dyDescent="0.2">
      <c r="AF41909" s="12"/>
    </row>
    <row r="41910" spans="32:32" x14ac:dyDescent="0.2">
      <c r="AF41910" s="12"/>
    </row>
    <row r="41911" spans="32:32" x14ac:dyDescent="0.2">
      <c r="AF41911" s="12"/>
    </row>
    <row r="41912" spans="32:32" x14ac:dyDescent="0.2">
      <c r="AF41912" s="12"/>
    </row>
    <row r="41913" spans="32:32" x14ac:dyDescent="0.2">
      <c r="AF41913" s="12"/>
    </row>
    <row r="41914" spans="32:32" x14ac:dyDescent="0.2">
      <c r="AF41914" s="12"/>
    </row>
    <row r="41915" spans="32:32" x14ac:dyDescent="0.2">
      <c r="AF41915" s="12"/>
    </row>
    <row r="41916" spans="32:32" x14ac:dyDescent="0.2">
      <c r="AF41916" s="12"/>
    </row>
    <row r="41917" spans="32:32" x14ac:dyDescent="0.2">
      <c r="AF41917" s="12"/>
    </row>
    <row r="41918" spans="32:32" x14ac:dyDescent="0.2">
      <c r="AF41918" s="12"/>
    </row>
    <row r="41919" spans="32:32" x14ac:dyDescent="0.2">
      <c r="AF41919" s="12"/>
    </row>
    <row r="41920" spans="32:32" x14ac:dyDescent="0.2">
      <c r="AF41920" s="12"/>
    </row>
    <row r="41921" spans="32:32" x14ac:dyDescent="0.2">
      <c r="AF41921" s="12"/>
    </row>
    <row r="41922" spans="32:32" x14ac:dyDescent="0.2">
      <c r="AF41922" s="12"/>
    </row>
    <row r="41923" spans="32:32" x14ac:dyDescent="0.2">
      <c r="AF41923" s="12"/>
    </row>
    <row r="41924" spans="32:32" x14ac:dyDescent="0.2">
      <c r="AF41924" s="12"/>
    </row>
    <row r="41925" spans="32:32" x14ac:dyDescent="0.2">
      <c r="AF41925" s="12"/>
    </row>
    <row r="41926" spans="32:32" x14ac:dyDescent="0.2">
      <c r="AF41926" s="12"/>
    </row>
    <row r="41927" spans="32:32" x14ac:dyDescent="0.2">
      <c r="AF41927" s="12"/>
    </row>
    <row r="41928" spans="32:32" x14ac:dyDescent="0.2">
      <c r="AF41928" s="12"/>
    </row>
    <row r="41929" spans="32:32" x14ac:dyDescent="0.2">
      <c r="AF41929" s="12"/>
    </row>
    <row r="41930" spans="32:32" x14ac:dyDescent="0.2">
      <c r="AF41930" s="12"/>
    </row>
    <row r="41931" spans="32:32" x14ac:dyDescent="0.2">
      <c r="AF41931" s="12"/>
    </row>
    <row r="41932" spans="32:32" x14ac:dyDescent="0.2">
      <c r="AF41932" s="12"/>
    </row>
    <row r="41933" spans="32:32" x14ac:dyDescent="0.2">
      <c r="AF41933" s="12"/>
    </row>
    <row r="41934" spans="32:32" x14ac:dyDescent="0.2">
      <c r="AF41934" s="12"/>
    </row>
    <row r="41935" spans="32:32" x14ac:dyDescent="0.2">
      <c r="AF41935" s="12"/>
    </row>
    <row r="41936" spans="32:32" x14ac:dyDescent="0.2">
      <c r="AF41936" s="12"/>
    </row>
    <row r="41937" spans="32:32" x14ac:dyDescent="0.2">
      <c r="AF41937" s="12"/>
    </row>
    <row r="41938" spans="32:32" x14ac:dyDescent="0.2">
      <c r="AF41938" s="12"/>
    </row>
    <row r="41939" spans="32:32" x14ac:dyDescent="0.2">
      <c r="AF41939" s="12"/>
    </row>
    <row r="41940" spans="32:32" x14ac:dyDescent="0.2">
      <c r="AF41940" s="12"/>
    </row>
    <row r="41941" spans="32:32" x14ac:dyDescent="0.2">
      <c r="AF41941" s="12"/>
    </row>
    <row r="41942" spans="32:32" x14ac:dyDescent="0.2">
      <c r="AF41942" s="12"/>
    </row>
    <row r="41943" spans="32:32" x14ac:dyDescent="0.2">
      <c r="AF41943" s="12"/>
    </row>
    <row r="41944" spans="32:32" x14ac:dyDescent="0.2">
      <c r="AF41944" s="12"/>
    </row>
    <row r="41945" spans="32:32" x14ac:dyDescent="0.2">
      <c r="AF41945" s="12"/>
    </row>
    <row r="41946" spans="32:32" x14ac:dyDescent="0.2">
      <c r="AF41946" s="12"/>
    </row>
    <row r="41947" spans="32:32" x14ac:dyDescent="0.2">
      <c r="AF41947" s="12"/>
    </row>
    <row r="41948" spans="32:32" x14ac:dyDescent="0.2">
      <c r="AF41948" s="12"/>
    </row>
    <row r="41949" spans="32:32" x14ac:dyDescent="0.2">
      <c r="AF41949" s="12"/>
    </row>
    <row r="41950" spans="32:32" x14ac:dyDescent="0.2">
      <c r="AF41950" s="12"/>
    </row>
    <row r="41951" spans="32:32" x14ac:dyDescent="0.2">
      <c r="AF41951" s="12"/>
    </row>
    <row r="41952" spans="32:32" x14ac:dyDescent="0.2">
      <c r="AF41952" s="12"/>
    </row>
    <row r="41953" spans="32:32" x14ac:dyDescent="0.2">
      <c r="AF41953" s="12"/>
    </row>
    <row r="41954" spans="32:32" x14ac:dyDescent="0.2">
      <c r="AF41954" s="12"/>
    </row>
    <row r="41955" spans="32:32" x14ac:dyDescent="0.2">
      <c r="AF41955" s="12"/>
    </row>
    <row r="41956" spans="32:32" x14ac:dyDescent="0.2">
      <c r="AF41956" s="12"/>
    </row>
    <row r="41957" spans="32:32" x14ac:dyDescent="0.2">
      <c r="AF41957" s="12"/>
    </row>
    <row r="41958" spans="32:32" x14ac:dyDescent="0.2">
      <c r="AF41958" s="12"/>
    </row>
    <row r="41959" spans="32:32" x14ac:dyDescent="0.2">
      <c r="AF41959" s="12"/>
    </row>
    <row r="41960" spans="32:32" x14ac:dyDescent="0.2">
      <c r="AF41960" s="12"/>
    </row>
    <row r="41961" spans="32:32" x14ac:dyDescent="0.2">
      <c r="AF41961" s="12"/>
    </row>
    <row r="41962" spans="32:32" x14ac:dyDescent="0.2">
      <c r="AF41962" s="12"/>
    </row>
    <row r="41963" spans="32:32" x14ac:dyDescent="0.2">
      <c r="AF41963" s="12"/>
    </row>
    <row r="41964" spans="32:32" x14ac:dyDescent="0.2">
      <c r="AF41964" s="12"/>
    </row>
    <row r="41965" spans="32:32" x14ac:dyDescent="0.2">
      <c r="AF41965" s="12"/>
    </row>
    <row r="41966" spans="32:32" x14ac:dyDescent="0.2">
      <c r="AF41966" s="12"/>
    </row>
    <row r="41967" spans="32:32" x14ac:dyDescent="0.2">
      <c r="AF41967" s="12"/>
    </row>
    <row r="41968" spans="32:32" x14ac:dyDescent="0.2">
      <c r="AF41968" s="12"/>
    </row>
    <row r="41969" spans="32:32" x14ac:dyDescent="0.2">
      <c r="AF41969" s="12"/>
    </row>
    <row r="41970" spans="32:32" x14ac:dyDescent="0.2">
      <c r="AF41970" s="12"/>
    </row>
    <row r="41971" spans="32:32" x14ac:dyDescent="0.2">
      <c r="AF41971" s="12"/>
    </row>
    <row r="41972" spans="32:32" x14ac:dyDescent="0.2">
      <c r="AF41972" s="12"/>
    </row>
    <row r="41973" spans="32:32" x14ac:dyDescent="0.2">
      <c r="AF41973" s="12"/>
    </row>
    <row r="41974" spans="32:32" x14ac:dyDescent="0.2">
      <c r="AF41974" s="12"/>
    </row>
    <row r="41975" spans="32:32" x14ac:dyDescent="0.2">
      <c r="AF41975" s="12"/>
    </row>
    <row r="41976" spans="32:32" x14ac:dyDescent="0.2">
      <c r="AF41976" s="12"/>
    </row>
    <row r="41977" spans="32:32" x14ac:dyDescent="0.2">
      <c r="AF41977" s="12"/>
    </row>
    <row r="41978" spans="32:32" x14ac:dyDescent="0.2">
      <c r="AF41978" s="12"/>
    </row>
    <row r="41979" spans="32:32" x14ac:dyDescent="0.2">
      <c r="AF41979" s="12"/>
    </row>
    <row r="41980" spans="32:32" x14ac:dyDescent="0.2">
      <c r="AF41980" s="12"/>
    </row>
    <row r="41981" spans="32:32" x14ac:dyDescent="0.2">
      <c r="AF41981" s="12"/>
    </row>
    <row r="41982" spans="32:32" x14ac:dyDescent="0.2">
      <c r="AF41982" s="12"/>
    </row>
    <row r="41983" spans="32:32" x14ac:dyDescent="0.2">
      <c r="AF41983" s="12"/>
    </row>
    <row r="41984" spans="32:32" x14ac:dyDescent="0.2">
      <c r="AF41984" s="12"/>
    </row>
    <row r="41985" spans="32:32" x14ac:dyDescent="0.2">
      <c r="AF41985" s="12"/>
    </row>
    <row r="41986" spans="32:32" x14ac:dyDescent="0.2">
      <c r="AF41986" s="12"/>
    </row>
    <row r="41987" spans="32:32" x14ac:dyDescent="0.2">
      <c r="AF41987" s="12"/>
    </row>
    <row r="41988" spans="32:32" x14ac:dyDescent="0.2">
      <c r="AF41988" s="12"/>
    </row>
    <row r="41989" spans="32:32" x14ac:dyDescent="0.2">
      <c r="AF41989" s="12"/>
    </row>
    <row r="41990" spans="32:32" x14ac:dyDescent="0.2">
      <c r="AF41990" s="12"/>
    </row>
    <row r="41991" spans="32:32" x14ac:dyDescent="0.2">
      <c r="AF41991" s="12"/>
    </row>
    <row r="41992" spans="32:32" x14ac:dyDescent="0.2">
      <c r="AF41992" s="12"/>
    </row>
    <row r="41993" spans="32:32" x14ac:dyDescent="0.2">
      <c r="AF41993" s="12"/>
    </row>
    <row r="41994" spans="32:32" x14ac:dyDescent="0.2">
      <c r="AF41994" s="12"/>
    </row>
    <row r="41995" spans="32:32" x14ac:dyDescent="0.2">
      <c r="AF41995" s="12"/>
    </row>
    <row r="41996" spans="32:32" x14ac:dyDescent="0.2">
      <c r="AF41996" s="12"/>
    </row>
    <row r="41997" spans="32:32" x14ac:dyDescent="0.2">
      <c r="AF41997" s="12"/>
    </row>
    <row r="41998" spans="32:32" x14ac:dyDescent="0.2">
      <c r="AF41998" s="12"/>
    </row>
    <row r="41999" spans="32:32" x14ac:dyDescent="0.2">
      <c r="AF41999" s="12"/>
    </row>
    <row r="42000" spans="32:32" x14ac:dyDescent="0.2">
      <c r="AF42000" s="12"/>
    </row>
    <row r="42001" spans="32:32" x14ac:dyDescent="0.2">
      <c r="AF42001" s="12"/>
    </row>
    <row r="42002" spans="32:32" x14ac:dyDescent="0.2">
      <c r="AF42002" s="12"/>
    </row>
    <row r="42003" spans="32:32" x14ac:dyDescent="0.2">
      <c r="AF42003" s="12"/>
    </row>
    <row r="42004" spans="32:32" x14ac:dyDescent="0.2">
      <c r="AF42004" s="12"/>
    </row>
    <row r="42005" spans="32:32" x14ac:dyDescent="0.2">
      <c r="AF42005" s="12"/>
    </row>
    <row r="42006" spans="32:32" x14ac:dyDescent="0.2">
      <c r="AF42006" s="12"/>
    </row>
    <row r="42007" spans="32:32" x14ac:dyDescent="0.2">
      <c r="AF42007" s="12"/>
    </row>
    <row r="42008" spans="32:32" x14ac:dyDescent="0.2">
      <c r="AF42008" s="12"/>
    </row>
    <row r="42009" spans="32:32" x14ac:dyDescent="0.2">
      <c r="AF42009" s="12"/>
    </row>
    <row r="42010" spans="32:32" x14ac:dyDescent="0.2">
      <c r="AF42010" s="12"/>
    </row>
    <row r="42011" spans="32:32" x14ac:dyDescent="0.2">
      <c r="AF42011" s="12"/>
    </row>
    <row r="42012" spans="32:32" x14ac:dyDescent="0.2">
      <c r="AF42012" s="12"/>
    </row>
    <row r="42013" spans="32:32" x14ac:dyDescent="0.2">
      <c r="AF42013" s="12"/>
    </row>
    <row r="42014" spans="32:32" x14ac:dyDescent="0.2">
      <c r="AF42014" s="12"/>
    </row>
    <row r="42015" spans="32:32" x14ac:dyDescent="0.2">
      <c r="AF42015" s="12"/>
    </row>
    <row r="42016" spans="32:32" x14ac:dyDescent="0.2">
      <c r="AF42016" s="12"/>
    </row>
    <row r="42017" spans="32:32" x14ac:dyDescent="0.2">
      <c r="AF42017" s="12"/>
    </row>
    <row r="42018" spans="32:32" x14ac:dyDescent="0.2">
      <c r="AF42018" s="12"/>
    </row>
    <row r="42019" spans="32:32" x14ac:dyDescent="0.2">
      <c r="AF42019" s="12"/>
    </row>
    <row r="42020" spans="32:32" x14ac:dyDescent="0.2">
      <c r="AF42020" s="12"/>
    </row>
    <row r="42021" spans="32:32" x14ac:dyDescent="0.2">
      <c r="AF42021" s="12"/>
    </row>
    <row r="42022" spans="32:32" x14ac:dyDescent="0.2">
      <c r="AF42022" s="12"/>
    </row>
    <row r="42023" spans="32:32" x14ac:dyDescent="0.2">
      <c r="AF42023" s="12"/>
    </row>
    <row r="42024" spans="32:32" x14ac:dyDescent="0.2">
      <c r="AF42024" s="12"/>
    </row>
    <row r="42025" spans="32:32" x14ac:dyDescent="0.2">
      <c r="AF42025" s="12"/>
    </row>
    <row r="42026" spans="32:32" x14ac:dyDescent="0.2">
      <c r="AF42026" s="12"/>
    </row>
    <row r="42027" spans="32:32" x14ac:dyDescent="0.2">
      <c r="AF42027" s="12"/>
    </row>
    <row r="42028" spans="32:32" x14ac:dyDescent="0.2">
      <c r="AF42028" s="12"/>
    </row>
    <row r="42029" spans="32:32" x14ac:dyDescent="0.2">
      <c r="AF42029" s="12"/>
    </row>
    <row r="42030" spans="32:32" x14ac:dyDescent="0.2">
      <c r="AF42030" s="12"/>
    </row>
    <row r="42031" spans="32:32" x14ac:dyDescent="0.2">
      <c r="AF42031" s="12"/>
    </row>
    <row r="42032" spans="32:32" x14ac:dyDescent="0.2">
      <c r="AF42032" s="12"/>
    </row>
    <row r="42033" spans="32:32" x14ac:dyDescent="0.2">
      <c r="AF42033" s="12"/>
    </row>
    <row r="42034" spans="32:32" x14ac:dyDescent="0.2">
      <c r="AF42034" s="12"/>
    </row>
    <row r="42035" spans="32:32" x14ac:dyDescent="0.2">
      <c r="AF42035" s="12"/>
    </row>
    <row r="42036" spans="32:32" x14ac:dyDescent="0.2">
      <c r="AF42036" s="12"/>
    </row>
    <row r="42037" spans="32:32" x14ac:dyDescent="0.2">
      <c r="AF42037" s="12"/>
    </row>
    <row r="42038" spans="32:32" x14ac:dyDescent="0.2">
      <c r="AF42038" s="12"/>
    </row>
    <row r="42039" spans="32:32" x14ac:dyDescent="0.2">
      <c r="AF42039" s="12"/>
    </row>
    <row r="42040" spans="32:32" x14ac:dyDescent="0.2">
      <c r="AF42040" s="12"/>
    </row>
    <row r="42041" spans="32:32" x14ac:dyDescent="0.2">
      <c r="AF42041" s="12"/>
    </row>
    <row r="42042" spans="32:32" x14ac:dyDescent="0.2">
      <c r="AF42042" s="12"/>
    </row>
    <row r="42043" spans="32:32" x14ac:dyDescent="0.2">
      <c r="AF42043" s="12"/>
    </row>
    <row r="42044" spans="32:32" x14ac:dyDescent="0.2">
      <c r="AF42044" s="12"/>
    </row>
    <row r="42045" spans="32:32" x14ac:dyDescent="0.2">
      <c r="AF42045" s="12"/>
    </row>
    <row r="42046" spans="32:32" x14ac:dyDescent="0.2">
      <c r="AF42046" s="12"/>
    </row>
    <row r="42047" spans="32:32" x14ac:dyDescent="0.2">
      <c r="AF42047" s="12"/>
    </row>
    <row r="42048" spans="32:32" x14ac:dyDescent="0.2">
      <c r="AF42048" s="12"/>
    </row>
    <row r="42049" spans="32:32" x14ac:dyDescent="0.2">
      <c r="AF42049" s="12"/>
    </row>
    <row r="42050" spans="32:32" x14ac:dyDescent="0.2">
      <c r="AF42050" s="12"/>
    </row>
    <row r="42051" spans="32:32" x14ac:dyDescent="0.2">
      <c r="AF42051" s="12"/>
    </row>
    <row r="42052" spans="32:32" x14ac:dyDescent="0.2">
      <c r="AF42052" s="12"/>
    </row>
    <row r="42053" spans="32:32" x14ac:dyDescent="0.2">
      <c r="AF42053" s="12"/>
    </row>
    <row r="42054" spans="32:32" x14ac:dyDescent="0.2">
      <c r="AF42054" s="12"/>
    </row>
    <row r="42055" spans="32:32" x14ac:dyDescent="0.2">
      <c r="AF42055" s="12"/>
    </row>
    <row r="42056" spans="32:32" x14ac:dyDescent="0.2">
      <c r="AF42056" s="12"/>
    </row>
    <row r="42057" spans="32:32" x14ac:dyDescent="0.2">
      <c r="AF42057" s="12"/>
    </row>
    <row r="42058" spans="32:32" x14ac:dyDescent="0.2">
      <c r="AF42058" s="12"/>
    </row>
    <row r="42059" spans="32:32" x14ac:dyDescent="0.2">
      <c r="AF42059" s="12"/>
    </row>
    <row r="42060" spans="32:32" x14ac:dyDescent="0.2">
      <c r="AF42060" s="12"/>
    </row>
    <row r="42061" spans="32:32" x14ac:dyDescent="0.2">
      <c r="AF42061" s="12"/>
    </row>
    <row r="42062" spans="32:32" x14ac:dyDescent="0.2">
      <c r="AF42062" s="12"/>
    </row>
    <row r="42063" spans="32:32" x14ac:dyDescent="0.2">
      <c r="AF42063" s="12"/>
    </row>
    <row r="42064" spans="32:32" x14ac:dyDescent="0.2">
      <c r="AF42064" s="12"/>
    </row>
    <row r="42065" spans="32:32" x14ac:dyDescent="0.2">
      <c r="AF42065" s="12"/>
    </row>
    <row r="42066" spans="32:32" x14ac:dyDescent="0.2">
      <c r="AF42066" s="12"/>
    </row>
    <row r="42067" spans="32:32" x14ac:dyDescent="0.2">
      <c r="AF42067" s="12"/>
    </row>
    <row r="42068" spans="32:32" x14ac:dyDescent="0.2">
      <c r="AF42068" s="12"/>
    </row>
    <row r="42069" spans="32:32" x14ac:dyDescent="0.2">
      <c r="AF42069" s="12"/>
    </row>
    <row r="42070" spans="32:32" x14ac:dyDescent="0.2">
      <c r="AF42070" s="12"/>
    </row>
    <row r="42071" spans="32:32" x14ac:dyDescent="0.2">
      <c r="AF42071" s="12"/>
    </row>
    <row r="42072" spans="32:32" x14ac:dyDescent="0.2">
      <c r="AF42072" s="12"/>
    </row>
    <row r="42073" spans="32:32" x14ac:dyDescent="0.2">
      <c r="AF42073" s="12"/>
    </row>
    <row r="42074" spans="32:32" x14ac:dyDescent="0.2">
      <c r="AF42074" s="12"/>
    </row>
    <row r="42075" spans="32:32" x14ac:dyDescent="0.2">
      <c r="AF42075" s="12"/>
    </row>
    <row r="42076" spans="32:32" x14ac:dyDescent="0.2">
      <c r="AF42076" s="12"/>
    </row>
    <row r="42077" spans="32:32" x14ac:dyDescent="0.2">
      <c r="AF42077" s="12"/>
    </row>
    <row r="42078" spans="32:32" x14ac:dyDescent="0.2">
      <c r="AF42078" s="12"/>
    </row>
    <row r="42079" spans="32:32" x14ac:dyDescent="0.2">
      <c r="AF42079" s="12"/>
    </row>
    <row r="42080" spans="32:32" x14ac:dyDescent="0.2">
      <c r="AF42080" s="12"/>
    </row>
    <row r="42081" spans="32:32" x14ac:dyDescent="0.2">
      <c r="AF42081" s="12"/>
    </row>
    <row r="42082" spans="32:32" x14ac:dyDescent="0.2">
      <c r="AF42082" s="12"/>
    </row>
    <row r="42083" spans="32:32" x14ac:dyDescent="0.2">
      <c r="AF42083" s="12"/>
    </row>
    <row r="42084" spans="32:32" x14ac:dyDescent="0.2">
      <c r="AF42084" s="12"/>
    </row>
    <row r="42085" spans="32:32" x14ac:dyDescent="0.2">
      <c r="AF42085" s="12"/>
    </row>
    <row r="42086" spans="32:32" x14ac:dyDescent="0.2">
      <c r="AF42086" s="12"/>
    </row>
    <row r="42087" spans="32:32" x14ac:dyDescent="0.2">
      <c r="AF42087" s="12"/>
    </row>
    <row r="42088" spans="32:32" x14ac:dyDescent="0.2">
      <c r="AF42088" s="12"/>
    </row>
    <row r="42089" spans="32:32" x14ac:dyDescent="0.2">
      <c r="AF42089" s="12"/>
    </row>
    <row r="42090" spans="32:32" x14ac:dyDescent="0.2">
      <c r="AF42090" s="12"/>
    </row>
    <row r="42091" spans="32:32" x14ac:dyDescent="0.2">
      <c r="AF42091" s="12"/>
    </row>
    <row r="42092" spans="32:32" x14ac:dyDescent="0.2">
      <c r="AF42092" s="12"/>
    </row>
    <row r="42093" spans="32:32" x14ac:dyDescent="0.2">
      <c r="AF42093" s="12"/>
    </row>
    <row r="42094" spans="32:32" x14ac:dyDescent="0.2">
      <c r="AF42094" s="12"/>
    </row>
    <row r="42095" spans="32:32" x14ac:dyDescent="0.2">
      <c r="AF42095" s="12"/>
    </row>
    <row r="42096" spans="32:32" x14ac:dyDescent="0.2">
      <c r="AF42096" s="12"/>
    </row>
    <row r="42097" spans="32:32" x14ac:dyDescent="0.2">
      <c r="AF42097" s="12"/>
    </row>
    <row r="42098" spans="32:32" x14ac:dyDescent="0.2">
      <c r="AF42098" s="12"/>
    </row>
    <row r="42099" spans="32:32" x14ac:dyDescent="0.2">
      <c r="AF42099" s="12"/>
    </row>
    <row r="42100" spans="32:32" x14ac:dyDescent="0.2">
      <c r="AF42100" s="12"/>
    </row>
    <row r="42101" spans="32:32" x14ac:dyDescent="0.2">
      <c r="AF42101" s="12"/>
    </row>
    <row r="42102" spans="32:32" x14ac:dyDescent="0.2">
      <c r="AF42102" s="12"/>
    </row>
    <row r="42103" spans="32:32" x14ac:dyDescent="0.2">
      <c r="AF42103" s="12"/>
    </row>
    <row r="42104" spans="32:32" x14ac:dyDescent="0.2">
      <c r="AF42104" s="12"/>
    </row>
    <row r="42105" spans="32:32" x14ac:dyDescent="0.2">
      <c r="AF42105" s="12"/>
    </row>
    <row r="42106" spans="32:32" x14ac:dyDescent="0.2">
      <c r="AF42106" s="12"/>
    </row>
    <row r="42107" spans="32:32" x14ac:dyDescent="0.2">
      <c r="AF42107" s="12"/>
    </row>
    <row r="42108" spans="32:32" x14ac:dyDescent="0.2">
      <c r="AF42108" s="12"/>
    </row>
    <row r="42109" spans="32:32" x14ac:dyDescent="0.2">
      <c r="AF42109" s="12"/>
    </row>
    <row r="42110" spans="32:32" x14ac:dyDescent="0.2">
      <c r="AF42110" s="12"/>
    </row>
    <row r="42111" spans="32:32" x14ac:dyDescent="0.2">
      <c r="AF42111" s="12"/>
    </row>
    <row r="42112" spans="32:32" x14ac:dyDescent="0.2">
      <c r="AF42112" s="12"/>
    </row>
    <row r="42113" spans="32:32" x14ac:dyDescent="0.2">
      <c r="AF42113" s="12"/>
    </row>
    <row r="42114" spans="32:32" x14ac:dyDescent="0.2">
      <c r="AF42114" s="12"/>
    </row>
    <row r="42115" spans="32:32" x14ac:dyDescent="0.2">
      <c r="AF42115" s="12"/>
    </row>
    <row r="42116" spans="32:32" x14ac:dyDescent="0.2">
      <c r="AF42116" s="12"/>
    </row>
    <row r="42117" spans="32:32" x14ac:dyDescent="0.2">
      <c r="AF42117" s="12"/>
    </row>
    <row r="42118" spans="32:32" x14ac:dyDescent="0.2">
      <c r="AF42118" s="12"/>
    </row>
    <row r="42119" spans="32:32" x14ac:dyDescent="0.2">
      <c r="AF42119" s="12"/>
    </row>
    <row r="42120" spans="32:32" x14ac:dyDescent="0.2">
      <c r="AF42120" s="12"/>
    </row>
    <row r="42121" spans="32:32" x14ac:dyDescent="0.2">
      <c r="AF42121" s="12"/>
    </row>
    <row r="42122" spans="32:32" x14ac:dyDescent="0.2">
      <c r="AF42122" s="12"/>
    </row>
    <row r="42123" spans="32:32" x14ac:dyDescent="0.2">
      <c r="AF42123" s="12"/>
    </row>
    <row r="42124" spans="32:32" x14ac:dyDescent="0.2">
      <c r="AF42124" s="12"/>
    </row>
    <row r="42125" spans="32:32" x14ac:dyDescent="0.2">
      <c r="AF42125" s="12"/>
    </row>
    <row r="42126" spans="32:32" x14ac:dyDescent="0.2">
      <c r="AF42126" s="12"/>
    </row>
    <row r="42127" spans="32:32" x14ac:dyDescent="0.2">
      <c r="AF42127" s="12"/>
    </row>
    <row r="42128" spans="32:32" x14ac:dyDescent="0.2">
      <c r="AF42128" s="12"/>
    </row>
    <row r="42129" spans="32:32" x14ac:dyDescent="0.2">
      <c r="AF42129" s="12"/>
    </row>
    <row r="42130" spans="32:32" x14ac:dyDescent="0.2">
      <c r="AF42130" s="12"/>
    </row>
    <row r="42131" spans="32:32" x14ac:dyDescent="0.2">
      <c r="AF42131" s="12"/>
    </row>
    <row r="42132" spans="32:32" x14ac:dyDescent="0.2">
      <c r="AF42132" s="12"/>
    </row>
    <row r="42133" spans="32:32" x14ac:dyDescent="0.2">
      <c r="AF42133" s="12"/>
    </row>
    <row r="42134" spans="32:32" x14ac:dyDescent="0.2">
      <c r="AF42134" s="12"/>
    </row>
    <row r="42135" spans="32:32" x14ac:dyDescent="0.2">
      <c r="AF42135" s="12"/>
    </row>
    <row r="42136" spans="32:32" x14ac:dyDescent="0.2">
      <c r="AF42136" s="12"/>
    </row>
    <row r="42137" spans="32:32" x14ac:dyDescent="0.2">
      <c r="AF42137" s="12"/>
    </row>
    <row r="42138" spans="32:32" x14ac:dyDescent="0.2">
      <c r="AF42138" s="12"/>
    </row>
    <row r="42139" spans="32:32" x14ac:dyDescent="0.2">
      <c r="AF42139" s="12"/>
    </row>
    <row r="42140" spans="32:32" x14ac:dyDescent="0.2">
      <c r="AF42140" s="12"/>
    </row>
    <row r="42141" spans="32:32" x14ac:dyDescent="0.2">
      <c r="AF42141" s="12"/>
    </row>
    <row r="42142" spans="32:32" x14ac:dyDescent="0.2">
      <c r="AF42142" s="12"/>
    </row>
    <row r="42143" spans="32:32" x14ac:dyDescent="0.2">
      <c r="AF42143" s="12"/>
    </row>
    <row r="42144" spans="32:32" x14ac:dyDescent="0.2">
      <c r="AF42144" s="12"/>
    </row>
    <row r="42145" spans="32:32" x14ac:dyDescent="0.2">
      <c r="AF42145" s="12"/>
    </row>
    <row r="42146" spans="32:32" x14ac:dyDescent="0.2">
      <c r="AF42146" s="12"/>
    </row>
    <row r="42147" spans="32:32" x14ac:dyDescent="0.2">
      <c r="AF42147" s="12"/>
    </row>
    <row r="42148" spans="32:32" x14ac:dyDescent="0.2">
      <c r="AF42148" s="12"/>
    </row>
    <row r="42149" spans="32:32" x14ac:dyDescent="0.2">
      <c r="AF42149" s="12"/>
    </row>
    <row r="42150" spans="32:32" x14ac:dyDescent="0.2">
      <c r="AF42150" s="12"/>
    </row>
    <row r="42151" spans="32:32" x14ac:dyDescent="0.2">
      <c r="AF42151" s="12"/>
    </row>
    <row r="42152" spans="32:32" x14ac:dyDescent="0.2">
      <c r="AF42152" s="12"/>
    </row>
    <row r="42153" spans="32:32" x14ac:dyDescent="0.2">
      <c r="AF42153" s="12"/>
    </row>
    <row r="42154" spans="32:32" x14ac:dyDescent="0.2">
      <c r="AF42154" s="12"/>
    </row>
    <row r="42155" spans="32:32" x14ac:dyDescent="0.2">
      <c r="AF42155" s="12"/>
    </row>
    <row r="42156" spans="32:32" x14ac:dyDescent="0.2">
      <c r="AF42156" s="12"/>
    </row>
    <row r="42157" spans="32:32" x14ac:dyDescent="0.2">
      <c r="AF42157" s="12"/>
    </row>
    <row r="42158" spans="32:32" x14ac:dyDescent="0.2">
      <c r="AF42158" s="12"/>
    </row>
    <row r="42159" spans="32:32" x14ac:dyDescent="0.2">
      <c r="AF42159" s="12"/>
    </row>
    <row r="42160" spans="32:32" x14ac:dyDescent="0.2">
      <c r="AF42160" s="12"/>
    </row>
    <row r="42161" spans="32:32" x14ac:dyDescent="0.2">
      <c r="AF42161" s="12"/>
    </row>
    <row r="42162" spans="32:32" x14ac:dyDescent="0.2">
      <c r="AF42162" s="12"/>
    </row>
    <row r="42163" spans="32:32" x14ac:dyDescent="0.2">
      <c r="AF42163" s="12"/>
    </row>
    <row r="42164" spans="32:32" x14ac:dyDescent="0.2">
      <c r="AF42164" s="12"/>
    </row>
    <row r="42165" spans="32:32" x14ac:dyDescent="0.2">
      <c r="AF42165" s="12"/>
    </row>
    <row r="42166" spans="32:32" x14ac:dyDescent="0.2">
      <c r="AF42166" s="12"/>
    </row>
    <row r="42167" spans="32:32" x14ac:dyDescent="0.2">
      <c r="AF42167" s="12"/>
    </row>
    <row r="42168" spans="32:32" x14ac:dyDescent="0.2">
      <c r="AF42168" s="12"/>
    </row>
    <row r="42169" spans="32:32" x14ac:dyDescent="0.2">
      <c r="AF42169" s="12"/>
    </row>
    <row r="42170" spans="32:32" x14ac:dyDescent="0.2">
      <c r="AF42170" s="12"/>
    </row>
    <row r="42171" spans="32:32" x14ac:dyDescent="0.2">
      <c r="AF42171" s="12"/>
    </row>
    <row r="42172" spans="32:32" x14ac:dyDescent="0.2">
      <c r="AF42172" s="12"/>
    </row>
    <row r="42173" spans="32:32" x14ac:dyDescent="0.2">
      <c r="AF42173" s="12"/>
    </row>
    <row r="42174" spans="32:32" x14ac:dyDescent="0.2">
      <c r="AF42174" s="12"/>
    </row>
    <row r="42175" spans="32:32" x14ac:dyDescent="0.2">
      <c r="AF42175" s="12"/>
    </row>
    <row r="42176" spans="32:32" x14ac:dyDescent="0.2">
      <c r="AF42176" s="12"/>
    </row>
    <row r="42177" spans="32:32" x14ac:dyDescent="0.2">
      <c r="AF42177" s="12"/>
    </row>
    <row r="42178" spans="32:32" x14ac:dyDescent="0.2">
      <c r="AF42178" s="12"/>
    </row>
    <row r="42179" spans="32:32" x14ac:dyDescent="0.2">
      <c r="AF42179" s="12"/>
    </row>
    <row r="42180" spans="32:32" x14ac:dyDescent="0.2">
      <c r="AF42180" s="12"/>
    </row>
    <row r="42181" spans="32:32" x14ac:dyDescent="0.2">
      <c r="AF42181" s="12"/>
    </row>
    <row r="42182" spans="32:32" x14ac:dyDescent="0.2">
      <c r="AF42182" s="12"/>
    </row>
    <row r="42183" spans="32:32" x14ac:dyDescent="0.2">
      <c r="AF42183" s="12"/>
    </row>
    <row r="42184" spans="32:32" x14ac:dyDescent="0.2">
      <c r="AF42184" s="12"/>
    </row>
    <row r="42185" spans="32:32" x14ac:dyDescent="0.2">
      <c r="AF42185" s="12"/>
    </row>
    <row r="42186" spans="32:32" x14ac:dyDescent="0.2">
      <c r="AF42186" s="12"/>
    </row>
    <row r="42187" spans="32:32" x14ac:dyDescent="0.2">
      <c r="AF42187" s="12"/>
    </row>
    <row r="42188" spans="32:32" x14ac:dyDescent="0.2">
      <c r="AF42188" s="12"/>
    </row>
    <row r="42189" spans="32:32" x14ac:dyDescent="0.2">
      <c r="AF42189" s="12"/>
    </row>
    <row r="42190" spans="32:32" x14ac:dyDescent="0.2">
      <c r="AF42190" s="12"/>
    </row>
    <row r="42191" spans="32:32" x14ac:dyDescent="0.2">
      <c r="AF42191" s="12"/>
    </row>
    <row r="42192" spans="32:32" x14ac:dyDescent="0.2">
      <c r="AF42192" s="12"/>
    </row>
    <row r="42193" spans="32:32" x14ac:dyDescent="0.2">
      <c r="AF42193" s="12"/>
    </row>
    <row r="42194" spans="32:32" x14ac:dyDescent="0.2">
      <c r="AF42194" s="12"/>
    </row>
    <row r="42195" spans="32:32" x14ac:dyDescent="0.2">
      <c r="AF42195" s="12"/>
    </row>
    <row r="42196" spans="32:32" x14ac:dyDescent="0.2">
      <c r="AF42196" s="12"/>
    </row>
    <row r="42197" spans="32:32" x14ac:dyDescent="0.2">
      <c r="AF42197" s="12"/>
    </row>
    <row r="42198" spans="32:32" x14ac:dyDescent="0.2">
      <c r="AF42198" s="12"/>
    </row>
    <row r="42199" spans="32:32" x14ac:dyDescent="0.2">
      <c r="AF42199" s="12"/>
    </row>
    <row r="42200" spans="32:32" x14ac:dyDescent="0.2">
      <c r="AF42200" s="12"/>
    </row>
    <row r="42201" spans="32:32" x14ac:dyDescent="0.2">
      <c r="AF42201" s="12"/>
    </row>
    <row r="42202" spans="32:32" x14ac:dyDescent="0.2">
      <c r="AF42202" s="12"/>
    </row>
    <row r="42203" spans="32:32" x14ac:dyDescent="0.2">
      <c r="AF42203" s="12"/>
    </row>
    <row r="42204" spans="32:32" x14ac:dyDescent="0.2">
      <c r="AF42204" s="12"/>
    </row>
    <row r="42205" spans="32:32" x14ac:dyDescent="0.2">
      <c r="AF42205" s="12"/>
    </row>
    <row r="42206" spans="32:32" x14ac:dyDescent="0.2">
      <c r="AF42206" s="12"/>
    </row>
    <row r="42207" spans="32:32" x14ac:dyDescent="0.2">
      <c r="AF42207" s="12"/>
    </row>
    <row r="42208" spans="32:32" x14ac:dyDescent="0.2">
      <c r="AF42208" s="12"/>
    </row>
    <row r="42209" spans="32:32" x14ac:dyDescent="0.2">
      <c r="AF42209" s="12"/>
    </row>
    <row r="42210" spans="32:32" x14ac:dyDescent="0.2">
      <c r="AF42210" s="12"/>
    </row>
    <row r="42211" spans="32:32" x14ac:dyDescent="0.2">
      <c r="AF42211" s="12"/>
    </row>
    <row r="42212" spans="32:32" x14ac:dyDescent="0.2">
      <c r="AF42212" s="12"/>
    </row>
    <row r="42213" spans="32:32" x14ac:dyDescent="0.2">
      <c r="AF42213" s="12"/>
    </row>
    <row r="42214" spans="32:32" x14ac:dyDescent="0.2">
      <c r="AF42214" s="12"/>
    </row>
    <row r="42215" spans="32:32" x14ac:dyDescent="0.2">
      <c r="AF42215" s="12"/>
    </row>
    <row r="42216" spans="32:32" x14ac:dyDescent="0.2">
      <c r="AF42216" s="12"/>
    </row>
    <row r="42217" spans="32:32" x14ac:dyDescent="0.2">
      <c r="AF42217" s="12"/>
    </row>
    <row r="42218" spans="32:32" x14ac:dyDescent="0.2">
      <c r="AF42218" s="12"/>
    </row>
    <row r="42219" spans="32:32" x14ac:dyDescent="0.2">
      <c r="AF42219" s="12"/>
    </row>
    <row r="42220" spans="32:32" x14ac:dyDescent="0.2">
      <c r="AF42220" s="12"/>
    </row>
    <row r="42221" spans="32:32" x14ac:dyDescent="0.2">
      <c r="AF42221" s="12"/>
    </row>
    <row r="42222" spans="32:32" x14ac:dyDescent="0.2">
      <c r="AF42222" s="12"/>
    </row>
    <row r="42223" spans="32:32" x14ac:dyDescent="0.2">
      <c r="AF42223" s="12"/>
    </row>
    <row r="42224" spans="32:32" x14ac:dyDescent="0.2">
      <c r="AF42224" s="12"/>
    </row>
    <row r="42225" spans="32:32" x14ac:dyDescent="0.2">
      <c r="AF42225" s="12"/>
    </row>
    <row r="42226" spans="32:32" x14ac:dyDescent="0.2">
      <c r="AF42226" s="12"/>
    </row>
    <row r="42227" spans="32:32" x14ac:dyDescent="0.2">
      <c r="AF42227" s="12"/>
    </row>
    <row r="42228" spans="32:32" x14ac:dyDescent="0.2">
      <c r="AF42228" s="12"/>
    </row>
    <row r="42229" spans="32:32" x14ac:dyDescent="0.2">
      <c r="AF42229" s="12"/>
    </row>
    <row r="42230" spans="32:32" x14ac:dyDescent="0.2">
      <c r="AF42230" s="12"/>
    </row>
    <row r="42231" spans="32:32" x14ac:dyDescent="0.2">
      <c r="AF42231" s="12"/>
    </row>
    <row r="42232" spans="32:32" x14ac:dyDescent="0.2">
      <c r="AF42232" s="12"/>
    </row>
    <row r="42233" spans="32:32" x14ac:dyDescent="0.2">
      <c r="AF42233" s="12"/>
    </row>
    <row r="42234" spans="32:32" x14ac:dyDescent="0.2">
      <c r="AF42234" s="12"/>
    </row>
    <row r="42235" spans="32:32" x14ac:dyDescent="0.2">
      <c r="AF42235" s="12"/>
    </row>
    <row r="42236" spans="32:32" x14ac:dyDescent="0.2">
      <c r="AF42236" s="12"/>
    </row>
    <row r="42237" spans="32:32" x14ac:dyDescent="0.2">
      <c r="AF42237" s="12"/>
    </row>
    <row r="42238" spans="32:32" x14ac:dyDescent="0.2">
      <c r="AF42238" s="12"/>
    </row>
    <row r="42239" spans="32:32" x14ac:dyDescent="0.2">
      <c r="AF42239" s="12"/>
    </row>
    <row r="42240" spans="32:32" x14ac:dyDescent="0.2">
      <c r="AF42240" s="12"/>
    </row>
    <row r="42241" spans="32:32" x14ac:dyDescent="0.2">
      <c r="AF42241" s="12"/>
    </row>
    <row r="42242" spans="32:32" x14ac:dyDescent="0.2">
      <c r="AF42242" s="12"/>
    </row>
    <row r="42243" spans="32:32" x14ac:dyDescent="0.2">
      <c r="AF42243" s="12"/>
    </row>
    <row r="42244" spans="32:32" x14ac:dyDescent="0.2">
      <c r="AF42244" s="12"/>
    </row>
    <row r="42245" spans="32:32" x14ac:dyDescent="0.2">
      <c r="AF42245" s="12"/>
    </row>
    <row r="42246" spans="32:32" x14ac:dyDescent="0.2">
      <c r="AF42246" s="12"/>
    </row>
    <row r="42247" spans="32:32" x14ac:dyDescent="0.2">
      <c r="AF42247" s="12"/>
    </row>
    <row r="42248" spans="32:32" x14ac:dyDescent="0.2">
      <c r="AF42248" s="12"/>
    </row>
    <row r="42249" spans="32:32" x14ac:dyDescent="0.2">
      <c r="AF42249" s="12"/>
    </row>
    <row r="42250" spans="32:32" x14ac:dyDescent="0.2">
      <c r="AF42250" s="12"/>
    </row>
    <row r="42251" spans="32:32" x14ac:dyDescent="0.2">
      <c r="AF42251" s="12"/>
    </row>
    <row r="42252" spans="32:32" x14ac:dyDescent="0.2">
      <c r="AF42252" s="12"/>
    </row>
    <row r="42253" spans="32:32" x14ac:dyDescent="0.2">
      <c r="AF42253" s="12"/>
    </row>
    <row r="42254" spans="32:32" x14ac:dyDescent="0.2">
      <c r="AF42254" s="12"/>
    </row>
    <row r="42255" spans="32:32" x14ac:dyDescent="0.2">
      <c r="AF42255" s="12"/>
    </row>
    <row r="42256" spans="32:32" x14ac:dyDescent="0.2">
      <c r="AF42256" s="12"/>
    </row>
    <row r="42257" spans="32:32" x14ac:dyDescent="0.2">
      <c r="AF42257" s="12"/>
    </row>
    <row r="42258" spans="32:32" x14ac:dyDescent="0.2">
      <c r="AF42258" s="12"/>
    </row>
    <row r="42259" spans="32:32" x14ac:dyDescent="0.2">
      <c r="AF42259" s="12"/>
    </row>
    <row r="42260" spans="32:32" x14ac:dyDescent="0.2">
      <c r="AF42260" s="12"/>
    </row>
    <row r="42261" spans="32:32" x14ac:dyDescent="0.2">
      <c r="AF42261" s="12"/>
    </row>
    <row r="42262" spans="32:32" x14ac:dyDescent="0.2">
      <c r="AF42262" s="12"/>
    </row>
    <row r="42263" spans="32:32" x14ac:dyDescent="0.2">
      <c r="AF42263" s="12"/>
    </row>
    <row r="42264" spans="32:32" x14ac:dyDescent="0.2">
      <c r="AF42264" s="12"/>
    </row>
    <row r="42265" spans="32:32" x14ac:dyDescent="0.2">
      <c r="AF42265" s="12"/>
    </row>
    <row r="42266" spans="32:32" x14ac:dyDescent="0.2">
      <c r="AF42266" s="12"/>
    </row>
    <row r="42267" spans="32:32" x14ac:dyDescent="0.2">
      <c r="AF42267" s="12"/>
    </row>
    <row r="42268" spans="32:32" x14ac:dyDescent="0.2">
      <c r="AF42268" s="12"/>
    </row>
    <row r="42269" spans="32:32" x14ac:dyDescent="0.2">
      <c r="AF42269" s="12"/>
    </row>
    <row r="42270" spans="32:32" x14ac:dyDescent="0.2">
      <c r="AF42270" s="12"/>
    </row>
    <row r="42271" spans="32:32" x14ac:dyDescent="0.2">
      <c r="AF42271" s="12"/>
    </row>
    <row r="42272" spans="32:32" x14ac:dyDescent="0.2">
      <c r="AF42272" s="12"/>
    </row>
    <row r="42273" spans="32:32" x14ac:dyDescent="0.2">
      <c r="AF42273" s="12"/>
    </row>
    <row r="42274" spans="32:32" x14ac:dyDescent="0.2">
      <c r="AF42274" s="12"/>
    </row>
    <row r="42275" spans="32:32" x14ac:dyDescent="0.2">
      <c r="AF42275" s="12"/>
    </row>
    <row r="42276" spans="32:32" x14ac:dyDescent="0.2">
      <c r="AF42276" s="12"/>
    </row>
    <row r="42277" spans="32:32" x14ac:dyDescent="0.2">
      <c r="AF42277" s="12"/>
    </row>
    <row r="42278" spans="32:32" x14ac:dyDescent="0.2">
      <c r="AF42278" s="12"/>
    </row>
    <row r="42279" spans="32:32" x14ac:dyDescent="0.2">
      <c r="AF42279" s="12"/>
    </row>
    <row r="42280" spans="32:32" x14ac:dyDescent="0.2">
      <c r="AF42280" s="12"/>
    </row>
    <row r="42281" spans="32:32" x14ac:dyDescent="0.2">
      <c r="AF42281" s="12"/>
    </row>
    <row r="42282" spans="32:32" x14ac:dyDescent="0.2">
      <c r="AF42282" s="12"/>
    </row>
    <row r="42283" spans="32:32" x14ac:dyDescent="0.2">
      <c r="AF42283" s="12"/>
    </row>
    <row r="42284" spans="32:32" x14ac:dyDescent="0.2">
      <c r="AF42284" s="12"/>
    </row>
    <row r="42285" spans="32:32" x14ac:dyDescent="0.2">
      <c r="AF42285" s="12"/>
    </row>
    <row r="42286" spans="32:32" x14ac:dyDescent="0.2">
      <c r="AF42286" s="12"/>
    </row>
    <row r="42287" spans="32:32" x14ac:dyDescent="0.2">
      <c r="AF42287" s="12"/>
    </row>
    <row r="42288" spans="32:32" x14ac:dyDescent="0.2">
      <c r="AF42288" s="12"/>
    </row>
    <row r="42289" spans="32:32" x14ac:dyDescent="0.2">
      <c r="AF42289" s="12"/>
    </row>
    <row r="42290" spans="32:32" x14ac:dyDescent="0.2">
      <c r="AF42290" s="12"/>
    </row>
    <row r="42291" spans="32:32" x14ac:dyDescent="0.2">
      <c r="AF42291" s="12"/>
    </row>
    <row r="42292" spans="32:32" x14ac:dyDescent="0.2">
      <c r="AF42292" s="12"/>
    </row>
    <row r="42293" spans="32:32" x14ac:dyDescent="0.2">
      <c r="AF42293" s="12"/>
    </row>
    <row r="42294" spans="32:32" x14ac:dyDescent="0.2">
      <c r="AF42294" s="12"/>
    </row>
    <row r="42295" spans="32:32" x14ac:dyDescent="0.2">
      <c r="AF42295" s="12"/>
    </row>
    <row r="42296" spans="32:32" x14ac:dyDescent="0.2">
      <c r="AF42296" s="12"/>
    </row>
    <row r="42297" spans="32:32" x14ac:dyDescent="0.2">
      <c r="AF42297" s="12"/>
    </row>
    <row r="42298" spans="32:32" x14ac:dyDescent="0.2">
      <c r="AF42298" s="12"/>
    </row>
    <row r="42299" spans="32:32" x14ac:dyDescent="0.2">
      <c r="AF42299" s="12"/>
    </row>
    <row r="42300" spans="32:32" x14ac:dyDescent="0.2">
      <c r="AF42300" s="12"/>
    </row>
    <row r="42301" spans="32:32" x14ac:dyDescent="0.2">
      <c r="AF42301" s="12"/>
    </row>
    <row r="42302" spans="32:32" x14ac:dyDescent="0.2">
      <c r="AF42302" s="12"/>
    </row>
    <row r="42303" spans="32:32" x14ac:dyDescent="0.2">
      <c r="AF42303" s="12"/>
    </row>
    <row r="42304" spans="32:32" x14ac:dyDescent="0.2">
      <c r="AF42304" s="12"/>
    </row>
    <row r="42305" spans="32:32" x14ac:dyDescent="0.2">
      <c r="AF42305" s="12"/>
    </row>
    <row r="42306" spans="32:32" x14ac:dyDescent="0.2">
      <c r="AF42306" s="12"/>
    </row>
    <row r="42307" spans="32:32" x14ac:dyDescent="0.2">
      <c r="AF42307" s="12"/>
    </row>
    <row r="42308" spans="32:32" x14ac:dyDescent="0.2">
      <c r="AF42308" s="12"/>
    </row>
    <row r="42309" spans="32:32" x14ac:dyDescent="0.2">
      <c r="AF42309" s="12"/>
    </row>
    <row r="42310" spans="32:32" x14ac:dyDescent="0.2">
      <c r="AF42310" s="12"/>
    </row>
    <row r="42311" spans="32:32" x14ac:dyDescent="0.2">
      <c r="AF42311" s="12"/>
    </row>
    <row r="42312" spans="32:32" x14ac:dyDescent="0.2">
      <c r="AF42312" s="12"/>
    </row>
    <row r="42313" spans="32:32" x14ac:dyDescent="0.2">
      <c r="AF42313" s="12"/>
    </row>
    <row r="42314" spans="32:32" x14ac:dyDescent="0.2">
      <c r="AF42314" s="12"/>
    </row>
    <row r="42315" spans="32:32" x14ac:dyDescent="0.2">
      <c r="AF42315" s="12"/>
    </row>
    <row r="42316" spans="32:32" x14ac:dyDescent="0.2">
      <c r="AF42316" s="12"/>
    </row>
    <row r="42317" spans="32:32" x14ac:dyDescent="0.2">
      <c r="AF42317" s="12"/>
    </row>
    <row r="42318" spans="32:32" x14ac:dyDescent="0.2">
      <c r="AF42318" s="12"/>
    </row>
    <row r="42319" spans="32:32" x14ac:dyDescent="0.2">
      <c r="AF42319" s="12"/>
    </row>
    <row r="42320" spans="32:32" x14ac:dyDescent="0.2">
      <c r="AF42320" s="12"/>
    </row>
    <row r="42321" spans="32:32" x14ac:dyDescent="0.2">
      <c r="AF42321" s="12"/>
    </row>
    <row r="42322" spans="32:32" x14ac:dyDescent="0.2">
      <c r="AF42322" s="12"/>
    </row>
    <row r="42323" spans="32:32" x14ac:dyDescent="0.2">
      <c r="AF42323" s="12"/>
    </row>
    <row r="42324" spans="32:32" x14ac:dyDescent="0.2">
      <c r="AF42324" s="12"/>
    </row>
    <row r="42325" spans="32:32" x14ac:dyDescent="0.2">
      <c r="AF42325" s="12"/>
    </row>
    <row r="42326" spans="32:32" x14ac:dyDescent="0.2">
      <c r="AF42326" s="12"/>
    </row>
    <row r="42327" spans="32:32" x14ac:dyDescent="0.2">
      <c r="AF42327" s="12"/>
    </row>
    <row r="42328" spans="32:32" x14ac:dyDescent="0.2">
      <c r="AF42328" s="12"/>
    </row>
    <row r="42329" spans="32:32" x14ac:dyDescent="0.2">
      <c r="AF42329" s="12"/>
    </row>
    <row r="42330" spans="32:32" x14ac:dyDescent="0.2">
      <c r="AF42330" s="12"/>
    </row>
    <row r="42331" spans="32:32" x14ac:dyDescent="0.2">
      <c r="AF42331" s="12"/>
    </row>
    <row r="42332" spans="32:32" x14ac:dyDescent="0.2">
      <c r="AF42332" s="12"/>
    </row>
    <row r="42333" spans="32:32" x14ac:dyDescent="0.2">
      <c r="AF42333" s="12"/>
    </row>
    <row r="42334" spans="32:32" x14ac:dyDescent="0.2">
      <c r="AF42334" s="12"/>
    </row>
    <row r="42335" spans="32:32" x14ac:dyDescent="0.2">
      <c r="AF42335" s="12"/>
    </row>
    <row r="42336" spans="32:32" x14ac:dyDescent="0.2">
      <c r="AF42336" s="12"/>
    </row>
    <row r="42337" spans="32:32" x14ac:dyDescent="0.2">
      <c r="AF42337" s="12"/>
    </row>
    <row r="42338" spans="32:32" x14ac:dyDescent="0.2">
      <c r="AF42338" s="12"/>
    </row>
    <row r="42339" spans="32:32" x14ac:dyDescent="0.2">
      <c r="AF42339" s="12"/>
    </row>
    <row r="42340" spans="32:32" x14ac:dyDescent="0.2">
      <c r="AF42340" s="12"/>
    </row>
    <row r="42341" spans="32:32" x14ac:dyDescent="0.2">
      <c r="AF42341" s="12"/>
    </row>
    <row r="42342" spans="32:32" x14ac:dyDescent="0.2">
      <c r="AF42342" s="12"/>
    </row>
    <row r="42343" spans="32:32" x14ac:dyDescent="0.2">
      <c r="AF42343" s="12"/>
    </row>
    <row r="42344" spans="32:32" x14ac:dyDescent="0.2">
      <c r="AF42344" s="12"/>
    </row>
    <row r="42345" spans="32:32" x14ac:dyDescent="0.2">
      <c r="AF42345" s="12"/>
    </row>
    <row r="42346" spans="32:32" x14ac:dyDescent="0.2">
      <c r="AF42346" s="12"/>
    </row>
    <row r="42347" spans="32:32" x14ac:dyDescent="0.2">
      <c r="AF42347" s="12"/>
    </row>
    <row r="42348" spans="32:32" x14ac:dyDescent="0.2">
      <c r="AF42348" s="12"/>
    </row>
    <row r="42349" spans="32:32" x14ac:dyDescent="0.2">
      <c r="AF42349" s="12"/>
    </row>
    <row r="42350" spans="32:32" x14ac:dyDescent="0.2">
      <c r="AF42350" s="12"/>
    </row>
    <row r="42351" spans="32:32" x14ac:dyDescent="0.2">
      <c r="AF42351" s="12"/>
    </row>
    <row r="42352" spans="32:32" x14ac:dyDescent="0.2">
      <c r="AF42352" s="12"/>
    </row>
    <row r="42353" spans="32:32" x14ac:dyDescent="0.2">
      <c r="AF42353" s="12"/>
    </row>
    <row r="42354" spans="32:32" x14ac:dyDescent="0.2">
      <c r="AF42354" s="12"/>
    </row>
    <row r="42355" spans="32:32" x14ac:dyDescent="0.2">
      <c r="AF42355" s="12"/>
    </row>
    <row r="42356" spans="32:32" x14ac:dyDescent="0.2">
      <c r="AF42356" s="12"/>
    </row>
    <row r="42357" spans="32:32" x14ac:dyDescent="0.2">
      <c r="AF42357" s="12"/>
    </row>
    <row r="42358" spans="32:32" x14ac:dyDescent="0.2">
      <c r="AF42358" s="12"/>
    </row>
    <row r="42359" spans="32:32" x14ac:dyDescent="0.2">
      <c r="AF42359" s="12"/>
    </row>
    <row r="42360" spans="32:32" x14ac:dyDescent="0.2">
      <c r="AF42360" s="12"/>
    </row>
    <row r="42361" spans="32:32" x14ac:dyDescent="0.2">
      <c r="AF42361" s="12"/>
    </row>
    <row r="42362" spans="32:32" x14ac:dyDescent="0.2">
      <c r="AF42362" s="12"/>
    </row>
    <row r="42363" spans="32:32" x14ac:dyDescent="0.2">
      <c r="AF42363" s="12"/>
    </row>
    <row r="42364" spans="32:32" x14ac:dyDescent="0.2">
      <c r="AF42364" s="12"/>
    </row>
    <row r="42365" spans="32:32" x14ac:dyDescent="0.2">
      <c r="AF42365" s="12"/>
    </row>
    <row r="42366" spans="32:32" x14ac:dyDescent="0.2">
      <c r="AF42366" s="12"/>
    </row>
    <row r="42367" spans="32:32" x14ac:dyDescent="0.2">
      <c r="AF42367" s="12"/>
    </row>
    <row r="42368" spans="32:32" x14ac:dyDescent="0.2">
      <c r="AF42368" s="12"/>
    </row>
    <row r="42369" spans="32:32" x14ac:dyDescent="0.2">
      <c r="AF42369" s="12"/>
    </row>
    <row r="42370" spans="32:32" x14ac:dyDescent="0.2">
      <c r="AF42370" s="12"/>
    </row>
    <row r="42371" spans="32:32" x14ac:dyDescent="0.2">
      <c r="AF42371" s="12"/>
    </row>
    <row r="42372" spans="32:32" x14ac:dyDescent="0.2">
      <c r="AF42372" s="12"/>
    </row>
    <row r="42373" spans="32:32" x14ac:dyDescent="0.2">
      <c r="AF42373" s="12"/>
    </row>
    <row r="42374" spans="32:32" x14ac:dyDescent="0.2">
      <c r="AF42374" s="12"/>
    </row>
    <row r="42375" spans="32:32" x14ac:dyDescent="0.2">
      <c r="AF42375" s="12"/>
    </row>
    <row r="42376" spans="32:32" x14ac:dyDescent="0.2">
      <c r="AF42376" s="12"/>
    </row>
    <row r="42377" spans="32:32" x14ac:dyDescent="0.2">
      <c r="AF42377" s="12"/>
    </row>
    <row r="42378" spans="32:32" x14ac:dyDescent="0.2">
      <c r="AF42378" s="12"/>
    </row>
    <row r="42379" spans="32:32" x14ac:dyDescent="0.2">
      <c r="AF42379" s="12"/>
    </row>
    <row r="42380" spans="32:32" x14ac:dyDescent="0.2">
      <c r="AF42380" s="12"/>
    </row>
    <row r="42381" spans="32:32" x14ac:dyDescent="0.2">
      <c r="AF42381" s="12"/>
    </row>
    <row r="42382" spans="32:32" x14ac:dyDescent="0.2">
      <c r="AF42382" s="12"/>
    </row>
    <row r="42383" spans="32:32" x14ac:dyDescent="0.2">
      <c r="AF42383" s="12"/>
    </row>
    <row r="42384" spans="32:32" x14ac:dyDescent="0.2">
      <c r="AF42384" s="12"/>
    </row>
    <row r="42385" spans="32:32" x14ac:dyDescent="0.2">
      <c r="AF42385" s="12"/>
    </row>
    <row r="42386" spans="32:32" x14ac:dyDescent="0.2">
      <c r="AF42386" s="12"/>
    </row>
    <row r="42387" spans="32:32" x14ac:dyDescent="0.2">
      <c r="AF42387" s="12"/>
    </row>
    <row r="42388" spans="32:32" x14ac:dyDescent="0.2">
      <c r="AF42388" s="12"/>
    </row>
    <row r="42389" spans="32:32" x14ac:dyDescent="0.2">
      <c r="AF42389" s="12"/>
    </row>
    <row r="42390" spans="32:32" x14ac:dyDescent="0.2">
      <c r="AF42390" s="12"/>
    </row>
    <row r="42391" spans="32:32" x14ac:dyDescent="0.2">
      <c r="AF42391" s="12"/>
    </row>
    <row r="42392" spans="32:32" x14ac:dyDescent="0.2">
      <c r="AF42392" s="12"/>
    </row>
    <row r="42393" spans="32:32" x14ac:dyDescent="0.2">
      <c r="AF42393" s="12"/>
    </row>
    <row r="42394" spans="32:32" x14ac:dyDescent="0.2">
      <c r="AF42394" s="12"/>
    </row>
    <row r="42395" spans="32:32" x14ac:dyDescent="0.2">
      <c r="AF42395" s="12"/>
    </row>
    <row r="42396" spans="32:32" x14ac:dyDescent="0.2">
      <c r="AF42396" s="12"/>
    </row>
    <row r="42397" spans="32:32" x14ac:dyDescent="0.2">
      <c r="AF42397" s="12"/>
    </row>
    <row r="42398" spans="32:32" x14ac:dyDescent="0.2">
      <c r="AF42398" s="12"/>
    </row>
    <row r="42399" spans="32:32" x14ac:dyDescent="0.2">
      <c r="AF42399" s="12"/>
    </row>
    <row r="42400" spans="32:32" x14ac:dyDescent="0.2">
      <c r="AF42400" s="12"/>
    </row>
    <row r="42401" spans="32:32" x14ac:dyDescent="0.2">
      <c r="AF42401" s="12"/>
    </row>
    <row r="42402" spans="32:32" x14ac:dyDescent="0.2">
      <c r="AF42402" s="12"/>
    </row>
    <row r="42403" spans="32:32" x14ac:dyDescent="0.2">
      <c r="AF42403" s="12"/>
    </row>
    <row r="42404" spans="32:32" x14ac:dyDescent="0.2">
      <c r="AF42404" s="12"/>
    </row>
    <row r="42405" spans="32:32" x14ac:dyDescent="0.2">
      <c r="AF42405" s="12"/>
    </row>
    <row r="42406" spans="32:32" x14ac:dyDescent="0.2">
      <c r="AF42406" s="12"/>
    </row>
    <row r="42407" spans="32:32" x14ac:dyDescent="0.2">
      <c r="AF42407" s="12"/>
    </row>
    <row r="42408" spans="32:32" x14ac:dyDescent="0.2">
      <c r="AF42408" s="12"/>
    </row>
    <row r="42409" spans="32:32" x14ac:dyDescent="0.2">
      <c r="AF42409" s="12"/>
    </row>
    <row r="42410" spans="32:32" x14ac:dyDescent="0.2">
      <c r="AF42410" s="12"/>
    </row>
    <row r="42411" spans="32:32" x14ac:dyDescent="0.2">
      <c r="AF42411" s="12"/>
    </row>
    <row r="42412" spans="32:32" x14ac:dyDescent="0.2">
      <c r="AF42412" s="12"/>
    </row>
    <row r="42413" spans="32:32" x14ac:dyDescent="0.2">
      <c r="AF42413" s="12"/>
    </row>
    <row r="42414" spans="32:32" x14ac:dyDescent="0.2">
      <c r="AF42414" s="12"/>
    </row>
    <row r="42415" spans="32:32" x14ac:dyDescent="0.2">
      <c r="AF42415" s="12"/>
    </row>
    <row r="42416" spans="32:32" x14ac:dyDescent="0.2">
      <c r="AF42416" s="12"/>
    </row>
    <row r="42417" spans="32:32" x14ac:dyDescent="0.2">
      <c r="AF42417" s="12"/>
    </row>
    <row r="42418" spans="32:32" x14ac:dyDescent="0.2">
      <c r="AF42418" s="12"/>
    </row>
    <row r="42419" spans="32:32" x14ac:dyDescent="0.2">
      <c r="AF42419" s="12"/>
    </row>
    <row r="42420" spans="32:32" x14ac:dyDescent="0.2">
      <c r="AF42420" s="12"/>
    </row>
    <row r="42421" spans="32:32" x14ac:dyDescent="0.2">
      <c r="AF42421" s="12"/>
    </row>
    <row r="42422" spans="32:32" x14ac:dyDescent="0.2">
      <c r="AF42422" s="12"/>
    </row>
    <row r="42423" spans="32:32" x14ac:dyDescent="0.2">
      <c r="AF42423" s="12"/>
    </row>
    <row r="42424" spans="32:32" x14ac:dyDescent="0.2">
      <c r="AF42424" s="12"/>
    </row>
    <row r="42425" spans="32:32" x14ac:dyDescent="0.2">
      <c r="AF42425" s="12"/>
    </row>
    <row r="42426" spans="32:32" x14ac:dyDescent="0.2">
      <c r="AF42426" s="12"/>
    </row>
    <row r="42427" spans="32:32" x14ac:dyDescent="0.2">
      <c r="AF42427" s="12"/>
    </row>
    <row r="42428" spans="32:32" x14ac:dyDescent="0.2">
      <c r="AF42428" s="12"/>
    </row>
    <row r="42429" spans="32:32" x14ac:dyDescent="0.2">
      <c r="AF42429" s="12"/>
    </row>
    <row r="42430" spans="32:32" x14ac:dyDescent="0.2">
      <c r="AF42430" s="12"/>
    </row>
    <row r="42431" spans="32:32" x14ac:dyDescent="0.2">
      <c r="AF42431" s="12"/>
    </row>
    <row r="42432" spans="32:32" x14ac:dyDescent="0.2">
      <c r="AF42432" s="12"/>
    </row>
    <row r="42433" spans="32:32" x14ac:dyDescent="0.2">
      <c r="AF42433" s="12"/>
    </row>
    <row r="42434" spans="32:32" x14ac:dyDescent="0.2">
      <c r="AF42434" s="12"/>
    </row>
    <row r="42435" spans="32:32" x14ac:dyDescent="0.2">
      <c r="AF42435" s="12"/>
    </row>
    <row r="42436" spans="32:32" x14ac:dyDescent="0.2">
      <c r="AF42436" s="12"/>
    </row>
    <row r="42437" spans="32:32" x14ac:dyDescent="0.2">
      <c r="AF42437" s="12"/>
    </row>
    <row r="42438" spans="32:32" x14ac:dyDescent="0.2">
      <c r="AF42438" s="12"/>
    </row>
    <row r="42439" spans="32:32" x14ac:dyDescent="0.2">
      <c r="AF42439" s="12"/>
    </row>
    <row r="42440" spans="32:32" x14ac:dyDescent="0.2">
      <c r="AF42440" s="12"/>
    </row>
    <row r="42441" spans="32:32" x14ac:dyDescent="0.2">
      <c r="AF42441" s="12"/>
    </row>
    <row r="42442" spans="32:32" x14ac:dyDescent="0.2">
      <c r="AF42442" s="12"/>
    </row>
    <row r="42443" spans="32:32" x14ac:dyDescent="0.2">
      <c r="AF42443" s="12"/>
    </row>
    <row r="42444" spans="32:32" x14ac:dyDescent="0.2">
      <c r="AF42444" s="12"/>
    </row>
    <row r="42445" spans="32:32" x14ac:dyDescent="0.2">
      <c r="AF42445" s="12"/>
    </row>
    <row r="42446" spans="32:32" x14ac:dyDescent="0.2">
      <c r="AF42446" s="12"/>
    </row>
    <row r="42447" spans="32:32" x14ac:dyDescent="0.2">
      <c r="AF42447" s="12"/>
    </row>
    <row r="42448" spans="32:32" x14ac:dyDescent="0.2">
      <c r="AF42448" s="12"/>
    </row>
    <row r="42449" spans="32:32" x14ac:dyDescent="0.2">
      <c r="AF42449" s="12"/>
    </row>
    <row r="42450" spans="32:32" x14ac:dyDescent="0.2">
      <c r="AF42450" s="12"/>
    </row>
    <row r="42451" spans="32:32" x14ac:dyDescent="0.2">
      <c r="AF42451" s="12"/>
    </row>
    <row r="42452" spans="32:32" x14ac:dyDescent="0.2">
      <c r="AF42452" s="12"/>
    </row>
    <row r="42453" spans="32:32" x14ac:dyDescent="0.2">
      <c r="AF42453" s="12"/>
    </row>
    <row r="42454" spans="32:32" x14ac:dyDescent="0.2">
      <c r="AF42454" s="12"/>
    </row>
    <row r="42455" spans="32:32" x14ac:dyDescent="0.2">
      <c r="AF42455" s="12"/>
    </row>
    <row r="42456" spans="32:32" x14ac:dyDescent="0.2">
      <c r="AF42456" s="12"/>
    </row>
    <row r="42457" spans="32:32" x14ac:dyDescent="0.2">
      <c r="AF42457" s="12"/>
    </row>
    <row r="42458" spans="32:32" x14ac:dyDescent="0.2">
      <c r="AF42458" s="12"/>
    </row>
    <row r="42459" spans="32:32" x14ac:dyDescent="0.2">
      <c r="AF42459" s="12"/>
    </row>
    <row r="42460" spans="32:32" x14ac:dyDescent="0.2">
      <c r="AF42460" s="12"/>
    </row>
    <row r="42461" spans="32:32" x14ac:dyDescent="0.2">
      <c r="AF42461" s="12"/>
    </row>
    <row r="42462" spans="32:32" x14ac:dyDescent="0.2">
      <c r="AF42462" s="12"/>
    </row>
    <row r="42463" spans="32:32" x14ac:dyDescent="0.2">
      <c r="AF42463" s="12"/>
    </row>
    <row r="42464" spans="32:32" x14ac:dyDescent="0.2">
      <c r="AF42464" s="12"/>
    </row>
    <row r="42465" spans="32:32" x14ac:dyDescent="0.2">
      <c r="AF42465" s="12"/>
    </row>
    <row r="42466" spans="32:32" x14ac:dyDescent="0.2">
      <c r="AF42466" s="12"/>
    </row>
    <row r="42467" spans="32:32" x14ac:dyDescent="0.2">
      <c r="AF42467" s="12"/>
    </row>
    <row r="42468" spans="32:32" x14ac:dyDescent="0.2">
      <c r="AF42468" s="12"/>
    </row>
    <row r="42469" spans="32:32" x14ac:dyDescent="0.2">
      <c r="AF42469" s="12"/>
    </row>
    <row r="42470" spans="32:32" x14ac:dyDescent="0.2">
      <c r="AF42470" s="12"/>
    </row>
    <row r="42471" spans="32:32" x14ac:dyDescent="0.2">
      <c r="AF42471" s="12"/>
    </row>
    <row r="42472" spans="32:32" x14ac:dyDescent="0.2">
      <c r="AF42472" s="12"/>
    </row>
    <row r="42473" spans="32:32" x14ac:dyDescent="0.2">
      <c r="AF42473" s="12"/>
    </row>
    <row r="42474" spans="32:32" x14ac:dyDescent="0.2">
      <c r="AF42474" s="12"/>
    </row>
    <row r="42475" spans="32:32" x14ac:dyDescent="0.2">
      <c r="AF42475" s="12"/>
    </row>
    <row r="42476" spans="32:32" x14ac:dyDescent="0.2">
      <c r="AF42476" s="12"/>
    </row>
    <row r="42477" spans="32:32" x14ac:dyDescent="0.2">
      <c r="AF42477" s="12"/>
    </row>
    <row r="42478" spans="32:32" x14ac:dyDescent="0.2">
      <c r="AF42478" s="12"/>
    </row>
    <row r="42479" spans="32:32" x14ac:dyDescent="0.2">
      <c r="AF42479" s="12"/>
    </row>
    <row r="42480" spans="32:32" x14ac:dyDescent="0.2">
      <c r="AF42480" s="12"/>
    </row>
    <row r="42481" spans="32:32" x14ac:dyDescent="0.2">
      <c r="AF42481" s="12"/>
    </row>
    <row r="42482" spans="32:32" x14ac:dyDescent="0.2">
      <c r="AF42482" s="12"/>
    </row>
    <row r="42483" spans="32:32" x14ac:dyDescent="0.2">
      <c r="AF42483" s="12"/>
    </row>
    <row r="42484" spans="32:32" x14ac:dyDescent="0.2">
      <c r="AF42484" s="12"/>
    </row>
    <row r="42485" spans="32:32" x14ac:dyDescent="0.2">
      <c r="AF42485" s="12"/>
    </row>
    <row r="42486" spans="32:32" x14ac:dyDescent="0.2">
      <c r="AF42486" s="12"/>
    </row>
    <row r="42487" spans="32:32" x14ac:dyDescent="0.2">
      <c r="AF42487" s="12"/>
    </row>
    <row r="42488" spans="32:32" x14ac:dyDescent="0.2">
      <c r="AF42488" s="12"/>
    </row>
    <row r="42489" spans="32:32" x14ac:dyDescent="0.2">
      <c r="AF42489" s="12"/>
    </row>
    <row r="42490" spans="32:32" x14ac:dyDescent="0.2">
      <c r="AF42490" s="12"/>
    </row>
    <row r="42491" spans="32:32" x14ac:dyDescent="0.2">
      <c r="AF42491" s="12"/>
    </row>
    <row r="42492" spans="32:32" x14ac:dyDescent="0.2">
      <c r="AF42492" s="12"/>
    </row>
    <row r="42493" spans="32:32" x14ac:dyDescent="0.2">
      <c r="AF42493" s="12"/>
    </row>
    <row r="42494" spans="32:32" x14ac:dyDescent="0.2">
      <c r="AF42494" s="12"/>
    </row>
    <row r="42495" spans="32:32" x14ac:dyDescent="0.2">
      <c r="AF42495" s="12"/>
    </row>
    <row r="42496" spans="32:32" x14ac:dyDescent="0.2">
      <c r="AF42496" s="12"/>
    </row>
    <row r="42497" spans="32:32" x14ac:dyDescent="0.2">
      <c r="AF42497" s="12"/>
    </row>
    <row r="42498" spans="32:32" x14ac:dyDescent="0.2">
      <c r="AF42498" s="12"/>
    </row>
    <row r="42499" spans="32:32" x14ac:dyDescent="0.2">
      <c r="AF42499" s="12"/>
    </row>
    <row r="42500" spans="32:32" x14ac:dyDescent="0.2">
      <c r="AF42500" s="12"/>
    </row>
    <row r="42501" spans="32:32" x14ac:dyDescent="0.2">
      <c r="AF42501" s="12"/>
    </row>
    <row r="42502" spans="32:32" x14ac:dyDescent="0.2">
      <c r="AF42502" s="12"/>
    </row>
    <row r="42503" spans="32:32" x14ac:dyDescent="0.2">
      <c r="AF42503" s="12"/>
    </row>
    <row r="42504" spans="32:32" x14ac:dyDescent="0.2">
      <c r="AF42504" s="12"/>
    </row>
    <row r="42505" spans="32:32" x14ac:dyDescent="0.2">
      <c r="AF42505" s="12"/>
    </row>
    <row r="42506" spans="32:32" x14ac:dyDescent="0.2">
      <c r="AF42506" s="12"/>
    </row>
    <row r="42507" spans="32:32" x14ac:dyDescent="0.2">
      <c r="AF42507" s="12"/>
    </row>
    <row r="42508" spans="32:32" x14ac:dyDescent="0.2">
      <c r="AF42508" s="12"/>
    </row>
    <row r="42509" spans="32:32" x14ac:dyDescent="0.2">
      <c r="AF42509" s="12"/>
    </row>
    <row r="42510" spans="32:32" x14ac:dyDescent="0.2">
      <c r="AF42510" s="12"/>
    </row>
    <row r="42511" spans="32:32" x14ac:dyDescent="0.2">
      <c r="AF42511" s="12"/>
    </row>
    <row r="42512" spans="32:32" x14ac:dyDescent="0.2">
      <c r="AF42512" s="12"/>
    </row>
    <row r="42513" spans="32:32" x14ac:dyDescent="0.2">
      <c r="AF42513" s="12"/>
    </row>
    <row r="42514" spans="32:32" x14ac:dyDescent="0.2">
      <c r="AF42514" s="12"/>
    </row>
    <row r="42515" spans="32:32" x14ac:dyDescent="0.2">
      <c r="AF42515" s="12"/>
    </row>
    <row r="42516" spans="32:32" x14ac:dyDescent="0.2">
      <c r="AF42516" s="12"/>
    </row>
    <row r="42517" spans="32:32" x14ac:dyDescent="0.2">
      <c r="AF42517" s="12"/>
    </row>
    <row r="42518" spans="32:32" x14ac:dyDescent="0.2">
      <c r="AF42518" s="12"/>
    </row>
    <row r="42519" spans="32:32" x14ac:dyDescent="0.2">
      <c r="AF42519" s="12"/>
    </row>
    <row r="42520" spans="32:32" x14ac:dyDescent="0.2">
      <c r="AF42520" s="12"/>
    </row>
    <row r="42521" spans="32:32" x14ac:dyDescent="0.2">
      <c r="AF42521" s="12"/>
    </row>
    <row r="42522" spans="32:32" x14ac:dyDescent="0.2">
      <c r="AF42522" s="12"/>
    </row>
    <row r="42523" spans="32:32" x14ac:dyDescent="0.2">
      <c r="AF42523" s="12"/>
    </row>
    <row r="42524" spans="32:32" x14ac:dyDescent="0.2">
      <c r="AF42524" s="12"/>
    </row>
    <row r="42525" spans="32:32" x14ac:dyDescent="0.2">
      <c r="AF42525" s="12"/>
    </row>
    <row r="42526" spans="32:32" x14ac:dyDescent="0.2">
      <c r="AF42526" s="12"/>
    </row>
    <row r="42527" spans="32:32" x14ac:dyDescent="0.2">
      <c r="AF42527" s="12"/>
    </row>
    <row r="42528" spans="32:32" x14ac:dyDescent="0.2">
      <c r="AF42528" s="12"/>
    </row>
    <row r="42529" spans="32:32" x14ac:dyDescent="0.2">
      <c r="AF42529" s="12"/>
    </row>
    <row r="42530" spans="32:32" x14ac:dyDescent="0.2">
      <c r="AF42530" s="12"/>
    </row>
    <row r="42531" spans="32:32" x14ac:dyDescent="0.2">
      <c r="AF42531" s="12"/>
    </row>
    <row r="42532" spans="32:32" x14ac:dyDescent="0.2">
      <c r="AF42532" s="12"/>
    </row>
    <row r="42533" spans="32:32" x14ac:dyDescent="0.2">
      <c r="AF42533" s="12"/>
    </row>
    <row r="42534" spans="32:32" x14ac:dyDescent="0.2">
      <c r="AF42534" s="12"/>
    </row>
    <row r="42535" spans="32:32" x14ac:dyDescent="0.2">
      <c r="AF42535" s="12"/>
    </row>
    <row r="42536" spans="32:32" x14ac:dyDescent="0.2">
      <c r="AF42536" s="12"/>
    </row>
    <row r="42537" spans="32:32" x14ac:dyDescent="0.2">
      <c r="AF42537" s="12"/>
    </row>
    <row r="42538" spans="32:32" x14ac:dyDescent="0.2">
      <c r="AF42538" s="12"/>
    </row>
    <row r="42539" spans="32:32" x14ac:dyDescent="0.2">
      <c r="AF42539" s="12"/>
    </row>
    <row r="42540" spans="32:32" x14ac:dyDescent="0.2">
      <c r="AF42540" s="12"/>
    </row>
    <row r="42541" spans="32:32" x14ac:dyDescent="0.2">
      <c r="AF42541" s="12"/>
    </row>
    <row r="42542" spans="32:32" x14ac:dyDescent="0.2">
      <c r="AF42542" s="12"/>
    </row>
    <row r="42543" spans="32:32" x14ac:dyDescent="0.2">
      <c r="AF42543" s="12"/>
    </row>
    <row r="42544" spans="32:32" x14ac:dyDescent="0.2">
      <c r="AF42544" s="12"/>
    </row>
    <row r="42545" spans="32:32" x14ac:dyDescent="0.2">
      <c r="AF42545" s="12"/>
    </row>
    <row r="42546" spans="32:32" x14ac:dyDescent="0.2">
      <c r="AF42546" s="12"/>
    </row>
    <row r="42547" spans="32:32" x14ac:dyDescent="0.2">
      <c r="AF42547" s="12"/>
    </row>
    <row r="42548" spans="32:32" x14ac:dyDescent="0.2">
      <c r="AF42548" s="12"/>
    </row>
    <row r="42549" spans="32:32" x14ac:dyDescent="0.2">
      <c r="AF42549" s="12"/>
    </row>
    <row r="42550" spans="32:32" x14ac:dyDescent="0.2">
      <c r="AF42550" s="12"/>
    </row>
    <row r="42551" spans="32:32" x14ac:dyDescent="0.2">
      <c r="AF42551" s="12"/>
    </row>
    <row r="42552" spans="32:32" x14ac:dyDescent="0.2">
      <c r="AF42552" s="12"/>
    </row>
    <row r="42553" spans="32:32" x14ac:dyDescent="0.2">
      <c r="AF42553" s="12"/>
    </row>
    <row r="42554" spans="32:32" x14ac:dyDescent="0.2">
      <c r="AF42554" s="12"/>
    </row>
    <row r="42555" spans="32:32" x14ac:dyDescent="0.2">
      <c r="AF42555" s="12"/>
    </row>
    <row r="42556" spans="32:32" x14ac:dyDescent="0.2">
      <c r="AF42556" s="12"/>
    </row>
    <row r="42557" spans="32:32" x14ac:dyDescent="0.2">
      <c r="AF42557" s="12"/>
    </row>
    <row r="42558" spans="32:32" x14ac:dyDescent="0.2">
      <c r="AF42558" s="12"/>
    </row>
    <row r="42559" spans="32:32" x14ac:dyDescent="0.2">
      <c r="AF42559" s="12"/>
    </row>
    <row r="42560" spans="32:32" x14ac:dyDescent="0.2">
      <c r="AF42560" s="12"/>
    </row>
    <row r="42561" spans="32:32" x14ac:dyDescent="0.2">
      <c r="AF42561" s="12"/>
    </row>
    <row r="42562" spans="32:32" x14ac:dyDescent="0.2">
      <c r="AF42562" s="12"/>
    </row>
    <row r="42563" spans="32:32" x14ac:dyDescent="0.2">
      <c r="AF42563" s="12"/>
    </row>
    <row r="42564" spans="32:32" x14ac:dyDescent="0.2">
      <c r="AF42564" s="12"/>
    </row>
    <row r="42565" spans="32:32" x14ac:dyDescent="0.2">
      <c r="AF42565" s="12"/>
    </row>
    <row r="42566" spans="32:32" x14ac:dyDescent="0.2">
      <c r="AF42566" s="12"/>
    </row>
    <row r="42567" spans="32:32" x14ac:dyDescent="0.2">
      <c r="AF42567" s="12"/>
    </row>
    <row r="42568" spans="32:32" x14ac:dyDescent="0.2">
      <c r="AF42568" s="12"/>
    </row>
    <row r="42569" spans="32:32" x14ac:dyDescent="0.2">
      <c r="AF42569" s="12"/>
    </row>
    <row r="42570" spans="32:32" x14ac:dyDescent="0.2">
      <c r="AF42570" s="12"/>
    </row>
    <row r="42571" spans="32:32" x14ac:dyDescent="0.2">
      <c r="AF42571" s="12"/>
    </row>
    <row r="42572" spans="32:32" x14ac:dyDescent="0.2">
      <c r="AF42572" s="12"/>
    </row>
    <row r="42573" spans="32:32" x14ac:dyDescent="0.2">
      <c r="AF42573" s="12"/>
    </row>
    <row r="42574" spans="32:32" x14ac:dyDescent="0.2">
      <c r="AF42574" s="12"/>
    </row>
    <row r="42575" spans="32:32" x14ac:dyDescent="0.2">
      <c r="AF42575" s="12"/>
    </row>
    <row r="42576" spans="32:32" x14ac:dyDescent="0.2">
      <c r="AF42576" s="12"/>
    </row>
    <row r="42577" spans="32:32" x14ac:dyDescent="0.2">
      <c r="AF42577" s="12"/>
    </row>
    <row r="42578" spans="32:32" x14ac:dyDescent="0.2">
      <c r="AF42578" s="12"/>
    </row>
    <row r="42579" spans="32:32" x14ac:dyDescent="0.2">
      <c r="AF42579" s="12"/>
    </row>
    <row r="42580" spans="32:32" x14ac:dyDescent="0.2">
      <c r="AF42580" s="12"/>
    </row>
    <row r="42581" spans="32:32" x14ac:dyDescent="0.2">
      <c r="AF42581" s="12"/>
    </row>
    <row r="42582" spans="32:32" x14ac:dyDescent="0.2">
      <c r="AF42582" s="12"/>
    </row>
    <row r="42583" spans="32:32" x14ac:dyDescent="0.2">
      <c r="AF42583" s="12"/>
    </row>
    <row r="42584" spans="32:32" x14ac:dyDescent="0.2">
      <c r="AF42584" s="12"/>
    </row>
    <row r="42585" spans="32:32" x14ac:dyDescent="0.2">
      <c r="AF42585" s="12"/>
    </row>
    <row r="42586" spans="32:32" x14ac:dyDescent="0.2">
      <c r="AF42586" s="12"/>
    </row>
    <row r="42587" spans="32:32" x14ac:dyDescent="0.2">
      <c r="AF42587" s="12"/>
    </row>
    <row r="42588" spans="32:32" x14ac:dyDescent="0.2">
      <c r="AF42588" s="12"/>
    </row>
    <row r="42589" spans="32:32" x14ac:dyDescent="0.2">
      <c r="AF42589" s="12"/>
    </row>
    <row r="42590" spans="32:32" x14ac:dyDescent="0.2">
      <c r="AF42590" s="12"/>
    </row>
    <row r="42591" spans="32:32" x14ac:dyDescent="0.2">
      <c r="AF42591" s="12"/>
    </row>
    <row r="42592" spans="32:32" x14ac:dyDescent="0.2">
      <c r="AF42592" s="12"/>
    </row>
    <row r="42593" spans="32:32" x14ac:dyDescent="0.2">
      <c r="AF42593" s="12"/>
    </row>
    <row r="42594" spans="32:32" x14ac:dyDescent="0.2">
      <c r="AF42594" s="12"/>
    </row>
    <row r="42595" spans="32:32" x14ac:dyDescent="0.2">
      <c r="AF42595" s="12"/>
    </row>
    <row r="42596" spans="32:32" x14ac:dyDescent="0.2">
      <c r="AF42596" s="12"/>
    </row>
    <row r="42597" spans="32:32" x14ac:dyDescent="0.2">
      <c r="AF42597" s="12"/>
    </row>
    <row r="42598" spans="32:32" x14ac:dyDescent="0.2">
      <c r="AF42598" s="12"/>
    </row>
    <row r="42599" spans="32:32" x14ac:dyDescent="0.2">
      <c r="AF42599" s="12"/>
    </row>
    <row r="42600" spans="32:32" x14ac:dyDescent="0.2">
      <c r="AF42600" s="12"/>
    </row>
    <row r="42601" spans="32:32" x14ac:dyDescent="0.2">
      <c r="AF42601" s="12"/>
    </row>
    <row r="42602" spans="32:32" x14ac:dyDescent="0.2">
      <c r="AF42602" s="12"/>
    </row>
    <row r="42603" spans="32:32" x14ac:dyDescent="0.2">
      <c r="AF42603" s="12"/>
    </row>
    <row r="42604" spans="32:32" x14ac:dyDescent="0.2">
      <c r="AF42604" s="12"/>
    </row>
    <row r="42605" spans="32:32" x14ac:dyDescent="0.2">
      <c r="AF42605" s="12"/>
    </row>
    <row r="42606" spans="32:32" x14ac:dyDescent="0.2">
      <c r="AF42606" s="12"/>
    </row>
    <row r="42607" spans="32:32" x14ac:dyDescent="0.2">
      <c r="AF42607" s="12"/>
    </row>
    <row r="42608" spans="32:32" x14ac:dyDescent="0.2">
      <c r="AF42608" s="12"/>
    </row>
    <row r="42609" spans="32:32" x14ac:dyDescent="0.2">
      <c r="AF42609" s="12"/>
    </row>
    <row r="42610" spans="32:32" x14ac:dyDescent="0.2">
      <c r="AF42610" s="12"/>
    </row>
    <row r="42611" spans="32:32" x14ac:dyDescent="0.2">
      <c r="AF42611" s="12"/>
    </row>
    <row r="42612" spans="32:32" x14ac:dyDescent="0.2">
      <c r="AF42612" s="12"/>
    </row>
    <row r="42613" spans="32:32" x14ac:dyDescent="0.2">
      <c r="AF42613" s="12"/>
    </row>
    <row r="42614" spans="32:32" x14ac:dyDescent="0.2">
      <c r="AF42614" s="12"/>
    </row>
    <row r="42615" spans="32:32" x14ac:dyDescent="0.2">
      <c r="AF42615" s="12"/>
    </row>
    <row r="42616" spans="32:32" x14ac:dyDescent="0.2">
      <c r="AF42616" s="12"/>
    </row>
    <row r="42617" spans="32:32" x14ac:dyDescent="0.2">
      <c r="AF42617" s="12"/>
    </row>
    <row r="42618" spans="32:32" x14ac:dyDescent="0.2">
      <c r="AF42618" s="12"/>
    </row>
    <row r="42619" spans="32:32" x14ac:dyDescent="0.2">
      <c r="AF42619" s="12"/>
    </row>
    <row r="42620" spans="32:32" x14ac:dyDescent="0.2">
      <c r="AF42620" s="12"/>
    </row>
    <row r="42621" spans="32:32" x14ac:dyDescent="0.2">
      <c r="AF42621" s="12"/>
    </row>
    <row r="42622" spans="32:32" x14ac:dyDescent="0.2">
      <c r="AF42622" s="12"/>
    </row>
    <row r="42623" spans="32:32" x14ac:dyDescent="0.2">
      <c r="AF42623" s="12"/>
    </row>
    <row r="42624" spans="32:32" x14ac:dyDescent="0.2">
      <c r="AF42624" s="12"/>
    </row>
    <row r="42625" spans="32:32" x14ac:dyDescent="0.2">
      <c r="AF42625" s="12"/>
    </row>
    <row r="42626" spans="32:32" x14ac:dyDescent="0.2">
      <c r="AF42626" s="12"/>
    </row>
    <row r="42627" spans="32:32" x14ac:dyDescent="0.2">
      <c r="AF42627" s="12"/>
    </row>
    <row r="42628" spans="32:32" x14ac:dyDescent="0.2">
      <c r="AF42628" s="12"/>
    </row>
    <row r="42629" spans="32:32" x14ac:dyDescent="0.2">
      <c r="AF42629" s="12"/>
    </row>
    <row r="42630" spans="32:32" x14ac:dyDescent="0.2">
      <c r="AF42630" s="12"/>
    </row>
    <row r="42631" spans="32:32" x14ac:dyDescent="0.2">
      <c r="AF42631" s="12"/>
    </row>
    <row r="42632" spans="32:32" x14ac:dyDescent="0.2">
      <c r="AF42632" s="12"/>
    </row>
    <row r="42633" spans="32:32" x14ac:dyDescent="0.2">
      <c r="AF42633" s="12"/>
    </row>
    <row r="42634" spans="32:32" x14ac:dyDescent="0.2">
      <c r="AF42634" s="12"/>
    </row>
    <row r="42635" spans="32:32" x14ac:dyDescent="0.2">
      <c r="AF42635" s="12"/>
    </row>
    <row r="42636" spans="32:32" x14ac:dyDescent="0.2">
      <c r="AF42636" s="12"/>
    </row>
    <row r="42637" spans="32:32" x14ac:dyDescent="0.2">
      <c r="AF42637" s="12"/>
    </row>
    <row r="42638" spans="32:32" x14ac:dyDescent="0.2">
      <c r="AF42638" s="12"/>
    </row>
    <row r="42639" spans="32:32" x14ac:dyDescent="0.2">
      <c r="AF42639" s="12"/>
    </row>
    <row r="42640" spans="32:32" x14ac:dyDescent="0.2">
      <c r="AF42640" s="12"/>
    </row>
    <row r="42641" spans="32:32" x14ac:dyDescent="0.2">
      <c r="AF42641" s="12"/>
    </row>
    <row r="42642" spans="32:32" x14ac:dyDescent="0.2">
      <c r="AF42642" s="12"/>
    </row>
    <row r="42643" spans="32:32" x14ac:dyDescent="0.2">
      <c r="AF42643" s="12"/>
    </row>
    <row r="42644" spans="32:32" x14ac:dyDescent="0.2">
      <c r="AF42644" s="12"/>
    </row>
    <row r="42645" spans="32:32" x14ac:dyDescent="0.2">
      <c r="AF42645" s="12"/>
    </row>
    <row r="42646" spans="32:32" x14ac:dyDescent="0.2">
      <c r="AF42646" s="12"/>
    </row>
    <row r="42647" spans="32:32" x14ac:dyDescent="0.2">
      <c r="AF42647" s="12"/>
    </row>
    <row r="42648" spans="32:32" x14ac:dyDescent="0.2">
      <c r="AF42648" s="12"/>
    </row>
    <row r="42649" spans="32:32" x14ac:dyDescent="0.2">
      <c r="AF42649" s="12"/>
    </row>
    <row r="42650" spans="32:32" x14ac:dyDescent="0.2">
      <c r="AF42650" s="12"/>
    </row>
    <row r="42651" spans="32:32" x14ac:dyDescent="0.2">
      <c r="AF42651" s="12"/>
    </row>
    <row r="42652" spans="32:32" x14ac:dyDescent="0.2">
      <c r="AF42652" s="12"/>
    </row>
    <row r="42653" spans="32:32" x14ac:dyDescent="0.2">
      <c r="AF42653" s="12"/>
    </row>
    <row r="42654" spans="32:32" x14ac:dyDescent="0.2">
      <c r="AF42654" s="12"/>
    </row>
    <row r="42655" spans="32:32" x14ac:dyDescent="0.2">
      <c r="AF42655" s="12"/>
    </row>
    <row r="42656" spans="32:32" x14ac:dyDescent="0.2">
      <c r="AF42656" s="12"/>
    </row>
    <row r="42657" spans="32:32" x14ac:dyDescent="0.2">
      <c r="AF42657" s="12"/>
    </row>
    <row r="42658" spans="32:32" x14ac:dyDescent="0.2">
      <c r="AF42658" s="12"/>
    </row>
    <row r="42659" spans="32:32" x14ac:dyDescent="0.2">
      <c r="AF42659" s="12"/>
    </row>
    <row r="42660" spans="32:32" x14ac:dyDescent="0.2">
      <c r="AF42660" s="12"/>
    </row>
    <row r="42661" spans="32:32" x14ac:dyDescent="0.2">
      <c r="AF42661" s="12"/>
    </row>
    <row r="42662" spans="32:32" x14ac:dyDescent="0.2">
      <c r="AF42662" s="12"/>
    </row>
    <row r="42663" spans="32:32" x14ac:dyDescent="0.2">
      <c r="AF42663" s="12"/>
    </row>
    <row r="42664" spans="32:32" x14ac:dyDescent="0.2">
      <c r="AF42664" s="12"/>
    </row>
    <row r="42665" spans="32:32" x14ac:dyDescent="0.2">
      <c r="AF42665" s="12"/>
    </row>
    <row r="42666" spans="32:32" x14ac:dyDescent="0.2">
      <c r="AF42666" s="12"/>
    </row>
    <row r="42667" spans="32:32" x14ac:dyDescent="0.2">
      <c r="AF42667" s="12"/>
    </row>
    <row r="42668" spans="32:32" x14ac:dyDescent="0.2">
      <c r="AF42668" s="12"/>
    </row>
    <row r="42669" spans="32:32" x14ac:dyDescent="0.2">
      <c r="AF42669" s="12"/>
    </row>
    <row r="42670" spans="32:32" x14ac:dyDescent="0.2">
      <c r="AF42670" s="12"/>
    </row>
    <row r="42671" spans="32:32" x14ac:dyDescent="0.2">
      <c r="AF42671" s="12"/>
    </row>
    <row r="42672" spans="32:32" x14ac:dyDescent="0.2">
      <c r="AF42672" s="12"/>
    </row>
    <row r="42673" spans="32:32" x14ac:dyDescent="0.2">
      <c r="AF42673" s="12"/>
    </row>
    <row r="42674" spans="32:32" x14ac:dyDescent="0.2">
      <c r="AF42674" s="12"/>
    </row>
    <row r="42675" spans="32:32" x14ac:dyDescent="0.2">
      <c r="AF42675" s="12"/>
    </row>
    <row r="42676" spans="32:32" x14ac:dyDescent="0.2">
      <c r="AF42676" s="12"/>
    </row>
    <row r="42677" spans="32:32" x14ac:dyDescent="0.2">
      <c r="AF42677" s="12"/>
    </row>
    <row r="42678" spans="32:32" x14ac:dyDescent="0.2">
      <c r="AF42678" s="12"/>
    </row>
    <row r="42679" spans="32:32" x14ac:dyDescent="0.2">
      <c r="AF42679" s="12"/>
    </row>
    <row r="42680" spans="32:32" x14ac:dyDescent="0.2">
      <c r="AF42680" s="12"/>
    </row>
    <row r="42681" spans="32:32" x14ac:dyDescent="0.2">
      <c r="AF42681" s="12"/>
    </row>
    <row r="42682" spans="32:32" x14ac:dyDescent="0.2">
      <c r="AF42682" s="12"/>
    </row>
    <row r="42683" spans="32:32" x14ac:dyDescent="0.2">
      <c r="AF42683" s="12"/>
    </row>
    <row r="42684" spans="32:32" x14ac:dyDescent="0.2">
      <c r="AF42684" s="12"/>
    </row>
    <row r="42685" spans="32:32" x14ac:dyDescent="0.2">
      <c r="AF42685" s="12"/>
    </row>
    <row r="42686" spans="32:32" x14ac:dyDescent="0.2">
      <c r="AF42686" s="12"/>
    </row>
    <row r="42687" spans="32:32" x14ac:dyDescent="0.2">
      <c r="AF42687" s="12"/>
    </row>
    <row r="42688" spans="32:32" x14ac:dyDescent="0.2">
      <c r="AF42688" s="12"/>
    </row>
    <row r="42689" spans="32:32" x14ac:dyDescent="0.2">
      <c r="AF42689" s="12"/>
    </row>
    <row r="42690" spans="32:32" x14ac:dyDescent="0.2">
      <c r="AF42690" s="12"/>
    </row>
    <row r="42691" spans="32:32" x14ac:dyDescent="0.2">
      <c r="AF42691" s="12"/>
    </row>
    <row r="42692" spans="32:32" x14ac:dyDescent="0.2">
      <c r="AF42692" s="12"/>
    </row>
    <row r="42693" spans="32:32" x14ac:dyDescent="0.2">
      <c r="AF42693" s="12"/>
    </row>
    <row r="42694" spans="32:32" x14ac:dyDescent="0.2">
      <c r="AF42694" s="12"/>
    </row>
    <row r="42695" spans="32:32" x14ac:dyDescent="0.2">
      <c r="AF42695" s="12"/>
    </row>
    <row r="42696" spans="32:32" x14ac:dyDescent="0.2">
      <c r="AF42696" s="12"/>
    </row>
    <row r="42697" spans="32:32" x14ac:dyDescent="0.2">
      <c r="AF42697" s="12"/>
    </row>
    <row r="42698" spans="32:32" x14ac:dyDescent="0.2">
      <c r="AF42698" s="12"/>
    </row>
    <row r="42699" spans="32:32" x14ac:dyDescent="0.2">
      <c r="AF42699" s="12"/>
    </row>
    <row r="42700" spans="32:32" x14ac:dyDescent="0.2">
      <c r="AF42700" s="12"/>
    </row>
    <row r="42701" spans="32:32" x14ac:dyDescent="0.2">
      <c r="AF42701" s="12"/>
    </row>
    <row r="42702" spans="32:32" x14ac:dyDescent="0.2">
      <c r="AF42702" s="12"/>
    </row>
    <row r="42703" spans="32:32" x14ac:dyDescent="0.2">
      <c r="AF42703" s="12"/>
    </row>
    <row r="42704" spans="32:32" x14ac:dyDescent="0.2">
      <c r="AF42704" s="12"/>
    </row>
    <row r="42705" spans="32:32" x14ac:dyDescent="0.2">
      <c r="AF42705" s="12"/>
    </row>
    <row r="42706" spans="32:32" x14ac:dyDescent="0.2">
      <c r="AF42706" s="12"/>
    </row>
    <row r="42707" spans="32:32" x14ac:dyDescent="0.2">
      <c r="AF42707" s="12"/>
    </row>
    <row r="42708" spans="32:32" x14ac:dyDescent="0.2">
      <c r="AF42708" s="12"/>
    </row>
    <row r="42709" spans="32:32" x14ac:dyDescent="0.2">
      <c r="AF42709" s="12"/>
    </row>
    <row r="42710" spans="32:32" x14ac:dyDescent="0.2">
      <c r="AF42710" s="12"/>
    </row>
    <row r="42711" spans="32:32" x14ac:dyDescent="0.2">
      <c r="AF42711" s="12"/>
    </row>
    <row r="42712" spans="32:32" x14ac:dyDescent="0.2">
      <c r="AF42712" s="12"/>
    </row>
    <row r="42713" spans="32:32" x14ac:dyDescent="0.2">
      <c r="AF42713" s="12"/>
    </row>
    <row r="42714" spans="32:32" x14ac:dyDescent="0.2">
      <c r="AF42714" s="12"/>
    </row>
    <row r="42715" spans="32:32" x14ac:dyDescent="0.2">
      <c r="AF42715" s="12"/>
    </row>
    <row r="42716" spans="32:32" x14ac:dyDescent="0.2">
      <c r="AF42716" s="12"/>
    </row>
    <row r="42717" spans="32:32" x14ac:dyDescent="0.2">
      <c r="AF42717" s="12"/>
    </row>
    <row r="42718" spans="32:32" x14ac:dyDescent="0.2">
      <c r="AF42718" s="12"/>
    </row>
    <row r="42719" spans="32:32" x14ac:dyDescent="0.2">
      <c r="AF42719" s="12"/>
    </row>
    <row r="42720" spans="32:32" x14ac:dyDescent="0.2">
      <c r="AF42720" s="12"/>
    </row>
    <row r="42721" spans="32:32" x14ac:dyDescent="0.2">
      <c r="AF42721" s="12"/>
    </row>
    <row r="42722" spans="32:32" x14ac:dyDescent="0.2">
      <c r="AF42722" s="12"/>
    </row>
    <row r="42723" spans="32:32" x14ac:dyDescent="0.2">
      <c r="AF42723" s="12"/>
    </row>
    <row r="42724" spans="32:32" x14ac:dyDescent="0.2">
      <c r="AF42724" s="12"/>
    </row>
    <row r="42725" spans="32:32" x14ac:dyDescent="0.2">
      <c r="AF42725" s="12"/>
    </row>
    <row r="42726" spans="32:32" x14ac:dyDescent="0.2">
      <c r="AF42726" s="12"/>
    </row>
    <row r="42727" spans="32:32" x14ac:dyDescent="0.2">
      <c r="AF42727" s="12"/>
    </row>
    <row r="42728" spans="32:32" x14ac:dyDescent="0.2">
      <c r="AF42728" s="12"/>
    </row>
    <row r="42729" spans="32:32" x14ac:dyDescent="0.2">
      <c r="AF42729" s="12"/>
    </row>
    <row r="42730" spans="32:32" x14ac:dyDescent="0.2">
      <c r="AF42730" s="12"/>
    </row>
    <row r="42731" spans="32:32" x14ac:dyDescent="0.2">
      <c r="AF42731" s="12"/>
    </row>
    <row r="42732" spans="32:32" x14ac:dyDescent="0.2">
      <c r="AF42732" s="12"/>
    </row>
    <row r="42733" spans="32:32" x14ac:dyDescent="0.2">
      <c r="AF42733" s="12"/>
    </row>
    <row r="42734" spans="32:32" x14ac:dyDescent="0.2">
      <c r="AF42734" s="12"/>
    </row>
    <row r="42735" spans="32:32" x14ac:dyDescent="0.2">
      <c r="AF42735" s="12"/>
    </row>
    <row r="42736" spans="32:32" x14ac:dyDescent="0.2">
      <c r="AF42736" s="12"/>
    </row>
    <row r="42737" spans="32:32" x14ac:dyDescent="0.2">
      <c r="AF42737" s="12"/>
    </row>
    <row r="42738" spans="32:32" x14ac:dyDescent="0.2">
      <c r="AF42738" s="12"/>
    </row>
    <row r="42739" spans="32:32" x14ac:dyDescent="0.2">
      <c r="AF42739" s="12"/>
    </row>
    <row r="42740" spans="32:32" x14ac:dyDescent="0.2">
      <c r="AF42740" s="12"/>
    </row>
    <row r="42741" spans="32:32" x14ac:dyDescent="0.2">
      <c r="AF42741" s="12"/>
    </row>
    <row r="42742" spans="32:32" x14ac:dyDescent="0.2">
      <c r="AF42742" s="12"/>
    </row>
    <row r="42743" spans="32:32" x14ac:dyDescent="0.2">
      <c r="AF42743" s="12"/>
    </row>
    <row r="42744" spans="32:32" x14ac:dyDescent="0.2">
      <c r="AF42744" s="12"/>
    </row>
    <row r="42745" spans="32:32" x14ac:dyDescent="0.2">
      <c r="AF42745" s="12"/>
    </row>
    <row r="42746" spans="32:32" x14ac:dyDescent="0.2">
      <c r="AF42746" s="12"/>
    </row>
    <row r="42747" spans="32:32" x14ac:dyDescent="0.2">
      <c r="AF42747" s="12"/>
    </row>
    <row r="42748" spans="32:32" x14ac:dyDescent="0.2">
      <c r="AF42748" s="12"/>
    </row>
    <row r="42749" spans="32:32" x14ac:dyDescent="0.2">
      <c r="AF42749" s="12"/>
    </row>
    <row r="42750" spans="32:32" x14ac:dyDescent="0.2">
      <c r="AF42750" s="12"/>
    </row>
    <row r="42751" spans="32:32" x14ac:dyDescent="0.2">
      <c r="AF42751" s="12"/>
    </row>
    <row r="42752" spans="32:32" x14ac:dyDescent="0.2">
      <c r="AF42752" s="12"/>
    </row>
    <row r="42753" spans="32:32" x14ac:dyDescent="0.2">
      <c r="AF42753" s="12"/>
    </row>
    <row r="42754" spans="32:32" x14ac:dyDescent="0.2">
      <c r="AF42754" s="12"/>
    </row>
    <row r="42755" spans="32:32" x14ac:dyDescent="0.2">
      <c r="AF42755" s="12"/>
    </row>
    <row r="42756" spans="32:32" x14ac:dyDescent="0.2">
      <c r="AF42756" s="12"/>
    </row>
    <row r="42757" spans="32:32" x14ac:dyDescent="0.2">
      <c r="AF42757" s="12"/>
    </row>
    <row r="42758" spans="32:32" x14ac:dyDescent="0.2">
      <c r="AF42758" s="12"/>
    </row>
    <row r="42759" spans="32:32" x14ac:dyDescent="0.2">
      <c r="AF42759" s="12"/>
    </row>
    <row r="42760" spans="32:32" x14ac:dyDescent="0.2">
      <c r="AF42760" s="12"/>
    </row>
    <row r="42761" spans="32:32" x14ac:dyDescent="0.2">
      <c r="AF42761" s="12"/>
    </row>
    <row r="42762" spans="32:32" x14ac:dyDescent="0.2">
      <c r="AF42762" s="12"/>
    </row>
    <row r="42763" spans="32:32" x14ac:dyDescent="0.2">
      <c r="AF42763" s="12"/>
    </row>
    <row r="42764" spans="32:32" x14ac:dyDescent="0.2">
      <c r="AF42764" s="12"/>
    </row>
    <row r="42765" spans="32:32" x14ac:dyDescent="0.2">
      <c r="AF42765" s="12"/>
    </row>
    <row r="42766" spans="32:32" x14ac:dyDescent="0.2">
      <c r="AF42766" s="12"/>
    </row>
    <row r="42767" spans="32:32" x14ac:dyDescent="0.2">
      <c r="AF42767" s="12"/>
    </row>
    <row r="42768" spans="32:32" x14ac:dyDescent="0.2">
      <c r="AF42768" s="12"/>
    </row>
    <row r="42769" spans="32:32" x14ac:dyDescent="0.2">
      <c r="AF42769" s="12"/>
    </row>
    <row r="42770" spans="32:32" x14ac:dyDescent="0.2">
      <c r="AF42770" s="12"/>
    </row>
    <row r="42771" spans="32:32" x14ac:dyDescent="0.2">
      <c r="AF42771" s="12"/>
    </row>
    <row r="42772" spans="32:32" x14ac:dyDescent="0.2">
      <c r="AF42772" s="12"/>
    </row>
    <row r="42773" spans="32:32" x14ac:dyDescent="0.2">
      <c r="AF42773" s="12"/>
    </row>
    <row r="42774" spans="32:32" x14ac:dyDescent="0.2">
      <c r="AF42774" s="12"/>
    </row>
    <row r="42775" spans="32:32" x14ac:dyDescent="0.2">
      <c r="AF42775" s="12"/>
    </row>
    <row r="42776" spans="32:32" x14ac:dyDescent="0.2">
      <c r="AF42776" s="12"/>
    </row>
    <row r="42777" spans="32:32" x14ac:dyDescent="0.2">
      <c r="AF42777" s="12"/>
    </row>
    <row r="42778" spans="32:32" x14ac:dyDescent="0.2">
      <c r="AF42778" s="12"/>
    </row>
    <row r="42779" spans="32:32" x14ac:dyDescent="0.2">
      <c r="AF42779" s="12"/>
    </row>
    <row r="42780" spans="32:32" x14ac:dyDescent="0.2">
      <c r="AF42780" s="12"/>
    </row>
    <row r="42781" spans="32:32" x14ac:dyDescent="0.2">
      <c r="AF42781" s="12"/>
    </row>
    <row r="42782" spans="32:32" x14ac:dyDescent="0.2">
      <c r="AF42782" s="12"/>
    </row>
    <row r="42783" spans="32:32" x14ac:dyDescent="0.2">
      <c r="AF42783" s="12"/>
    </row>
    <row r="42784" spans="32:32" x14ac:dyDescent="0.2">
      <c r="AF42784" s="12"/>
    </row>
    <row r="42785" spans="32:32" x14ac:dyDescent="0.2">
      <c r="AF42785" s="12"/>
    </row>
    <row r="42786" spans="32:32" x14ac:dyDescent="0.2">
      <c r="AF42786" s="12"/>
    </row>
    <row r="42787" spans="32:32" x14ac:dyDescent="0.2">
      <c r="AF42787" s="12"/>
    </row>
    <row r="42788" spans="32:32" x14ac:dyDescent="0.2">
      <c r="AF42788" s="12"/>
    </row>
    <row r="42789" spans="32:32" x14ac:dyDescent="0.2">
      <c r="AF42789" s="12"/>
    </row>
    <row r="42790" spans="32:32" x14ac:dyDescent="0.2">
      <c r="AF42790" s="12"/>
    </row>
    <row r="42791" spans="32:32" x14ac:dyDescent="0.2">
      <c r="AF42791" s="12"/>
    </row>
    <row r="42792" spans="32:32" x14ac:dyDescent="0.2">
      <c r="AF42792" s="12"/>
    </row>
    <row r="42793" spans="32:32" x14ac:dyDescent="0.2">
      <c r="AF42793" s="12"/>
    </row>
    <row r="42794" spans="32:32" x14ac:dyDescent="0.2">
      <c r="AF42794" s="12"/>
    </row>
    <row r="42795" spans="32:32" x14ac:dyDescent="0.2">
      <c r="AF42795" s="12"/>
    </row>
    <row r="42796" spans="32:32" x14ac:dyDescent="0.2">
      <c r="AF42796" s="12"/>
    </row>
    <row r="42797" spans="32:32" x14ac:dyDescent="0.2">
      <c r="AF42797" s="12"/>
    </row>
    <row r="42798" spans="32:32" x14ac:dyDescent="0.2">
      <c r="AF42798" s="12"/>
    </row>
    <row r="42799" spans="32:32" x14ac:dyDescent="0.2">
      <c r="AF42799" s="12"/>
    </row>
    <row r="42800" spans="32:32" x14ac:dyDescent="0.2">
      <c r="AF42800" s="12"/>
    </row>
    <row r="42801" spans="32:32" x14ac:dyDescent="0.2">
      <c r="AF42801" s="12"/>
    </row>
    <row r="42802" spans="32:32" x14ac:dyDescent="0.2">
      <c r="AF42802" s="12"/>
    </row>
    <row r="42803" spans="32:32" x14ac:dyDescent="0.2">
      <c r="AF42803" s="12"/>
    </row>
    <row r="42804" spans="32:32" x14ac:dyDescent="0.2">
      <c r="AF42804" s="12"/>
    </row>
    <row r="42805" spans="32:32" x14ac:dyDescent="0.2">
      <c r="AF42805" s="12"/>
    </row>
    <row r="42806" spans="32:32" x14ac:dyDescent="0.2">
      <c r="AF42806" s="12"/>
    </row>
    <row r="42807" spans="32:32" x14ac:dyDescent="0.2">
      <c r="AF42807" s="12"/>
    </row>
    <row r="42808" spans="32:32" x14ac:dyDescent="0.2">
      <c r="AF42808" s="12"/>
    </row>
    <row r="42809" spans="32:32" x14ac:dyDescent="0.2">
      <c r="AF42809" s="12"/>
    </row>
    <row r="42810" spans="32:32" x14ac:dyDescent="0.2">
      <c r="AF42810" s="12"/>
    </row>
    <row r="42811" spans="32:32" x14ac:dyDescent="0.2">
      <c r="AF42811" s="12"/>
    </row>
    <row r="42812" spans="32:32" x14ac:dyDescent="0.2">
      <c r="AF42812" s="12"/>
    </row>
    <row r="42813" spans="32:32" x14ac:dyDescent="0.2">
      <c r="AF42813" s="12"/>
    </row>
    <row r="42814" spans="32:32" x14ac:dyDescent="0.2">
      <c r="AF42814" s="12"/>
    </row>
    <row r="42815" spans="32:32" x14ac:dyDescent="0.2">
      <c r="AF42815" s="12"/>
    </row>
    <row r="42816" spans="32:32" x14ac:dyDescent="0.2">
      <c r="AF42816" s="12"/>
    </row>
    <row r="42817" spans="32:32" x14ac:dyDescent="0.2">
      <c r="AF42817" s="12"/>
    </row>
    <row r="42818" spans="32:32" x14ac:dyDescent="0.2">
      <c r="AF42818" s="12"/>
    </row>
    <row r="42819" spans="32:32" x14ac:dyDescent="0.2">
      <c r="AF42819" s="12"/>
    </row>
    <row r="42820" spans="32:32" x14ac:dyDescent="0.2">
      <c r="AF42820" s="12"/>
    </row>
    <row r="42821" spans="32:32" x14ac:dyDescent="0.2">
      <c r="AF42821" s="12"/>
    </row>
    <row r="42822" spans="32:32" x14ac:dyDescent="0.2">
      <c r="AF42822" s="12"/>
    </row>
    <row r="42823" spans="32:32" x14ac:dyDescent="0.2">
      <c r="AF42823" s="12"/>
    </row>
    <row r="42824" spans="32:32" x14ac:dyDescent="0.2">
      <c r="AF42824" s="12"/>
    </row>
    <row r="42825" spans="32:32" x14ac:dyDescent="0.2">
      <c r="AF42825" s="12"/>
    </row>
    <row r="42826" spans="32:32" x14ac:dyDescent="0.2">
      <c r="AF42826" s="12"/>
    </row>
    <row r="42827" spans="32:32" x14ac:dyDescent="0.2">
      <c r="AF42827" s="12"/>
    </row>
    <row r="42828" spans="32:32" x14ac:dyDescent="0.2">
      <c r="AF42828" s="12"/>
    </row>
    <row r="42829" spans="32:32" x14ac:dyDescent="0.2">
      <c r="AF42829" s="12"/>
    </row>
    <row r="42830" spans="32:32" x14ac:dyDescent="0.2">
      <c r="AF42830" s="12"/>
    </row>
    <row r="42831" spans="32:32" x14ac:dyDescent="0.2">
      <c r="AF42831" s="12"/>
    </row>
    <row r="42832" spans="32:32" x14ac:dyDescent="0.2">
      <c r="AF42832" s="12"/>
    </row>
    <row r="42833" spans="32:32" x14ac:dyDescent="0.2">
      <c r="AF42833" s="12"/>
    </row>
    <row r="42834" spans="32:32" x14ac:dyDescent="0.2">
      <c r="AF42834" s="12"/>
    </row>
    <row r="42835" spans="32:32" x14ac:dyDescent="0.2">
      <c r="AF42835" s="12"/>
    </row>
    <row r="42836" spans="32:32" x14ac:dyDescent="0.2">
      <c r="AF42836" s="12"/>
    </row>
    <row r="42837" spans="32:32" x14ac:dyDescent="0.2">
      <c r="AF42837" s="12"/>
    </row>
    <row r="42838" spans="32:32" x14ac:dyDescent="0.2">
      <c r="AF42838" s="12"/>
    </row>
    <row r="42839" spans="32:32" x14ac:dyDescent="0.2">
      <c r="AF42839" s="12"/>
    </row>
    <row r="42840" spans="32:32" x14ac:dyDescent="0.2">
      <c r="AF42840" s="12"/>
    </row>
    <row r="42841" spans="32:32" x14ac:dyDescent="0.2">
      <c r="AF42841" s="12"/>
    </row>
    <row r="42842" spans="32:32" x14ac:dyDescent="0.2">
      <c r="AF42842" s="12"/>
    </row>
    <row r="42843" spans="32:32" x14ac:dyDescent="0.2">
      <c r="AF42843" s="12"/>
    </row>
    <row r="42844" spans="32:32" x14ac:dyDescent="0.2">
      <c r="AF42844" s="12"/>
    </row>
    <row r="42845" spans="32:32" x14ac:dyDescent="0.2">
      <c r="AF42845" s="12"/>
    </row>
    <row r="42846" spans="32:32" x14ac:dyDescent="0.2">
      <c r="AF42846" s="12"/>
    </row>
    <row r="42847" spans="32:32" x14ac:dyDescent="0.2">
      <c r="AF42847" s="12"/>
    </row>
    <row r="42848" spans="32:32" x14ac:dyDescent="0.2">
      <c r="AF42848" s="12"/>
    </row>
    <row r="42849" spans="32:32" x14ac:dyDescent="0.2">
      <c r="AF42849" s="12"/>
    </row>
    <row r="42850" spans="32:32" x14ac:dyDescent="0.2">
      <c r="AF42850" s="12"/>
    </row>
    <row r="42851" spans="32:32" x14ac:dyDescent="0.2">
      <c r="AF42851" s="12"/>
    </row>
    <row r="42852" spans="32:32" x14ac:dyDescent="0.2">
      <c r="AF42852" s="12"/>
    </row>
    <row r="42853" spans="32:32" x14ac:dyDescent="0.2">
      <c r="AF42853" s="12"/>
    </row>
    <row r="42854" spans="32:32" x14ac:dyDescent="0.2">
      <c r="AF42854" s="12"/>
    </row>
    <row r="42855" spans="32:32" x14ac:dyDescent="0.2">
      <c r="AF42855" s="12"/>
    </row>
    <row r="42856" spans="32:32" x14ac:dyDescent="0.2">
      <c r="AF42856" s="12"/>
    </row>
    <row r="42857" spans="32:32" x14ac:dyDescent="0.2">
      <c r="AF42857" s="12"/>
    </row>
    <row r="42858" spans="32:32" x14ac:dyDescent="0.2">
      <c r="AF42858" s="12"/>
    </row>
    <row r="42859" spans="32:32" x14ac:dyDescent="0.2">
      <c r="AF42859" s="12"/>
    </row>
    <row r="42860" spans="32:32" x14ac:dyDescent="0.2">
      <c r="AF42860" s="12"/>
    </row>
    <row r="42861" spans="32:32" x14ac:dyDescent="0.2">
      <c r="AF42861" s="12"/>
    </row>
    <row r="42862" spans="32:32" x14ac:dyDescent="0.2">
      <c r="AF42862" s="12"/>
    </row>
    <row r="42863" spans="32:32" x14ac:dyDescent="0.2">
      <c r="AF42863" s="12"/>
    </row>
    <row r="42864" spans="32:32" x14ac:dyDescent="0.2">
      <c r="AF42864" s="12"/>
    </row>
    <row r="42865" spans="32:32" x14ac:dyDescent="0.2">
      <c r="AF42865" s="12"/>
    </row>
    <row r="42866" spans="32:32" x14ac:dyDescent="0.2">
      <c r="AF42866" s="12"/>
    </row>
    <row r="42867" spans="32:32" x14ac:dyDescent="0.2">
      <c r="AF42867" s="12"/>
    </row>
    <row r="42868" spans="32:32" x14ac:dyDescent="0.2">
      <c r="AF42868" s="12"/>
    </row>
    <row r="42869" spans="32:32" x14ac:dyDescent="0.2">
      <c r="AF42869" s="12"/>
    </row>
    <row r="42870" spans="32:32" x14ac:dyDescent="0.2">
      <c r="AF42870" s="12"/>
    </row>
    <row r="42871" spans="32:32" x14ac:dyDescent="0.2">
      <c r="AF42871" s="12"/>
    </row>
    <row r="42872" spans="32:32" x14ac:dyDescent="0.2">
      <c r="AF42872" s="12"/>
    </row>
    <row r="42873" spans="32:32" x14ac:dyDescent="0.2">
      <c r="AF42873" s="12"/>
    </row>
    <row r="42874" spans="32:32" x14ac:dyDescent="0.2">
      <c r="AF42874" s="12"/>
    </row>
    <row r="42875" spans="32:32" x14ac:dyDescent="0.2">
      <c r="AF42875" s="12"/>
    </row>
    <row r="42876" spans="32:32" x14ac:dyDescent="0.2">
      <c r="AF42876" s="12"/>
    </row>
    <row r="42877" spans="32:32" x14ac:dyDescent="0.2">
      <c r="AF42877" s="12"/>
    </row>
    <row r="42878" spans="32:32" x14ac:dyDescent="0.2">
      <c r="AF42878" s="12"/>
    </row>
    <row r="42879" spans="32:32" x14ac:dyDescent="0.2">
      <c r="AF42879" s="12"/>
    </row>
    <row r="42880" spans="32:32" x14ac:dyDescent="0.2">
      <c r="AF42880" s="12"/>
    </row>
    <row r="42881" spans="32:32" x14ac:dyDescent="0.2">
      <c r="AF42881" s="12"/>
    </row>
    <row r="42882" spans="32:32" x14ac:dyDescent="0.2">
      <c r="AF42882" s="12"/>
    </row>
    <row r="42883" spans="32:32" x14ac:dyDescent="0.2">
      <c r="AF42883" s="12"/>
    </row>
    <row r="42884" spans="32:32" x14ac:dyDescent="0.2">
      <c r="AF42884" s="12"/>
    </row>
    <row r="42885" spans="32:32" x14ac:dyDescent="0.2">
      <c r="AF42885" s="12"/>
    </row>
    <row r="42886" spans="32:32" x14ac:dyDescent="0.2">
      <c r="AF42886" s="12"/>
    </row>
    <row r="42887" spans="32:32" x14ac:dyDescent="0.2">
      <c r="AF42887" s="12"/>
    </row>
    <row r="42888" spans="32:32" x14ac:dyDescent="0.2">
      <c r="AF42888" s="12"/>
    </row>
    <row r="42889" spans="32:32" x14ac:dyDescent="0.2">
      <c r="AF42889" s="12"/>
    </row>
    <row r="42890" spans="32:32" x14ac:dyDescent="0.2">
      <c r="AF42890" s="12"/>
    </row>
    <row r="42891" spans="32:32" x14ac:dyDescent="0.2">
      <c r="AF42891" s="12"/>
    </row>
    <row r="42892" spans="32:32" x14ac:dyDescent="0.2">
      <c r="AF42892" s="12"/>
    </row>
    <row r="42893" spans="32:32" x14ac:dyDescent="0.2">
      <c r="AF42893" s="12"/>
    </row>
    <row r="42894" spans="32:32" x14ac:dyDescent="0.2">
      <c r="AF42894" s="12"/>
    </row>
    <row r="42895" spans="32:32" x14ac:dyDescent="0.2">
      <c r="AF42895" s="12"/>
    </row>
    <row r="42896" spans="32:32" x14ac:dyDescent="0.2">
      <c r="AF42896" s="12"/>
    </row>
    <row r="42897" spans="32:32" x14ac:dyDescent="0.2">
      <c r="AF42897" s="12"/>
    </row>
    <row r="42898" spans="32:32" x14ac:dyDescent="0.2">
      <c r="AF42898" s="12"/>
    </row>
    <row r="42899" spans="32:32" x14ac:dyDescent="0.2">
      <c r="AF42899" s="12"/>
    </row>
    <row r="42900" spans="32:32" x14ac:dyDescent="0.2">
      <c r="AF42900" s="12"/>
    </row>
    <row r="42901" spans="32:32" x14ac:dyDescent="0.2">
      <c r="AF42901" s="12"/>
    </row>
    <row r="42902" spans="32:32" x14ac:dyDescent="0.2">
      <c r="AF42902" s="12"/>
    </row>
    <row r="42903" spans="32:32" x14ac:dyDescent="0.2">
      <c r="AF42903" s="12"/>
    </row>
    <row r="42904" spans="32:32" x14ac:dyDescent="0.2">
      <c r="AF42904" s="12"/>
    </row>
    <row r="42905" spans="32:32" x14ac:dyDescent="0.2">
      <c r="AF42905" s="12"/>
    </row>
    <row r="42906" spans="32:32" x14ac:dyDescent="0.2">
      <c r="AF42906" s="12"/>
    </row>
    <row r="42907" spans="32:32" x14ac:dyDescent="0.2">
      <c r="AF42907" s="12"/>
    </row>
    <row r="42908" spans="32:32" x14ac:dyDescent="0.2">
      <c r="AF42908" s="12"/>
    </row>
    <row r="42909" spans="32:32" x14ac:dyDescent="0.2">
      <c r="AF42909" s="12"/>
    </row>
    <row r="42910" spans="32:32" x14ac:dyDescent="0.2">
      <c r="AF42910" s="12"/>
    </row>
    <row r="42911" spans="32:32" x14ac:dyDescent="0.2">
      <c r="AF42911" s="12"/>
    </row>
    <row r="42912" spans="32:32" x14ac:dyDescent="0.2">
      <c r="AF42912" s="12"/>
    </row>
    <row r="42913" spans="32:32" x14ac:dyDescent="0.2">
      <c r="AF42913" s="12"/>
    </row>
    <row r="42914" spans="32:32" x14ac:dyDescent="0.2">
      <c r="AF42914" s="12"/>
    </row>
    <row r="42915" spans="32:32" x14ac:dyDescent="0.2">
      <c r="AF42915" s="12"/>
    </row>
    <row r="42916" spans="32:32" x14ac:dyDescent="0.2">
      <c r="AF42916" s="12"/>
    </row>
    <row r="42917" spans="32:32" x14ac:dyDescent="0.2">
      <c r="AF42917" s="12"/>
    </row>
    <row r="42918" spans="32:32" x14ac:dyDescent="0.2">
      <c r="AF42918" s="12"/>
    </row>
    <row r="42919" spans="32:32" x14ac:dyDescent="0.2">
      <c r="AF42919" s="12"/>
    </row>
    <row r="42920" spans="32:32" x14ac:dyDescent="0.2">
      <c r="AF42920" s="12"/>
    </row>
    <row r="42921" spans="32:32" x14ac:dyDescent="0.2">
      <c r="AF42921" s="12"/>
    </row>
    <row r="42922" spans="32:32" x14ac:dyDescent="0.2">
      <c r="AF42922" s="12"/>
    </row>
    <row r="42923" spans="32:32" x14ac:dyDescent="0.2">
      <c r="AF42923" s="12"/>
    </row>
    <row r="42924" spans="32:32" x14ac:dyDescent="0.2">
      <c r="AF42924" s="12"/>
    </row>
    <row r="42925" spans="32:32" x14ac:dyDescent="0.2">
      <c r="AF42925" s="12"/>
    </row>
    <row r="42926" spans="32:32" x14ac:dyDescent="0.2">
      <c r="AF42926" s="12"/>
    </row>
    <row r="42927" spans="32:32" x14ac:dyDescent="0.2">
      <c r="AF42927" s="12"/>
    </row>
    <row r="42928" spans="32:32" x14ac:dyDescent="0.2">
      <c r="AF42928" s="12"/>
    </row>
    <row r="42929" spans="32:32" x14ac:dyDescent="0.2">
      <c r="AF42929" s="12"/>
    </row>
    <row r="42930" spans="32:32" x14ac:dyDescent="0.2">
      <c r="AF42930" s="12"/>
    </row>
    <row r="42931" spans="32:32" x14ac:dyDescent="0.2">
      <c r="AF42931" s="12"/>
    </row>
    <row r="42932" spans="32:32" x14ac:dyDescent="0.2">
      <c r="AF42932" s="12"/>
    </row>
    <row r="42933" spans="32:32" x14ac:dyDescent="0.2">
      <c r="AF42933" s="12"/>
    </row>
    <row r="42934" spans="32:32" x14ac:dyDescent="0.2">
      <c r="AF42934" s="12"/>
    </row>
    <row r="42935" spans="32:32" x14ac:dyDescent="0.2">
      <c r="AF42935" s="12"/>
    </row>
    <row r="42936" spans="32:32" x14ac:dyDescent="0.2">
      <c r="AF42936" s="12"/>
    </row>
    <row r="42937" spans="32:32" x14ac:dyDescent="0.2">
      <c r="AF42937" s="12"/>
    </row>
    <row r="42938" spans="32:32" x14ac:dyDescent="0.2">
      <c r="AF42938" s="12"/>
    </row>
    <row r="42939" spans="32:32" x14ac:dyDescent="0.2">
      <c r="AF42939" s="12"/>
    </row>
    <row r="42940" spans="32:32" x14ac:dyDescent="0.2">
      <c r="AF42940" s="12"/>
    </row>
    <row r="42941" spans="32:32" x14ac:dyDescent="0.2">
      <c r="AF42941" s="12"/>
    </row>
    <row r="42942" spans="32:32" x14ac:dyDescent="0.2">
      <c r="AF42942" s="12"/>
    </row>
    <row r="42943" spans="32:32" x14ac:dyDescent="0.2">
      <c r="AF42943" s="12"/>
    </row>
    <row r="42944" spans="32:32" x14ac:dyDescent="0.2">
      <c r="AF42944" s="12"/>
    </row>
    <row r="42945" spans="32:32" x14ac:dyDescent="0.2">
      <c r="AF42945" s="12"/>
    </row>
    <row r="42946" spans="32:32" x14ac:dyDescent="0.2">
      <c r="AF42946" s="12"/>
    </row>
    <row r="42947" spans="32:32" x14ac:dyDescent="0.2">
      <c r="AF42947" s="12"/>
    </row>
    <row r="42948" spans="32:32" x14ac:dyDescent="0.2">
      <c r="AF42948" s="12"/>
    </row>
    <row r="42949" spans="32:32" x14ac:dyDescent="0.2">
      <c r="AF42949" s="12"/>
    </row>
    <row r="42950" spans="32:32" x14ac:dyDescent="0.2">
      <c r="AF42950" s="12"/>
    </row>
    <row r="42951" spans="32:32" x14ac:dyDescent="0.2">
      <c r="AF42951" s="12"/>
    </row>
    <row r="42952" spans="32:32" x14ac:dyDescent="0.2">
      <c r="AF42952" s="12"/>
    </row>
    <row r="42953" spans="32:32" x14ac:dyDescent="0.2">
      <c r="AF42953" s="12"/>
    </row>
    <row r="42954" spans="32:32" x14ac:dyDescent="0.2">
      <c r="AF42954" s="12"/>
    </row>
    <row r="42955" spans="32:32" x14ac:dyDescent="0.2">
      <c r="AF42955" s="12"/>
    </row>
    <row r="42956" spans="32:32" x14ac:dyDescent="0.2">
      <c r="AF42956" s="12"/>
    </row>
    <row r="42957" spans="32:32" x14ac:dyDescent="0.2">
      <c r="AF42957" s="12"/>
    </row>
    <row r="42958" spans="32:32" x14ac:dyDescent="0.2">
      <c r="AF42958" s="12"/>
    </row>
    <row r="42959" spans="32:32" x14ac:dyDescent="0.2">
      <c r="AF42959" s="12"/>
    </row>
    <row r="42960" spans="32:32" x14ac:dyDescent="0.2">
      <c r="AF42960" s="12"/>
    </row>
    <row r="42961" spans="32:32" x14ac:dyDescent="0.2">
      <c r="AF42961" s="12"/>
    </row>
    <row r="42962" spans="32:32" x14ac:dyDescent="0.2">
      <c r="AF42962" s="12"/>
    </row>
    <row r="42963" spans="32:32" x14ac:dyDescent="0.2">
      <c r="AF42963" s="12"/>
    </row>
    <row r="42964" spans="32:32" x14ac:dyDescent="0.2">
      <c r="AF42964" s="12"/>
    </row>
    <row r="42965" spans="32:32" x14ac:dyDescent="0.2">
      <c r="AF42965" s="12"/>
    </row>
    <row r="42966" spans="32:32" x14ac:dyDescent="0.2">
      <c r="AF42966" s="12"/>
    </row>
    <row r="42967" spans="32:32" x14ac:dyDescent="0.2">
      <c r="AF42967" s="12"/>
    </row>
    <row r="42968" spans="32:32" x14ac:dyDescent="0.2">
      <c r="AF42968" s="12"/>
    </row>
    <row r="42969" spans="32:32" x14ac:dyDescent="0.2">
      <c r="AF42969" s="12"/>
    </row>
    <row r="42970" spans="32:32" x14ac:dyDescent="0.2">
      <c r="AF42970" s="12"/>
    </row>
    <row r="42971" spans="32:32" x14ac:dyDescent="0.2">
      <c r="AF42971" s="12"/>
    </row>
    <row r="42972" spans="32:32" x14ac:dyDescent="0.2">
      <c r="AF42972" s="12"/>
    </row>
    <row r="42973" spans="32:32" x14ac:dyDescent="0.2">
      <c r="AF42973" s="12"/>
    </row>
    <row r="42974" spans="32:32" x14ac:dyDescent="0.2">
      <c r="AF42974" s="12"/>
    </row>
    <row r="42975" spans="32:32" x14ac:dyDescent="0.2">
      <c r="AF42975" s="12"/>
    </row>
    <row r="42976" spans="32:32" x14ac:dyDescent="0.2">
      <c r="AF42976" s="12"/>
    </row>
    <row r="42977" spans="32:32" x14ac:dyDescent="0.2">
      <c r="AF42977" s="12"/>
    </row>
    <row r="42978" spans="32:32" x14ac:dyDescent="0.2">
      <c r="AF42978" s="12"/>
    </row>
    <row r="42979" spans="32:32" x14ac:dyDescent="0.2">
      <c r="AF42979" s="12"/>
    </row>
    <row r="42980" spans="32:32" x14ac:dyDescent="0.2">
      <c r="AF42980" s="12"/>
    </row>
    <row r="42981" spans="32:32" x14ac:dyDescent="0.2">
      <c r="AF42981" s="12"/>
    </row>
    <row r="42982" spans="32:32" x14ac:dyDescent="0.2">
      <c r="AF42982" s="12"/>
    </row>
    <row r="42983" spans="32:32" x14ac:dyDescent="0.2">
      <c r="AF42983" s="12"/>
    </row>
    <row r="42984" spans="32:32" x14ac:dyDescent="0.2">
      <c r="AF42984" s="12"/>
    </row>
    <row r="42985" spans="32:32" x14ac:dyDescent="0.2">
      <c r="AF42985" s="12"/>
    </row>
    <row r="42986" spans="32:32" x14ac:dyDescent="0.2">
      <c r="AF42986" s="12"/>
    </row>
    <row r="42987" spans="32:32" x14ac:dyDescent="0.2">
      <c r="AF42987" s="12"/>
    </row>
    <row r="42988" spans="32:32" x14ac:dyDescent="0.2">
      <c r="AF42988" s="12"/>
    </row>
    <row r="42989" spans="32:32" x14ac:dyDescent="0.2">
      <c r="AF42989" s="12"/>
    </row>
    <row r="42990" spans="32:32" x14ac:dyDescent="0.2">
      <c r="AF42990" s="12"/>
    </row>
    <row r="42991" spans="32:32" x14ac:dyDescent="0.2">
      <c r="AF42991" s="12"/>
    </row>
    <row r="42992" spans="32:32" x14ac:dyDescent="0.2">
      <c r="AF42992" s="12"/>
    </row>
    <row r="42993" spans="32:32" x14ac:dyDescent="0.2">
      <c r="AF42993" s="12"/>
    </row>
    <row r="42994" spans="32:32" x14ac:dyDescent="0.2">
      <c r="AF42994" s="12"/>
    </row>
    <row r="42995" spans="32:32" x14ac:dyDescent="0.2">
      <c r="AF42995" s="12"/>
    </row>
    <row r="42996" spans="32:32" x14ac:dyDescent="0.2">
      <c r="AF42996" s="12"/>
    </row>
    <row r="42997" spans="32:32" x14ac:dyDescent="0.2">
      <c r="AF42997" s="12"/>
    </row>
    <row r="42998" spans="32:32" x14ac:dyDescent="0.2">
      <c r="AF42998" s="12"/>
    </row>
    <row r="42999" spans="32:32" x14ac:dyDescent="0.2">
      <c r="AF42999" s="12"/>
    </row>
    <row r="43000" spans="32:32" x14ac:dyDescent="0.2">
      <c r="AF43000" s="12"/>
    </row>
    <row r="43001" spans="32:32" x14ac:dyDescent="0.2">
      <c r="AF43001" s="12"/>
    </row>
    <row r="43002" spans="32:32" x14ac:dyDescent="0.2">
      <c r="AF43002" s="12"/>
    </row>
    <row r="43003" spans="32:32" x14ac:dyDescent="0.2">
      <c r="AF43003" s="12"/>
    </row>
    <row r="43004" spans="32:32" x14ac:dyDescent="0.2">
      <c r="AF43004" s="12"/>
    </row>
    <row r="43005" spans="32:32" x14ac:dyDescent="0.2">
      <c r="AF43005" s="12"/>
    </row>
    <row r="43006" spans="32:32" x14ac:dyDescent="0.2">
      <c r="AF43006" s="12"/>
    </row>
    <row r="43007" spans="32:32" x14ac:dyDescent="0.2">
      <c r="AF43007" s="12"/>
    </row>
    <row r="43008" spans="32:32" x14ac:dyDescent="0.2">
      <c r="AF43008" s="12"/>
    </row>
    <row r="43009" spans="32:32" x14ac:dyDescent="0.2">
      <c r="AF43009" s="12"/>
    </row>
    <row r="43010" spans="32:32" x14ac:dyDescent="0.2">
      <c r="AF43010" s="12"/>
    </row>
    <row r="43011" spans="32:32" x14ac:dyDescent="0.2">
      <c r="AF43011" s="12"/>
    </row>
    <row r="43012" spans="32:32" x14ac:dyDescent="0.2">
      <c r="AF43012" s="12"/>
    </row>
    <row r="43013" spans="32:32" x14ac:dyDescent="0.2">
      <c r="AF43013" s="12"/>
    </row>
    <row r="43014" spans="32:32" x14ac:dyDescent="0.2">
      <c r="AF43014" s="12"/>
    </row>
    <row r="43015" spans="32:32" x14ac:dyDescent="0.2">
      <c r="AF43015" s="12"/>
    </row>
    <row r="43016" spans="32:32" x14ac:dyDescent="0.2">
      <c r="AF43016" s="12"/>
    </row>
    <row r="43017" spans="32:32" x14ac:dyDescent="0.2">
      <c r="AF43017" s="12"/>
    </row>
    <row r="43018" spans="32:32" x14ac:dyDescent="0.2">
      <c r="AF43018" s="12"/>
    </row>
    <row r="43019" spans="32:32" x14ac:dyDescent="0.2">
      <c r="AF43019" s="12"/>
    </row>
    <row r="43020" spans="32:32" x14ac:dyDescent="0.2">
      <c r="AF43020" s="12"/>
    </row>
    <row r="43021" spans="32:32" x14ac:dyDescent="0.2">
      <c r="AF43021" s="12"/>
    </row>
    <row r="43022" spans="32:32" x14ac:dyDescent="0.2">
      <c r="AF43022" s="12"/>
    </row>
    <row r="43023" spans="32:32" x14ac:dyDescent="0.2">
      <c r="AF43023" s="12"/>
    </row>
    <row r="43024" spans="32:32" x14ac:dyDescent="0.2">
      <c r="AF43024" s="12"/>
    </row>
    <row r="43025" spans="32:32" x14ac:dyDescent="0.2">
      <c r="AF43025" s="12"/>
    </row>
    <row r="43026" spans="32:32" x14ac:dyDescent="0.2">
      <c r="AF43026" s="12"/>
    </row>
    <row r="43027" spans="32:32" x14ac:dyDescent="0.2">
      <c r="AF43027" s="12"/>
    </row>
    <row r="43028" spans="32:32" x14ac:dyDescent="0.2">
      <c r="AF43028" s="12"/>
    </row>
    <row r="43029" spans="32:32" x14ac:dyDescent="0.2">
      <c r="AF43029" s="12"/>
    </row>
    <row r="43030" spans="32:32" x14ac:dyDescent="0.2">
      <c r="AF43030" s="12"/>
    </row>
    <row r="43031" spans="32:32" x14ac:dyDescent="0.2">
      <c r="AF43031" s="12"/>
    </row>
    <row r="43032" spans="32:32" x14ac:dyDescent="0.2">
      <c r="AF43032" s="12"/>
    </row>
    <row r="43033" spans="32:32" x14ac:dyDescent="0.2">
      <c r="AF43033" s="12"/>
    </row>
    <row r="43034" spans="32:32" x14ac:dyDescent="0.2">
      <c r="AF43034" s="12"/>
    </row>
    <row r="43035" spans="32:32" x14ac:dyDescent="0.2">
      <c r="AF43035" s="12"/>
    </row>
    <row r="43036" spans="32:32" x14ac:dyDescent="0.2">
      <c r="AF43036" s="12"/>
    </row>
    <row r="43037" spans="32:32" x14ac:dyDescent="0.2">
      <c r="AF43037" s="12"/>
    </row>
    <row r="43038" spans="32:32" x14ac:dyDescent="0.2">
      <c r="AF43038" s="12"/>
    </row>
    <row r="43039" spans="32:32" x14ac:dyDescent="0.2">
      <c r="AF43039" s="12"/>
    </row>
    <row r="43040" spans="32:32" x14ac:dyDescent="0.2">
      <c r="AF43040" s="12"/>
    </row>
    <row r="43041" spans="32:32" x14ac:dyDescent="0.2">
      <c r="AF43041" s="12"/>
    </row>
    <row r="43042" spans="32:32" x14ac:dyDescent="0.2">
      <c r="AF43042" s="12"/>
    </row>
    <row r="43043" spans="32:32" x14ac:dyDescent="0.2">
      <c r="AF43043" s="12"/>
    </row>
    <row r="43044" spans="32:32" x14ac:dyDescent="0.2">
      <c r="AF43044" s="12"/>
    </row>
    <row r="43045" spans="32:32" x14ac:dyDescent="0.2">
      <c r="AF43045" s="12"/>
    </row>
    <row r="43046" spans="32:32" x14ac:dyDescent="0.2">
      <c r="AF43046" s="12"/>
    </row>
    <row r="43047" spans="32:32" x14ac:dyDescent="0.2">
      <c r="AF43047" s="12"/>
    </row>
    <row r="43048" spans="32:32" x14ac:dyDescent="0.2">
      <c r="AF43048" s="12"/>
    </row>
    <row r="43049" spans="32:32" x14ac:dyDescent="0.2">
      <c r="AF43049" s="12"/>
    </row>
    <row r="43050" spans="32:32" x14ac:dyDescent="0.2">
      <c r="AF43050" s="12"/>
    </row>
    <row r="43051" spans="32:32" x14ac:dyDescent="0.2">
      <c r="AF43051" s="12"/>
    </row>
    <row r="43052" spans="32:32" x14ac:dyDescent="0.2">
      <c r="AF43052" s="12"/>
    </row>
    <row r="43053" spans="32:32" x14ac:dyDescent="0.2">
      <c r="AF43053" s="12"/>
    </row>
    <row r="43054" spans="32:32" x14ac:dyDescent="0.2">
      <c r="AF43054" s="12"/>
    </row>
    <row r="43055" spans="32:32" x14ac:dyDescent="0.2">
      <c r="AF43055" s="12"/>
    </row>
    <row r="43056" spans="32:32" x14ac:dyDescent="0.2">
      <c r="AF43056" s="12"/>
    </row>
    <row r="43057" spans="32:32" x14ac:dyDescent="0.2">
      <c r="AF43057" s="12"/>
    </row>
    <row r="43058" spans="32:32" x14ac:dyDescent="0.2">
      <c r="AF43058" s="12"/>
    </row>
    <row r="43059" spans="32:32" x14ac:dyDescent="0.2">
      <c r="AF43059" s="12"/>
    </row>
    <row r="43060" spans="32:32" x14ac:dyDescent="0.2">
      <c r="AF43060" s="12"/>
    </row>
    <row r="43061" spans="32:32" x14ac:dyDescent="0.2">
      <c r="AF43061" s="12"/>
    </row>
    <row r="43062" spans="32:32" x14ac:dyDescent="0.2">
      <c r="AF43062" s="12"/>
    </row>
    <row r="43063" spans="32:32" x14ac:dyDescent="0.2">
      <c r="AF43063" s="12"/>
    </row>
    <row r="43064" spans="32:32" x14ac:dyDescent="0.2">
      <c r="AF43064" s="12"/>
    </row>
    <row r="43065" spans="32:32" x14ac:dyDescent="0.2">
      <c r="AF43065" s="12"/>
    </row>
    <row r="43066" spans="32:32" x14ac:dyDescent="0.2">
      <c r="AF43066" s="12"/>
    </row>
    <row r="43067" spans="32:32" x14ac:dyDescent="0.2">
      <c r="AF43067" s="12"/>
    </row>
    <row r="43068" spans="32:32" x14ac:dyDescent="0.2">
      <c r="AF43068" s="12"/>
    </row>
    <row r="43069" spans="32:32" x14ac:dyDescent="0.2">
      <c r="AF43069" s="12"/>
    </row>
    <row r="43070" spans="32:32" x14ac:dyDescent="0.2">
      <c r="AF43070" s="12"/>
    </row>
    <row r="43071" spans="32:32" x14ac:dyDescent="0.2">
      <c r="AF43071" s="12"/>
    </row>
    <row r="43072" spans="32:32" x14ac:dyDescent="0.2">
      <c r="AF43072" s="12"/>
    </row>
    <row r="43073" spans="32:32" x14ac:dyDescent="0.2">
      <c r="AF43073" s="12"/>
    </row>
    <row r="43074" spans="32:32" x14ac:dyDescent="0.2">
      <c r="AF43074" s="12"/>
    </row>
    <row r="43075" spans="32:32" x14ac:dyDescent="0.2">
      <c r="AF43075" s="12"/>
    </row>
    <row r="43076" spans="32:32" x14ac:dyDescent="0.2">
      <c r="AF43076" s="12"/>
    </row>
    <row r="43077" spans="32:32" x14ac:dyDescent="0.2">
      <c r="AF43077" s="12"/>
    </row>
    <row r="43078" spans="32:32" x14ac:dyDescent="0.2">
      <c r="AF43078" s="12"/>
    </row>
    <row r="43079" spans="32:32" x14ac:dyDescent="0.2">
      <c r="AF43079" s="12"/>
    </row>
    <row r="43080" spans="32:32" x14ac:dyDescent="0.2">
      <c r="AF43080" s="12"/>
    </row>
    <row r="43081" spans="32:32" x14ac:dyDescent="0.2">
      <c r="AF43081" s="12"/>
    </row>
    <row r="43082" spans="32:32" x14ac:dyDescent="0.2">
      <c r="AF43082" s="12"/>
    </row>
    <row r="43083" spans="32:32" x14ac:dyDescent="0.2">
      <c r="AF43083" s="12"/>
    </row>
    <row r="43084" spans="32:32" x14ac:dyDescent="0.2">
      <c r="AF43084" s="12"/>
    </row>
    <row r="43085" spans="32:32" x14ac:dyDescent="0.2">
      <c r="AF43085" s="12"/>
    </row>
    <row r="43086" spans="32:32" x14ac:dyDescent="0.2">
      <c r="AF43086" s="12"/>
    </row>
    <row r="43087" spans="32:32" x14ac:dyDescent="0.2">
      <c r="AF43087" s="12"/>
    </row>
    <row r="43088" spans="32:32" x14ac:dyDescent="0.2">
      <c r="AF43088" s="12"/>
    </row>
    <row r="43089" spans="32:32" x14ac:dyDescent="0.2">
      <c r="AF43089" s="12"/>
    </row>
    <row r="43090" spans="32:32" x14ac:dyDescent="0.2">
      <c r="AF43090" s="12"/>
    </row>
    <row r="43091" spans="32:32" x14ac:dyDescent="0.2">
      <c r="AF43091" s="12"/>
    </row>
    <row r="43092" spans="32:32" x14ac:dyDescent="0.2">
      <c r="AF43092" s="12"/>
    </row>
    <row r="43093" spans="32:32" x14ac:dyDescent="0.2">
      <c r="AF43093" s="12"/>
    </row>
    <row r="43094" spans="32:32" x14ac:dyDescent="0.2">
      <c r="AF43094" s="12"/>
    </row>
    <row r="43095" spans="32:32" x14ac:dyDescent="0.2">
      <c r="AF43095" s="12"/>
    </row>
    <row r="43096" spans="32:32" x14ac:dyDescent="0.2">
      <c r="AF43096" s="12"/>
    </row>
    <row r="43097" spans="32:32" x14ac:dyDescent="0.2">
      <c r="AF43097" s="12"/>
    </row>
    <row r="43098" spans="32:32" x14ac:dyDescent="0.2">
      <c r="AF43098" s="12"/>
    </row>
    <row r="43099" spans="32:32" x14ac:dyDescent="0.2">
      <c r="AF43099" s="12"/>
    </row>
    <row r="43100" spans="32:32" x14ac:dyDescent="0.2">
      <c r="AF43100" s="12"/>
    </row>
    <row r="43101" spans="32:32" x14ac:dyDescent="0.2">
      <c r="AF43101" s="12"/>
    </row>
    <row r="43102" spans="32:32" x14ac:dyDescent="0.2">
      <c r="AF43102" s="12"/>
    </row>
    <row r="43103" spans="32:32" x14ac:dyDescent="0.2">
      <c r="AF43103" s="12"/>
    </row>
    <row r="43104" spans="32:32" x14ac:dyDescent="0.2">
      <c r="AF43104" s="12"/>
    </row>
    <row r="43105" spans="32:32" x14ac:dyDescent="0.2">
      <c r="AF43105" s="12"/>
    </row>
    <row r="43106" spans="32:32" x14ac:dyDescent="0.2">
      <c r="AF43106" s="12"/>
    </row>
    <row r="43107" spans="32:32" x14ac:dyDescent="0.2">
      <c r="AF43107" s="12"/>
    </row>
    <row r="43108" spans="32:32" x14ac:dyDescent="0.2">
      <c r="AF43108" s="12"/>
    </row>
    <row r="43109" spans="32:32" x14ac:dyDescent="0.2">
      <c r="AF43109" s="12"/>
    </row>
    <row r="43110" spans="32:32" x14ac:dyDescent="0.2">
      <c r="AF43110" s="12"/>
    </row>
    <row r="43111" spans="32:32" x14ac:dyDescent="0.2">
      <c r="AF43111" s="12"/>
    </row>
    <row r="43112" spans="32:32" x14ac:dyDescent="0.2">
      <c r="AF43112" s="12"/>
    </row>
    <row r="43113" spans="32:32" x14ac:dyDescent="0.2">
      <c r="AF43113" s="12"/>
    </row>
    <row r="43114" spans="32:32" x14ac:dyDescent="0.2">
      <c r="AF43114" s="12"/>
    </row>
    <row r="43115" spans="32:32" x14ac:dyDescent="0.2">
      <c r="AF43115" s="12"/>
    </row>
    <row r="43116" spans="32:32" x14ac:dyDescent="0.2">
      <c r="AF43116" s="12"/>
    </row>
    <row r="43117" spans="32:32" x14ac:dyDescent="0.2">
      <c r="AF43117" s="12"/>
    </row>
    <row r="43118" spans="32:32" x14ac:dyDescent="0.2">
      <c r="AF43118" s="12"/>
    </row>
    <row r="43119" spans="32:32" x14ac:dyDescent="0.2">
      <c r="AF43119" s="12"/>
    </row>
    <row r="43120" spans="32:32" x14ac:dyDescent="0.2">
      <c r="AF43120" s="12"/>
    </row>
    <row r="43121" spans="32:32" x14ac:dyDescent="0.2">
      <c r="AF43121" s="12"/>
    </row>
    <row r="43122" spans="32:32" x14ac:dyDescent="0.2">
      <c r="AF43122" s="12"/>
    </row>
    <row r="43123" spans="32:32" x14ac:dyDescent="0.2">
      <c r="AF43123" s="12"/>
    </row>
    <row r="43124" spans="32:32" x14ac:dyDescent="0.2">
      <c r="AF43124" s="12"/>
    </row>
    <row r="43125" spans="32:32" x14ac:dyDescent="0.2">
      <c r="AF43125" s="12"/>
    </row>
    <row r="43126" spans="32:32" x14ac:dyDescent="0.2">
      <c r="AF43126" s="12"/>
    </row>
    <row r="43127" spans="32:32" x14ac:dyDescent="0.2">
      <c r="AF43127" s="12"/>
    </row>
    <row r="43128" spans="32:32" x14ac:dyDescent="0.2">
      <c r="AF43128" s="12"/>
    </row>
    <row r="43129" spans="32:32" x14ac:dyDescent="0.2">
      <c r="AF43129" s="12"/>
    </row>
    <row r="43130" spans="32:32" x14ac:dyDescent="0.2">
      <c r="AF43130" s="12"/>
    </row>
    <row r="43131" spans="32:32" x14ac:dyDescent="0.2">
      <c r="AF43131" s="12"/>
    </row>
    <row r="43132" spans="32:32" x14ac:dyDescent="0.2">
      <c r="AF43132" s="12"/>
    </row>
    <row r="43133" spans="32:32" x14ac:dyDescent="0.2">
      <c r="AF43133" s="12"/>
    </row>
    <row r="43134" spans="32:32" x14ac:dyDescent="0.2">
      <c r="AF43134" s="12"/>
    </row>
    <row r="43135" spans="32:32" x14ac:dyDescent="0.2">
      <c r="AF43135" s="12"/>
    </row>
    <row r="43136" spans="32:32" x14ac:dyDescent="0.2">
      <c r="AF43136" s="12"/>
    </row>
    <row r="43137" spans="32:32" x14ac:dyDescent="0.2">
      <c r="AF43137" s="12"/>
    </row>
    <row r="43138" spans="32:32" x14ac:dyDescent="0.2">
      <c r="AF43138" s="12"/>
    </row>
    <row r="43139" spans="32:32" x14ac:dyDescent="0.2">
      <c r="AF43139" s="12"/>
    </row>
    <row r="43140" spans="32:32" x14ac:dyDescent="0.2">
      <c r="AF43140" s="12"/>
    </row>
    <row r="43141" spans="32:32" x14ac:dyDescent="0.2">
      <c r="AF43141" s="12"/>
    </row>
    <row r="43142" spans="32:32" x14ac:dyDescent="0.2">
      <c r="AF43142" s="12"/>
    </row>
    <row r="43143" spans="32:32" x14ac:dyDescent="0.2">
      <c r="AF43143" s="12"/>
    </row>
    <row r="43144" spans="32:32" x14ac:dyDescent="0.2">
      <c r="AF43144" s="12"/>
    </row>
    <row r="43145" spans="32:32" x14ac:dyDescent="0.2">
      <c r="AF43145" s="12"/>
    </row>
    <row r="43146" spans="32:32" x14ac:dyDescent="0.2">
      <c r="AF43146" s="12"/>
    </row>
    <row r="43147" spans="32:32" x14ac:dyDescent="0.2">
      <c r="AF43147" s="12"/>
    </row>
    <row r="43148" spans="32:32" x14ac:dyDescent="0.2">
      <c r="AF43148" s="12"/>
    </row>
    <row r="43149" spans="32:32" x14ac:dyDescent="0.2">
      <c r="AF43149" s="12"/>
    </row>
    <row r="43150" spans="32:32" x14ac:dyDescent="0.2">
      <c r="AF43150" s="12"/>
    </row>
    <row r="43151" spans="32:32" x14ac:dyDescent="0.2">
      <c r="AF43151" s="12"/>
    </row>
    <row r="43152" spans="32:32" x14ac:dyDescent="0.2">
      <c r="AF43152" s="12"/>
    </row>
    <row r="43153" spans="32:32" x14ac:dyDescent="0.2">
      <c r="AF43153" s="12"/>
    </row>
    <row r="43154" spans="32:32" x14ac:dyDescent="0.2">
      <c r="AF43154" s="12"/>
    </row>
    <row r="43155" spans="32:32" x14ac:dyDescent="0.2">
      <c r="AF43155" s="12"/>
    </row>
    <row r="43156" spans="32:32" x14ac:dyDescent="0.2">
      <c r="AF43156" s="12"/>
    </row>
    <row r="43157" spans="32:32" x14ac:dyDescent="0.2">
      <c r="AF43157" s="12"/>
    </row>
    <row r="43158" spans="32:32" x14ac:dyDescent="0.2">
      <c r="AF43158" s="12"/>
    </row>
    <row r="43159" spans="32:32" x14ac:dyDescent="0.2">
      <c r="AF43159" s="12"/>
    </row>
    <row r="43160" spans="32:32" x14ac:dyDescent="0.2">
      <c r="AF43160" s="12"/>
    </row>
    <row r="43161" spans="32:32" x14ac:dyDescent="0.2">
      <c r="AF43161" s="12"/>
    </row>
    <row r="43162" spans="32:32" x14ac:dyDescent="0.2">
      <c r="AF43162" s="12"/>
    </row>
    <row r="43163" spans="32:32" x14ac:dyDescent="0.2">
      <c r="AF43163" s="12"/>
    </row>
    <row r="43164" spans="32:32" x14ac:dyDescent="0.2">
      <c r="AF43164" s="12"/>
    </row>
    <row r="43165" spans="32:32" x14ac:dyDescent="0.2">
      <c r="AF43165" s="12"/>
    </row>
    <row r="43166" spans="32:32" x14ac:dyDescent="0.2">
      <c r="AF43166" s="12"/>
    </row>
    <row r="43167" spans="32:32" x14ac:dyDescent="0.2">
      <c r="AF43167" s="12"/>
    </row>
    <row r="43168" spans="32:32" x14ac:dyDescent="0.2">
      <c r="AF43168" s="12"/>
    </row>
    <row r="43169" spans="32:32" x14ac:dyDescent="0.2">
      <c r="AF43169" s="12"/>
    </row>
    <row r="43170" spans="32:32" x14ac:dyDescent="0.2">
      <c r="AF43170" s="12"/>
    </row>
    <row r="43171" spans="32:32" x14ac:dyDescent="0.2">
      <c r="AF43171" s="12"/>
    </row>
    <row r="43172" spans="32:32" x14ac:dyDescent="0.2">
      <c r="AF43172" s="12"/>
    </row>
    <row r="43173" spans="32:32" x14ac:dyDescent="0.2">
      <c r="AF43173" s="12"/>
    </row>
    <row r="43174" spans="32:32" x14ac:dyDescent="0.2">
      <c r="AF43174" s="12"/>
    </row>
    <row r="43175" spans="32:32" x14ac:dyDescent="0.2">
      <c r="AF43175" s="12"/>
    </row>
    <row r="43176" spans="32:32" x14ac:dyDescent="0.2">
      <c r="AF43176" s="12"/>
    </row>
    <row r="43177" spans="32:32" x14ac:dyDescent="0.2">
      <c r="AF43177" s="12"/>
    </row>
    <row r="43178" spans="32:32" x14ac:dyDescent="0.2">
      <c r="AF43178" s="12"/>
    </row>
    <row r="43179" spans="32:32" x14ac:dyDescent="0.2">
      <c r="AF43179" s="12"/>
    </row>
    <row r="43180" spans="32:32" x14ac:dyDescent="0.2">
      <c r="AF43180" s="12"/>
    </row>
    <row r="43181" spans="32:32" x14ac:dyDescent="0.2">
      <c r="AF43181" s="12"/>
    </row>
    <row r="43182" spans="32:32" x14ac:dyDescent="0.2">
      <c r="AF43182" s="12"/>
    </row>
    <row r="43183" spans="32:32" x14ac:dyDescent="0.2">
      <c r="AF43183" s="12"/>
    </row>
    <row r="43184" spans="32:32" x14ac:dyDescent="0.2">
      <c r="AF43184" s="12"/>
    </row>
    <row r="43185" spans="32:32" x14ac:dyDescent="0.2">
      <c r="AF43185" s="12"/>
    </row>
    <row r="43186" spans="32:32" x14ac:dyDescent="0.2">
      <c r="AF43186" s="12"/>
    </row>
    <row r="43187" spans="32:32" x14ac:dyDescent="0.2">
      <c r="AF43187" s="12"/>
    </row>
    <row r="43188" spans="32:32" x14ac:dyDescent="0.2">
      <c r="AF43188" s="12"/>
    </row>
    <row r="43189" spans="32:32" x14ac:dyDescent="0.2">
      <c r="AF43189" s="12"/>
    </row>
    <row r="43190" spans="32:32" x14ac:dyDescent="0.2">
      <c r="AF43190" s="12"/>
    </row>
    <row r="43191" spans="32:32" x14ac:dyDescent="0.2">
      <c r="AF43191" s="12"/>
    </row>
    <row r="43192" spans="32:32" x14ac:dyDescent="0.2">
      <c r="AF43192" s="12"/>
    </row>
    <row r="43193" spans="32:32" x14ac:dyDescent="0.2">
      <c r="AF43193" s="12"/>
    </row>
    <row r="43194" spans="32:32" x14ac:dyDescent="0.2">
      <c r="AF43194" s="12"/>
    </row>
    <row r="43195" spans="32:32" x14ac:dyDescent="0.2">
      <c r="AF43195" s="12"/>
    </row>
    <row r="43196" spans="32:32" x14ac:dyDescent="0.2">
      <c r="AF43196" s="12"/>
    </row>
    <row r="43197" spans="32:32" x14ac:dyDescent="0.2">
      <c r="AF43197" s="12"/>
    </row>
    <row r="43198" spans="32:32" x14ac:dyDescent="0.2">
      <c r="AF43198" s="12"/>
    </row>
    <row r="43199" spans="32:32" x14ac:dyDescent="0.2">
      <c r="AF43199" s="12"/>
    </row>
    <row r="43200" spans="32:32" x14ac:dyDescent="0.2">
      <c r="AF43200" s="12"/>
    </row>
    <row r="43201" spans="32:32" x14ac:dyDescent="0.2">
      <c r="AF43201" s="12"/>
    </row>
    <row r="43202" spans="32:32" x14ac:dyDescent="0.2">
      <c r="AF43202" s="12"/>
    </row>
    <row r="43203" spans="32:32" x14ac:dyDescent="0.2">
      <c r="AF43203" s="12"/>
    </row>
    <row r="43204" spans="32:32" x14ac:dyDescent="0.2">
      <c r="AF43204" s="12"/>
    </row>
    <row r="43205" spans="32:32" x14ac:dyDescent="0.2">
      <c r="AF43205" s="12"/>
    </row>
    <row r="43206" spans="32:32" x14ac:dyDescent="0.2">
      <c r="AF43206" s="12"/>
    </row>
    <row r="43207" spans="32:32" x14ac:dyDescent="0.2">
      <c r="AF43207" s="12"/>
    </row>
    <row r="43208" spans="32:32" x14ac:dyDescent="0.2">
      <c r="AF43208" s="12"/>
    </row>
    <row r="43209" spans="32:32" x14ac:dyDescent="0.2">
      <c r="AF43209" s="12"/>
    </row>
    <row r="43210" spans="32:32" x14ac:dyDescent="0.2">
      <c r="AF43210" s="12"/>
    </row>
    <row r="43211" spans="32:32" x14ac:dyDescent="0.2">
      <c r="AF43211" s="12"/>
    </row>
    <row r="43212" spans="32:32" x14ac:dyDescent="0.2">
      <c r="AF43212" s="12"/>
    </row>
    <row r="43213" spans="32:32" x14ac:dyDescent="0.2">
      <c r="AF43213" s="12"/>
    </row>
    <row r="43214" spans="32:32" x14ac:dyDescent="0.2">
      <c r="AF43214" s="12"/>
    </row>
    <row r="43215" spans="32:32" x14ac:dyDescent="0.2">
      <c r="AF43215" s="12"/>
    </row>
    <row r="43216" spans="32:32" x14ac:dyDescent="0.2">
      <c r="AF43216" s="12"/>
    </row>
    <row r="43217" spans="32:32" x14ac:dyDescent="0.2">
      <c r="AF43217" s="12"/>
    </row>
    <row r="43218" spans="32:32" x14ac:dyDescent="0.2">
      <c r="AF43218" s="12"/>
    </row>
    <row r="43219" spans="32:32" x14ac:dyDescent="0.2">
      <c r="AF43219" s="12"/>
    </row>
    <row r="43220" spans="32:32" x14ac:dyDescent="0.2">
      <c r="AF43220" s="12"/>
    </row>
    <row r="43221" spans="32:32" x14ac:dyDescent="0.2">
      <c r="AF43221" s="12"/>
    </row>
    <row r="43222" spans="32:32" x14ac:dyDescent="0.2">
      <c r="AF43222" s="12"/>
    </row>
    <row r="43223" spans="32:32" x14ac:dyDescent="0.2">
      <c r="AF43223" s="12"/>
    </row>
    <row r="43224" spans="32:32" x14ac:dyDescent="0.2">
      <c r="AF43224" s="12"/>
    </row>
    <row r="43225" spans="32:32" x14ac:dyDescent="0.2">
      <c r="AF43225" s="12"/>
    </row>
    <row r="43226" spans="32:32" x14ac:dyDescent="0.2">
      <c r="AF43226" s="12"/>
    </row>
    <row r="43227" spans="32:32" x14ac:dyDescent="0.2">
      <c r="AF43227" s="12"/>
    </row>
    <row r="43228" spans="32:32" x14ac:dyDescent="0.2">
      <c r="AF43228" s="12"/>
    </row>
    <row r="43229" spans="32:32" x14ac:dyDescent="0.2">
      <c r="AF43229" s="12"/>
    </row>
    <row r="43230" spans="32:32" x14ac:dyDescent="0.2">
      <c r="AF43230" s="12"/>
    </row>
    <row r="43231" spans="32:32" x14ac:dyDescent="0.2">
      <c r="AF43231" s="12"/>
    </row>
    <row r="43232" spans="32:32" x14ac:dyDescent="0.2">
      <c r="AF43232" s="12"/>
    </row>
    <row r="43233" spans="32:32" x14ac:dyDescent="0.2">
      <c r="AF43233" s="12"/>
    </row>
    <row r="43234" spans="32:32" x14ac:dyDescent="0.2">
      <c r="AF43234" s="12"/>
    </row>
    <row r="43235" spans="32:32" x14ac:dyDescent="0.2">
      <c r="AF43235" s="12"/>
    </row>
    <row r="43236" spans="32:32" x14ac:dyDescent="0.2">
      <c r="AF43236" s="12"/>
    </row>
    <row r="43237" spans="32:32" x14ac:dyDescent="0.2">
      <c r="AF43237" s="12"/>
    </row>
    <row r="43238" spans="32:32" x14ac:dyDescent="0.2">
      <c r="AF43238" s="12"/>
    </row>
    <row r="43239" spans="32:32" x14ac:dyDescent="0.2">
      <c r="AF43239" s="12"/>
    </row>
    <row r="43240" spans="32:32" x14ac:dyDescent="0.2">
      <c r="AF43240" s="12"/>
    </row>
    <row r="43241" spans="32:32" x14ac:dyDescent="0.2">
      <c r="AF43241" s="12"/>
    </row>
    <row r="43242" spans="32:32" x14ac:dyDescent="0.2">
      <c r="AF43242" s="12"/>
    </row>
    <row r="43243" spans="32:32" x14ac:dyDescent="0.2">
      <c r="AF43243" s="12"/>
    </row>
    <row r="43244" spans="32:32" x14ac:dyDescent="0.2">
      <c r="AF43244" s="12"/>
    </row>
    <row r="43245" spans="32:32" x14ac:dyDescent="0.2">
      <c r="AF43245" s="12"/>
    </row>
    <row r="43246" spans="32:32" x14ac:dyDescent="0.2">
      <c r="AF43246" s="12"/>
    </row>
    <row r="43247" spans="32:32" x14ac:dyDescent="0.2">
      <c r="AF43247" s="12"/>
    </row>
    <row r="43248" spans="32:32" x14ac:dyDescent="0.2">
      <c r="AF43248" s="12"/>
    </row>
    <row r="43249" spans="32:32" x14ac:dyDescent="0.2">
      <c r="AF43249" s="12"/>
    </row>
    <row r="43250" spans="32:32" x14ac:dyDescent="0.2">
      <c r="AF43250" s="12"/>
    </row>
    <row r="43251" spans="32:32" x14ac:dyDescent="0.2">
      <c r="AF43251" s="12"/>
    </row>
    <row r="43252" spans="32:32" x14ac:dyDescent="0.2">
      <c r="AF43252" s="12"/>
    </row>
    <row r="43253" spans="32:32" x14ac:dyDescent="0.2">
      <c r="AF43253" s="12"/>
    </row>
    <row r="43254" spans="32:32" x14ac:dyDescent="0.2">
      <c r="AF43254" s="12"/>
    </row>
    <row r="43255" spans="32:32" x14ac:dyDescent="0.2">
      <c r="AF43255" s="12"/>
    </row>
    <row r="43256" spans="32:32" x14ac:dyDescent="0.2">
      <c r="AF43256" s="12"/>
    </row>
    <row r="43257" spans="32:32" x14ac:dyDescent="0.2">
      <c r="AF43257" s="12"/>
    </row>
    <row r="43258" spans="32:32" x14ac:dyDescent="0.2">
      <c r="AF43258" s="12"/>
    </row>
    <row r="43259" spans="32:32" x14ac:dyDescent="0.2">
      <c r="AF43259" s="12"/>
    </row>
    <row r="43260" spans="32:32" x14ac:dyDescent="0.2">
      <c r="AF43260" s="12"/>
    </row>
    <row r="43261" spans="32:32" x14ac:dyDescent="0.2">
      <c r="AF43261" s="12"/>
    </row>
    <row r="43262" spans="32:32" x14ac:dyDescent="0.2">
      <c r="AF43262" s="12"/>
    </row>
    <row r="43263" spans="32:32" x14ac:dyDescent="0.2">
      <c r="AF43263" s="12"/>
    </row>
    <row r="43264" spans="32:32" x14ac:dyDescent="0.2">
      <c r="AF43264" s="12"/>
    </row>
    <row r="43265" spans="32:32" x14ac:dyDescent="0.2">
      <c r="AF43265" s="12"/>
    </row>
    <row r="43266" spans="32:32" x14ac:dyDescent="0.2">
      <c r="AF43266" s="12"/>
    </row>
    <row r="43267" spans="32:32" x14ac:dyDescent="0.2">
      <c r="AF43267" s="12"/>
    </row>
    <row r="43268" spans="32:32" x14ac:dyDescent="0.2">
      <c r="AF43268" s="12"/>
    </row>
    <row r="43269" spans="32:32" x14ac:dyDescent="0.2">
      <c r="AF43269" s="12"/>
    </row>
    <row r="43270" spans="32:32" x14ac:dyDescent="0.2">
      <c r="AF43270" s="12"/>
    </row>
    <row r="43271" spans="32:32" x14ac:dyDescent="0.2">
      <c r="AF43271" s="12"/>
    </row>
    <row r="43272" spans="32:32" x14ac:dyDescent="0.2">
      <c r="AF43272" s="12"/>
    </row>
    <row r="43273" spans="32:32" x14ac:dyDescent="0.2">
      <c r="AF43273" s="12"/>
    </row>
    <row r="43274" spans="32:32" x14ac:dyDescent="0.2">
      <c r="AF43274" s="12"/>
    </row>
    <row r="43275" spans="32:32" x14ac:dyDescent="0.2">
      <c r="AF43275" s="12"/>
    </row>
    <row r="43276" spans="32:32" x14ac:dyDescent="0.2">
      <c r="AF43276" s="12"/>
    </row>
    <row r="43277" spans="32:32" x14ac:dyDescent="0.2">
      <c r="AF43277" s="12"/>
    </row>
    <row r="43278" spans="32:32" x14ac:dyDescent="0.2">
      <c r="AF43278" s="12"/>
    </row>
    <row r="43279" spans="32:32" x14ac:dyDescent="0.2">
      <c r="AF43279" s="12"/>
    </row>
    <row r="43280" spans="32:32" x14ac:dyDescent="0.2">
      <c r="AF43280" s="12"/>
    </row>
    <row r="43281" spans="32:32" x14ac:dyDescent="0.2">
      <c r="AF43281" s="12"/>
    </row>
    <row r="43282" spans="32:32" x14ac:dyDescent="0.2">
      <c r="AF43282" s="12"/>
    </row>
    <row r="43283" spans="32:32" x14ac:dyDescent="0.2">
      <c r="AF43283" s="12"/>
    </row>
    <row r="43284" spans="32:32" x14ac:dyDescent="0.2">
      <c r="AF43284" s="12"/>
    </row>
    <row r="43285" spans="32:32" x14ac:dyDescent="0.2">
      <c r="AF43285" s="12"/>
    </row>
    <row r="43286" spans="32:32" x14ac:dyDescent="0.2">
      <c r="AF43286" s="12"/>
    </row>
    <row r="43287" spans="32:32" x14ac:dyDescent="0.2">
      <c r="AF43287" s="12"/>
    </row>
    <row r="43288" spans="32:32" x14ac:dyDescent="0.2">
      <c r="AF43288" s="12"/>
    </row>
    <row r="43289" spans="32:32" x14ac:dyDescent="0.2">
      <c r="AF43289" s="12"/>
    </row>
    <row r="43290" spans="32:32" x14ac:dyDescent="0.2">
      <c r="AF43290" s="12"/>
    </row>
    <row r="43291" spans="32:32" x14ac:dyDescent="0.2">
      <c r="AF43291" s="12"/>
    </row>
    <row r="43292" spans="32:32" x14ac:dyDescent="0.2">
      <c r="AF43292" s="12"/>
    </row>
    <row r="43293" spans="32:32" x14ac:dyDescent="0.2">
      <c r="AF43293" s="12"/>
    </row>
    <row r="43294" spans="32:32" x14ac:dyDescent="0.2">
      <c r="AF43294" s="12"/>
    </row>
    <row r="43295" spans="32:32" x14ac:dyDescent="0.2">
      <c r="AF43295" s="12"/>
    </row>
    <row r="43296" spans="32:32" x14ac:dyDescent="0.2">
      <c r="AF43296" s="12"/>
    </row>
    <row r="43297" spans="32:32" x14ac:dyDescent="0.2">
      <c r="AF43297" s="12"/>
    </row>
    <row r="43298" spans="32:32" x14ac:dyDescent="0.2">
      <c r="AF43298" s="12"/>
    </row>
    <row r="43299" spans="32:32" x14ac:dyDescent="0.2">
      <c r="AF43299" s="12"/>
    </row>
    <row r="43300" spans="32:32" x14ac:dyDescent="0.2">
      <c r="AF43300" s="12"/>
    </row>
    <row r="43301" spans="32:32" x14ac:dyDescent="0.2">
      <c r="AF43301" s="12"/>
    </row>
    <row r="43302" spans="32:32" x14ac:dyDescent="0.2">
      <c r="AF43302" s="12"/>
    </row>
    <row r="43303" spans="32:32" x14ac:dyDescent="0.2">
      <c r="AF43303" s="12"/>
    </row>
    <row r="43304" spans="32:32" x14ac:dyDescent="0.2">
      <c r="AF43304" s="12"/>
    </row>
    <row r="43305" spans="32:32" x14ac:dyDescent="0.2">
      <c r="AF43305" s="12"/>
    </row>
    <row r="43306" spans="32:32" x14ac:dyDescent="0.2">
      <c r="AF43306" s="12"/>
    </row>
    <row r="43307" spans="32:32" x14ac:dyDescent="0.2">
      <c r="AF43307" s="12"/>
    </row>
    <row r="43308" spans="32:32" x14ac:dyDescent="0.2">
      <c r="AF43308" s="12"/>
    </row>
    <row r="43309" spans="32:32" x14ac:dyDescent="0.2">
      <c r="AF43309" s="12"/>
    </row>
    <row r="43310" spans="32:32" x14ac:dyDescent="0.2">
      <c r="AF43310" s="12"/>
    </row>
    <row r="43311" spans="32:32" x14ac:dyDescent="0.2">
      <c r="AF43311" s="12"/>
    </row>
    <row r="43312" spans="32:32" x14ac:dyDescent="0.2">
      <c r="AF43312" s="12"/>
    </row>
    <row r="43313" spans="32:32" x14ac:dyDescent="0.2">
      <c r="AF43313" s="12"/>
    </row>
    <row r="43314" spans="32:32" x14ac:dyDescent="0.2">
      <c r="AF43314" s="12"/>
    </row>
    <row r="43315" spans="32:32" x14ac:dyDescent="0.2">
      <c r="AF43315" s="12"/>
    </row>
    <row r="43316" spans="32:32" x14ac:dyDescent="0.2">
      <c r="AF43316" s="12"/>
    </row>
    <row r="43317" spans="32:32" x14ac:dyDescent="0.2">
      <c r="AF43317" s="12"/>
    </row>
    <row r="43318" spans="32:32" x14ac:dyDescent="0.2">
      <c r="AF43318" s="12"/>
    </row>
    <row r="43319" spans="32:32" x14ac:dyDescent="0.2">
      <c r="AF43319" s="12"/>
    </row>
    <row r="43320" spans="32:32" x14ac:dyDescent="0.2">
      <c r="AF43320" s="12"/>
    </row>
    <row r="43321" spans="32:32" x14ac:dyDescent="0.2">
      <c r="AF43321" s="12"/>
    </row>
    <row r="43322" spans="32:32" x14ac:dyDescent="0.2">
      <c r="AF43322" s="12"/>
    </row>
    <row r="43323" spans="32:32" x14ac:dyDescent="0.2">
      <c r="AF43323" s="12"/>
    </row>
    <row r="43324" spans="32:32" x14ac:dyDescent="0.2">
      <c r="AF43324" s="12"/>
    </row>
    <row r="43325" spans="32:32" x14ac:dyDescent="0.2">
      <c r="AF43325" s="12"/>
    </row>
    <row r="43326" spans="32:32" x14ac:dyDescent="0.2">
      <c r="AF43326" s="12"/>
    </row>
    <row r="43327" spans="32:32" x14ac:dyDescent="0.2">
      <c r="AF43327" s="12"/>
    </row>
    <row r="43328" spans="32:32" x14ac:dyDescent="0.2">
      <c r="AF43328" s="12"/>
    </row>
    <row r="43329" spans="32:32" x14ac:dyDescent="0.2">
      <c r="AF43329" s="12"/>
    </row>
    <row r="43330" spans="32:32" x14ac:dyDescent="0.2">
      <c r="AF43330" s="12"/>
    </row>
    <row r="43331" spans="32:32" x14ac:dyDescent="0.2">
      <c r="AF43331" s="12"/>
    </row>
    <row r="43332" spans="32:32" x14ac:dyDescent="0.2">
      <c r="AF43332" s="12"/>
    </row>
    <row r="43333" spans="32:32" x14ac:dyDescent="0.2">
      <c r="AF43333" s="12"/>
    </row>
    <row r="43334" spans="32:32" x14ac:dyDescent="0.2">
      <c r="AF43334" s="12"/>
    </row>
    <row r="43335" spans="32:32" x14ac:dyDescent="0.2">
      <c r="AF43335" s="12"/>
    </row>
    <row r="43336" spans="32:32" x14ac:dyDescent="0.2">
      <c r="AF43336" s="12"/>
    </row>
    <row r="43337" spans="32:32" x14ac:dyDescent="0.2">
      <c r="AF43337" s="12"/>
    </row>
    <row r="43338" spans="32:32" x14ac:dyDescent="0.2">
      <c r="AF43338" s="12"/>
    </row>
    <row r="43339" spans="32:32" x14ac:dyDescent="0.2">
      <c r="AF43339" s="12"/>
    </row>
    <row r="43340" spans="32:32" x14ac:dyDescent="0.2">
      <c r="AF43340" s="12"/>
    </row>
    <row r="43341" spans="32:32" x14ac:dyDescent="0.2">
      <c r="AF43341" s="12"/>
    </row>
    <row r="43342" spans="32:32" x14ac:dyDescent="0.2">
      <c r="AF43342" s="12"/>
    </row>
    <row r="43343" spans="32:32" x14ac:dyDescent="0.2">
      <c r="AF43343" s="12"/>
    </row>
    <row r="43344" spans="32:32" x14ac:dyDescent="0.2">
      <c r="AF43344" s="12"/>
    </row>
    <row r="43345" spans="32:32" x14ac:dyDescent="0.2">
      <c r="AF43345" s="12"/>
    </row>
    <row r="43346" spans="32:32" x14ac:dyDescent="0.2">
      <c r="AF43346" s="12"/>
    </row>
    <row r="43347" spans="32:32" x14ac:dyDescent="0.2">
      <c r="AF43347" s="12"/>
    </row>
    <row r="43348" spans="32:32" x14ac:dyDescent="0.2">
      <c r="AF43348" s="12"/>
    </row>
    <row r="43349" spans="32:32" x14ac:dyDescent="0.2">
      <c r="AF43349" s="12"/>
    </row>
    <row r="43350" spans="32:32" x14ac:dyDescent="0.2">
      <c r="AF43350" s="12"/>
    </row>
    <row r="43351" spans="32:32" x14ac:dyDescent="0.2">
      <c r="AF43351" s="12"/>
    </row>
    <row r="43352" spans="32:32" x14ac:dyDescent="0.2">
      <c r="AF43352" s="12"/>
    </row>
    <row r="43353" spans="32:32" x14ac:dyDescent="0.2">
      <c r="AF43353" s="12"/>
    </row>
    <row r="43354" spans="32:32" x14ac:dyDescent="0.2">
      <c r="AF43354" s="12"/>
    </row>
    <row r="43355" spans="32:32" x14ac:dyDescent="0.2">
      <c r="AF43355" s="12"/>
    </row>
    <row r="43356" spans="32:32" x14ac:dyDescent="0.2">
      <c r="AF43356" s="12"/>
    </row>
    <row r="43357" spans="32:32" x14ac:dyDescent="0.2">
      <c r="AF43357" s="12"/>
    </row>
    <row r="43358" spans="32:32" x14ac:dyDescent="0.2">
      <c r="AF43358" s="12"/>
    </row>
    <row r="43359" spans="32:32" x14ac:dyDescent="0.2">
      <c r="AF43359" s="12"/>
    </row>
    <row r="43360" spans="32:32" x14ac:dyDescent="0.2">
      <c r="AF43360" s="12"/>
    </row>
    <row r="43361" spans="32:32" x14ac:dyDescent="0.2">
      <c r="AF43361" s="12"/>
    </row>
    <row r="43362" spans="32:32" x14ac:dyDescent="0.2">
      <c r="AF43362" s="12"/>
    </row>
    <row r="43363" spans="32:32" x14ac:dyDescent="0.2">
      <c r="AF43363" s="12"/>
    </row>
    <row r="43364" spans="32:32" x14ac:dyDescent="0.2">
      <c r="AF43364" s="12"/>
    </row>
    <row r="43365" spans="32:32" x14ac:dyDescent="0.2">
      <c r="AF43365" s="12"/>
    </row>
    <row r="43366" spans="32:32" x14ac:dyDescent="0.2">
      <c r="AF43366" s="12"/>
    </row>
    <row r="43367" spans="32:32" x14ac:dyDescent="0.2">
      <c r="AF43367" s="12"/>
    </row>
    <row r="43368" spans="32:32" x14ac:dyDescent="0.2">
      <c r="AF43368" s="12"/>
    </row>
    <row r="43369" spans="32:32" x14ac:dyDescent="0.2">
      <c r="AF43369" s="12"/>
    </row>
    <row r="43370" spans="32:32" x14ac:dyDescent="0.2">
      <c r="AF43370" s="12"/>
    </row>
    <row r="43371" spans="32:32" x14ac:dyDescent="0.2">
      <c r="AF43371" s="12"/>
    </row>
    <row r="43372" spans="32:32" x14ac:dyDescent="0.2">
      <c r="AF43372" s="12"/>
    </row>
    <row r="43373" spans="32:32" x14ac:dyDescent="0.2">
      <c r="AF43373" s="12"/>
    </row>
    <row r="43374" spans="32:32" x14ac:dyDescent="0.2">
      <c r="AF43374" s="12"/>
    </row>
    <row r="43375" spans="32:32" x14ac:dyDescent="0.2">
      <c r="AF43375" s="12"/>
    </row>
    <row r="43376" spans="32:32" x14ac:dyDescent="0.2">
      <c r="AF43376" s="12"/>
    </row>
    <row r="43377" spans="32:32" x14ac:dyDescent="0.2">
      <c r="AF43377" s="12"/>
    </row>
    <row r="43378" spans="32:32" x14ac:dyDescent="0.2">
      <c r="AF43378" s="12"/>
    </row>
    <row r="43379" spans="32:32" x14ac:dyDescent="0.2">
      <c r="AF43379" s="12"/>
    </row>
    <row r="43380" spans="32:32" x14ac:dyDescent="0.2">
      <c r="AF43380" s="12"/>
    </row>
    <row r="43381" spans="32:32" x14ac:dyDescent="0.2">
      <c r="AF43381" s="12"/>
    </row>
    <row r="43382" spans="32:32" x14ac:dyDescent="0.2">
      <c r="AF43382" s="12"/>
    </row>
    <row r="43383" spans="32:32" x14ac:dyDescent="0.2">
      <c r="AF43383" s="12"/>
    </row>
    <row r="43384" spans="32:32" x14ac:dyDescent="0.2">
      <c r="AF43384" s="12"/>
    </row>
    <row r="43385" spans="32:32" x14ac:dyDescent="0.2">
      <c r="AF43385" s="12"/>
    </row>
    <row r="43386" spans="32:32" x14ac:dyDescent="0.2">
      <c r="AF43386" s="12"/>
    </row>
    <row r="43387" spans="32:32" x14ac:dyDescent="0.2">
      <c r="AF43387" s="12"/>
    </row>
    <row r="43388" spans="32:32" x14ac:dyDescent="0.2">
      <c r="AF43388" s="12"/>
    </row>
    <row r="43389" spans="32:32" x14ac:dyDescent="0.2">
      <c r="AF43389" s="12"/>
    </row>
    <row r="43390" spans="32:32" x14ac:dyDescent="0.2">
      <c r="AF43390" s="12"/>
    </row>
    <row r="43391" spans="32:32" x14ac:dyDescent="0.2">
      <c r="AF43391" s="12"/>
    </row>
    <row r="43392" spans="32:32" x14ac:dyDescent="0.2">
      <c r="AF43392" s="12"/>
    </row>
    <row r="43393" spans="32:32" x14ac:dyDescent="0.2">
      <c r="AF43393" s="12"/>
    </row>
    <row r="43394" spans="32:32" x14ac:dyDescent="0.2">
      <c r="AF43394" s="12"/>
    </row>
    <row r="43395" spans="32:32" x14ac:dyDescent="0.2">
      <c r="AF43395" s="12"/>
    </row>
    <row r="43396" spans="32:32" x14ac:dyDescent="0.2">
      <c r="AF43396" s="12"/>
    </row>
    <row r="43397" spans="32:32" x14ac:dyDescent="0.2">
      <c r="AF43397" s="12"/>
    </row>
    <row r="43398" spans="32:32" x14ac:dyDescent="0.2">
      <c r="AF43398" s="12"/>
    </row>
    <row r="43399" spans="32:32" x14ac:dyDescent="0.2">
      <c r="AF43399" s="12"/>
    </row>
    <row r="43400" spans="32:32" x14ac:dyDescent="0.2">
      <c r="AF43400" s="12"/>
    </row>
    <row r="43401" spans="32:32" x14ac:dyDescent="0.2">
      <c r="AF43401" s="12"/>
    </row>
    <row r="43402" spans="32:32" x14ac:dyDescent="0.2">
      <c r="AF43402" s="12"/>
    </row>
    <row r="43403" spans="32:32" x14ac:dyDescent="0.2">
      <c r="AF43403" s="12"/>
    </row>
    <row r="43404" spans="32:32" x14ac:dyDescent="0.2">
      <c r="AF43404" s="12"/>
    </row>
    <row r="43405" spans="32:32" x14ac:dyDescent="0.2">
      <c r="AF43405" s="12"/>
    </row>
    <row r="43406" spans="32:32" x14ac:dyDescent="0.2">
      <c r="AF43406" s="12"/>
    </row>
    <row r="43407" spans="32:32" x14ac:dyDescent="0.2">
      <c r="AF43407" s="12"/>
    </row>
    <row r="43408" spans="32:32" x14ac:dyDescent="0.2">
      <c r="AF43408" s="12"/>
    </row>
    <row r="43409" spans="32:32" x14ac:dyDescent="0.2">
      <c r="AF43409" s="12"/>
    </row>
    <row r="43410" spans="32:32" x14ac:dyDescent="0.2">
      <c r="AF43410" s="12"/>
    </row>
    <row r="43411" spans="32:32" x14ac:dyDescent="0.2">
      <c r="AF43411" s="12"/>
    </row>
    <row r="43412" spans="32:32" x14ac:dyDescent="0.2">
      <c r="AF43412" s="12"/>
    </row>
    <row r="43413" spans="32:32" x14ac:dyDescent="0.2">
      <c r="AF43413" s="12"/>
    </row>
    <row r="43414" spans="32:32" x14ac:dyDescent="0.2">
      <c r="AF43414" s="12"/>
    </row>
    <row r="43415" spans="32:32" x14ac:dyDescent="0.2">
      <c r="AF43415" s="12"/>
    </row>
    <row r="43416" spans="32:32" x14ac:dyDescent="0.2">
      <c r="AF43416" s="12"/>
    </row>
    <row r="43417" spans="32:32" x14ac:dyDescent="0.2">
      <c r="AF43417" s="12"/>
    </row>
    <row r="43418" spans="32:32" x14ac:dyDescent="0.2">
      <c r="AF43418" s="12"/>
    </row>
    <row r="43419" spans="32:32" x14ac:dyDescent="0.2">
      <c r="AF43419" s="12"/>
    </row>
    <row r="43420" spans="32:32" x14ac:dyDescent="0.2">
      <c r="AF43420" s="12"/>
    </row>
    <row r="43421" spans="32:32" x14ac:dyDescent="0.2">
      <c r="AF43421" s="12"/>
    </row>
    <row r="43422" spans="32:32" x14ac:dyDescent="0.2">
      <c r="AF43422" s="12"/>
    </row>
    <row r="43423" spans="32:32" x14ac:dyDescent="0.2">
      <c r="AF43423" s="12"/>
    </row>
    <row r="43424" spans="32:32" x14ac:dyDescent="0.2">
      <c r="AF43424" s="12"/>
    </row>
    <row r="43425" spans="32:32" x14ac:dyDescent="0.2">
      <c r="AF43425" s="12"/>
    </row>
    <row r="43426" spans="32:32" x14ac:dyDescent="0.2">
      <c r="AF43426" s="12"/>
    </row>
    <row r="43427" spans="32:32" x14ac:dyDescent="0.2">
      <c r="AF43427" s="12"/>
    </row>
    <row r="43428" spans="32:32" x14ac:dyDescent="0.2">
      <c r="AF43428" s="12"/>
    </row>
    <row r="43429" spans="32:32" x14ac:dyDescent="0.2">
      <c r="AF43429" s="12"/>
    </row>
    <row r="43430" spans="32:32" x14ac:dyDescent="0.2">
      <c r="AF43430" s="12"/>
    </row>
    <row r="43431" spans="32:32" x14ac:dyDescent="0.2">
      <c r="AF43431" s="12"/>
    </row>
    <row r="43432" spans="32:32" x14ac:dyDescent="0.2">
      <c r="AF43432" s="12"/>
    </row>
    <row r="43433" spans="32:32" x14ac:dyDescent="0.2">
      <c r="AF43433" s="12"/>
    </row>
    <row r="43434" spans="32:32" x14ac:dyDescent="0.2">
      <c r="AF43434" s="12"/>
    </row>
    <row r="43435" spans="32:32" x14ac:dyDescent="0.2">
      <c r="AF43435" s="12"/>
    </row>
    <row r="43436" spans="32:32" x14ac:dyDescent="0.2">
      <c r="AF43436" s="12"/>
    </row>
    <row r="43437" spans="32:32" x14ac:dyDescent="0.2">
      <c r="AF43437" s="12"/>
    </row>
    <row r="43438" spans="32:32" x14ac:dyDescent="0.2">
      <c r="AF43438" s="12"/>
    </row>
    <row r="43439" spans="32:32" x14ac:dyDescent="0.2">
      <c r="AF43439" s="12"/>
    </row>
    <row r="43440" spans="32:32" x14ac:dyDescent="0.2">
      <c r="AF43440" s="12"/>
    </row>
    <row r="43441" spans="32:32" x14ac:dyDescent="0.2">
      <c r="AF43441" s="12"/>
    </row>
    <row r="43442" spans="32:32" x14ac:dyDescent="0.2">
      <c r="AF43442" s="12"/>
    </row>
    <row r="43443" spans="32:32" x14ac:dyDescent="0.2">
      <c r="AF43443" s="12"/>
    </row>
    <row r="43444" spans="32:32" x14ac:dyDescent="0.2">
      <c r="AF43444" s="12"/>
    </row>
    <row r="43445" spans="32:32" x14ac:dyDescent="0.2">
      <c r="AF43445" s="12"/>
    </row>
    <row r="43446" spans="32:32" x14ac:dyDescent="0.2">
      <c r="AF43446" s="12"/>
    </row>
    <row r="43447" spans="32:32" x14ac:dyDescent="0.2">
      <c r="AF43447" s="12"/>
    </row>
    <row r="43448" spans="32:32" x14ac:dyDescent="0.2">
      <c r="AF43448" s="12"/>
    </row>
    <row r="43449" spans="32:32" x14ac:dyDescent="0.2">
      <c r="AF43449" s="12"/>
    </row>
    <row r="43450" spans="32:32" x14ac:dyDescent="0.2">
      <c r="AF43450" s="12"/>
    </row>
    <row r="43451" spans="32:32" x14ac:dyDescent="0.2">
      <c r="AF43451" s="12"/>
    </row>
    <row r="43452" spans="32:32" x14ac:dyDescent="0.2">
      <c r="AF43452" s="12"/>
    </row>
    <row r="43453" spans="32:32" x14ac:dyDescent="0.2">
      <c r="AF43453" s="12"/>
    </row>
    <row r="43454" spans="32:32" x14ac:dyDescent="0.2">
      <c r="AF43454" s="12"/>
    </row>
    <row r="43455" spans="32:32" x14ac:dyDescent="0.2">
      <c r="AF43455" s="12"/>
    </row>
    <row r="43456" spans="32:32" x14ac:dyDescent="0.2">
      <c r="AF43456" s="12"/>
    </row>
    <row r="43457" spans="32:32" x14ac:dyDescent="0.2">
      <c r="AF43457" s="12"/>
    </row>
    <row r="43458" spans="32:32" x14ac:dyDescent="0.2">
      <c r="AF43458" s="12"/>
    </row>
    <row r="43459" spans="32:32" x14ac:dyDescent="0.2">
      <c r="AF43459" s="12"/>
    </row>
    <row r="43460" spans="32:32" x14ac:dyDescent="0.2">
      <c r="AF43460" s="12"/>
    </row>
    <row r="43461" spans="32:32" x14ac:dyDescent="0.2">
      <c r="AF43461" s="12"/>
    </row>
    <row r="43462" spans="32:32" x14ac:dyDescent="0.2">
      <c r="AF43462" s="12"/>
    </row>
    <row r="43463" spans="32:32" x14ac:dyDescent="0.2">
      <c r="AF43463" s="12"/>
    </row>
    <row r="43464" spans="32:32" x14ac:dyDescent="0.2">
      <c r="AF43464" s="12"/>
    </row>
    <row r="43465" spans="32:32" x14ac:dyDescent="0.2">
      <c r="AF43465" s="12"/>
    </row>
    <row r="43466" spans="32:32" x14ac:dyDescent="0.2">
      <c r="AF43466" s="12"/>
    </row>
    <row r="43467" spans="32:32" x14ac:dyDescent="0.2">
      <c r="AF43467" s="12"/>
    </row>
    <row r="43468" spans="32:32" x14ac:dyDescent="0.2">
      <c r="AF43468" s="12"/>
    </row>
    <row r="43469" spans="32:32" x14ac:dyDescent="0.2">
      <c r="AF43469" s="12"/>
    </row>
    <row r="43470" spans="32:32" x14ac:dyDescent="0.2">
      <c r="AF43470" s="12"/>
    </row>
    <row r="43471" spans="32:32" x14ac:dyDescent="0.2">
      <c r="AF43471" s="12"/>
    </row>
    <row r="43472" spans="32:32" x14ac:dyDescent="0.2">
      <c r="AF43472" s="12"/>
    </row>
    <row r="43473" spans="32:32" x14ac:dyDescent="0.2">
      <c r="AF43473" s="12"/>
    </row>
    <row r="43474" spans="32:32" x14ac:dyDescent="0.2">
      <c r="AF43474" s="12"/>
    </row>
    <row r="43475" spans="32:32" x14ac:dyDescent="0.2">
      <c r="AF43475" s="12"/>
    </row>
    <row r="43476" spans="32:32" x14ac:dyDescent="0.2">
      <c r="AF43476" s="12"/>
    </row>
    <row r="43477" spans="32:32" x14ac:dyDescent="0.2">
      <c r="AF43477" s="12"/>
    </row>
    <row r="43478" spans="32:32" x14ac:dyDescent="0.2">
      <c r="AF43478" s="12"/>
    </row>
    <row r="43479" spans="32:32" x14ac:dyDescent="0.2">
      <c r="AF43479" s="12"/>
    </row>
    <row r="43480" spans="32:32" x14ac:dyDescent="0.2">
      <c r="AF43480" s="12"/>
    </row>
    <row r="43481" spans="32:32" x14ac:dyDescent="0.2">
      <c r="AF43481" s="12"/>
    </row>
    <row r="43482" spans="32:32" x14ac:dyDescent="0.2">
      <c r="AF43482" s="12"/>
    </row>
    <row r="43483" spans="32:32" x14ac:dyDescent="0.2">
      <c r="AF43483" s="12"/>
    </row>
    <row r="43484" spans="32:32" x14ac:dyDescent="0.2">
      <c r="AF43484" s="12"/>
    </row>
    <row r="43485" spans="32:32" x14ac:dyDescent="0.2">
      <c r="AF43485" s="12"/>
    </row>
    <row r="43486" spans="32:32" x14ac:dyDescent="0.2">
      <c r="AF43486" s="12"/>
    </row>
    <row r="43487" spans="32:32" x14ac:dyDescent="0.2">
      <c r="AF43487" s="12"/>
    </row>
    <row r="43488" spans="32:32" x14ac:dyDescent="0.2">
      <c r="AF43488" s="12"/>
    </row>
    <row r="43489" spans="32:32" x14ac:dyDescent="0.2">
      <c r="AF43489" s="12"/>
    </row>
    <row r="43490" spans="32:32" x14ac:dyDescent="0.2">
      <c r="AF43490" s="12"/>
    </row>
    <row r="43491" spans="32:32" x14ac:dyDescent="0.2">
      <c r="AF43491" s="12"/>
    </row>
    <row r="43492" spans="32:32" x14ac:dyDescent="0.2">
      <c r="AF43492" s="12"/>
    </row>
    <row r="43493" spans="32:32" x14ac:dyDescent="0.2">
      <c r="AF43493" s="12"/>
    </row>
    <row r="43494" spans="32:32" x14ac:dyDescent="0.2">
      <c r="AF43494" s="12"/>
    </row>
    <row r="43495" spans="32:32" x14ac:dyDescent="0.2">
      <c r="AF43495" s="12"/>
    </row>
    <row r="43496" spans="32:32" x14ac:dyDescent="0.2">
      <c r="AF43496" s="12"/>
    </row>
    <row r="43497" spans="32:32" x14ac:dyDescent="0.2">
      <c r="AF43497" s="12"/>
    </row>
    <row r="43498" spans="32:32" x14ac:dyDescent="0.2">
      <c r="AF43498" s="12"/>
    </row>
    <row r="43499" spans="32:32" x14ac:dyDescent="0.2">
      <c r="AF43499" s="12"/>
    </row>
    <row r="43500" spans="32:32" x14ac:dyDescent="0.2">
      <c r="AF43500" s="12"/>
    </row>
    <row r="43501" spans="32:32" x14ac:dyDescent="0.2">
      <c r="AF43501" s="12"/>
    </row>
    <row r="43502" spans="32:32" x14ac:dyDescent="0.2">
      <c r="AF43502" s="12"/>
    </row>
    <row r="43503" spans="32:32" x14ac:dyDescent="0.2">
      <c r="AF43503" s="12"/>
    </row>
    <row r="43504" spans="32:32" x14ac:dyDescent="0.2">
      <c r="AF43504" s="12"/>
    </row>
    <row r="43505" spans="32:32" x14ac:dyDescent="0.2">
      <c r="AF43505" s="12"/>
    </row>
    <row r="43506" spans="32:32" x14ac:dyDescent="0.2">
      <c r="AF43506" s="12"/>
    </row>
    <row r="43507" spans="32:32" x14ac:dyDescent="0.2">
      <c r="AF43507" s="12"/>
    </row>
    <row r="43508" spans="32:32" x14ac:dyDescent="0.2">
      <c r="AF43508" s="12"/>
    </row>
    <row r="43509" spans="32:32" x14ac:dyDescent="0.2">
      <c r="AF43509" s="12"/>
    </row>
    <row r="43510" spans="32:32" x14ac:dyDescent="0.2">
      <c r="AF43510" s="12"/>
    </row>
    <row r="43511" spans="32:32" x14ac:dyDescent="0.2">
      <c r="AF43511" s="12"/>
    </row>
    <row r="43512" spans="32:32" x14ac:dyDescent="0.2">
      <c r="AF43512" s="12"/>
    </row>
    <row r="43513" spans="32:32" x14ac:dyDescent="0.2">
      <c r="AF43513" s="12"/>
    </row>
    <row r="43514" spans="32:32" x14ac:dyDescent="0.2">
      <c r="AF43514" s="12"/>
    </row>
    <row r="43515" spans="32:32" x14ac:dyDescent="0.2">
      <c r="AF43515" s="12"/>
    </row>
    <row r="43516" spans="32:32" x14ac:dyDescent="0.2">
      <c r="AF43516" s="12"/>
    </row>
    <row r="43517" spans="32:32" x14ac:dyDescent="0.2">
      <c r="AF43517" s="12"/>
    </row>
    <row r="43518" spans="32:32" x14ac:dyDescent="0.2">
      <c r="AF43518" s="12"/>
    </row>
    <row r="43519" spans="32:32" x14ac:dyDescent="0.2">
      <c r="AF43519" s="12"/>
    </row>
    <row r="43520" spans="32:32" x14ac:dyDescent="0.2">
      <c r="AF43520" s="12"/>
    </row>
    <row r="43521" spans="32:32" x14ac:dyDescent="0.2">
      <c r="AF43521" s="12"/>
    </row>
    <row r="43522" spans="32:32" x14ac:dyDescent="0.2">
      <c r="AF43522" s="12"/>
    </row>
    <row r="43523" spans="32:32" x14ac:dyDescent="0.2">
      <c r="AF43523" s="12"/>
    </row>
    <row r="43524" spans="32:32" x14ac:dyDescent="0.2">
      <c r="AF43524" s="12"/>
    </row>
    <row r="43525" spans="32:32" x14ac:dyDescent="0.2">
      <c r="AF43525" s="12"/>
    </row>
    <row r="43526" spans="32:32" x14ac:dyDescent="0.2">
      <c r="AF43526" s="12"/>
    </row>
    <row r="43527" spans="32:32" x14ac:dyDescent="0.2">
      <c r="AF43527" s="12"/>
    </row>
    <row r="43528" spans="32:32" x14ac:dyDescent="0.2">
      <c r="AF43528" s="12"/>
    </row>
    <row r="43529" spans="32:32" x14ac:dyDescent="0.2">
      <c r="AF43529" s="12"/>
    </row>
    <row r="43530" spans="32:32" x14ac:dyDescent="0.2">
      <c r="AF43530" s="12"/>
    </row>
    <row r="43531" spans="32:32" x14ac:dyDescent="0.2">
      <c r="AF43531" s="12"/>
    </row>
    <row r="43532" spans="32:32" x14ac:dyDescent="0.2">
      <c r="AF43532" s="12"/>
    </row>
    <row r="43533" spans="32:32" x14ac:dyDescent="0.2">
      <c r="AF43533" s="12"/>
    </row>
    <row r="43534" spans="32:32" x14ac:dyDescent="0.2">
      <c r="AF43534" s="12"/>
    </row>
    <row r="43535" spans="32:32" x14ac:dyDescent="0.2">
      <c r="AF43535" s="12"/>
    </row>
    <row r="43536" spans="32:32" x14ac:dyDescent="0.2">
      <c r="AF43536" s="12"/>
    </row>
    <row r="43537" spans="32:32" x14ac:dyDescent="0.2">
      <c r="AF43537" s="12"/>
    </row>
    <row r="43538" spans="32:32" x14ac:dyDescent="0.2">
      <c r="AF43538" s="12"/>
    </row>
    <row r="43539" spans="32:32" x14ac:dyDescent="0.2">
      <c r="AF43539" s="12"/>
    </row>
    <row r="43540" spans="32:32" x14ac:dyDescent="0.2">
      <c r="AF43540" s="12"/>
    </row>
    <row r="43541" spans="32:32" x14ac:dyDescent="0.2">
      <c r="AF43541" s="12"/>
    </row>
    <row r="43542" spans="32:32" x14ac:dyDescent="0.2">
      <c r="AF43542" s="12"/>
    </row>
    <row r="43543" spans="32:32" x14ac:dyDescent="0.2">
      <c r="AF43543" s="12"/>
    </row>
    <row r="43544" spans="32:32" x14ac:dyDescent="0.2">
      <c r="AF43544" s="12"/>
    </row>
    <row r="43545" spans="32:32" x14ac:dyDescent="0.2">
      <c r="AF43545" s="12"/>
    </row>
    <row r="43546" spans="32:32" x14ac:dyDescent="0.2">
      <c r="AF43546" s="12"/>
    </row>
    <row r="43547" spans="32:32" x14ac:dyDescent="0.2">
      <c r="AF43547" s="12"/>
    </row>
    <row r="43548" spans="32:32" x14ac:dyDescent="0.2">
      <c r="AF43548" s="12"/>
    </row>
    <row r="43549" spans="32:32" x14ac:dyDescent="0.2">
      <c r="AF43549" s="12"/>
    </row>
    <row r="43550" spans="32:32" x14ac:dyDescent="0.2">
      <c r="AF43550" s="12"/>
    </row>
    <row r="43551" spans="32:32" x14ac:dyDescent="0.2">
      <c r="AF43551" s="12"/>
    </row>
    <row r="43552" spans="32:32" x14ac:dyDescent="0.2">
      <c r="AF43552" s="12"/>
    </row>
    <row r="43553" spans="32:32" x14ac:dyDescent="0.2">
      <c r="AF43553" s="12"/>
    </row>
    <row r="43554" spans="32:32" x14ac:dyDescent="0.2">
      <c r="AF43554" s="12"/>
    </row>
    <row r="43555" spans="32:32" x14ac:dyDescent="0.2">
      <c r="AF43555" s="12"/>
    </row>
    <row r="43556" spans="32:32" x14ac:dyDescent="0.2">
      <c r="AF43556" s="12"/>
    </row>
    <row r="43557" spans="32:32" x14ac:dyDescent="0.2">
      <c r="AF43557" s="12"/>
    </row>
    <row r="43558" spans="32:32" x14ac:dyDescent="0.2">
      <c r="AF43558" s="12"/>
    </row>
    <row r="43559" spans="32:32" x14ac:dyDescent="0.2">
      <c r="AF43559" s="12"/>
    </row>
    <row r="43560" spans="32:32" x14ac:dyDescent="0.2">
      <c r="AF43560" s="12"/>
    </row>
    <row r="43561" spans="32:32" x14ac:dyDescent="0.2">
      <c r="AF43561" s="12"/>
    </row>
    <row r="43562" spans="32:32" x14ac:dyDescent="0.2">
      <c r="AF43562" s="12"/>
    </row>
    <row r="43563" spans="32:32" x14ac:dyDescent="0.2">
      <c r="AF43563" s="12"/>
    </row>
    <row r="43564" spans="32:32" x14ac:dyDescent="0.2">
      <c r="AF43564" s="12"/>
    </row>
    <row r="43565" spans="32:32" x14ac:dyDescent="0.2">
      <c r="AF43565" s="12"/>
    </row>
    <row r="43566" spans="32:32" x14ac:dyDescent="0.2">
      <c r="AF43566" s="12"/>
    </row>
    <row r="43567" spans="32:32" x14ac:dyDescent="0.2">
      <c r="AF43567" s="12"/>
    </row>
    <row r="43568" spans="32:32" x14ac:dyDescent="0.2">
      <c r="AF43568" s="12"/>
    </row>
    <row r="43569" spans="32:32" x14ac:dyDescent="0.2">
      <c r="AF43569" s="12"/>
    </row>
    <row r="43570" spans="32:32" x14ac:dyDescent="0.2">
      <c r="AF43570" s="12"/>
    </row>
    <row r="43571" spans="32:32" x14ac:dyDescent="0.2">
      <c r="AF43571" s="12"/>
    </row>
    <row r="43572" spans="32:32" x14ac:dyDescent="0.2">
      <c r="AF43572" s="12"/>
    </row>
    <row r="43573" spans="32:32" x14ac:dyDescent="0.2">
      <c r="AF43573" s="12"/>
    </row>
    <row r="43574" spans="32:32" x14ac:dyDescent="0.2">
      <c r="AF43574" s="12"/>
    </row>
    <row r="43575" spans="32:32" x14ac:dyDescent="0.2">
      <c r="AF43575" s="12"/>
    </row>
    <row r="43576" spans="32:32" x14ac:dyDescent="0.2">
      <c r="AF43576" s="12"/>
    </row>
    <row r="43577" spans="32:32" x14ac:dyDescent="0.2">
      <c r="AF43577" s="12"/>
    </row>
    <row r="43578" spans="32:32" x14ac:dyDescent="0.2">
      <c r="AF43578" s="12"/>
    </row>
    <row r="43579" spans="32:32" x14ac:dyDescent="0.2">
      <c r="AF43579" s="12"/>
    </row>
    <row r="43580" spans="32:32" x14ac:dyDescent="0.2">
      <c r="AF43580" s="12"/>
    </row>
    <row r="43581" spans="32:32" x14ac:dyDescent="0.2">
      <c r="AF43581" s="12"/>
    </row>
    <row r="43582" spans="32:32" x14ac:dyDescent="0.2">
      <c r="AF43582" s="12"/>
    </row>
    <row r="43583" spans="32:32" x14ac:dyDescent="0.2">
      <c r="AF43583" s="12"/>
    </row>
    <row r="43584" spans="32:32" x14ac:dyDescent="0.2">
      <c r="AF43584" s="12"/>
    </row>
    <row r="43585" spans="32:32" x14ac:dyDescent="0.2">
      <c r="AF43585" s="12"/>
    </row>
    <row r="43586" spans="32:32" x14ac:dyDescent="0.2">
      <c r="AF43586" s="12"/>
    </row>
    <row r="43587" spans="32:32" x14ac:dyDescent="0.2">
      <c r="AF43587" s="12"/>
    </row>
    <row r="43588" spans="32:32" x14ac:dyDescent="0.2">
      <c r="AF43588" s="12"/>
    </row>
    <row r="43589" spans="32:32" x14ac:dyDescent="0.2">
      <c r="AF43589" s="12"/>
    </row>
    <row r="43590" spans="32:32" x14ac:dyDescent="0.2">
      <c r="AF43590" s="12"/>
    </row>
    <row r="43591" spans="32:32" x14ac:dyDescent="0.2">
      <c r="AF43591" s="12"/>
    </row>
    <row r="43592" spans="32:32" x14ac:dyDescent="0.2">
      <c r="AF43592" s="12"/>
    </row>
    <row r="43593" spans="32:32" x14ac:dyDescent="0.2">
      <c r="AF43593" s="12"/>
    </row>
    <row r="43594" spans="32:32" x14ac:dyDescent="0.2">
      <c r="AF43594" s="12"/>
    </row>
    <row r="43595" spans="32:32" x14ac:dyDescent="0.2">
      <c r="AF43595" s="12"/>
    </row>
    <row r="43596" spans="32:32" x14ac:dyDescent="0.2">
      <c r="AF43596" s="12"/>
    </row>
    <row r="43597" spans="32:32" x14ac:dyDescent="0.2">
      <c r="AF43597" s="12"/>
    </row>
    <row r="43598" spans="32:32" x14ac:dyDescent="0.2">
      <c r="AF43598" s="12"/>
    </row>
    <row r="43599" spans="32:32" x14ac:dyDescent="0.2">
      <c r="AF43599" s="12"/>
    </row>
    <row r="43600" spans="32:32" x14ac:dyDescent="0.2">
      <c r="AF43600" s="12"/>
    </row>
    <row r="43601" spans="32:32" x14ac:dyDescent="0.2">
      <c r="AF43601" s="12"/>
    </row>
    <row r="43602" spans="32:32" x14ac:dyDescent="0.2">
      <c r="AF43602" s="12"/>
    </row>
    <row r="43603" spans="32:32" x14ac:dyDescent="0.2">
      <c r="AF43603" s="12"/>
    </row>
    <row r="43604" spans="32:32" x14ac:dyDescent="0.2">
      <c r="AF43604" s="12"/>
    </row>
    <row r="43605" spans="32:32" x14ac:dyDescent="0.2">
      <c r="AF43605" s="12"/>
    </row>
    <row r="43606" spans="32:32" x14ac:dyDescent="0.2">
      <c r="AF43606" s="12"/>
    </row>
    <row r="43607" spans="32:32" x14ac:dyDescent="0.2">
      <c r="AF43607" s="12"/>
    </row>
    <row r="43608" spans="32:32" x14ac:dyDescent="0.2">
      <c r="AF43608" s="12"/>
    </row>
    <row r="43609" spans="32:32" x14ac:dyDescent="0.2">
      <c r="AF43609" s="12"/>
    </row>
    <row r="43610" spans="32:32" x14ac:dyDescent="0.2">
      <c r="AF43610" s="12"/>
    </row>
    <row r="43611" spans="32:32" x14ac:dyDescent="0.2">
      <c r="AF43611" s="12"/>
    </row>
    <row r="43612" spans="32:32" x14ac:dyDescent="0.2">
      <c r="AF43612" s="12"/>
    </row>
    <row r="43613" spans="32:32" x14ac:dyDescent="0.2">
      <c r="AF43613" s="12"/>
    </row>
    <row r="43614" spans="32:32" x14ac:dyDescent="0.2">
      <c r="AF43614" s="12"/>
    </row>
    <row r="43615" spans="32:32" x14ac:dyDescent="0.2">
      <c r="AF43615" s="12"/>
    </row>
    <row r="43616" spans="32:32" x14ac:dyDescent="0.2">
      <c r="AF43616" s="12"/>
    </row>
    <row r="43617" spans="32:32" x14ac:dyDescent="0.2">
      <c r="AF43617" s="12"/>
    </row>
    <row r="43618" spans="32:32" x14ac:dyDescent="0.2">
      <c r="AF43618" s="12"/>
    </row>
    <row r="43619" spans="32:32" x14ac:dyDescent="0.2">
      <c r="AF43619" s="12"/>
    </row>
    <row r="43620" spans="32:32" x14ac:dyDescent="0.2">
      <c r="AF43620" s="12"/>
    </row>
    <row r="43621" spans="32:32" x14ac:dyDescent="0.2">
      <c r="AF43621" s="12"/>
    </row>
    <row r="43622" spans="32:32" x14ac:dyDescent="0.2">
      <c r="AF43622" s="12"/>
    </row>
    <row r="43623" spans="32:32" x14ac:dyDescent="0.2">
      <c r="AF43623" s="12"/>
    </row>
    <row r="43624" spans="32:32" x14ac:dyDescent="0.2">
      <c r="AF43624" s="12"/>
    </row>
    <row r="43625" spans="32:32" x14ac:dyDescent="0.2">
      <c r="AF43625" s="12"/>
    </row>
    <row r="43626" spans="32:32" x14ac:dyDescent="0.2">
      <c r="AF43626" s="12"/>
    </row>
    <row r="43627" spans="32:32" x14ac:dyDescent="0.2">
      <c r="AF43627" s="12"/>
    </row>
    <row r="43628" spans="32:32" x14ac:dyDescent="0.2">
      <c r="AF43628" s="12"/>
    </row>
    <row r="43629" spans="32:32" x14ac:dyDescent="0.2">
      <c r="AF43629" s="12"/>
    </row>
    <row r="43630" spans="32:32" x14ac:dyDescent="0.2">
      <c r="AF43630" s="12"/>
    </row>
    <row r="43631" spans="32:32" x14ac:dyDescent="0.2">
      <c r="AF43631" s="12"/>
    </row>
    <row r="43632" spans="32:32" x14ac:dyDescent="0.2">
      <c r="AF43632" s="12"/>
    </row>
    <row r="43633" spans="32:32" x14ac:dyDescent="0.2">
      <c r="AF43633" s="12"/>
    </row>
    <row r="43634" spans="32:32" x14ac:dyDescent="0.2">
      <c r="AF43634" s="12"/>
    </row>
    <row r="43635" spans="32:32" x14ac:dyDescent="0.2">
      <c r="AF43635" s="12"/>
    </row>
    <row r="43636" spans="32:32" x14ac:dyDescent="0.2">
      <c r="AF43636" s="12"/>
    </row>
    <row r="43637" spans="32:32" x14ac:dyDescent="0.2">
      <c r="AF43637" s="12"/>
    </row>
    <row r="43638" spans="32:32" x14ac:dyDescent="0.2">
      <c r="AF43638" s="12"/>
    </row>
    <row r="43639" spans="32:32" x14ac:dyDescent="0.2">
      <c r="AF43639" s="12"/>
    </row>
    <row r="43640" spans="32:32" x14ac:dyDescent="0.2">
      <c r="AF43640" s="12"/>
    </row>
    <row r="43641" spans="32:32" x14ac:dyDescent="0.2">
      <c r="AF43641" s="12"/>
    </row>
    <row r="43642" spans="32:32" x14ac:dyDescent="0.2">
      <c r="AF43642" s="12"/>
    </row>
    <row r="43643" spans="32:32" x14ac:dyDescent="0.2">
      <c r="AF43643" s="12"/>
    </row>
    <row r="43644" spans="32:32" x14ac:dyDescent="0.2">
      <c r="AF43644" s="12"/>
    </row>
    <row r="43645" spans="32:32" x14ac:dyDescent="0.2">
      <c r="AF43645" s="12"/>
    </row>
    <row r="43646" spans="32:32" x14ac:dyDescent="0.2">
      <c r="AF43646" s="12"/>
    </row>
    <row r="43647" spans="32:32" x14ac:dyDescent="0.2">
      <c r="AF43647" s="12"/>
    </row>
    <row r="43648" spans="32:32" x14ac:dyDescent="0.2">
      <c r="AF43648" s="12"/>
    </row>
    <row r="43649" spans="32:32" x14ac:dyDescent="0.2">
      <c r="AF43649" s="12"/>
    </row>
    <row r="43650" spans="32:32" x14ac:dyDescent="0.2">
      <c r="AF43650" s="12"/>
    </row>
    <row r="43651" spans="32:32" x14ac:dyDescent="0.2">
      <c r="AF43651" s="12"/>
    </row>
    <row r="43652" spans="32:32" x14ac:dyDescent="0.2">
      <c r="AF43652" s="12"/>
    </row>
    <row r="43653" spans="32:32" x14ac:dyDescent="0.2">
      <c r="AF43653" s="12"/>
    </row>
    <row r="43654" spans="32:32" x14ac:dyDescent="0.2">
      <c r="AF43654" s="12"/>
    </row>
    <row r="43655" spans="32:32" x14ac:dyDescent="0.2">
      <c r="AF43655" s="12"/>
    </row>
    <row r="43656" spans="32:32" x14ac:dyDescent="0.2">
      <c r="AF43656" s="12"/>
    </row>
    <row r="43657" spans="32:32" x14ac:dyDescent="0.2">
      <c r="AF43657" s="12"/>
    </row>
    <row r="43658" spans="32:32" x14ac:dyDescent="0.2">
      <c r="AF43658" s="12"/>
    </row>
    <row r="43659" spans="32:32" x14ac:dyDescent="0.2">
      <c r="AF43659" s="12"/>
    </row>
    <row r="43660" spans="32:32" x14ac:dyDescent="0.2">
      <c r="AF43660" s="12"/>
    </row>
    <row r="43661" spans="32:32" x14ac:dyDescent="0.2">
      <c r="AF43661" s="12"/>
    </row>
    <row r="43662" spans="32:32" x14ac:dyDescent="0.2">
      <c r="AF43662" s="12"/>
    </row>
    <row r="43663" spans="32:32" x14ac:dyDescent="0.2">
      <c r="AF43663" s="12"/>
    </row>
    <row r="43664" spans="32:32" x14ac:dyDescent="0.2">
      <c r="AF43664" s="12"/>
    </row>
    <row r="43665" spans="32:32" x14ac:dyDescent="0.2">
      <c r="AF43665" s="12"/>
    </row>
    <row r="43666" spans="32:32" x14ac:dyDescent="0.2">
      <c r="AF43666" s="12"/>
    </row>
    <row r="43667" spans="32:32" x14ac:dyDescent="0.2">
      <c r="AF43667" s="12"/>
    </row>
    <row r="43668" spans="32:32" x14ac:dyDescent="0.2">
      <c r="AF43668" s="12"/>
    </row>
    <row r="43669" spans="32:32" x14ac:dyDescent="0.2">
      <c r="AF43669" s="12"/>
    </row>
    <row r="43670" spans="32:32" x14ac:dyDescent="0.2">
      <c r="AF43670" s="12"/>
    </row>
    <row r="43671" spans="32:32" x14ac:dyDescent="0.2">
      <c r="AF43671" s="12"/>
    </row>
    <row r="43672" spans="32:32" x14ac:dyDescent="0.2">
      <c r="AF43672" s="12"/>
    </row>
    <row r="43673" spans="32:32" x14ac:dyDescent="0.2">
      <c r="AF43673" s="12"/>
    </row>
    <row r="43674" spans="32:32" x14ac:dyDescent="0.2">
      <c r="AF43674" s="12"/>
    </row>
    <row r="43675" spans="32:32" x14ac:dyDescent="0.2">
      <c r="AF43675" s="12"/>
    </row>
    <row r="43676" spans="32:32" x14ac:dyDescent="0.2">
      <c r="AF43676" s="12"/>
    </row>
    <row r="43677" spans="32:32" x14ac:dyDescent="0.2">
      <c r="AF43677" s="12"/>
    </row>
    <row r="43678" spans="32:32" x14ac:dyDescent="0.2">
      <c r="AF43678" s="12"/>
    </row>
    <row r="43679" spans="32:32" x14ac:dyDescent="0.2">
      <c r="AF43679" s="12"/>
    </row>
    <row r="43680" spans="32:32" x14ac:dyDescent="0.2">
      <c r="AF43680" s="12"/>
    </row>
    <row r="43681" spans="32:32" x14ac:dyDescent="0.2">
      <c r="AF43681" s="12"/>
    </row>
    <row r="43682" spans="32:32" x14ac:dyDescent="0.2">
      <c r="AF43682" s="12"/>
    </row>
    <row r="43683" spans="32:32" x14ac:dyDescent="0.2">
      <c r="AF43683" s="12"/>
    </row>
    <row r="43684" spans="32:32" x14ac:dyDescent="0.2">
      <c r="AF43684" s="12"/>
    </row>
    <row r="43685" spans="32:32" x14ac:dyDescent="0.2">
      <c r="AF43685" s="12"/>
    </row>
    <row r="43686" spans="32:32" x14ac:dyDescent="0.2">
      <c r="AF43686" s="12"/>
    </row>
    <row r="43687" spans="32:32" x14ac:dyDescent="0.2">
      <c r="AF43687" s="12"/>
    </row>
    <row r="43688" spans="32:32" x14ac:dyDescent="0.2">
      <c r="AF43688" s="12"/>
    </row>
    <row r="43689" spans="32:32" x14ac:dyDescent="0.2">
      <c r="AF43689" s="12"/>
    </row>
    <row r="43690" spans="32:32" x14ac:dyDescent="0.2">
      <c r="AF43690" s="12"/>
    </row>
    <row r="43691" spans="32:32" x14ac:dyDescent="0.2">
      <c r="AF43691" s="12"/>
    </row>
    <row r="43692" spans="32:32" x14ac:dyDescent="0.2">
      <c r="AF43692" s="12"/>
    </row>
    <row r="43693" spans="32:32" x14ac:dyDescent="0.2">
      <c r="AF43693" s="12"/>
    </row>
    <row r="43694" spans="32:32" x14ac:dyDescent="0.2">
      <c r="AF43694" s="12"/>
    </row>
    <row r="43695" spans="32:32" x14ac:dyDescent="0.2">
      <c r="AF43695" s="12"/>
    </row>
    <row r="43696" spans="32:32" x14ac:dyDescent="0.2">
      <c r="AF43696" s="12"/>
    </row>
    <row r="43697" spans="32:32" x14ac:dyDescent="0.2">
      <c r="AF43697" s="12"/>
    </row>
    <row r="43698" spans="32:32" x14ac:dyDescent="0.2">
      <c r="AF43698" s="12"/>
    </row>
    <row r="43699" spans="32:32" x14ac:dyDescent="0.2">
      <c r="AF43699" s="12"/>
    </row>
    <row r="43700" spans="32:32" x14ac:dyDescent="0.2">
      <c r="AF43700" s="12"/>
    </row>
    <row r="43701" spans="32:32" x14ac:dyDescent="0.2">
      <c r="AF43701" s="12"/>
    </row>
    <row r="43702" spans="32:32" x14ac:dyDescent="0.2">
      <c r="AF43702" s="12"/>
    </row>
    <row r="43703" spans="32:32" x14ac:dyDescent="0.2">
      <c r="AF43703" s="12"/>
    </row>
    <row r="43704" spans="32:32" x14ac:dyDescent="0.2">
      <c r="AF43704" s="12"/>
    </row>
    <row r="43705" spans="32:32" x14ac:dyDescent="0.2">
      <c r="AF43705" s="12"/>
    </row>
    <row r="43706" spans="32:32" x14ac:dyDescent="0.2">
      <c r="AF43706" s="12"/>
    </row>
    <row r="43707" spans="32:32" x14ac:dyDescent="0.2">
      <c r="AF43707" s="12"/>
    </row>
    <row r="43708" spans="32:32" x14ac:dyDescent="0.2">
      <c r="AF43708" s="12"/>
    </row>
    <row r="43709" spans="32:32" x14ac:dyDescent="0.2">
      <c r="AF43709" s="12"/>
    </row>
    <row r="43710" spans="32:32" x14ac:dyDescent="0.2">
      <c r="AF43710" s="12"/>
    </row>
    <row r="43711" spans="32:32" x14ac:dyDescent="0.2">
      <c r="AF43711" s="12"/>
    </row>
    <row r="43712" spans="32:32" x14ac:dyDescent="0.2">
      <c r="AF43712" s="12"/>
    </row>
    <row r="43713" spans="32:32" x14ac:dyDescent="0.2">
      <c r="AF43713" s="12"/>
    </row>
    <row r="43714" spans="32:32" x14ac:dyDescent="0.2">
      <c r="AF43714" s="12"/>
    </row>
    <row r="43715" spans="32:32" x14ac:dyDescent="0.2">
      <c r="AF43715" s="12"/>
    </row>
    <row r="43716" spans="32:32" x14ac:dyDescent="0.2">
      <c r="AF43716" s="12"/>
    </row>
    <row r="43717" spans="32:32" x14ac:dyDescent="0.2">
      <c r="AF43717" s="12"/>
    </row>
    <row r="43718" spans="32:32" x14ac:dyDescent="0.2">
      <c r="AF43718" s="12"/>
    </row>
    <row r="43719" spans="32:32" x14ac:dyDescent="0.2">
      <c r="AF43719" s="12"/>
    </row>
    <row r="43720" spans="32:32" x14ac:dyDescent="0.2">
      <c r="AF43720" s="12"/>
    </row>
    <row r="43721" spans="32:32" x14ac:dyDescent="0.2">
      <c r="AF43721" s="12"/>
    </row>
    <row r="43722" spans="32:32" x14ac:dyDescent="0.2">
      <c r="AF43722" s="12"/>
    </row>
    <row r="43723" spans="32:32" x14ac:dyDescent="0.2">
      <c r="AF43723" s="12"/>
    </row>
    <row r="43724" spans="32:32" x14ac:dyDescent="0.2">
      <c r="AF43724" s="12"/>
    </row>
    <row r="43725" spans="32:32" x14ac:dyDescent="0.2">
      <c r="AF43725" s="12"/>
    </row>
    <row r="43726" spans="32:32" x14ac:dyDescent="0.2">
      <c r="AF43726" s="12"/>
    </row>
    <row r="43727" spans="32:32" x14ac:dyDescent="0.2">
      <c r="AF43727" s="12"/>
    </row>
    <row r="43728" spans="32:32" x14ac:dyDescent="0.2">
      <c r="AF43728" s="12"/>
    </row>
    <row r="43729" spans="32:32" x14ac:dyDescent="0.2">
      <c r="AF43729" s="12"/>
    </row>
    <row r="43730" spans="32:32" x14ac:dyDescent="0.2">
      <c r="AF43730" s="12"/>
    </row>
    <row r="43731" spans="32:32" x14ac:dyDescent="0.2">
      <c r="AF43731" s="12"/>
    </row>
    <row r="43732" spans="32:32" x14ac:dyDescent="0.2">
      <c r="AF43732" s="12"/>
    </row>
    <row r="43733" spans="32:32" x14ac:dyDescent="0.2">
      <c r="AF43733" s="12"/>
    </row>
    <row r="43734" spans="32:32" x14ac:dyDescent="0.2">
      <c r="AF43734" s="12"/>
    </row>
    <row r="43735" spans="32:32" x14ac:dyDescent="0.2">
      <c r="AF43735" s="12"/>
    </row>
    <row r="43736" spans="32:32" x14ac:dyDescent="0.2">
      <c r="AF43736" s="12"/>
    </row>
    <row r="43737" spans="32:32" x14ac:dyDescent="0.2">
      <c r="AF43737" s="12"/>
    </row>
    <row r="43738" spans="32:32" x14ac:dyDescent="0.2">
      <c r="AF43738" s="12"/>
    </row>
    <row r="43739" spans="32:32" x14ac:dyDescent="0.2">
      <c r="AF43739" s="12"/>
    </row>
    <row r="43740" spans="32:32" x14ac:dyDescent="0.2">
      <c r="AF43740" s="12"/>
    </row>
    <row r="43741" spans="32:32" x14ac:dyDescent="0.2">
      <c r="AF43741" s="12"/>
    </row>
    <row r="43742" spans="32:32" x14ac:dyDescent="0.2">
      <c r="AF43742" s="12"/>
    </row>
    <row r="43743" spans="32:32" x14ac:dyDescent="0.2">
      <c r="AF43743" s="12"/>
    </row>
    <row r="43744" spans="32:32" x14ac:dyDescent="0.2">
      <c r="AF43744" s="12"/>
    </row>
    <row r="43745" spans="32:32" x14ac:dyDescent="0.2">
      <c r="AF43745" s="12"/>
    </row>
    <row r="43746" spans="32:32" x14ac:dyDescent="0.2">
      <c r="AF43746" s="12"/>
    </row>
    <row r="43747" spans="32:32" x14ac:dyDescent="0.2">
      <c r="AF43747" s="12"/>
    </row>
    <row r="43748" spans="32:32" x14ac:dyDescent="0.2">
      <c r="AF43748" s="12"/>
    </row>
    <row r="43749" spans="32:32" x14ac:dyDescent="0.2">
      <c r="AF43749" s="12"/>
    </row>
    <row r="43750" spans="32:32" x14ac:dyDescent="0.2">
      <c r="AF43750" s="12"/>
    </row>
    <row r="43751" spans="32:32" x14ac:dyDescent="0.2">
      <c r="AF43751" s="12"/>
    </row>
    <row r="43752" spans="32:32" x14ac:dyDescent="0.2">
      <c r="AF43752" s="12"/>
    </row>
    <row r="43753" spans="32:32" x14ac:dyDescent="0.2">
      <c r="AF43753" s="12"/>
    </row>
    <row r="43754" spans="32:32" x14ac:dyDescent="0.2">
      <c r="AF43754" s="12"/>
    </row>
    <row r="43755" spans="32:32" x14ac:dyDescent="0.2">
      <c r="AF43755" s="12"/>
    </row>
    <row r="43756" spans="32:32" x14ac:dyDescent="0.2">
      <c r="AF43756" s="12"/>
    </row>
    <row r="43757" spans="32:32" x14ac:dyDescent="0.2">
      <c r="AF43757" s="12"/>
    </row>
    <row r="43758" spans="32:32" x14ac:dyDescent="0.2">
      <c r="AF43758" s="12"/>
    </row>
    <row r="43759" spans="32:32" x14ac:dyDescent="0.2">
      <c r="AF43759" s="12"/>
    </row>
    <row r="43760" spans="32:32" x14ac:dyDescent="0.2">
      <c r="AF43760" s="12"/>
    </row>
    <row r="43761" spans="32:32" x14ac:dyDescent="0.2">
      <c r="AF43761" s="12"/>
    </row>
    <row r="43762" spans="32:32" x14ac:dyDescent="0.2">
      <c r="AF43762" s="12"/>
    </row>
    <row r="43763" spans="32:32" x14ac:dyDescent="0.2">
      <c r="AF43763" s="12"/>
    </row>
    <row r="43764" spans="32:32" x14ac:dyDescent="0.2">
      <c r="AF43764" s="12"/>
    </row>
    <row r="43765" spans="32:32" x14ac:dyDescent="0.2">
      <c r="AF43765" s="12"/>
    </row>
    <row r="43766" spans="32:32" x14ac:dyDescent="0.2">
      <c r="AF43766" s="12"/>
    </row>
    <row r="43767" spans="32:32" x14ac:dyDescent="0.2">
      <c r="AF43767" s="12"/>
    </row>
    <row r="43768" spans="32:32" x14ac:dyDescent="0.2">
      <c r="AF43768" s="12"/>
    </row>
    <row r="43769" spans="32:32" x14ac:dyDescent="0.2">
      <c r="AF43769" s="12"/>
    </row>
    <row r="43770" spans="32:32" x14ac:dyDescent="0.2">
      <c r="AF43770" s="12"/>
    </row>
    <row r="43771" spans="32:32" x14ac:dyDescent="0.2">
      <c r="AF43771" s="12"/>
    </row>
    <row r="43772" spans="32:32" x14ac:dyDescent="0.2">
      <c r="AF43772" s="12"/>
    </row>
    <row r="43773" spans="32:32" x14ac:dyDescent="0.2">
      <c r="AF43773" s="12"/>
    </row>
    <row r="43774" spans="32:32" x14ac:dyDescent="0.2">
      <c r="AF43774" s="12"/>
    </row>
    <row r="43775" spans="32:32" x14ac:dyDescent="0.2">
      <c r="AF43775" s="12"/>
    </row>
    <row r="43776" spans="32:32" x14ac:dyDescent="0.2">
      <c r="AF43776" s="12"/>
    </row>
    <row r="43777" spans="32:32" x14ac:dyDescent="0.2">
      <c r="AF43777" s="12"/>
    </row>
    <row r="43778" spans="32:32" x14ac:dyDescent="0.2">
      <c r="AF43778" s="12"/>
    </row>
    <row r="43779" spans="32:32" x14ac:dyDescent="0.2">
      <c r="AF43779" s="12"/>
    </row>
    <row r="43780" spans="32:32" x14ac:dyDescent="0.2">
      <c r="AF43780" s="12"/>
    </row>
    <row r="43781" spans="32:32" x14ac:dyDescent="0.2">
      <c r="AF43781" s="12"/>
    </row>
    <row r="43782" spans="32:32" x14ac:dyDescent="0.2">
      <c r="AF43782" s="12"/>
    </row>
    <row r="43783" spans="32:32" x14ac:dyDescent="0.2">
      <c r="AF43783" s="12"/>
    </row>
    <row r="43784" spans="32:32" x14ac:dyDescent="0.2">
      <c r="AF43784" s="12"/>
    </row>
    <row r="43785" spans="32:32" x14ac:dyDescent="0.2">
      <c r="AF43785" s="12"/>
    </row>
    <row r="43786" spans="32:32" x14ac:dyDescent="0.2">
      <c r="AF43786" s="12"/>
    </row>
    <row r="43787" spans="32:32" x14ac:dyDescent="0.2">
      <c r="AF43787" s="12"/>
    </row>
    <row r="43788" spans="32:32" x14ac:dyDescent="0.2">
      <c r="AF43788" s="12"/>
    </row>
    <row r="43789" spans="32:32" x14ac:dyDescent="0.2">
      <c r="AF43789" s="12"/>
    </row>
    <row r="43790" spans="32:32" x14ac:dyDescent="0.2">
      <c r="AF43790" s="12"/>
    </row>
    <row r="43791" spans="32:32" x14ac:dyDescent="0.2">
      <c r="AF43791" s="12"/>
    </row>
    <row r="43792" spans="32:32" x14ac:dyDescent="0.2">
      <c r="AF43792" s="12"/>
    </row>
    <row r="43793" spans="32:32" x14ac:dyDescent="0.2">
      <c r="AF43793" s="12"/>
    </row>
    <row r="43794" spans="32:32" x14ac:dyDescent="0.2">
      <c r="AF43794" s="12"/>
    </row>
    <row r="43795" spans="32:32" x14ac:dyDescent="0.2">
      <c r="AF43795" s="12"/>
    </row>
    <row r="43796" spans="32:32" x14ac:dyDescent="0.2">
      <c r="AF43796" s="12"/>
    </row>
    <row r="43797" spans="32:32" x14ac:dyDescent="0.2">
      <c r="AF43797" s="12"/>
    </row>
    <row r="43798" spans="32:32" x14ac:dyDescent="0.2">
      <c r="AF43798" s="12"/>
    </row>
    <row r="43799" spans="32:32" x14ac:dyDescent="0.2">
      <c r="AF43799" s="12"/>
    </row>
    <row r="43800" spans="32:32" x14ac:dyDescent="0.2">
      <c r="AF43800" s="12"/>
    </row>
    <row r="43801" spans="32:32" x14ac:dyDescent="0.2">
      <c r="AF43801" s="12"/>
    </row>
    <row r="43802" spans="32:32" x14ac:dyDescent="0.2">
      <c r="AF43802" s="12"/>
    </row>
    <row r="43803" spans="32:32" x14ac:dyDescent="0.2">
      <c r="AF43803" s="12"/>
    </row>
    <row r="43804" spans="32:32" x14ac:dyDescent="0.2">
      <c r="AF43804" s="12"/>
    </row>
    <row r="43805" spans="32:32" x14ac:dyDescent="0.2">
      <c r="AF43805" s="12"/>
    </row>
    <row r="43806" spans="32:32" x14ac:dyDescent="0.2">
      <c r="AF43806" s="12"/>
    </row>
    <row r="43807" spans="32:32" x14ac:dyDescent="0.2">
      <c r="AF43807" s="12"/>
    </row>
    <row r="43808" spans="32:32" x14ac:dyDescent="0.2">
      <c r="AF43808" s="12"/>
    </row>
    <row r="43809" spans="32:32" x14ac:dyDescent="0.2">
      <c r="AF43809" s="12"/>
    </row>
    <row r="43810" spans="32:32" x14ac:dyDescent="0.2">
      <c r="AF43810" s="12"/>
    </row>
    <row r="43811" spans="32:32" x14ac:dyDescent="0.2">
      <c r="AF43811" s="12"/>
    </row>
    <row r="43812" spans="32:32" x14ac:dyDescent="0.2">
      <c r="AF43812" s="12"/>
    </row>
    <row r="43813" spans="32:32" x14ac:dyDescent="0.2">
      <c r="AF43813" s="12"/>
    </row>
    <row r="43814" spans="32:32" x14ac:dyDescent="0.2">
      <c r="AF43814" s="12"/>
    </row>
    <row r="43815" spans="32:32" x14ac:dyDescent="0.2">
      <c r="AF43815" s="12"/>
    </row>
    <row r="43816" spans="32:32" x14ac:dyDescent="0.2">
      <c r="AF43816" s="12"/>
    </row>
    <row r="43817" spans="32:32" x14ac:dyDescent="0.2">
      <c r="AF43817" s="12"/>
    </row>
    <row r="43818" spans="32:32" x14ac:dyDescent="0.2">
      <c r="AF43818" s="12"/>
    </row>
    <row r="43819" spans="32:32" x14ac:dyDescent="0.2">
      <c r="AF43819" s="12"/>
    </row>
    <row r="43820" spans="32:32" x14ac:dyDescent="0.2">
      <c r="AF43820" s="12"/>
    </row>
    <row r="43821" spans="32:32" x14ac:dyDescent="0.2">
      <c r="AF43821" s="12"/>
    </row>
    <row r="43822" spans="32:32" x14ac:dyDescent="0.2">
      <c r="AF43822" s="12"/>
    </row>
    <row r="43823" spans="32:32" x14ac:dyDescent="0.2">
      <c r="AF43823" s="12"/>
    </row>
    <row r="43824" spans="32:32" x14ac:dyDescent="0.2">
      <c r="AF43824" s="12"/>
    </row>
    <row r="43825" spans="32:32" x14ac:dyDescent="0.2">
      <c r="AF43825" s="12"/>
    </row>
    <row r="43826" spans="32:32" x14ac:dyDescent="0.2">
      <c r="AF43826" s="12"/>
    </row>
    <row r="43827" spans="32:32" x14ac:dyDescent="0.2">
      <c r="AF43827" s="12"/>
    </row>
    <row r="43828" spans="32:32" x14ac:dyDescent="0.2">
      <c r="AF43828" s="12"/>
    </row>
    <row r="43829" spans="32:32" x14ac:dyDescent="0.2">
      <c r="AF43829" s="12"/>
    </row>
    <row r="43830" spans="32:32" x14ac:dyDescent="0.2">
      <c r="AF43830" s="12"/>
    </row>
    <row r="43831" spans="32:32" x14ac:dyDescent="0.2">
      <c r="AF43831" s="12"/>
    </row>
    <row r="43832" spans="32:32" x14ac:dyDescent="0.2">
      <c r="AF43832" s="12"/>
    </row>
    <row r="43833" spans="32:32" x14ac:dyDescent="0.2">
      <c r="AF43833" s="12"/>
    </row>
    <row r="43834" spans="32:32" x14ac:dyDescent="0.2">
      <c r="AF43834" s="12"/>
    </row>
    <row r="43835" spans="32:32" x14ac:dyDescent="0.2">
      <c r="AF43835" s="12"/>
    </row>
    <row r="43836" spans="32:32" x14ac:dyDescent="0.2">
      <c r="AF43836" s="12"/>
    </row>
    <row r="43837" spans="32:32" x14ac:dyDescent="0.2">
      <c r="AF43837" s="12"/>
    </row>
    <row r="43838" spans="32:32" x14ac:dyDescent="0.2">
      <c r="AF43838" s="12"/>
    </row>
    <row r="43839" spans="32:32" x14ac:dyDescent="0.2">
      <c r="AF43839" s="12"/>
    </row>
    <row r="43840" spans="32:32" x14ac:dyDescent="0.2">
      <c r="AF43840" s="12"/>
    </row>
    <row r="43841" spans="32:32" x14ac:dyDescent="0.2">
      <c r="AF43841" s="12"/>
    </row>
    <row r="43842" spans="32:32" x14ac:dyDescent="0.2">
      <c r="AF43842" s="12"/>
    </row>
    <row r="43843" spans="32:32" x14ac:dyDescent="0.2">
      <c r="AF43843" s="12"/>
    </row>
    <row r="43844" spans="32:32" x14ac:dyDescent="0.2">
      <c r="AF43844" s="12"/>
    </row>
    <row r="43845" spans="32:32" x14ac:dyDescent="0.2">
      <c r="AF43845" s="12"/>
    </row>
    <row r="43846" spans="32:32" x14ac:dyDescent="0.2">
      <c r="AF43846" s="12"/>
    </row>
    <row r="43847" spans="32:32" x14ac:dyDescent="0.2">
      <c r="AF43847" s="12"/>
    </row>
    <row r="43848" spans="32:32" x14ac:dyDescent="0.2">
      <c r="AF43848" s="12"/>
    </row>
    <row r="43849" spans="32:32" x14ac:dyDescent="0.2">
      <c r="AF43849" s="12"/>
    </row>
    <row r="43850" spans="32:32" x14ac:dyDescent="0.2">
      <c r="AF43850" s="12"/>
    </row>
    <row r="43851" spans="32:32" x14ac:dyDescent="0.2">
      <c r="AF43851" s="12"/>
    </row>
    <row r="43852" spans="32:32" x14ac:dyDescent="0.2">
      <c r="AF43852" s="12"/>
    </row>
    <row r="43853" spans="32:32" x14ac:dyDescent="0.2">
      <c r="AF43853" s="12"/>
    </row>
    <row r="43854" spans="32:32" x14ac:dyDescent="0.2">
      <c r="AF43854" s="12"/>
    </row>
    <row r="43855" spans="32:32" x14ac:dyDescent="0.2">
      <c r="AF43855" s="12"/>
    </row>
    <row r="43856" spans="32:32" x14ac:dyDescent="0.2">
      <c r="AF43856" s="12"/>
    </row>
    <row r="43857" spans="32:32" x14ac:dyDescent="0.2">
      <c r="AF43857" s="12"/>
    </row>
    <row r="43858" spans="32:32" x14ac:dyDescent="0.2">
      <c r="AF43858" s="12"/>
    </row>
    <row r="43859" spans="32:32" x14ac:dyDescent="0.2">
      <c r="AF43859" s="12"/>
    </row>
    <row r="43860" spans="32:32" x14ac:dyDescent="0.2">
      <c r="AF43860" s="12"/>
    </row>
    <row r="43861" spans="32:32" x14ac:dyDescent="0.2">
      <c r="AF43861" s="12"/>
    </row>
    <row r="43862" spans="32:32" x14ac:dyDescent="0.2">
      <c r="AF43862" s="12"/>
    </row>
    <row r="43863" spans="32:32" x14ac:dyDescent="0.2">
      <c r="AF43863" s="12"/>
    </row>
    <row r="43864" spans="32:32" x14ac:dyDescent="0.2">
      <c r="AF43864" s="12"/>
    </row>
    <row r="43865" spans="32:32" x14ac:dyDescent="0.2">
      <c r="AF43865" s="12"/>
    </row>
    <row r="43866" spans="32:32" x14ac:dyDescent="0.2">
      <c r="AF43866" s="12"/>
    </row>
    <row r="43867" spans="32:32" x14ac:dyDescent="0.2">
      <c r="AF43867" s="12"/>
    </row>
    <row r="43868" spans="32:32" x14ac:dyDescent="0.2">
      <c r="AF43868" s="12"/>
    </row>
    <row r="43869" spans="32:32" x14ac:dyDescent="0.2">
      <c r="AF43869" s="12"/>
    </row>
    <row r="43870" spans="32:32" x14ac:dyDescent="0.2">
      <c r="AF43870" s="12"/>
    </row>
    <row r="43871" spans="32:32" x14ac:dyDescent="0.2">
      <c r="AF43871" s="12"/>
    </row>
    <row r="43872" spans="32:32" x14ac:dyDescent="0.2">
      <c r="AF43872" s="12"/>
    </row>
    <row r="43873" spans="32:32" x14ac:dyDescent="0.2">
      <c r="AF43873" s="12"/>
    </row>
    <row r="43874" spans="32:32" x14ac:dyDescent="0.2">
      <c r="AF43874" s="12"/>
    </row>
    <row r="43875" spans="32:32" x14ac:dyDescent="0.2">
      <c r="AF43875" s="12"/>
    </row>
    <row r="43876" spans="32:32" x14ac:dyDescent="0.2">
      <c r="AF43876" s="12"/>
    </row>
    <row r="43877" spans="32:32" x14ac:dyDescent="0.2">
      <c r="AF43877" s="12"/>
    </row>
    <row r="43878" spans="32:32" x14ac:dyDescent="0.2">
      <c r="AF43878" s="12"/>
    </row>
    <row r="43879" spans="32:32" x14ac:dyDescent="0.2">
      <c r="AF43879" s="12"/>
    </row>
    <row r="43880" spans="32:32" x14ac:dyDescent="0.2">
      <c r="AF43880" s="12"/>
    </row>
    <row r="43881" spans="32:32" x14ac:dyDescent="0.2">
      <c r="AF43881" s="12"/>
    </row>
    <row r="43882" spans="32:32" x14ac:dyDescent="0.2">
      <c r="AF43882" s="12"/>
    </row>
    <row r="43883" spans="32:32" x14ac:dyDescent="0.2">
      <c r="AF43883" s="12"/>
    </row>
    <row r="43884" spans="32:32" x14ac:dyDescent="0.2">
      <c r="AF43884" s="12"/>
    </row>
    <row r="43885" spans="32:32" x14ac:dyDescent="0.2">
      <c r="AF43885" s="12"/>
    </row>
    <row r="43886" spans="32:32" x14ac:dyDescent="0.2">
      <c r="AF43886" s="12"/>
    </row>
    <row r="43887" spans="32:32" x14ac:dyDescent="0.2">
      <c r="AF43887" s="12"/>
    </row>
    <row r="43888" spans="32:32" x14ac:dyDescent="0.2">
      <c r="AF43888" s="12"/>
    </row>
    <row r="43889" spans="32:32" x14ac:dyDescent="0.2">
      <c r="AF43889" s="12"/>
    </row>
    <row r="43890" spans="32:32" x14ac:dyDescent="0.2">
      <c r="AF43890" s="12"/>
    </row>
    <row r="43891" spans="32:32" x14ac:dyDescent="0.2">
      <c r="AF43891" s="12"/>
    </row>
    <row r="43892" spans="32:32" x14ac:dyDescent="0.2">
      <c r="AF43892" s="12"/>
    </row>
    <row r="43893" spans="32:32" x14ac:dyDescent="0.2">
      <c r="AF43893" s="12"/>
    </row>
    <row r="43894" spans="32:32" x14ac:dyDescent="0.2">
      <c r="AF43894" s="12"/>
    </row>
    <row r="43895" spans="32:32" x14ac:dyDescent="0.2">
      <c r="AF43895" s="12"/>
    </row>
    <row r="43896" spans="32:32" x14ac:dyDescent="0.2">
      <c r="AF43896" s="12"/>
    </row>
    <row r="43897" spans="32:32" x14ac:dyDescent="0.2">
      <c r="AF43897" s="12"/>
    </row>
    <row r="43898" spans="32:32" x14ac:dyDescent="0.2">
      <c r="AF43898" s="12"/>
    </row>
    <row r="43899" spans="32:32" x14ac:dyDescent="0.2">
      <c r="AF43899" s="12"/>
    </row>
    <row r="43900" spans="32:32" x14ac:dyDescent="0.2">
      <c r="AF43900" s="12"/>
    </row>
    <row r="43901" spans="32:32" x14ac:dyDescent="0.2">
      <c r="AF43901" s="12"/>
    </row>
    <row r="43902" spans="32:32" x14ac:dyDescent="0.2">
      <c r="AF43902" s="12"/>
    </row>
    <row r="43903" spans="32:32" x14ac:dyDescent="0.2">
      <c r="AF43903" s="12"/>
    </row>
    <row r="43904" spans="32:32" x14ac:dyDescent="0.2">
      <c r="AF43904" s="12"/>
    </row>
    <row r="43905" spans="32:32" x14ac:dyDescent="0.2">
      <c r="AF43905" s="12"/>
    </row>
    <row r="43906" spans="32:32" x14ac:dyDescent="0.2">
      <c r="AF43906" s="12"/>
    </row>
    <row r="43907" spans="32:32" x14ac:dyDescent="0.2">
      <c r="AF43907" s="12"/>
    </row>
    <row r="43908" spans="32:32" x14ac:dyDescent="0.2">
      <c r="AF43908" s="12"/>
    </row>
    <row r="43909" spans="32:32" x14ac:dyDescent="0.2">
      <c r="AF43909" s="12"/>
    </row>
    <row r="43910" spans="32:32" x14ac:dyDescent="0.2">
      <c r="AF43910" s="12"/>
    </row>
    <row r="43911" spans="32:32" x14ac:dyDescent="0.2">
      <c r="AF43911" s="12"/>
    </row>
    <row r="43912" spans="32:32" x14ac:dyDescent="0.2">
      <c r="AF43912" s="12"/>
    </row>
    <row r="43913" spans="32:32" x14ac:dyDescent="0.2">
      <c r="AF43913" s="12"/>
    </row>
    <row r="43914" spans="32:32" x14ac:dyDescent="0.2">
      <c r="AF43914" s="12"/>
    </row>
    <row r="43915" spans="32:32" x14ac:dyDescent="0.2">
      <c r="AF43915" s="12"/>
    </row>
    <row r="43916" spans="32:32" x14ac:dyDescent="0.2">
      <c r="AF43916" s="12"/>
    </row>
    <row r="43917" spans="32:32" x14ac:dyDescent="0.2">
      <c r="AF43917" s="12"/>
    </row>
    <row r="43918" spans="32:32" x14ac:dyDescent="0.2">
      <c r="AF43918" s="12"/>
    </row>
    <row r="43919" spans="32:32" x14ac:dyDescent="0.2">
      <c r="AF43919" s="12"/>
    </row>
    <row r="43920" spans="32:32" x14ac:dyDescent="0.2">
      <c r="AF43920" s="12"/>
    </row>
    <row r="43921" spans="32:32" x14ac:dyDescent="0.2">
      <c r="AF43921" s="12"/>
    </row>
    <row r="43922" spans="32:32" x14ac:dyDescent="0.2">
      <c r="AF43922" s="12"/>
    </row>
    <row r="43923" spans="32:32" x14ac:dyDescent="0.2">
      <c r="AF43923" s="12"/>
    </row>
    <row r="43924" spans="32:32" x14ac:dyDescent="0.2">
      <c r="AF43924" s="12"/>
    </row>
    <row r="43925" spans="32:32" x14ac:dyDescent="0.2">
      <c r="AF43925" s="12"/>
    </row>
    <row r="43926" spans="32:32" x14ac:dyDescent="0.2">
      <c r="AF43926" s="12"/>
    </row>
    <row r="43927" spans="32:32" x14ac:dyDescent="0.2">
      <c r="AF43927" s="12"/>
    </row>
    <row r="43928" spans="32:32" x14ac:dyDescent="0.2">
      <c r="AF43928" s="12"/>
    </row>
    <row r="43929" spans="32:32" x14ac:dyDescent="0.2">
      <c r="AF43929" s="12"/>
    </row>
    <row r="43930" spans="32:32" x14ac:dyDescent="0.2">
      <c r="AF43930" s="12"/>
    </row>
    <row r="43931" spans="32:32" x14ac:dyDescent="0.2">
      <c r="AF43931" s="12"/>
    </row>
    <row r="43932" spans="32:32" x14ac:dyDescent="0.2">
      <c r="AF43932" s="12"/>
    </row>
    <row r="43933" spans="32:32" x14ac:dyDescent="0.2">
      <c r="AF43933" s="12"/>
    </row>
    <row r="43934" spans="32:32" x14ac:dyDescent="0.2">
      <c r="AF43934" s="12"/>
    </row>
    <row r="43935" spans="32:32" x14ac:dyDescent="0.2">
      <c r="AF43935" s="12"/>
    </row>
    <row r="43936" spans="32:32" x14ac:dyDescent="0.2">
      <c r="AF43936" s="12"/>
    </row>
    <row r="43937" spans="32:32" x14ac:dyDescent="0.2">
      <c r="AF43937" s="12"/>
    </row>
    <row r="43938" spans="32:32" x14ac:dyDescent="0.2">
      <c r="AF43938" s="12"/>
    </row>
    <row r="43939" spans="32:32" x14ac:dyDescent="0.2">
      <c r="AF43939" s="12"/>
    </row>
    <row r="43940" spans="32:32" x14ac:dyDescent="0.2">
      <c r="AF43940" s="12"/>
    </row>
    <row r="43941" spans="32:32" x14ac:dyDescent="0.2">
      <c r="AF43941" s="12"/>
    </row>
    <row r="43942" spans="32:32" x14ac:dyDescent="0.2">
      <c r="AF43942" s="12"/>
    </row>
    <row r="43943" spans="32:32" x14ac:dyDescent="0.2">
      <c r="AF43943" s="12"/>
    </row>
    <row r="43944" spans="32:32" x14ac:dyDescent="0.2">
      <c r="AF43944" s="12"/>
    </row>
    <row r="43945" spans="32:32" x14ac:dyDescent="0.2">
      <c r="AF43945" s="12"/>
    </row>
    <row r="43946" spans="32:32" x14ac:dyDescent="0.2">
      <c r="AF43946" s="12"/>
    </row>
    <row r="43947" spans="32:32" x14ac:dyDescent="0.2">
      <c r="AF43947" s="12"/>
    </row>
    <row r="43948" spans="32:32" x14ac:dyDescent="0.2">
      <c r="AF43948" s="12"/>
    </row>
    <row r="43949" spans="32:32" x14ac:dyDescent="0.2">
      <c r="AF43949" s="12"/>
    </row>
    <row r="43950" spans="32:32" x14ac:dyDescent="0.2">
      <c r="AF43950" s="12"/>
    </row>
    <row r="43951" spans="32:32" x14ac:dyDescent="0.2">
      <c r="AF43951" s="12"/>
    </row>
    <row r="43952" spans="32:32" x14ac:dyDescent="0.2">
      <c r="AF43952" s="12"/>
    </row>
    <row r="43953" spans="32:32" x14ac:dyDescent="0.2">
      <c r="AF43953" s="12"/>
    </row>
    <row r="43954" spans="32:32" x14ac:dyDescent="0.2">
      <c r="AF43954" s="12"/>
    </row>
    <row r="43955" spans="32:32" x14ac:dyDescent="0.2">
      <c r="AF43955" s="12"/>
    </row>
    <row r="43956" spans="32:32" x14ac:dyDescent="0.2">
      <c r="AF43956" s="12"/>
    </row>
    <row r="43957" spans="32:32" x14ac:dyDescent="0.2">
      <c r="AF43957" s="12"/>
    </row>
    <row r="43958" spans="32:32" x14ac:dyDescent="0.2">
      <c r="AF43958" s="12"/>
    </row>
    <row r="43959" spans="32:32" x14ac:dyDescent="0.2">
      <c r="AF43959" s="12"/>
    </row>
    <row r="43960" spans="32:32" x14ac:dyDescent="0.2">
      <c r="AF43960" s="12"/>
    </row>
    <row r="43961" spans="32:32" x14ac:dyDescent="0.2">
      <c r="AF43961" s="12"/>
    </row>
    <row r="43962" spans="32:32" x14ac:dyDescent="0.2">
      <c r="AF43962" s="12"/>
    </row>
    <row r="43963" spans="32:32" x14ac:dyDescent="0.2">
      <c r="AF43963" s="12"/>
    </row>
    <row r="43964" spans="32:32" x14ac:dyDescent="0.2">
      <c r="AF43964" s="12"/>
    </row>
    <row r="43965" spans="32:32" x14ac:dyDescent="0.2">
      <c r="AF43965" s="12"/>
    </row>
    <row r="43966" spans="32:32" x14ac:dyDescent="0.2">
      <c r="AF43966" s="12"/>
    </row>
    <row r="43967" spans="32:32" x14ac:dyDescent="0.2">
      <c r="AF43967" s="12"/>
    </row>
    <row r="43968" spans="32:32" x14ac:dyDescent="0.2">
      <c r="AF43968" s="12"/>
    </row>
    <row r="43969" spans="32:32" x14ac:dyDescent="0.2">
      <c r="AF43969" s="12"/>
    </row>
    <row r="43970" spans="32:32" x14ac:dyDescent="0.2">
      <c r="AF43970" s="12"/>
    </row>
    <row r="43971" spans="32:32" x14ac:dyDescent="0.2">
      <c r="AF43971" s="12"/>
    </row>
    <row r="43972" spans="32:32" x14ac:dyDescent="0.2">
      <c r="AF43972" s="12"/>
    </row>
    <row r="43973" spans="32:32" x14ac:dyDescent="0.2">
      <c r="AF43973" s="12"/>
    </row>
    <row r="43974" spans="32:32" x14ac:dyDescent="0.2">
      <c r="AF43974" s="12"/>
    </row>
    <row r="43975" spans="32:32" x14ac:dyDescent="0.2">
      <c r="AF43975" s="12"/>
    </row>
    <row r="43976" spans="32:32" x14ac:dyDescent="0.2">
      <c r="AF43976" s="12"/>
    </row>
    <row r="43977" spans="32:32" x14ac:dyDescent="0.2">
      <c r="AF43977" s="12"/>
    </row>
    <row r="43978" spans="32:32" x14ac:dyDescent="0.2">
      <c r="AF43978" s="12"/>
    </row>
    <row r="43979" spans="32:32" x14ac:dyDescent="0.2">
      <c r="AF43979" s="12"/>
    </row>
    <row r="43980" spans="32:32" x14ac:dyDescent="0.2">
      <c r="AF43980" s="12"/>
    </row>
    <row r="43981" spans="32:32" x14ac:dyDescent="0.2">
      <c r="AF43981" s="12"/>
    </row>
    <row r="43982" spans="32:32" x14ac:dyDescent="0.2">
      <c r="AF43982" s="12"/>
    </row>
    <row r="43983" spans="32:32" x14ac:dyDescent="0.2">
      <c r="AF43983" s="12"/>
    </row>
    <row r="43984" spans="32:32" x14ac:dyDescent="0.2">
      <c r="AF43984" s="12"/>
    </row>
    <row r="43985" spans="32:32" x14ac:dyDescent="0.2">
      <c r="AF43985" s="12"/>
    </row>
    <row r="43986" spans="32:32" x14ac:dyDescent="0.2">
      <c r="AF43986" s="12"/>
    </row>
    <row r="43987" spans="32:32" x14ac:dyDescent="0.2">
      <c r="AF43987" s="12"/>
    </row>
    <row r="43988" spans="32:32" x14ac:dyDescent="0.2">
      <c r="AF43988" s="12"/>
    </row>
    <row r="43989" spans="32:32" x14ac:dyDescent="0.2">
      <c r="AF43989" s="12"/>
    </row>
    <row r="43990" spans="32:32" x14ac:dyDescent="0.2">
      <c r="AF43990" s="12"/>
    </row>
    <row r="43991" spans="32:32" x14ac:dyDescent="0.2">
      <c r="AF43991" s="12"/>
    </row>
    <row r="43992" spans="32:32" x14ac:dyDescent="0.2">
      <c r="AF43992" s="12"/>
    </row>
    <row r="43993" spans="32:32" x14ac:dyDescent="0.2">
      <c r="AF43993" s="12"/>
    </row>
    <row r="43994" spans="32:32" x14ac:dyDescent="0.2">
      <c r="AF43994" s="12"/>
    </row>
    <row r="43995" spans="32:32" x14ac:dyDescent="0.2">
      <c r="AF43995" s="12"/>
    </row>
    <row r="43996" spans="32:32" x14ac:dyDescent="0.2">
      <c r="AF43996" s="12"/>
    </row>
    <row r="43997" spans="32:32" x14ac:dyDescent="0.2">
      <c r="AF43997" s="12"/>
    </row>
    <row r="43998" spans="32:32" x14ac:dyDescent="0.2">
      <c r="AF43998" s="12"/>
    </row>
    <row r="43999" spans="32:32" x14ac:dyDescent="0.2">
      <c r="AF43999" s="12"/>
    </row>
    <row r="44000" spans="32:32" x14ac:dyDescent="0.2">
      <c r="AF44000" s="12"/>
    </row>
    <row r="44001" spans="32:32" x14ac:dyDescent="0.2">
      <c r="AF44001" s="12"/>
    </row>
    <row r="44002" spans="32:32" x14ac:dyDescent="0.2">
      <c r="AF44002" s="12"/>
    </row>
    <row r="44003" spans="32:32" x14ac:dyDescent="0.2">
      <c r="AF44003" s="12"/>
    </row>
    <row r="44004" spans="32:32" x14ac:dyDescent="0.2">
      <c r="AF44004" s="12"/>
    </row>
    <row r="44005" spans="32:32" x14ac:dyDescent="0.2">
      <c r="AF44005" s="12"/>
    </row>
    <row r="44006" spans="32:32" x14ac:dyDescent="0.2">
      <c r="AF44006" s="12"/>
    </row>
    <row r="44007" spans="32:32" x14ac:dyDescent="0.2">
      <c r="AF44007" s="12"/>
    </row>
    <row r="44008" spans="32:32" x14ac:dyDescent="0.2">
      <c r="AF44008" s="12"/>
    </row>
    <row r="44009" spans="32:32" x14ac:dyDescent="0.2">
      <c r="AF44009" s="12"/>
    </row>
    <row r="44010" spans="32:32" x14ac:dyDescent="0.2">
      <c r="AF44010" s="12"/>
    </row>
    <row r="44011" spans="32:32" x14ac:dyDescent="0.2">
      <c r="AF44011" s="12"/>
    </row>
    <row r="44012" spans="32:32" x14ac:dyDescent="0.2">
      <c r="AF44012" s="12"/>
    </row>
    <row r="44013" spans="32:32" x14ac:dyDescent="0.2">
      <c r="AF44013" s="12"/>
    </row>
    <row r="44014" spans="32:32" x14ac:dyDescent="0.2">
      <c r="AF44014" s="12"/>
    </row>
    <row r="44015" spans="32:32" x14ac:dyDescent="0.2">
      <c r="AF44015" s="12"/>
    </row>
    <row r="44016" spans="32:32" x14ac:dyDescent="0.2">
      <c r="AF44016" s="12"/>
    </row>
    <row r="44017" spans="32:32" x14ac:dyDescent="0.2">
      <c r="AF44017" s="12"/>
    </row>
    <row r="44018" spans="32:32" x14ac:dyDescent="0.2">
      <c r="AF44018" s="12"/>
    </row>
    <row r="44019" spans="32:32" x14ac:dyDescent="0.2">
      <c r="AF44019" s="12"/>
    </row>
    <row r="44020" spans="32:32" x14ac:dyDescent="0.2">
      <c r="AF44020" s="12"/>
    </row>
    <row r="44021" spans="32:32" x14ac:dyDescent="0.2">
      <c r="AF44021" s="12"/>
    </row>
    <row r="44022" spans="32:32" x14ac:dyDescent="0.2">
      <c r="AF44022" s="12"/>
    </row>
    <row r="44023" spans="32:32" x14ac:dyDescent="0.2">
      <c r="AF44023" s="12"/>
    </row>
    <row r="44024" spans="32:32" x14ac:dyDescent="0.2">
      <c r="AF44024" s="12"/>
    </row>
    <row r="44025" spans="32:32" x14ac:dyDescent="0.2">
      <c r="AF44025" s="12"/>
    </row>
    <row r="44026" spans="32:32" x14ac:dyDescent="0.2">
      <c r="AF44026" s="12"/>
    </row>
    <row r="44027" spans="32:32" x14ac:dyDescent="0.2">
      <c r="AF44027" s="12"/>
    </row>
    <row r="44028" spans="32:32" x14ac:dyDescent="0.2">
      <c r="AF44028" s="12"/>
    </row>
    <row r="44029" spans="32:32" x14ac:dyDescent="0.2">
      <c r="AF44029" s="12"/>
    </row>
    <row r="44030" spans="32:32" x14ac:dyDescent="0.2">
      <c r="AF44030" s="12"/>
    </row>
    <row r="44031" spans="32:32" x14ac:dyDescent="0.2">
      <c r="AF44031" s="12"/>
    </row>
    <row r="44032" spans="32:32" x14ac:dyDescent="0.2">
      <c r="AF44032" s="12"/>
    </row>
    <row r="44033" spans="32:32" x14ac:dyDescent="0.2">
      <c r="AF44033" s="12"/>
    </row>
    <row r="44034" spans="32:32" x14ac:dyDescent="0.2">
      <c r="AF44034" s="12"/>
    </row>
    <row r="44035" spans="32:32" x14ac:dyDescent="0.2">
      <c r="AF44035" s="12"/>
    </row>
    <row r="44036" spans="32:32" x14ac:dyDescent="0.2">
      <c r="AF44036" s="12"/>
    </row>
    <row r="44037" spans="32:32" x14ac:dyDescent="0.2">
      <c r="AF44037" s="12"/>
    </row>
    <row r="44038" spans="32:32" x14ac:dyDescent="0.2">
      <c r="AF44038" s="12"/>
    </row>
    <row r="44039" spans="32:32" x14ac:dyDescent="0.2">
      <c r="AF44039" s="12"/>
    </row>
    <row r="44040" spans="32:32" x14ac:dyDescent="0.2">
      <c r="AF44040" s="12"/>
    </row>
    <row r="44041" spans="32:32" x14ac:dyDescent="0.2">
      <c r="AF44041" s="12"/>
    </row>
    <row r="44042" spans="32:32" x14ac:dyDescent="0.2">
      <c r="AF44042" s="12"/>
    </row>
    <row r="44043" spans="32:32" x14ac:dyDescent="0.2">
      <c r="AF44043" s="12"/>
    </row>
    <row r="44044" spans="32:32" x14ac:dyDescent="0.2">
      <c r="AF44044" s="12"/>
    </row>
    <row r="44045" spans="32:32" x14ac:dyDescent="0.2">
      <c r="AF44045" s="12"/>
    </row>
    <row r="44046" spans="32:32" x14ac:dyDescent="0.2">
      <c r="AF44046" s="12"/>
    </row>
    <row r="44047" spans="32:32" x14ac:dyDescent="0.2">
      <c r="AF44047" s="12"/>
    </row>
    <row r="44048" spans="32:32" x14ac:dyDescent="0.2">
      <c r="AF44048" s="12"/>
    </row>
    <row r="44049" spans="32:32" x14ac:dyDescent="0.2">
      <c r="AF44049" s="12"/>
    </row>
    <row r="44050" spans="32:32" x14ac:dyDescent="0.2">
      <c r="AF44050" s="12"/>
    </row>
    <row r="44051" spans="32:32" x14ac:dyDescent="0.2">
      <c r="AF44051" s="12"/>
    </row>
    <row r="44052" spans="32:32" x14ac:dyDescent="0.2">
      <c r="AF44052" s="12"/>
    </row>
    <row r="44053" spans="32:32" x14ac:dyDescent="0.2">
      <c r="AF44053" s="12"/>
    </row>
    <row r="44054" spans="32:32" x14ac:dyDescent="0.2">
      <c r="AF44054" s="12"/>
    </row>
    <row r="44055" spans="32:32" x14ac:dyDescent="0.2">
      <c r="AF44055" s="12"/>
    </row>
    <row r="44056" spans="32:32" x14ac:dyDescent="0.2">
      <c r="AF44056" s="12"/>
    </row>
    <row r="44057" spans="32:32" x14ac:dyDescent="0.2">
      <c r="AF44057" s="12"/>
    </row>
    <row r="44058" spans="32:32" x14ac:dyDescent="0.2">
      <c r="AF44058" s="12"/>
    </row>
    <row r="44059" spans="32:32" x14ac:dyDescent="0.2">
      <c r="AF44059" s="12"/>
    </row>
    <row r="44060" spans="32:32" x14ac:dyDescent="0.2">
      <c r="AF44060" s="12"/>
    </row>
    <row r="44061" spans="32:32" x14ac:dyDescent="0.2">
      <c r="AF44061" s="12"/>
    </row>
    <row r="44062" spans="32:32" x14ac:dyDescent="0.2">
      <c r="AF44062" s="12"/>
    </row>
    <row r="44063" spans="32:32" x14ac:dyDescent="0.2">
      <c r="AF44063" s="12"/>
    </row>
    <row r="44064" spans="32:32" x14ac:dyDescent="0.2">
      <c r="AF44064" s="12"/>
    </row>
    <row r="44065" spans="32:32" x14ac:dyDescent="0.2">
      <c r="AF44065" s="12"/>
    </row>
    <row r="44066" spans="32:32" x14ac:dyDescent="0.2">
      <c r="AF44066" s="12"/>
    </row>
    <row r="44067" spans="32:32" x14ac:dyDescent="0.2">
      <c r="AF44067" s="12"/>
    </row>
    <row r="44068" spans="32:32" x14ac:dyDescent="0.2">
      <c r="AF44068" s="12"/>
    </row>
    <row r="44069" spans="32:32" x14ac:dyDescent="0.2">
      <c r="AF44069" s="12"/>
    </row>
    <row r="44070" spans="32:32" x14ac:dyDescent="0.2">
      <c r="AF44070" s="12"/>
    </row>
    <row r="44071" spans="32:32" x14ac:dyDescent="0.2">
      <c r="AF44071" s="12"/>
    </row>
    <row r="44072" spans="32:32" x14ac:dyDescent="0.2">
      <c r="AF44072" s="12"/>
    </row>
    <row r="44073" spans="32:32" x14ac:dyDescent="0.2">
      <c r="AF44073" s="12"/>
    </row>
    <row r="44074" spans="32:32" x14ac:dyDescent="0.2">
      <c r="AF44074" s="12"/>
    </row>
    <row r="44075" spans="32:32" x14ac:dyDescent="0.2">
      <c r="AF44075" s="12"/>
    </row>
    <row r="44076" spans="32:32" x14ac:dyDescent="0.2">
      <c r="AF44076" s="12"/>
    </row>
    <row r="44077" spans="32:32" x14ac:dyDescent="0.2">
      <c r="AF44077" s="12"/>
    </row>
    <row r="44078" spans="32:32" x14ac:dyDescent="0.2">
      <c r="AF44078" s="12"/>
    </row>
    <row r="44079" spans="32:32" x14ac:dyDescent="0.2">
      <c r="AF44079" s="12"/>
    </row>
    <row r="44080" spans="32:32" x14ac:dyDescent="0.2">
      <c r="AF44080" s="12"/>
    </row>
    <row r="44081" spans="32:32" x14ac:dyDescent="0.2">
      <c r="AF44081" s="12"/>
    </row>
    <row r="44082" spans="32:32" x14ac:dyDescent="0.2">
      <c r="AF44082" s="12"/>
    </row>
    <row r="44083" spans="32:32" x14ac:dyDescent="0.2">
      <c r="AF44083" s="12"/>
    </row>
    <row r="44084" spans="32:32" x14ac:dyDescent="0.2">
      <c r="AF44084" s="12"/>
    </row>
    <row r="44085" spans="32:32" x14ac:dyDescent="0.2">
      <c r="AF44085" s="12"/>
    </row>
    <row r="44086" spans="32:32" x14ac:dyDescent="0.2">
      <c r="AF44086" s="12"/>
    </row>
    <row r="44087" spans="32:32" x14ac:dyDescent="0.2">
      <c r="AF44087" s="12"/>
    </row>
    <row r="44088" spans="32:32" x14ac:dyDescent="0.2">
      <c r="AF44088" s="12"/>
    </row>
    <row r="44089" spans="32:32" x14ac:dyDescent="0.2">
      <c r="AF44089" s="12"/>
    </row>
    <row r="44090" spans="32:32" x14ac:dyDescent="0.2">
      <c r="AF44090" s="12"/>
    </row>
    <row r="44091" spans="32:32" x14ac:dyDescent="0.2">
      <c r="AF44091" s="12"/>
    </row>
    <row r="44092" spans="32:32" x14ac:dyDescent="0.2">
      <c r="AF44092" s="12"/>
    </row>
    <row r="44093" spans="32:32" x14ac:dyDescent="0.2">
      <c r="AF44093" s="12"/>
    </row>
    <row r="44094" spans="32:32" x14ac:dyDescent="0.2">
      <c r="AF44094" s="12"/>
    </row>
    <row r="44095" spans="32:32" x14ac:dyDescent="0.2">
      <c r="AF44095" s="12"/>
    </row>
    <row r="44096" spans="32:32" x14ac:dyDescent="0.2">
      <c r="AF44096" s="12"/>
    </row>
    <row r="44097" spans="32:32" x14ac:dyDescent="0.2">
      <c r="AF44097" s="12"/>
    </row>
    <row r="44098" spans="32:32" x14ac:dyDescent="0.2">
      <c r="AF44098" s="12"/>
    </row>
    <row r="44099" spans="32:32" x14ac:dyDescent="0.2">
      <c r="AF44099" s="12"/>
    </row>
    <row r="44100" spans="32:32" x14ac:dyDescent="0.2">
      <c r="AF44100" s="12"/>
    </row>
    <row r="44101" spans="32:32" x14ac:dyDescent="0.2">
      <c r="AF44101" s="12"/>
    </row>
    <row r="44102" spans="32:32" x14ac:dyDescent="0.2">
      <c r="AF44102" s="12"/>
    </row>
    <row r="44103" spans="32:32" x14ac:dyDescent="0.2">
      <c r="AF44103" s="12"/>
    </row>
    <row r="44104" spans="32:32" x14ac:dyDescent="0.2">
      <c r="AF44104" s="12"/>
    </row>
    <row r="44105" spans="32:32" x14ac:dyDescent="0.2">
      <c r="AF44105" s="12"/>
    </row>
    <row r="44106" spans="32:32" x14ac:dyDescent="0.2">
      <c r="AF44106" s="12"/>
    </row>
    <row r="44107" spans="32:32" x14ac:dyDescent="0.2">
      <c r="AF44107" s="12"/>
    </row>
    <row r="44108" spans="32:32" x14ac:dyDescent="0.2">
      <c r="AF44108" s="12"/>
    </row>
    <row r="44109" spans="32:32" x14ac:dyDescent="0.2">
      <c r="AF44109" s="12"/>
    </row>
    <row r="44110" spans="32:32" x14ac:dyDescent="0.2">
      <c r="AF44110" s="12"/>
    </row>
    <row r="44111" spans="32:32" x14ac:dyDescent="0.2">
      <c r="AF44111" s="12"/>
    </row>
    <row r="44112" spans="32:32" x14ac:dyDescent="0.2">
      <c r="AF44112" s="12"/>
    </row>
    <row r="44113" spans="32:32" x14ac:dyDescent="0.2">
      <c r="AF44113" s="12"/>
    </row>
    <row r="44114" spans="32:32" x14ac:dyDescent="0.2">
      <c r="AF44114" s="12"/>
    </row>
    <row r="44115" spans="32:32" x14ac:dyDescent="0.2">
      <c r="AF44115" s="12"/>
    </row>
    <row r="44116" spans="32:32" x14ac:dyDescent="0.2">
      <c r="AF44116" s="12"/>
    </row>
    <row r="44117" spans="32:32" x14ac:dyDescent="0.2">
      <c r="AF44117" s="12"/>
    </row>
    <row r="44118" spans="32:32" x14ac:dyDescent="0.2">
      <c r="AF44118" s="12"/>
    </row>
    <row r="44119" spans="32:32" x14ac:dyDescent="0.2">
      <c r="AF44119" s="12"/>
    </row>
    <row r="44120" spans="32:32" x14ac:dyDescent="0.2">
      <c r="AF44120" s="12"/>
    </row>
    <row r="44121" spans="32:32" x14ac:dyDescent="0.2">
      <c r="AF44121" s="12"/>
    </row>
    <row r="44122" spans="32:32" x14ac:dyDescent="0.2">
      <c r="AF44122" s="12"/>
    </row>
    <row r="44123" spans="32:32" x14ac:dyDescent="0.2">
      <c r="AF44123" s="12"/>
    </row>
    <row r="44124" spans="32:32" x14ac:dyDescent="0.2">
      <c r="AF44124" s="12"/>
    </row>
    <row r="44125" spans="32:32" x14ac:dyDescent="0.2">
      <c r="AF44125" s="12"/>
    </row>
    <row r="44126" spans="32:32" x14ac:dyDescent="0.2">
      <c r="AF44126" s="12"/>
    </row>
    <row r="44127" spans="32:32" x14ac:dyDescent="0.2">
      <c r="AF44127" s="12"/>
    </row>
    <row r="44128" spans="32:32" x14ac:dyDescent="0.2">
      <c r="AF44128" s="12"/>
    </row>
    <row r="44129" spans="32:32" x14ac:dyDescent="0.2">
      <c r="AF44129" s="12"/>
    </row>
    <row r="44130" spans="32:32" x14ac:dyDescent="0.2">
      <c r="AF44130" s="12"/>
    </row>
    <row r="44131" spans="32:32" x14ac:dyDescent="0.2">
      <c r="AF44131" s="12"/>
    </row>
    <row r="44132" spans="32:32" x14ac:dyDescent="0.2">
      <c r="AF44132" s="12"/>
    </row>
    <row r="44133" spans="32:32" x14ac:dyDescent="0.2">
      <c r="AF44133" s="12"/>
    </row>
    <row r="44134" spans="32:32" x14ac:dyDescent="0.2">
      <c r="AF44134" s="12"/>
    </row>
    <row r="44135" spans="32:32" x14ac:dyDescent="0.2">
      <c r="AF44135" s="12"/>
    </row>
    <row r="44136" spans="32:32" x14ac:dyDescent="0.2">
      <c r="AF44136" s="12"/>
    </row>
    <row r="44137" spans="32:32" x14ac:dyDescent="0.2">
      <c r="AF44137" s="12"/>
    </row>
    <row r="44138" spans="32:32" x14ac:dyDescent="0.2">
      <c r="AF44138" s="12"/>
    </row>
    <row r="44139" spans="32:32" x14ac:dyDescent="0.2">
      <c r="AF44139" s="12"/>
    </row>
    <row r="44140" spans="32:32" x14ac:dyDescent="0.2">
      <c r="AF44140" s="12"/>
    </row>
    <row r="44141" spans="32:32" x14ac:dyDescent="0.2">
      <c r="AF44141" s="12"/>
    </row>
    <row r="44142" spans="32:32" x14ac:dyDescent="0.2">
      <c r="AF44142" s="12"/>
    </row>
    <row r="44143" spans="32:32" x14ac:dyDescent="0.2">
      <c r="AF44143" s="12"/>
    </row>
    <row r="44144" spans="32:32" x14ac:dyDescent="0.2">
      <c r="AF44144" s="12"/>
    </row>
    <row r="44145" spans="32:32" x14ac:dyDescent="0.2">
      <c r="AF44145" s="12"/>
    </row>
    <row r="44146" spans="32:32" x14ac:dyDescent="0.2">
      <c r="AF44146" s="12"/>
    </row>
    <row r="44147" spans="32:32" x14ac:dyDescent="0.2">
      <c r="AF44147" s="12"/>
    </row>
    <row r="44148" spans="32:32" x14ac:dyDescent="0.2">
      <c r="AF44148" s="12"/>
    </row>
    <row r="44149" spans="32:32" x14ac:dyDescent="0.2">
      <c r="AF44149" s="12"/>
    </row>
    <row r="44150" spans="32:32" x14ac:dyDescent="0.2">
      <c r="AF44150" s="12"/>
    </row>
    <row r="44151" spans="32:32" x14ac:dyDescent="0.2">
      <c r="AF44151" s="12"/>
    </row>
    <row r="44152" spans="32:32" x14ac:dyDescent="0.2">
      <c r="AF44152" s="12"/>
    </row>
    <row r="44153" spans="32:32" x14ac:dyDescent="0.2">
      <c r="AF44153" s="12"/>
    </row>
    <row r="44154" spans="32:32" x14ac:dyDescent="0.2">
      <c r="AF44154" s="12"/>
    </row>
    <row r="44155" spans="32:32" x14ac:dyDescent="0.2">
      <c r="AF44155" s="12"/>
    </row>
    <row r="44156" spans="32:32" x14ac:dyDescent="0.2">
      <c r="AF44156" s="12"/>
    </row>
    <row r="44157" spans="32:32" x14ac:dyDescent="0.2">
      <c r="AF44157" s="12"/>
    </row>
    <row r="44158" spans="32:32" x14ac:dyDescent="0.2">
      <c r="AF44158" s="12"/>
    </row>
    <row r="44159" spans="32:32" x14ac:dyDescent="0.2">
      <c r="AF44159" s="12"/>
    </row>
    <row r="44160" spans="32:32" x14ac:dyDescent="0.2">
      <c r="AF44160" s="12"/>
    </row>
    <row r="44161" spans="32:32" x14ac:dyDescent="0.2">
      <c r="AF44161" s="12"/>
    </row>
    <row r="44162" spans="32:32" x14ac:dyDescent="0.2">
      <c r="AF44162" s="12"/>
    </row>
    <row r="44163" spans="32:32" x14ac:dyDescent="0.2">
      <c r="AF44163" s="12"/>
    </row>
    <row r="44164" spans="32:32" x14ac:dyDescent="0.2">
      <c r="AF44164" s="12"/>
    </row>
    <row r="44165" spans="32:32" x14ac:dyDescent="0.2">
      <c r="AF44165" s="12"/>
    </row>
    <row r="44166" spans="32:32" x14ac:dyDescent="0.2">
      <c r="AF44166" s="12"/>
    </row>
    <row r="44167" spans="32:32" x14ac:dyDescent="0.2">
      <c r="AF44167" s="12"/>
    </row>
    <row r="44168" spans="32:32" x14ac:dyDescent="0.2">
      <c r="AF44168" s="12"/>
    </row>
    <row r="44169" spans="32:32" x14ac:dyDescent="0.2">
      <c r="AF44169" s="12"/>
    </row>
    <row r="44170" spans="32:32" x14ac:dyDescent="0.2">
      <c r="AF44170" s="12"/>
    </row>
    <row r="44171" spans="32:32" x14ac:dyDescent="0.2">
      <c r="AF44171" s="12"/>
    </row>
    <row r="44172" spans="32:32" x14ac:dyDescent="0.2">
      <c r="AF44172" s="12"/>
    </row>
    <row r="44173" spans="32:32" x14ac:dyDescent="0.2">
      <c r="AF44173" s="12"/>
    </row>
    <row r="44174" spans="32:32" x14ac:dyDescent="0.2">
      <c r="AF44174" s="12"/>
    </row>
    <row r="44175" spans="32:32" x14ac:dyDescent="0.2">
      <c r="AF44175" s="12"/>
    </row>
    <row r="44176" spans="32:32" x14ac:dyDescent="0.2">
      <c r="AF44176" s="12"/>
    </row>
    <row r="44177" spans="32:32" x14ac:dyDescent="0.2">
      <c r="AF44177" s="12"/>
    </row>
    <row r="44178" spans="32:32" x14ac:dyDescent="0.2">
      <c r="AF44178" s="12"/>
    </row>
    <row r="44179" spans="32:32" x14ac:dyDescent="0.2">
      <c r="AF44179" s="12"/>
    </row>
    <row r="44180" spans="32:32" x14ac:dyDescent="0.2">
      <c r="AF44180" s="12"/>
    </row>
    <row r="44181" spans="32:32" x14ac:dyDescent="0.2">
      <c r="AF44181" s="12"/>
    </row>
    <row r="44182" spans="32:32" x14ac:dyDescent="0.2">
      <c r="AF44182" s="12"/>
    </row>
    <row r="44183" spans="32:32" x14ac:dyDescent="0.2">
      <c r="AF44183" s="12"/>
    </row>
    <row r="44184" spans="32:32" x14ac:dyDescent="0.2">
      <c r="AF44184" s="12"/>
    </row>
    <row r="44185" spans="32:32" x14ac:dyDescent="0.2">
      <c r="AF44185" s="12"/>
    </row>
    <row r="44186" spans="32:32" x14ac:dyDescent="0.2">
      <c r="AF44186" s="12"/>
    </row>
    <row r="44187" spans="32:32" x14ac:dyDescent="0.2">
      <c r="AF44187" s="12"/>
    </row>
    <row r="44188" spans="32:32" x14ac:dyDescent="0.2">
      <c r="AF44188" s="12"/>
    </row>
    <row r="44189" spans="32:32" x14ac:dyDescent="0.2">
      <c r="AF44189" s="12"/>
    </row>
    <row r="44190" spans="32:32" x14ac:dyDescent="0.2">
      <c r="AF44190" s="12"/>
    </row>
    <row r="44191" spans="32:32" x14ac:dyDescent="0.2">
      <c r="AF44191" s="12"/>
    </row>
    <row r="44192" spans="32:32" x14ac:dyDescent="0.2">
      <c r="AF44192" s="12"/>
    </row>
    <row r="44193" spans="32:32" x14ac:dyDescent="0.2">
      <c r="AF44193" s="12"/>
    </row>
    <row r="44194" spans="32:32" x14ac:dyDescent="0.2">
      <c r="AF44194" s="12"/>
    </row>
    <row r="44195" spans="32:32" x14ac:dyDescent="0.2">
      <c r="AF44195" s="12"/>
    </row>
    <row r="44196" spans="32:32" x14ac:dyDescent="0.2">
      <c r="AF44196" s="12"/>
    </row>
    <row r="44197" spans="32:32" x14ac:dyDescent="0.2">
      <c r="AF44197" s="12"/>
    </row>
    <row r="44198" spans="32:32" x14ac:dyDescent="0.2">
      <c r="AF44198" s="12"/>
    </row>
    <row r="44199" spans="32:32" x14ac:dyDescent="0.2">
      <c r="AF44199" s="12"/>
    </row>
    <row r="44200" spans="32:32" x14ac:dyDescent="0.2">
      <c r="AF44200" s="12"/>
    </row>
    <row r="44201" spans="32:32" x14ac:dyDescent="0.2">
      <c r="AF44201" s="12"/>
    </row>
    <row r="44202" spans="32:32" x14ac:dyDescent="0.2">
      <c r="AF44202" s="12"/>
    </row>
    <row r="44203" spans="32:32" x14ac:dyDescent="0.2">
      <c r="AF44203" s="12"/>
    </row>
    <row r="44204" spans="32:32" x14ac:dyDescent="0.2">
      <c r="AF44204" s="12"/>
    </row>
    <row r="44205" spans="32:32" x14ac:dyDescent="0.2">
      <c r="AF44205" s="12"/>
    </row>
    <row r="44206" spans="32:32" x14ac:dyDescent="0.2">
      <c r="AF44206" s="12"/>
    </row>
    <row r="44207" spans="32:32" x14ac:dyDescent="0.2">
      <c r="AF44207" s="12"/>
    </row>
    <row r="44208" spans="32:32" x14ac:dyDescent="0.2">
      <c r="AF44208" s="12"/>
    </row>
    <row r="44209" spans="32:32" x14ac:dyDescent="0.2">
      <c r="AF44209" s="12"/>
    </row>
    <row r="44210" spans="32:32" x14ac:dyDescent="0.2">
      <c r="AF44210" s="12"/>
    </row>
    <row r="44211" spans="32:32" x14ac:dyDescent="0.2">
      <c r="AF44211" s="12"/>
    </row>
    <row r="44212" spans="32:32" x14ac:dyDescent="0.2">
      <c r="AF44212" s="12"/>
    </row>
    <row r="44213" spans="32:32" x14ac:dyDescent="0.2">
      <c r="AF44213" s="12"/>
    </row>
    <row r="44214" spans="32:32" x14ac:dyDescent="0.2">
      <c r="AF44214" s="12"/>
    </row>
    <row r="44215" spans="32:32" x14ac:dyDescent="0.2">
      <c r="AF44215" s="12"/>
    </row>
    <row r="44216" spans="32:32" x14ac:dyDescent="0.2">
      <c r="AF44216" s="12"/>
    </row>
    <row r="44217" spans="32:32" x14ac:dyDescent="0.2">
      <c r="AF44217" s="12"/>
    </row>
    <row r="44218" spans="32:32" x14ac:dyDescent="0.2">
      <c r="AF44218" s="12"/>
    </row>
    <row r="44219" spans="32:32" x14ac:dyDescent="0.2">
      <c r="AF44219" s="12"/>
    </row>
    <row r="44220" spans="32:32" x14ac:dyDescent="0.2">
      <c r="AF44220" s="12"/>
    </row>
    <row r="44221" spans="32:32" x14ac:dyDescent="0.2">
      <c r="AF44221" s="12"/>
    </row>
    <row r="44222" spans="32:32" x14ac:dyDescent="0.2">
      <c r="AF44222" s="12"/>
    </row>
    <row r="44223" spans="32:32" x14ac:dyDescent="0.2">
      <c r="AF44223" s="12"/>
    </row>
    <row r="44224" spans="32:32" x14ac:dyDescent="0.2">
      <c r="AF44224" s="12"/>
    </row>
    <row r="44225" spans="32:32" x14ac:dyDescent="0.2">
      <c r="AF44225" s="12"/>
    </row>
    <row r="44226" spans="32:32" x14ac:dyDescent="0.2">
      <c r="AF44226" s="12"/>
    </row>
    <row r="44227" spans="32:32" x14ac:dyDescent="0.2">
      <c r="AF44227" s="12"/>
    </row>
    <row r="44228" spans="32:32" x14ac:dyDescent="0.2">
      <c r="AF44228" s="12"/>
    </row>
    <row r="44229" spans="32:32" x14ac:dyDescent="0.2">
      <c r="AF44229" s="12"/>
    </row>
    <row r="44230" spans="32:32" x14ac:dyDescent="0.2">
      <c r="AF44230" s="12"/>
    </row>
    <row r="44231" spans="32:32" x14ac:dyDescent="0.2">
      <c r="AF44231" s="12"/>
    </row>
    <row r="44232" spans="32:32" x14ac:dyDescent="0.2">
      <c r="AF44232" s="12"/>
    </row>
    <row r="44233" spans="32:32" x14ac:dyDescent="0.2">
      <c r="AF44233" s="12"/>
    </row>
    <row r="44234" spans="32:32" x14ac:dyDescent="0.2">
      <c r="AF44234" s="12"/>
    </row>
    <row r="44235" spans="32:32" x14ac:dyDescent="0.2">
      <c r="AF44235" s="12"/>
    </row>
    <row r="44236" spans="32:32" x14ac:dyDescent="0.2">
      <c r="AF44236" s="12"/>
    </row>
    <row r="44237" spans="32:32" x14ac:dyDescent="0.2">
      <c r="AF44237" s="12"/>
    </row>
    <row r="44238" spans="32:32" x14ac:dyDescent="0.2">
      <c r="AF44238" s="12"/>
    </row>
    <row r="44239" spans="32:32" x14ac:dyDescent="0.2">
      <c r="AF44239" s="12"/>
    </row>
    <row r="44240" spans="32:32" x14ac:dyDescent="0.2">
      <c r="AF44240" s="12"/>
    </row>
    <row r="44241" spans="32:32" x14ac:dyDescent="0.2">
      <c r="AF44241" s="12"/>
    </row>
    <row r="44242" spans="32:32" x14ac:dyDescent="0.2">
      <c r="AF44242" s="12"/>
    </row>
    <row r="44243" spans="32:32" x14ac:dyDescent="0.2">
      <c r="AF44243" s="12"/>
    </row>
    <row r="44244" spans="32:32" x14ac:dyDescent="0.2">
      <c r="AF44244" s="12"/>
    </row>
    <row r="44245" spans="32:32" x14ac:dyDescent="0.2">
      <c r="AF44245" s="12"/>
    </row>
    <row r="44246" spans="32:32" x14ac:dyDescent="0.2">
      <c r="AF44246" s="12"/>
    </row>
    <row r="44247" spans="32:32" x14ac:dyDescent="0.2">
      <c r="AF44247" s="12"/>
    </row>
    <row r="44248" spans="32:32" x14ac:dyDescent="0.2">
      <c r="AF44248" s="12"/>
    </row>
    <row r="44249" spans="32:32" x14ac:dyDescent="0.2">
      <c r="AF44249" s="12"/>
    </row>
    <row r="44250" spans="32:32" x14ac:dyDescent="0.2">
      <c r="AF44250" s="12"/>
    </row>
    <row r="44251" spans="32:32" x14ac:dyDescent="0.2">
      <c r="AF44251" s="12"/>
    </row>
    <row r="44252" spans="32:32" x14ac:dyDescent="0.2">
      <c r="AF44252" s="12"/>
    </row>
    <row r="44253" spans="32:32" x14ac:dyDescent="0.2">
      <c r="AF44253" s="12"/>
    </row>
    <row r="44254" spans="32:32" x14ac:dyDescent="0.2">
      <c r="AF44254" s="12"/>
    </row>
    <row r="44255" spans="32:32" x14ac:dyDescent="0.2">
      <c r="AF44255" s="12"/>
    </row>
    <row r="44256" spans="32:32" x14ac:dyDescent="0.2">
      <c r="AF44256" s="12"/>
    </row>
    <row r="44257" spans="32:32" x14ac:dyDescent="0.2">
      <c r="AF44257" s="12"/>
    </row>
    <row r="44258" spans="32:32" x14ac:dyDescent="0.2">
      <c r="AF44258" s="12"/>
    </row>
    <row r="44259" spans="32:32" x14ac:dyDescent="0.2">
      <c r="AF44259" s="12"/>
    </row>
    <row r="44260" spans="32:32" x14ac:dyDescent="0.2">
      <c r="AF44260" s="12"/>
    </row>
    <row r="44261" spans="32:32" x14ac:dyDescent="0.2">
      <c r="AF44261" s="12"/>
    </row>
    <row r="44262" spans="32:32" x14ac:dyDescent="0.2">
      <c r="AF44262" s="12"/>
    </row>
    <row r="44263" spans="32:32" x14ac:dyDescent="0.2">
      <c r="AF44263" s="12"/>
    </row>
    <row r="44264" spans="32:32" x14ac:dyDescent="0.2">
      <c r="AF44264" s="12"/>
    </row>
    <row r="44265" spans="32:32" x14ac:dyDescent="0.2">
      <c r="AF44265" s="12"/>
    </row>
    <row r="44266" spans="32:32" x14ac:dyDescent="0.2">
      <c r="AF44266" s="12"/>
    </row>
    <row r="44267" spans="32:32" x14ac:dyDescent="0.2">
      <c r="AF44267" s="12"/>
    </row>
    <row r="44268" spans="32:32" x14ac:dyDescent="0.2">
      <c r="AF44268" s="12"/>
    </row>
    <row r="44269" spans="32:32" x14ac:dyDescent="0.2">
      <c r="AF44269" s="12"/>
    </row>
    <row r="44270" spans="32:32" x14ac:dyDescent="0.2">
      <c r="AF44270" s="12"/>
    </row>
    <row r="44271" spans="32:32" x14ac:dyDescent="0.2">
      <c r="AF44271" s="12"/>
    </row>
    <row r="44272" spans="32:32" x14ac:dyDescent="0.2">
      <c r="AF44272" s="12"/>
    </row>
    <row r="44273" spans="32:32" x14ac:dyDescent="0.2">
      <c r="AF44273" s="12"/>
    </row>
    <row r="44274" spans="32:32" x14ac:dyDescent="0.2">
      <c r="AF44274" s="12"/>
    </row>
    <row r="44275" spans="32:32" x14ac:dyDescent="0.2">
      <c r="AF44275" s="12"/>
    </row>
    <row r="44276" spans="32:32" x14ac:dyDescent="0.2">
      <c r="AF44276" s="12"/>
    </row>
    <row r="44277" spans="32:32" x14ac:dyDescent="0.2">
      <c r="AF44277" s="12"/>
    </row>
    <row r="44278" spans="32:32" x14ac:dyDescent="0.2">
      <c r="AF44278" s="12"/>
    </row>
    <row r="44279" spans="32:32" x14ac:dyDescent="0.2">
      <c r="AF44279" s="12"/>
    </row>
    <row r="44280" spans="32:32" x14ac:dyDescent="0.2">
      <c r="AF44280" s="12"/>
    </row>
    <row r="44281" spans="32:32" x14ac:dyDescent="0.2">
      <c r="AF44281" s="12"/>
    </row>
    <row r="44282" spans="32:32" x14ac:dyDescent="0.2">
      <c r="AF44282" s="12"/>
    </row>
    <row r="44283" spans="32:32" x14ac:dyDescent="0.2">
      <c r="AF44283" s="12"/>
    </row>
    <row r="44284" spans="32:32" x14ac:dyDescent="0.2">
      <c r="AF44284" s="12"/>
    </row>
    <row r="44285" spans="32:32" x14ac:dyDescent="0.2">
      <c r="AF44285" s="12"/>
    </row>
    <row r="44286" spans="32:32" x14ac:dyDescent="0.2">
      <c r="AF44286" s="12"/>
    </row>
    <row r="44287" spans="32:32" x14ac:dyDescent="0.2">
      <c r="AF44287" s="12"/>
    </row>
    <row r="44288" spans="32:32" x14ac:dyDescent="0.2">
      <c r="AF44288" s="12"/>
    </row>
    <row r="44289" spans="32:32" x14ac:dyDescent="0.2">
      <c r="AF44289" s="12"/>
    </row>
    <row r="44290" spans="32:32" x14ac:dyDescent="0.2">
      <c r="AF44290" s="12"/>
    </row>
    <row r="44291" spans="32:32" x14ac:dyDescent="0.2">
      <c r="AF44291" s="12"/>
    </row>
    <row r="44292" spans="32:32" x14ac:dyDescent="0.2">
      <c r="AF44292" s="12"/>
    </row>
    <row r="44293" spans="32:32" x14ac:dyDescent="0.2">
      <c r="AF44293" s="12"/>
    </row>
    <row r="44294" spans="32:32" x14ac:dyDescent="0.2">
      <c r="AF44294" s="12"/>
    </row>
    <row r="44295" spans="32:32" x14ac:dyDescent="0.2">
      <c r="AF44295" s="12"/>
    </row>
    <row r="44296" spans="32:32" x14ac:dyDescent="0.2">
      <c r="AF44296" s="12"/>
    </row>
    <row r="44297" spans="32:32" x14ac:dyDescent="0.2">
      <c r="AF44297" s="12"/>
    </row>
    <row r="44298" spans="32:32" x14ac:dyDescent="0.2">
      <c r="AF44298" s="12"/>
    </row>
    <row r="44299" spans="32:32" x14ac:dyDescent="0.2">
      <c r="AF44299" s="12"/>
    </row>
    <row r="44300" spans="32:32" x14ac:dyDescent="0.2">
      <c r="AF44300" s="12"/>
    </row>
    <row r="44301" spans="32:32" x14ac:dyDescent="0.2">
      <c r="AF44301" s="12"/>
    </row>
    <row r="44302" spans="32:32" x14ac:dyDescent="0.2">
      <c r="AF44302" s="12"/>
    </row>
    <row r="44303" spans="32:32" x14ac:dyDescent="0.2">
      <c r="AF44303" s="12"/>
    </row>
    <row r="44304" spans="32:32" x14ac:dyDescent="0.2">
      <c r="AF44304" s="12"/>
    </row>
    <row r="44305" spans="32:32" x14ac:dyDescent="0.2">
      <c r="AF44305" s="12"/>
    </row>
    <row r="44306" spans="32:32" x14ac:dyDescent="0.2">
      <c r="AF44306" s="12"/>
    </row>
    <row r="44307" spans="32:32" x14ac:dyDescent="0.2">
      <c r="AF44307" s="12"/>
    </row>
    <row r="44308" spans="32:32" x14ac:dyDescent="0.2">
      <c r="AF44308" s="12"/>
    </row>
    <row r="44309" spans="32:32" x14ac:dyDescent="0.2">
      <c r="AF44309" s="12"/>
    </row>
    <row r="44310" spans="32:32" x14ac:dyDescent="0.2">
      <c r="AF44310" s="12"/>
    </row>
    <row r="44311" spans="32:32" x14ac:dyDescent="0.2">
      <c r="AF44311" s="12"/>
    </row>
    <row r="44312" spans="32:32" x14ac:dyDescent="0.2">
      <c r="AF44312" s="12"/>
    </row>
    <row r="44313" spans="32:32" x14ac:dyDescent="0.2">
      <c r="AF44313" s="12"/>
    </row>
    <row r="44314" spans="32:32" x14ac:dyDescent="0.2">
      <c r="AF44314" s="12"/>
    </row>
    <row r="44315" spans="32:32" x14ac:dyDescent="0.2">
      <c r="AF44315" s="12"/>
    </row>
    <row r="44316" spans="32:32" x14ac:dyDescent="0.2">
      <c r="AF44316" s="12"/>
    </row>
    <row r="44317" spans="32:32" x14ac:dyDescent="0.2">
      <c r="AF44317" s="12"/>
    </row>
    <row r="44318" spans="32:32" x14ac:dyDescent="0.2">
      <c r="AF44318" s="12"/>
    </row>
    <row r="44319" spans="32:32" x14ac:dyDescent="0.2">
      <c r="AF44319" s="12"/>
    </row>
    <row r="44320" spans="32:32" x14ac:dyDescent="0.2">
      <c r="AF44320" s="12"/>
    </row>
    <row r="44321" spans="32:32" x14ac:dyDescent="0.2">
      <c r="AF44321" s="12"/>
    </row>
    <row r="44322" spans="32:32" x14ac:dyDescent="0.2">
      <c r="AF44322" s="12"/>
    </row>
    <row r="44323" spans="32:32" x14ac:dyDescent="0.2">
      <c r="AF44323" s="12"/>
    </row>
    <row r="44324" spans="32:32" x14ac:dyDescent="0.2">
      <c r="AF44324" s="12"/>
    </row>
    <row r="44325" spans="32:32" x14ac:dyDescent="0.2">
      <c r="AF44325" s="12"/>
    </row>
    <row r="44326" spans="32:32" x14ac:dyDescent="0.2">
      <c r="AF44326" s="12"/>
    </row>
    <row r="44327" spans="32:32" x14ac:dyDescent="0.2">
      <c r="AF44327" s="12"/>
    </row>
    <row r="44328" spans="32:32" x14ac:dyDescent="0.2">
      <c r="AF44328" s="12"/>
    </row>
    <row r="44329" spans="32:32" x14ac:dyDescent="0.2">
      <c r="AF44329" s="12"/>
    </row>
    <row r="44330" spans="32:32" x14ac:dyDescent="0.2">
      <c r="AF44330" s="12"/>
    </row>
    <row r="44331" spans="32:32" x14ac:dyDescent="0.2">
      <c r="AF44331" s="12"/>
    </row>
    <row r="44332" spans="32:32" x14ac:dyDescent="0.2">
      <c r="AF44332" s="12"/>
    </row>
    <row r="44333" spans="32:32" x14ac:dyDescent="0.2">
      <c r="AF44333" s="12"/>
    </row>
    <row r="44334" spans="32:32" x14ac:dyDescent="0.2">
      <c r="AF44334" s="12"/>
    </row>
    <row r="44335" spans="32:32" x14ac:dyDescent="0.2">
      <c r="AF44335" s="12"/>
    </row>
    <row r="44336" spans="32:32" x14ac:dyDescent="0.2">
      <c r="AF44336" s="12"/>
    </row>
    <row r="44337" spans="32:32" x14ac:dyDescent="0.2">
      <c r="AF44337" s="12"/>
    </row>
    <row r="44338" spans="32:32" x14ac:dyDescent="0.2">
      <c r="AF44338" s="12"/>
    </row>
    <row r="44339" spans="32:32" x14ac:dyDescent="0.2">
      <c r="AF44339" s="12"/>
    </row>
    <row r="44340" spans="32:32" x14ac:dyDescent="0.2">
      <c r="AF44340" s="12"/>
    </row>
    <row r="44341" spans="32:32" x14ac:dyDescent="0.2">
      <c r="AF44341" s="12"/>
    </row>
    <row r="44342" spans="32:32" x14ac:dyDescent="0.2">
      <c r="AF44342" s="12"/>
    </row>
    <row r="44343" spans="32:32" x14ac:dyDescent="0.2">
      <c r="AF44343" s="12"/>
    </row>
    <row r="44344" spans="32:32" x14ac:dyDescent="0.2">
      <c r="AF44344" s="12"/>
    </row>
    <row r="44345" spans="32:32" x14ac:dyDescent="0.2">
      <c r="AF44345" s="12"/>
    </row>
    <row r="44346" spans="32:32" x14ac:dyDescent="0.2">
      <c r="AF44346" s="12"/>
    </row>
    <row r="44347" spans="32:32" x14ac:dyDescent="0.2">
      <c r="AF44347" s="12"/>
    </row>
    <row r="44348" spans="32:32" x14ac:dyDescent="0.2">
      <c r="AF44348" s="12"/>
    </row>
    <row r="44349" spans="32:32" x14ac:dyDescent="0.2">
      <c r="AF44349" s="12"/>
    </row>
    <row r="44350" spans="32:32" x14ac:dyDescent="0.2">
      <c r="AF44350" s="12"/>
    </row>
    <row r="44351" spans="32:32" x14ac:dyDescent="0.2">
      <c r="AF44351" s="12"/>
    </row>
    <row r="44352" spans="32:32" x14ac:dyDescent="0.2">
      <c r="AF44352" s="12"/>
    </row>
    <row r="44353" spans="32:32" x14ac:dyDescent="0.2">
      <c r="AF44353" s="12"/>
    </row>
    <row r="44354" spans="32:32" x14ac:dyDescent="0.2">
      <c r="AF44354" s="12"/>
    </row>
    <row r="44355" spans="32:32" x14ac:dyDescent="0.2">
      <c r="AF44355" s="12"/>
    </row>
    <row r="44356" spans="32:32" x14ac:dyDescent="0.2">
      <c r="AF44356" s="12"/>
    </row>
    <row r="44357" spans="32:32" x14ac:dyDescent="0.2">
      <c r="AF44357" s="12"/>
    </row>
    <row r="44358" spans="32:32" x14ac:dyDescent="0.2">
      <c r="AF44358" s="12"/>
    </row>
    <row r="44359" spans="32:32" x14ac:dyDescent="0.2">
      <c r="AF44359" s="12"/>
    </row>
    <row r="44360" spans="32:32" x14ac:dyDescent="0.2">
      <c r="AF44360" s="12"/>
    </row>
    <row r="44361" spans="32:32" x14ac:dyDescent="0.2">
      <c r="AF44361" s="12"/>
    </row>
    <row r="44362" spans="32:32" x14ac:dyDescent="0.2">
      <c r="AF44362" s="12"/>
    </row>
    <row r="44363" spans="32:32" x14ac:dyDescent="0.2">
      <c r="AF44363" s="12"/>
    </row>
    <row r="44364" spans="32:32" x14ac:dyDescent="0.2">
      <c r="AF44364" s="12"/>
    </row>
    <row r="44365" spans="32:32" x14ac:dyDescent="0.2">
      <c r="AF44365" s="12"/>
    </row>
    <row r="44366" spans="32:32" x14ac:dyDescent="0.2">
      <c r="AF44366" s="12"/>
    </row>
    <row r="44367" spans="32:32" x14ac:dyDescent="0.2">
      <c r="AF44367" s="12"/>
    </row>
    <row r="44368" spans="32:32" x14ac:dyDescent="0.2">
      <c r="AF44368" s="12"/>
    </row>
    <row r="44369" spans="32:32" x14ac:dyDescent="0.2">
      <c r="AF44369" s="12"/>
    </row>
    <row r="44370" spans="32:32" x14ac:dyDescent="0.2">
      <c r="AF44370" s="12"/>
    </row>
    <row r="44371" spans="32:32" x14ac:dyDescent="0.2">
      <c r="AF44371" s="12"/>
    </row>
    <row r="44372" spans="32:32" x14ac:dyDescent="0.2">
      <c r="AF44372" s="12"/>
    </row>
    <row r="44373" spans="32:32" x14ac:dyDescent="0.2">
      <c r="AF44373" s="12"/>
    </row>
    <row r="44374" spans="32:32" x14ac:dyDescent="0.2">
      <c r="AF44374" s="12"/>
    </row>
    <row r="44375" spans="32:32" x14ac:dyDescent="0.2">
      <c r="AF44375" s="12"/>
    </row>
    <row r="44376" spans="32:32" x14ac:dyDescent="0.2">
      <c r="AF44376" s="12"/>
    </row>
    <row r="44377" spans="32:32" x14ac:dyDescent="0.2">
      <c r="AF44377" s="12"/>
    </row>
    <row r="44378" spans="32:32" x14ac:dyDescent="0.2">
      <c r="AF44378" s="12"/>
    </row>
    <row r="44379" spans="32:32" x14ac:dyDescent="0.2">
      <c r="AF44379" s="12"/>
    </row>
    <row r="44380" spans="32:32" x14ac:dyDescent="0.2">
      <c r="AF44380" s="12"/>
    </row>
    <row r="44381" spans="32:32" x14ac:dyDescent="0.2">
      <c r="AF44381" s="12"/>
    </row>
    <row r="44382" spans="32:32" x14ac:dyDescent="0.2">
      <c r="AF44382" s="12"/>
    </row>
    <row r="44383" spans="32:32" x14ac:dyDescent="0.2">
      <c r="AF44383" s="12"/>
    </row>
    <row r="44384" spans="32:32" x14ac:dyDescent="0.2">
      <c r="AF44384" s="12"/>
    </row>
    <row r="44385" spans="32:32" x14ac:dyDescent="0.2">
      <c r="AF44385" s="12"/>
    </row>
    <row r="44386" spans="32:32" x14ac:dyDescent="0.2">
      <c r="AF44386" s="12"/>
    </row>
    <row r="44387" spans="32:32" x14ac:dyDescent="0.2">
      <c r="AF44387" s="12"/>
    </row>
    <row r="44388" spans="32:32" x14ac:dyDescent="0.2">
      <c r="AF44388" s="12"/>
    </row>
    <row r="44389" spans="32:32" x14ac:dyDescent="0.2">
      <c r="AF44389" s="12"/>
    </row>
    <row r="44390" spans="32:32" x14ac:dyDescent="0.2">
      <c r="AF44390" s="12"/>
    </row>
    <row r="44391" spans="32:32" x14ac:dyDescent="0.2">
      <c r="AF44391" s="12"/>
    </row>
    <row r="44392" spans="32:32" x14ac:dyDescent="0.2">
      <c r="AF44392" s="12"/>
    </row>
    <row r="44393" spans="32:32" x14ac:dyDescent="0.2">
      <c r="AF44393" s="12"/>
    </row>
    <row r="44394" spans="32:32" x14ac:dyDescent="0.2">
      <c r="AF44394" s="12"/>
    </row>
    <row r="44395" spans="32:32" x14ac:dyDescent="0.2">
      <c r="AF44395" s="12"/>
    </row>
    <row r="44396" spans="32:32" x14ac:dyDescent="0.2">
      <c r="AF44396" s="12"/>
    </row>
    <row r="44397" spans="32:32" x14ac:dyDescent="0.2">
      <c r="AF44397" s="12"/>
    </row>
    <row r="44398" spans="32:32" x14ac:dyDescent="0.2">
      <c r="AF44398" s="12"/>
    </row>
    <row r="44399" spans="32:32" x14ac:dyDescent="0.2">
      <c r="AF44399" s="12"/>
    </row>
    <row r="44400" spans="32:32" x14ac:dyDescent="0.2">
      <c r="AF44400" s="12"/>
    </row>
    <row r="44401" spans="32:32" x14ac:dyDescent="0.2">
      <c r="AF44401" s="12"/>
    </row>
    <row r="44402" spans="32:32" x14ac:dyDescent="0.2">
      <c r="AF44402" s="12"/>
    </row>
    <row r="44403" spans="32:32" x14ac:dyDescent="0.2">
      <c r="AF44403" s="12"/>
    </row>
    <row r="44404" spans="32:32" x14ac:dyDescent="0.2">
      <c r="AF44404" s="12"/>
    </row>
    <row r="44405" spans="32:32" x14ac:dyDescent="0.2">
      <c r="AF44405" s="12"/>
    </row>
    <row r="44406" spans="32:32" x14ac:dyDescent="0.2">
      <c r="AF44406" s="12"/>
    </row>
    <row r="44407" spans="32:32" x14ac:dyDescent="0.2">
      <c r="AF44407" s="12"/>
    </row>
    <row r="44408" spans="32:32" x14ac:dyDescent="0.2">
      <c r="AF44408" s="12"/>
    </row>
    <row r="44409" spans="32:32" x14ac:dyDescent="0.2">
      <c r="AF44409" s="12"/>
    </row>
    <row r="44410" spans="32:32" x14ac:dyDescent="0.2">
      <c r="AF44410" s="12"/>
    </row>
    <row r="44411" spans="32:32" x14ac:dyDescent="0.2">
      <c r="AF44411" s="12"/>
    </row>
    <row r="44412" spans="32:32" x14ac:dyDescent="0.2">
      <c r="AF44412" s="12"/>
    </row>
    <row r="44413" spans="32:32" x14ac:dyDescent="0.2">
      <c r="AF44413" s="12"/>
    </row>
    <row r="44414" spans="32:32" x14ac:dyDescent="0.2">
      <c r="AF44414" s="12"/>
    </row>
    <row r="44415" spans="32:32" x14ac:dyDescent="0.2">
      <c r="AF44415" s="12"/>
    </row>
    <row r="44416" spans="32:32" x14ac:dyDescent="0.2">
      <c r="AF44416" s="12"/>
    </row>
    <row r="44417" spans="32:32" x14ac:dyDescent="0.2">
      <c r="AF44417" s="12"/>
    </row>
    <row r="44418" spans="32:32" x14ac:dyDescent="0.2">
      <c r="AF44418" s="12"/>
    </row>
    <row r="44419" spans="32:32" x14ac:dyDescent="0.2">
      <c r="AF44419" s="12"/>
    </row>
    <row r="44420" spans="32:32" x14ac:dyDescent="0.2">
      <c r="AF44420" s="12"/>
    </row>
    <row r="44421" spans="32:32" x14ac:dyDescent="0.2">
      <c r="AF44421" s="12"/>
    </row>
    <row r="44422" spans="32:32" x14ac:dyDescent="0.2">
      <c r="AF44422" s="12"/>
    </row>
    <row r="44423" spans="32:32" x14ac:dyDescent="0.2">
      <c r="AF44423" s="12"/>
    </row>
    <row r="44424" spans="32:32" x14ac:dyDescent="0.2">
      <c r="AF44424" s="12"/>
    </row>
    <row r="44425" spans="32:32" x14ac:dyDescent="0.2">
      <c r="AF44425" s="12"/>
    </row>
    <row r="44426" spans="32:32" x14ac:dyDescent="0.2">
      <c r="AF44426" s="12"/>
    </row>
    <row r="44427" spans="32:32" x14ac:dyDescent="0.2">
      <c r="AF44427" s="12"/>
    </row>
    <row r="44428" spans="32:32" x14ac:dyDescent="0.2">
      <c r="AF44428" s="12"/>
    </row>
    <row r="44429" spans="32:32" x14ac:dyDescent="0.2">
      <c r="AF44429" s="12"/>
    </row>
    <row r="44430" spans="32:32" x14ac:dyDescent="0.2">
      <c r="AF44430" s="12"/>
    </row>
    <row r="44431" spans="32:32" x14ac:dyDescent="0.2">
      <c r="AF44431" s="12"/>
    </row>
    <row r="44432" spans="32:32" x14ac:dyDescent="0.2">
      <c r="AF44432" s="12"/>
    </row>
    <row r="44433" spans="32:32" x14ac:dyDescent="0.2">
      <c r="AF44433" s="12"/>
    </row>
    <row r="44434" spans="32:32" x14ac:dyDescent="0.2">
      <c r="AF44434" s="12"/>
    </row>
    <row r="44435" spans="32:32" x14ac:dyDescent="0.2">
      <c r="AF44435" s="12"/>
    </row>
    <row r="44436" spans="32:32" x14ac:dyDescent="0.2">
      <c r="AF44436" s="12"/>
    </row>
    <row r="44437" spans="32:32" x14ac:dyDescent="0.2">
      <c r="AF44437" s="12"/>
    </row>
    <row r="44438" spans="32:32" x14ac:dyDescent="0.2">
      <c r="AF44438" s="12"/>
    </row>
    <row r="44439" spans="32:32" x14ac:dyDescent="0.2">
      <c r="AF44439" s="12"/>
    </row>
    <row r="44440" spans="32:32" x14ac:dyDescent="0.2">
      <c r="AF44440" s="12"/>
    </row>
    <row r="44441" spans="32:32" x14ac:dyDescent="0.2">
      <c r="AF44441" s="12"/>
    </row>
    <row r="44442" spans="32:32" x14ac:dyDescent="0.2">
      <c r="AF44442" s="12"/>
    </row>
    <row r="44443" spans="32:32" x14ac:dyDescent="0.2">
      <c r="AF44443" s="12"/>
    </row>
    <row r="44444" spans="32:32" x14ac:dyDescent="0.2">
      <c r="AF44444" s="12"/>
    </row>
    <row r="44445" spans="32:32" x14ac:dyDescent="0.2">
      <c r="AF44445" s="12"/>
    </row>
    <row r="44446" spans="32:32" x14ac:dyDescent="0.2">
      <c r="AF44446" s="12"/>
    </row>
    <row r="44447" spans="32:32" x14ac:dyDescent="0.2">
      <c r="AF44447" s="12"/>
    </row>
    <row r="44448" spans="32:32" x14ac:dyDescent="0.2">
      <c r="AF44448" s="12"/>
    </row>
    <row r="44449" spans="32:32" x14ac:dyDescent="0.2">
      <c r="AF44449" s="12"/>
    </row>
    <row r="44450" spans="32:32" x14ac:dyDescent="0.2">
      <c r="AF44450" s="12"/>
    </row>
    <row r="44451" spans="32:32" x14ac:dyDescent="0.2">
      <c r="AF44451" s="12"/>
    </row>
    <row r="44452" spans="32:32" x14ac:dyDescent="0.2">
      <c r="AF44452" s="12"/>
    </row>
    <row r="44453" spans="32:32" x14ac:dyDescent="0.2">
      <c r="AF44453" s="12"/>
    </row>
    <row r="44454" spans="32:32" x14ac:dyDescent="0.2">
      <c r="AF44454" s="12"/>
    </row>
    <row r="44455" spans="32:32" x14ac:dyDescent="0.2">
      <c r="AF44455" s="12"/>
    </row>
    <row r="44456" spans="32:32" x14ac:dyDescent="0.2">
      <c r="AF44456" s="12"/>
    </row>
    <row r="44457" spans="32:32" x14ac:dyDescent="0.2">
      <c r="AF44457" s="12"/>
    </row>
    <row r="44458" spans="32:32" x14ac:dyDescent="0.2">
      <c r="AF44458" s="12"/>
    </row>
    <row r="44459" spans="32:32" x14ac:dyDescent="0.2">
      <c r="AF44459" s="12"/>
    </row>
    <row r="44460" spans="32:32" x14ac:dyDescent="0.2">
      <c r="AF44460" s="12"/>
    </row>
    <row r="44461" spans="32:32" x14ac:dyDescent="0.2">
      <c r="AF44461" s="12"/>
    </row>
    <row r="44462" spans="32:32" x14ac:dyDescent="0.2">
      <c r="AF44462" s="12"/>
    </row>
    <row r="44463" spans="32:32" x14ac:dyDescent="0.2">
      <c r="AF44463" s="12"/>
    </row>
    <row r="44464" spans="32:32" x14ac:dyDescent="0.2">
      <c r="AF44464" s="12"/>
    </row>
    <row r="44465" spans="32:32" x14ac:dyDescent="0.2">
      <c r="AF44465" s="12"/>
    </row>
    <row r="44466" spans="32:32" x14ac:dyDescent="0.2">
      <c r="AF44466" s="12"/>
    </row>
    <row r="44467" spans="32:32" x14ac:dyDescent="0.2">
      <c r="AF44467" s="12"/>
    </row>
    <row r="44468" spans="32:32" x14ac:dyDescent="0.2">
      <c r="AF44468" s="12"/>
    </row>
    <row r="44469" spans="32:32" x14ac:dyDescent="0.2">
      <c r="AF44469" s="12"/>
    </row>
    <row r="44470" spans="32:32" x14ac:dyDescent="0.2">
      <c r="AF44470" s="12"/>
    </row>
    <row r="44471" spans="32:32" x14ac:dyDescent="0.2">
      <c r="AF44471" s="12"/>
    </row>
    <row r="44472" spans="32:32" x14ac:dyDescent="0.2">
      <c r="AF44472" s="12"/>
    </row>
    <row r="44473" spans="32:32" x14ac:dyDescent="0.2">
      <c r="AF44473" s="12"/>
    </row>
    <row r="44474" spans="32:32" x14ac:dyDescent="0.2">
      <c r="AF44474" s="12"/>
    </row>
    <row r="44475" spans="32:32" x14ac:dyDescent="0.2">
      <c r="AF44475" s="12"/>
    </row>
    <row r="44476" spans="32:32" x14ac:dyDescent="0.2">
      <c r="AF44476" s="12"/>
    </row>
    <row r="44477" spans="32:32" x14ac:dyDescent="0.2">
      <c r="AF44477" s="12"/>
    </row>
    <row r="44478" spans="32:32" x14ac:dyDescent="0.2">
      <c r="AF44478" s="12"/>
    </row>
    <row r="44479" spans="32:32" x14ac:dyDescent="0.2">
      <c r="AF44479" s="12"/>
    </row>
    <row r="44480" spans="32:32" x14ac:dyDescent="0.2">
      <c r="AF44480" s="12"/>
    </row>
    <row r="44481" spans="32:32" x14ac:dyDescent="0.2">
      <c r="AF44481" s="12"/>
    </row>
    <row r="44482" spans="32:32" x14ac:dyDescent="0.2">
      <c r="AF44482" s="12"/>
    </row>
    <row r="44483" spans="32:32" x14ac:dyDescent="0.2">
      <c r="AF44483" s="12"/>
    </row>
    <row r="44484" spans="32:32" x14ac:dyDescent="0.2">
      <c r="AF44484" s="12"/>
    </row>
    <row r="44485" spans="32:32" x14ac:dyDescent="0.2">
      <c r="AF44485" s="12"/>
    </row>
    <row r="44486" spans="32:32" x14ac:dyDescent="0.2">
      <c r="AF44486" s="12"/>
    </row>
    <row r="44487" spans="32:32" x14ac:dyDescent="0.2">
      <c r="AF44487" s="12"/>
    </row>
    <row r="44488" spans="32:32" x14ac:dyDescent="0.2">
      <c r="AF44488" s="12"/>
    </row>
    <row r="44489" spans="32:32" x14ac:dyDescent="0.2">
      <c r="AF44489" s="12"/>
    </row>
    <row r="44490" spans="32:32" x14ac:dyDescent="0.2">
      <c r="AF44490" s="12"/>
    </row>
    <row r="44491" spans="32:32" x14ac:dyDescent="0.2">
      <c r="AF44491" s="12"/>
    </row>
    <row r="44492" spans="32:32" x14ac:dyDescent="0.2">
      <c r="AF44492" s="12"/>
    </row>
    <row r="44493" spans="32:32" x14ac:dyDescent="0.2">
      <c r="AF44493" s="12"/>
    </row>
    <row r="44494" spans="32:32" x14ac:dyDescent="0.2">
      <c r="AF44494" s="12"/>
    </row>
    <row r="44495" spans="32:32" x14ac:dyDescent="0.2">
      <c r="AF44495" s="12"/>
    </row>
    <row r="44496" spans="32:32" x14ac:dyDescent="0.2">
      <c r="AF44496" s="12"/>
    </row>
    <row r="44497" spans="32:32" x14ac:dyDescent="0.2">
      <c r="AF44497" s="12"/>
    </row>
    <row r="44498" spans="32:32" x14ac:dyDescent="0.2">
      <c r="AF44498" s="12"/>
    </row>
    <row r="44499" spans="32:32" x14ac:dyDescent="0.2">
      <c r="AF44499" s="12"/>
    </row>
    <row r="44500" spans="32:32" x14ac:dyDescent="0.2">
      <c r="AF44500" s="12"/>
    </row>
    <row r="44501" spans="32:32" x14ac:dyDescent="0.2">
      <c r="AF44501" s="12"/>
    </row>
    <row r="44502" spans="32:32" x14ac:dyDescent="0.2">
      <c r="AF44502" s="12"/>
    </row>
    <row r="44503" spans="32:32" x14ac:dyDescent="0.2">
      <c r="AF44503" s="12"/>
    </row>
    <row r="44504" spans="32:32" x14ac:dyDescent="0.2">
      <c r="AF44504" s="12"/>
    </row>
    <row r="44505" spans="32:32" x14ac:dyDescent="0.2">
      <c r="AF44505" s="12"/>
    </row>
    <row r="44506" spans="32:32" x14ac:dyDescent="0.2">
      <c r="AF44506" s="12"/>
    </row>
    <row r="44507" spans="32:32" x14ac:dyDescent="0.2">
      <c r="AF44507" s="12"/>
    </row>
    <row r="44508" spans="32:32" x14ac:dyDescent="0.2">
      <c r="AF44508" s="12"/>
    </row>
    <row r="44509" spans="32:32" x14ac:dyDescent="0.2">
      <c r="AF44509" s="12"/>
    </row>
    <row r="44510" spans="32:32" x14ac:dyDescent="0.2">
      <c r="AF44510" s="12"/>
    </row>
    <row r="44511" spans="32:32" x14ac:dyDescent="0.2">
      <c r="AF44511" s="12"/>
    </row>
    <row r="44512" spans="32:32" x14ac:dyDescent="0.2">
      <c r="AF44512" s="12"/>
    </row>
    <row r="44513" spans="32:32" x14ac:dyDescent="0.2">
      <c r="AF44513" s="12"/>
    </row>
    <row r="44514" spans="32:32" x14ac:dyDescent="0.2">
      <c r="AF44514" s="12"/>
    </row>
    <row r="44515" spans="32:32" x14ac:dyDescent="0.2">
      <c r="AF44515" s="12"/>
    </row>
    <row r="44516" spans="32:32" x14ac:dyDescent="0.2">
      <c r="AF44516" s="12"/>
    </row>
    <row r="44517" spans="32:32" x14ac:dyDescent="0.2">
      <c r="AF44517" s="12"/>
    </row>
    <row r="44518" spans="32:32" x14ac:dyDescent="0.2">
      <c r="AF44518" s="12"/>
    </row>
    <row r="44519" spans="32:32" x14ac:dyDescent="0.2">
      <c r="AF44519" s="12"/>
    </row>
    <row r="44520" spans="32:32" x14ac:dyDescent="0.2">
      <c r="AF44520" s="12"/>
    </row>
    <row r="44521" spans="32:32" x14ac:dyDescent="0.2">
      <c r="AF44521" s="12"/>
    </row>
    <row r="44522" spans="32:32" x14ac:dyDescent="0.2">
      <c r="AF44522" s="12"/>
    </row>
    <row r="44523" spans="32:32" x14ac:dyDescent="0.2">
      <c r="AF44523" s="12"/>
    </row>
    <row r="44524" spans="32:32" x14ac:dyDescent="0.2">
      <c r="AF44524" s="12"/>
    </row>
    <row r="44525" spans="32:32" x14ac:dyDescent="0.2">
      <c r="AF44525" s="12"/>
    </row>
    <row r="44526" spans="32:32" x14ac:dyDescent="0.2">
      <c r="AF44526" s="12"/>
    </row>
    <row r="44527" spans="32:32" x14ac:dyDescent="0.2">
      <c r="AF44527" s="12"/>
    </row>
    <row r="44528" spans="32:32" x14ac:dyDescent="0.2">
      <c r="AF44528" s="12"/>
    </row>
    <row r="44529" spans="32:32" x14ac:dyDescent="0.2">
      <c r="AF44529" s="12"/>
    </row>
    <row r="44530" spans="32:32" x14ac:dyDescent="0.2">
      <c r="AF44530" s="12"/>
    </row>
    <row r="44531" spans="32:32" x14ac:dyDescent="0.2">
      <c r="AF44531" s="12"/>
    </row>
    <row r="44532" spans="32:32" x14ac:dyDescent="0.2">
      <c r="AF44532" s="12"/>
    </row>
    <row r="44533" spans="32:32" x14ac:dyDescent="0.2">
      <c r="AF44533" s="12"/>
    </row>
    <row r="44534" spans="32:32" x14ac:dyDescent="0.2">
      <c r="AF44534" s="12"/>
    </row>
    <row r="44535" spans="32:32" x14ac:dyDescent="0.2">
      <c r="AF44535" s="12"/>
    </row>
    <row r="44536" spans="32:32" x14ac:dyDescent="0.2">
      <c r="AF44536" s="12"/>
    </row>
    <row r="44537" spans="32:32" x14ac:dyDescent="0.2">
      <c r="AF44537" s="12"/>
    </row>
    <row r="44538" spans="32:32" x14ac:dyDescent="0.2">
      <c r="AF44538" s="12"/>
    </row>
    <row r="44539" spans="32:32" x14ac:dyDescent="0.2">
      <c r="AF44539" s="12"/>
    </row>
    <row r="44540" spans="32:32" x14ac:dyDescent="0.2">
      <c r="AF44540" s="12"/>
    </row>
    <row r="44541" spans="32:32" x14ac:dyDescent="0.2">
      <c r="AF44541" s="12"/>
    </row>
    <row r="44542" spans="32:32" x14ac:dyDescent="0.2">
      <c r="AF44542" s="12"/>
    </row>
    <row r="44543" spans="32:32" x14ac:dyDescent="0.2">
      <c r="AF44543" s="12"/>
    </row>
    <row r="44544" spans="32:32" x14ac:dyDescent="0.2">
      <c r="AF44544" s="12"/>
    </row>
    <row r="44545" spans="32:32" x14ac:dyDescent="0.2">
      <c r="AF44545" s="12"/>
    </row>
    <row r="44546" spans="32:32" x14ac:dyDescent="0.2">
      <c r="AF44546" s="12"/>
    </row>
    <row r="44547" spans="32:32" x14ac:dyDescent="0.2">
      <c r="AF44547" s="12"/>
    </row>
    <row r="44548" spans="32:32" x14ac:dyDescent="0.2">
      <c r="AF44548" s="12"/>
    </row>
    <row r="44549" spans="32:32" x14ac:dyDescent="0.2">
      <c r="AF44549" s="12"/>
    </row>
    <row r="44550" spans="32:32" x14ac:dyDescent="0.2">
      <c r="AF44550" s="12"/>
    </row>
    <row r="44551" spans="32:32" x14ac:dyDescent="0.2">
      <c r="AF44551" s="12"/>
    </row>
    <row r="44552" spans="32:32" x14ac:dyDescent="0.2">
      <c r="AF44552" s="12"/>
    </row>
    <row r="44553" spans="32:32" x14ac:dyDescent="0.2">
      <c r="AF44553" s="12"/>
    </row>
    <row r="44554" spans="32:32" x14ac:dyDescent="0.2">
      <c r="AF44554" s="12"/>
    </row>
    <row r="44555" spans="32:32" x14ac:dyDescent="0.2">
      <c r="AF44555" s="12"/>
    </row>
    <row r="44556" spans="32:32" x14ac:dyDescent="0.2">
      <c r="AF44556" s="12"/>
    </row>
    <row r="44557" spans="32:32" x14ac:dyDescent="0.2">
      <c r="AF44557" s="12"/>
    </row>
    <row r="44558" spans="32:32" x14ac:dyDescent="0.2">
      <c r="AF44558" s="12"/>
    </row>
    <row r="44559" spans="32:32" x14ac:dyDescent="0.2">
      <c r="AF44559" s="12"/>
    </row>
    <row r="44560" spans="32:32" x14ac:dyDescent="0.2">
      <c r="AF44560" s="12"/>
    </row>
    <row r="44561" spans="32:32" x14ac:dyDescent="0.2">
      <c r="AF44561" s="12"/>
    </row>
    <row r="44562" spans="32:32" x14ac:dyDescent="0.2">
      <c r="AF44562" s="12"/>
    </row>
    <row r="44563" spans="32:32" x14ac:dyDescent="0.2">
      <c r="AF44563" s="12"/>
    </row>
    <row r="44564" spans="32:32" x14ac:dyDescent="0.2">
      <c r="AF44564" s="12"/>
    </row>
    <row r="44565" spans="32:32" x14ac:dyDescent="0.2">
      <c r="AF44565" s="12"/>
    </row>
    <row r="44566" spans="32:32" x14ac:dyDescent="0.2">
      <c r="AF44566" s="12"/>
    </row>
    <row r="44567" spans="32:32" x14ac:dyDescent="0.2">
      <c r="AF44567" s="12"/>
    </row>
    <row r="44568" spans="32:32" x14ac:dyDescent="0.2">
      <c r="AF44568" s="12"/>
    </row>
    <row r="44569" spans="32:32" x14ac:dyDescent="0.2">
      <c r="AF44569" s="12"/>
    </row>
    <row r="44570" spans="32:32" x14ac:dyDescent="0.2">
      <c r="AF44570" s="12"/>
    </row>
    <row r="44571" spans="32:32" x14ac:dyDescent="0.2">
      <c r="AF44571" s="12"/>
    </row>
    <row r="44572" spans="32:32" x14ac:dyDescent="0.2">
      <c r="AF44572" s="12"/>
    </row>
    <row r="44573" spans="32:32" x14ac:dyDescent="0.2">
      <c r="AF44573" s="12"/>
    </row>
    <row r="44574" spans="32:32" x14ac:dyDescent="0.2">
      <c r="AF44574" s="12"/>
    </row>
    <row r="44575" spans="32:32" x14ac:dyDescent="0.2">
      <c r="AF44575" s="12"/>
    </row>
    <row r="44576" spans="32:32" x14ac:dyDescent="0.2">
      <c r="AF44576" s="12"/>
    </row>
    <row r="44577" spans="32:32" x14ac:dyDescent="0.2">
      <c r="AF44577" s="12"/>
    </row>
    <row r="44578" spans="32:32" x14ac:dyDescent="0.2">
      <c r="AF44578" s="12"/>
    </row>
    <row r="44579" spans="32:32" x14ac:dyDescent="0.2">
      <c r="AF44579" s="12"/>
    </row>
    <row r="44580" spans="32:32" x14ac:dyDescent="0.2">
      <c r="AF44580" s="12"/>
    </row>
    <row r="44581" spans="32:32" x14ac:dyDescent="0.2">
      <c r="AF44581" s="12"/>
    </row>
    <row r="44582" spans="32:32" x14ac:dyDescent="0.2">
      <c r="AF44582" s="12"/>
    </row>
    <row r="44583" spans="32:32" x14ac:dyDescent="0.2">
      <c r="AF44583" s="12"/>
    </row>
    <row r="44584" spans="32:32" x14ac:dyDescent="0.2">
      <c r="AF44584" s="12"/>
    </row>
    <row r="44585" spans="32:32" x14ac:dyDescent="0.2">
      <c r="AF44585" s="12"/>
    </row>
    <row r="44586" spans="32:32" x14ac:dyDescent="0.2">
      <c r="AF44586" s="12"/>
    </row>
    <row r="44587" spans="32:32" x14ac:dyDescent="0.2">
      <c r="AF44587" s="12"/>
    </row>
    <row r="44588" spans="32:32" x14ac:dyDescent="0.2">
      <c r="AF44588" s="12"/>
    </row>
    <row r="44589" spans="32:32" x14ac:dyDescent="0.2">
      <c r="AF44589" s="12"/>
    </row>
    <row r="44590" spans="32:32" x14ac:dyDescent="0.2">
      <c r="AF44590" s="12"/>
    </row>
    <row r="44591" spans="32:32" x14ac:dyDescent="0.2">
      <c r="AF44591" s="12"/>
    </row>
    <row r="44592" spans="32:32" x14ac:dyDescent="0.2">
      <c r="AF44592" s="12"/>
    </row>
    <row r="44593" spans="32:32" x14ac:dyDescent="0.2">
      <c r="AF44593" s="12"/>
    </row>
    <row r="44594" spans="32:32" x14ac:dyDescent="0.2">
      <c r="AF44594" s="12"/>
    </row>
    <row r="44595" spans="32:32" x14ac:dyDescent="0.2">
      <c r="AF44595" s="12"/>
    </row>
    <row r="44596" spans="32:32" x14ac:dyDescent="0.2">
      <c r="AF44596" s="12"/>
    </row>
    <row r="44597" spans="32:32" x14ac:dyDescent="0.2">
      <c r="AF44597" s="12"/>
    </row>
    <row r="44598" spans="32:32" x14ac:dyDescent="0.2">
      <c r="AF44598" s="12"/>
    </row>
    <row r="44599" spans="32:32" x14ac:dyDescent="0.2">
      <c r="AF44599" s="12"/>
    </row>
    <row r="44600" spans="32:32" x14ac:dyDescent="0.2">
      <c r="AF44600" s="12"/>
    </row>
    <row r="44601" spans="32:32" x14ac:dyDescent="0.2">
      <c r="AF44601" s="12"/>
    </row>
    <row r="44602" spans="32:32" x14ac:dyDescent="0.2">
      <c r="AF44602" s="12"/>
    </row>
    <row r="44603" spans="32:32" x14ac:dyDescent="0.2">
      <c r="AF44603" s="12"/>
    </row>
    <row r="44604" spans="32:32" x14ac:dyDescent="0.2">
      <c r="AF44604" s="12"/>
    </row>
    <row r="44605" spans="32:32" x14ac:dyDescent="0.2">
      <c r="AF44605" s="12"/>
    </row>
    <row r="44606" spans="32:32" x14ac:dyDescent="0.2">
      <c r="AF44606" s="12"/>
    </row>
    <row r="44607" spans="32:32" x14ac:dyDescent="0.2">
      <c r="AF44607" s="12"/>
    </row>
    <row r="44608" spans="32:32" x14ac:dyDescent="0.2">
      <c r="AF44608" s="12"/>
    </row>
    <row r="44609" spans="32:32" x14ac:dyDescent="0.2">
      <c r="AF44609" s="12"/>
    </row>
    <row r="44610" spans="32:32" x14ac:dyDescent="0.2">
      <c r="AF44610" s="12"/>
    </row>
    <row r="44611" spans="32:32" x14ac:dyDescent="0.2">
      <c r="AF44611" s="12"/>
    </row>
    <row r="44612" spans="32:32" x14ac:dyDescent="0.2">
      <c r="AF44612" s="12"/>
    </row>
    <row r="44613" spans="32:32" x14ac:dyDescent="0.2">
      <c r="AF44613" s="12"/>
    </row>
    <row r="44614" spans="32:32" x14ac:dyDescent="0.2">
      <c r="AF44614" s="12"/>
    </row>
    <row r="44615" spans="32:32" x14ac:dyDescent="0.2">
      <c r="AF44615" s="12"/>
    </row>
    <row r="44616" spans="32:32" x14ac:dyDescent="0.2">
      <c r="AF44616" s="12"/>
    </row>
    <row r="44617" spans="32:32" x14ac:dyDescent="0.2">
      <c r="AF44617" s="12"/>
    </row>
    <row r="44618" spans="32:32" x14ac:dyDescent="0.2">
      <c r="AF44618" s="12"/>
    </row>
    <row r="44619" spans="32:32" x14ac:dyDescent="0.2">
      <c r="AF44619" s="12"/>
    </row>
    <row r="44620" spans="32:32" x14ac:dyDescent="0.2">
      <c r="AF44620" s="12"/>
    </row>
    <row r="44621" spans="32:32" x14ac:dyDescent="0.2">
      <c r="AF44621" s="12"/>
    </row>
    <row r="44622" spans="32:32" x14ac:dyDescent="0.2">
      <c r="AF44622" s="12"/>
    </row>
    <row r="44623" spans="32:32" x14ac:dyDescent="0.2">
      <c r="AF44623" s="12"/>
    </row>
    <row r="44624" spans="32:32" x14ac:dyDescent="0.2">
      <c r="AF44624" s="12"/>
    </row>
    <row r="44625" spans="32:32" x14ac:dyDescent="0.2">
      <c r="AF44625" s="12"/>
    </row>
    <row r="44626" spans="32:32" x14ac:dyDescent="0.2">
      <c r="AF44626" s="12"/>
    </row>
    <row r="44627" spans="32:32" x14ac:dyDescent="0.2">
      <c r="AF44627" s="12"/>
    </row>
    <row r="44628" spans="32:32" x14ac:dyDescent="0.2">
      <c r="AF44628" s="12"/>
    </row>
    <row r="44629" spans="32:32" x14ac:dyDescent="0.2">
      <c r="AF44629" s="12"/>
    </row>
    <row r="44630" spans="32:32" x14ac:dyDescent="0.2">
      <c r="AF44630" s="12"/>
    </row>
    <row r="44631" spans="32:32" x14ac:dyDescent="0.2">
      <c r="AF44631" s="12"/>
    </row>
    <row r="44632" spans="32:32" x14ac:dyDescent="0.2">
      <c r="AF44632" s="12"/>
    </row>
    <row r="44633" spans="32:32" x14ac:dyDescent="0.2">
      <c r="AF44633" s="12"/>
    </row>
    <row r="44634" spans="32:32" x14ac:dyDescent="0.2">
      <c r="AF44634" s="12"/>
    </row>
    <row r="44635" spans="32:32" x14ac:dyDescent="0.2">
      <c r="AF44635" s="12"/>
    </row>
    <row r="44636" spans="32:32" x14ac:dyDescent="0.2">
      <c r="AF44636" s="12"/>
    </row>
    <row r="44637" spans="32:32" x14ac:dyDescent="0.2">
      <c r="AF44637" s="12"/>
    </row>
    <row r="44638" spans="32:32" x14ac:dyDescent="0.2">
      <c r="AF44638" s="12"/>
    </row>
    <row r="44639" spans="32:32" x14ac:dyDescent="0.2">
      <c r="AF44639" s="12"/>
    </row>
    <row r="44640" spans="32:32" x14ac:dyDescent="0.2">
      <c r="AF44640" s="12"/>
    </row>
    <row r="44641" spans="32:32" x14ac:dyDescent="0.2">
      <c r="AF44641" s="12"/>
    </row>
    <row r="44642" spans="32:32" x14ac:dyDescent="0.2">
      <c r="AF44642" s="12"/>
    </row>
    <row r="44643" spans="32:32" x14ac:dyDescent="0.2">
      <c r="AF44643" s="12"/>
    </row>
    <row r="44644" spans="32:32" x14ac:dyDescent="0.2">
      <c r="AF44644" s="12"/>
    </row>
    <row r="44645" spans="32:32" x14ac:dyDescent="0.2">
      <c r="AF44645" s="12"/>
    </row>
    <row r="44646" spans="32:32" x14ac:dyDescent="0.2">
      <c r="AF44646" s="12"/>
    </row>
    <row r="44647" spans="32:32" x14ac:dyDescent="0.2">
      <c r="AF44647" s="12"/>
    </row>
    <row r="44648" spans="32:32" x14ac:dyDescent="0.2">
      <c r="AF44648" s="12"/>
    </row>
    <row r="44649" spans="32:32" x14ac:dyDescent="0.2">
      <c r="AF44649" s="12"/>
    </row>
    <row r="44650" spans="32:32" x14ac:dyDescent="0.2">
      <c r="AF44650" s="12"/>
    </row>
    <row r="44651" spans="32:32" x14ac:dyDescent="0.2">
      <c r="AF44651" s="12"/>
    </row>
    <row r="44652" spans="32:32" x14ac:dyDescent="0.2">
      <c r="AF44652" s="12"/>
    </row>
    <row r="44653" spans="32:32" x14ac:dyDescent="0.2">
      <c r="AF44653" s="12"/>
    </row>
    <row r="44654" spans="32:32" x14ac:dyDescent="0.2">
      <c r="AF44654" s="12"/>
    </row>
    <row r="44655" spans="32:32" x14ac:dyDescent="0.2">
      <c r="AF44655" s="12"/>
    </row>
    <row r="44656" spans="32:32" x14ac:dyDescent="0.2">
      <c r="AF44656" s="12"/>
    </row>
    <row r="44657" spans="32:32" x14ac:dyDescent="0.2">
      <c r="AF44657" s="12"/>
    </row>
    <row r="44658" spans="32:32" x14ac:dyDescent="0.2">
      <c r="AF44658" s="12"/>
    </row>
    <row r="44659" spans="32:32" x14ac:dyDescent="0.2">
      <c r="AF44659" s="12"/>
    </row>
    <row r="44660" spans="32:32" x14ac:dyDescent="0.2">
      <c r="AF44660" s="12"/>
    </row>
    <row r="44661" spans="32:32" x14ac:dyDescent="0.2">
      <c r="AF44661" s="12"/>
    </row>
    <row r="44662" spans="32:32" x14ac:dyDescent="0.2">
      <c r="AF44662" s="12"/>
    </row>
    <row r="44663" spans="32:32" x14ac:dyDescent="0.2">
      <c r="AF44663" s="12"/>
    </row>
    <row r="44664" spans="32:32" x14ac:dyDescent="0.2">
      <c r="AF44664" s="12"/>
    </row>
    <row r="44665" spans="32:32" x14ac:dyDescent="0.2">
      <c r="AF44665" s="12"/>
    </row>
    <row r="44666" spans="32:32" x14ac:dyDescent="0.2">
      <c r="AF44666" s="12"/>
    </row>
    <row r="44667" spans="32:32" x14ac:dyDescent="0.2">
      <c r="AF44667" s="12"/>
    </row>
    <row r="44668" spans="32:32" x14ac:dyDescent="0.2">
      <c r="AF44668" s="12"/>
    </row>
    <row r="44669" spans="32:32" x14ac:dyDescent="0.2">
      <c r="AF44669" s="12"/>
    </row>
    <row r="44670" spans="32:32" x14ac:dyDescent="0.2">
      <c r="AF44670" s="12"/>
    </row>
    <row r="44671" spans="32:32" x14ac:dyDescent="0.2">
      <c r="AF44671" s="12"/>
    </row>
    <row r="44672" spans="32:32" x14ac:dyDescent="0.2">
      <c r="AF44672" s="12"/>
    </row>
    <row r="44673" spans="32:32" x14ac:dyDescent="0.2">
      <c r="AF44673" s="12"/>
    </row>
    <row r="44674" spans="32:32" x14ac:dyDescent="0.2">
      <c r="AF44674" s="12"/>
    </row>
    <row r="44675" spans="32:32" x14ac:dyDescent="0.2">
      <c r="AF44675" s="12"/>
    </row>
    <row r="44676" spans="32:32" x14ac:dyDescent="0.2">
      <c r="AF44676" s="12"/>
    </row>
    <row r="44677" spans="32:32" x14ac:dyDescent="0.2">
      <c r="AF44677" s="12"/>
    </row>
    <row r="44678" spans="32:32" x14ac:dyDescent="0.2">
      <c r="AF44678" s="12"/>
    </row>
    <row r="44679" spans="32:32" x14ac:dyDescent="0.2">
      <c r="AF44679" s="12"/>
    </row>
    <row r="44680" spans="32:32" x14ac:dyDescent="0.2">
      <c r="AF44680" s="12"/>
    </row>
    <row r="44681" spans="32:32" x14ac:dyDescent="0.2">
      <c r="AF44681" s="12"/>
    </row>
    <row r="44682" spans="32:32" x14ac:dyDescent="0.2">
      <c r="AF44682" s="12"/>
    </row>
    <row r="44683" spans="32:32" x14ac:dyDescent="0.2">
      <c r="AF44683" s="12"/>
    </row>
    <row r="44684" spans="32:32" x14ac:dyDescent="0.2">
      <c r="AF44684" s="12"/>
    </row>
    <row r="44685" spans="32:32" x14ac:dyDescent="0.2">
      <c r="AF44685" s="12"/>
    </row>
    <row r="44686" spans="32:32" x14ac:dyDescent="0.2">
      <c r="AF44686" s="12"/>
    </row>
    <row r="44687" spans="32:32" x14ac:dyDescent="0.2">
      <c r="AF44687" s="12"/>
    </row>
    <row r="44688" spans="32:32" x14ac:dyDescent="0.2">
      <c r="AF44688" s="12"/>
    </row>
    <row r="44689" spans="32:32" x14ac:dyDescent="0.2">
      <c r="AF44689" s="12"/>
    </row>
    <row r="44690" spans="32:32" x14ac:dyDescent="0.2">
      <c r="AF44690" s="12"/>
    </row>
    <row r="44691" spans="32:32" x14ac:dyDescent="0.2">
      <c r="AF44691" s="12"/>
    </row>
    <row r="44692" spans="32:32" x14ac:dyDescent="0.2">
      <c r="AF44692" s="12"/>
    </row>
    <row r="44693" spans="32:32" x14ac:dyDescent="0.2">
      <c r="AF44693" s="12"/>
    </row>
    <row r="44694" spans="32:32" x14ac:dyDescent="0.2">
      <c r="AF44694" s="12"/>
    </row>
    <row r="44695" spans="32:32" x14ac:dyDescent="0.2">
      <c r="AF44695" s="12"/>
    </row>
    <row r="44696" spans="32:32" x14ac:dyDescent="0.2">
      <c r="AF44696" s="12"/>
    </row>
    <row r="44697" spans="32:32" x14ac:dyDescent="0.2">
      <c r="AF44697" s="12"/>
    </row>
    <row r="44698" spans="32:32" x14ac:dyDescent="0.2">
      <c r="AF44698" s="12"/>
    </row>
    <row r="44699" spans="32:32" x14ac:dyDescent="0.2">
      <c r="AF44699" s="12"/>
    </row>
    <row r="44700" spans="32:32" x14ac:dyDescent="0.2">
      <c r="AF44700" s="12"/>
    </row>
    <row r="44701" spans="32:32" x14ac:dyDescent="0.2">
      <c r="AF44701" s="12"/>
    </row>
    <row r="44702" spans="32:32" x14ac:dyDescent="0.2">
      <c r="AF44702" s="12"/>
    </row>
    <row r="44703" spans="32:32" x14ac:dyDescent="0.2">
      <c r="AF44703" s="12"/>
    </row>
    <row r="44704" spans="32:32" x14ac:dyDescent="0.2">
      <c r="AF44704" s="12"/>
    </row>
    <row r="44705" spans="32:32" x14ac:dyDescent="0.2">
      <c r="AF44705" s="12"/>
    </row>
    <row r="44706" spans="32:32" x14ac:dyDescent="0.2">
      <c r="AF44706" s="12"/>
    </row>
    <row r="44707" spans="32:32" x14ac:dyDescent="0.2">
      <c r="AF44707" s="12"/>
    </row>
    <row r="44708" spans="32:32" x14ac:dyDescent="0.2">
      <c r="AF44708" s="12"/>
    </row>
    <row r="44709" spans="32:32" x14ac:dyDescent="0.2">
      <c r="AF44709" s="12"/>
    </row>
    <row r="44710" spans="32:32" x14ac:dyDescent="0.2">
      <c r="AF44710" s="12"/>
    </row>
    <row r="44711" spans="32:32" x14ac:dyDescent="0.2">
      <c r="AF44711" s="12"/>
    </row>
    <row r="44712" spans="32:32" x14ac:dyDescent="0.2">
      <c r="AF44712" s="12"/>
    </row>
    <row r="44713" spans="32:32" x14ac:dyDescent="0.2">
      <c r="AF44713" s="12"/>
    </row>
    <row r="44714" spans="32:32" x14ac:dyDescent="0.2">
      <c r="AF44714" s="12"/>
    </row>
    <row r="44715" spans="32:32" x14ac:dyDescent="0.2">
      <c r="AF44715" s="12"/>
    </row>
    <row r="44716" spans="32:32" x14ac:dyDescent="0.2">
      <c r="AF44716" s="12"/>
    </row>
    <row r="44717" spans="32:32" x14ac:dyDescent="0.2">
      <c r="AF44717" s="12"/>
    </row>
    <row r="44718" spans="32:32" x14ac:dyDescent="0.2">
      <c r="AF44718" s="12"/>
    </row>
    <row r="44719" spans="32:32" x14ac:dyDescent="0.2">
      <c r="AF44719" s="12"/>
    </row>
    <row r="44720" spans="32:32" x14ac:dyDescent="0.2">
      <c r="AF44720" s="12"/>
    </row>
    <row r="44721" spans="32:32" x14ac:dyDescent="0.2">
      <c r="AF44721" s="12"/>
    </row>
    <row r="44722" spans="32:32" x14ac:dyDescent="0.2">
      <c r="AF44722" s="12"/>
    </row>
    <row r="44723" spans="32:32" x14ac:dyDescent="0.2">
      <c r="AF44723" s="12"/>
    </row>
    <row r="44724" spans="32:32" x14ac:dyDescent="0.2">
      <c r="AF44724" s="12"/>
    </row>
    <row r="44725" spans="32:32" x14ac:dyDescent="0.2">
      <c r="AF44725" s="12"/>
    </row>
    <row r="44726" spans="32:32" x14ac:dyDescent="0.2">
      <c r="AF44726" s="12"/>
    </row>
    <row r="44727" spans="32:32" x14ac:dyDescent="0.2">
      <c r="AF44727" s="12"/>
    </row>
    <row r="44728" spans="32:32" x14ac:dyDescent="0.2">
      <c r="AF44728" s="12"/>
    </row>
    <row r="44729" spans="32:32" x14ac:dyDescent="0.2">
      <c r="AF44729" s="12"/>
    </row>
    <row r="44730" spans="32:32" x14ac:dyDescent="0.2">
      <c r="AF44730" s="12"/>
    </row>
    <row r="44731" spans="32:32" x14ac:dyDescent="0.2">
      <c r="AF44731" s="12"/>
    </row>
    <row r="44732" spans="32:32" x14ac:dyDescent="0.2">
      <c r="AF44732" s="12"/>
    </row>
    <row r="44733" spans="32:32" x14ac:dyDescent="0.2">
      <c r="AF44733" s="12"/>
    </row>
    <row r="44734" spans="32:32" x14ac:dyDescent="0.2">
      <c r="AF44734" s="12"/>
    </row>
    <row r="44735" spans="32:32" x14ac:dyDescent="0.2">
      <c r="AF44735" s="12"/>
    </row>
    <row r="44736" spans="32:32" x14ac:dyDescent="0.2">
      <c r="AF44736" s="12"/>
    </row>
    <row r="44737" spans="32:32" x14ac:dyDescent="0.2">
      <c r="AF44737" s="12"/>
    </row>
    <row r="44738" spans="32:32" x14ac:dyDescent="0.2">
      <c r="AF44738" s="12"/>
    </row>
    <row r="44739" spans="32:32" x14ac:dyDescent="0.2">
      <c r="AF44739" s="12"/>
    </row>
    <row r="44740" spans="32:32" x14ac:dyDescent="0.2">
      <c r="AF44740" s="12"/>
    </row>
    <row r="44741" spans="32:32" x14ac:dyDescent="0.2">
      <c r="AF44741" s="12"/>
    </row>
    <row r="44742" spans="32:32" x14ac:dyDescent="0.2">
      <c r="AF44742" s="12"/>
    </row>
    <row r="44743" spans="32:32" x14ac:dyDescent="0.2">
      <c r="AF44743" s="12"/>
    </row>
    <row r="44744" spans="32:32" x14ac:dyDescent="0.2">
      <c r="AF44744" s="12"/>
    </row>
    <row r="44745" spans="32:32" x14ac:dyDescent="0.2">
      <c r="AF44745" s="12"/>
    </row>
    <row r="44746" spans="32:32" x14ac:dyDescent="0.2">
      <c r="AF44746" s="12"/>
    </row>
    <row r="44747" spans="32:32" x14ac:dyDescent="0.2">
      <c r="AF44747" s="12"/>
    </row>
    <row r="44748" spans="32:32" x14ac:dyDescent="0.2">
      <c r="AF44748" s="12"/>
    </row>
    <row r="44749" spans="32:32" x14ac:dyDescent="0.2">
      <c r="AF44749" s="12"/>
    </row>
    <row r="44750" spans="32:32" x14ac:dyDescent="0.2">
      <c r="AF44750" s="12"/>
    </row>
    <row r="44751" spans="32:32" x14ac:dyDescent="0.2">
      <c r="AF44751" s="12"/>
    </row>
    <row r="44752" spans="32:32" x14ac:dyDescent="0.2">
      <c r="AF44752" s="12"/>
    </row>
    <row r="44753" spans="32:32" x14ac:dyDescent="0.2">
      <c r="AF44753" s="12"/>
    </row>
    <row r="44754" spans="32:32" x14ac:dyDescent="0.2">
      <c r="AF44754" s="12"/>
    </row>
    <row r="44755" spans="32:32" x14ac:dyDescent="0.2">
      <c r="AF44755" s="12"/>
    </row>
    <row r="44756" spans="32:32" x14ac:dyDescent="0.2">
      <c r="AF44756" s="12"/>
    </row>
    <row r="44757" spans="32:32" x14ac:dyDescent="0.2">
      <c r="AF44757" s="12"/>
    </row>
    <row r="44758" spans="32:32" x14ac:dyDescent="0.2">
      <c r="AF44758" s="12"/>
    </row>
    <row r="44759" spans="32:32" x14ac:dyDescent="0.2">
      <c r="AF44759" s="12"/>
    </row>
    <row r="44760" spans="32:32" x14ac:dyDescent="0.2">
      <c r="AF44760" s="12"/>
    </row>
    <row r="44761" spans="32:32" x14ac:dyDescent="0.2">
      <c r="AF44761" s="12"/>
    </row>
    <row r="44762" spans="32:32" x14ac:dyDescent="0.2">
      <c r="AF44762" s="12"/>
    </row>
    <row r="44763" spans="32:32" x14ac:dyDescent="0.2">
      <c r="AF44763" s="12"/>
    </row>
    <row r="44764" spans="32:32" x14ac:dyDescent="0.2">
      <c r="AF44764" s="12"/>
    </row>
    <row r="44765" spans="32:32" x14ac:dyDescent="0.2">
      <c r="AF44765" s="12"/>
    </row>
    <row r="44766" spans="32:32" x14ac:dyDescent="0.2">
      <c r="AF44766" s="12"/>
    </row>
    <row r="44767" spans="32:32" x14ac:dyDescent="0.2">
      <c r="AF44767" s="12"/>
    </row>
    <row r="44768" spans="32:32" x14ac:dyDescent="0.2">
      <c r="AF44768" s="12"/>
    </row>
    <row r="44769" spans="32:32" x14ac:dyDescent="0.2">
      <c r="AF44769" s="12"/>
    </row>
    <row r="44770" spans="32:32" x14ac:dyDescent="0.2">
      <c r="AF44770" s="12"/>
    </row>
    <row r="44771" spans="32:32" x14ac:dyDescent="0.2">
      <c r="AF44771" s="12"/>
    </row>
    <row r="44772" spans="32:32" x14ac:dyDescent="0.2">
      <c r="AF44772" s="12"/>
    </row>
    <row r="44773" spans="32:32" x14ac:dyDescent="0.2">
      <c r="AF44773" s="12"/>
    </row>
    <row r="44774" spans="32:32" x14ac:dyDescent="0.2">
      <c r="AF44774" s="12"/>
    </row>
    <row r="44775" spans="32:32" x14ac:dyDescent="0.2">
      <c r="AF44775" s="12"/>
    </row>
    <row r="44776" spans="32:32" x14ac:dyDescent="0.2">
      <c r="AF44776" s="12"/>
    </row>
    <row r="44777" spans="32:32" x14ac:dyDescent="0.2">
      <c r="AF44777" s="12"/>
    </row>
    <row r="44778" spans="32:32" x14ac:dyDescent="0.2">
      <c r="AF44778" s="12"/>
    </row>
    <row r="44779" spans="32:32" x14ac:dyDescent="0.2">
      <c r="AF44779" s="12"/>
    </row>
    <row r="44780" spans="32:32" x14ac:dyDescent="0.2">
      <c r="AF44780" s="12"/>
    </row>
    <row r="44781" spans="32:32" x14ac:dyDescent="0.2">
      <c r="AF44781" s="12"/>
    </row>
    <row r="44782" spans="32:32" x14ac:dyDescent="0.2">
      <c r="AF44782" s="12"/>
    </row>
    <row r="44783" spans="32:32" x14ac:dyDescent="0.2">
      <c r="AF44783" s="12"/>
    </row>
    <row r="44784" spans="32:32" x14ac:dyDescent="0.2">
      <c r="AF44784" s="12"/>
    </row>
    <row r="44785" spans="32:32" x14ac:dyDescent="0.2">
      <c r="AF44785" s="12"/>
    </row>
    <row r="44786" spans="32:32" x14ac:dyDescent="0.2">
      <c r="AF44786" s="12"/>
    </row>
    <row r="44787" spans="32:32" x14ac:dyDescent="0.2">
      <c r="AF44787" s="12"/>
    </row>
    <row r="44788" spans="32:32" x14ac:dyDescent="0.2">
      <c r="AF44788" s="12"/>
    </row>
    <row r="44789" spans="32:32" x14ac:dyDescent="0.2">
      <c r="AF44789" s="12"/>
    </row>
    <row r="44790" spans="32:32" x14ac:dyDescent="0.2">
      <c r="AF44790" s="12"/>
    </row>
    <row r="44791" spans="32:32" x14ac:dyDescent="0.2">
      <c r="AF44791" s="12"/>
    </row>
    <row r="44792" spans="32:32" x14ac:dyDescent="0.2">
      <c r="AF44792" s="12"/>
    </row>
    <row r="44793" spans="32:32" x14ac:dyDescent="0.2">
      <c r="AF44793" s="12"/>
    </row>
    <row r="44794" spans="32:32" x14ac:dyDescent="0.2">
      <c r="AF44794" s="12"/>
    </row>
    <row r="44795" spans="32:32" x14ac:dyDescent="0.2">
      <c r="AF44795" s="12"/>
    </row>
    <row r="44796" spans="32:32" x14ac:dyDescent="0.2">
      <c r="AF44796" s="12"/>
    </row>
    <row r="44797" spans="32:32" x14ac:dyDescent="0.2">
      <c r="AF44797" s="12"/>
    </row>
    <row r="44798" spans="32:32" x14ac:dyDescent="0.2">
      <c r="AF44798" s="12"/>
    </row>
    <row r="44799" spans="32:32" x14ac:dyDescent="0.2">
      <c r="AF44799" s="12"/>
    </row>
    <row r="44800" spans="32:32" x14ac:dyDescent="0.2">
      <c r="AF44800" s="12"/>
    </row>
    <row r="44801" spans="32:32" x14ac:dyDescent="0.2">
      <c r="AF44801" s="12"/>
    </row>
    <row r="44802" spans="32:32" x14ac:dyDescent="0.2">
      <c r="AF44802" s="12"/>
    </row>
    <row r="44803" spans="32:32" x14ac:dyDescent="0.2">
      <c r="AF44803" s="12"/>
    </row>
    <row r="44804" spans="32:32" x14ac:dyDescent="0.2">
      <c r="AF44804" s="12"/>
    </row>
    <row r="44805" spans="32:32" x14ac:dyDescent="0.2">
      <c r="AF44805" s="12"/>
    </row>
    <row r="44806" spans="32:32" x14ac:dyDescent="0.2">
      <c r="AF44806" s="12"/>
    </row>
    <row r="44807" spans="32:32" x14ac:dyDescent="0.2">
      <c r="AF44807" s="12"/>
    </row>
    <row r="44808" spans="32:32" x14ac:dyDescent="0.2">
      <c r="AF44808" s="12"/>
    </row>
    <row r="44809" spans="32:32" x14ac:dyDescent="0.2">
      <c r="AF44809" s="12"/>
    </row>
    <row r="44810" spans="32:32" x14ac:dyDescent="0.2">
      <c r="AF44810" s="12"/>
    </row>
    <row r="44811" spans="32:32" x14ac:dyDescent="0.2">
      <c r="AF44811" s="12"/>
    </row>
    <row r="44812" spans="32:32" x14ac:dyDescent="0.2">
      <c r="AF44812" s="12"/>
    </row>
    <row r="44813" spans="32:32" x14ac:dyDescent="0.2">
      <c r="AF44813" s="12"/>
    </row>
    <row r="44814" spans="32:32" x14ac:dyDescent="0.2">
      <c r="AF44814" s="12"/>
    </row>
    <row r="44815" spans="32:32" x14ac:dyDescent="0.2">
      <c r="AF44815" s="12"/>
    </row>
    <row r="44816" spans="32:32" x14ac:dyDescent="0.2">
      <c r="AF44816" s="12"/>
    </row>
    <row r="44817" spans="32:32" x14ac:dyDescent="0.2">
      <c r="AF44817" s="12"/>
    </row>
    <row r="44818" spans="32:32" x14ac:dyDescent="0.2">
      <c r="AF44818" s="12"/>
    </row>
    <row r="44819" spans="32:32" x14ac:dyDescent="0.2">
      <c r="AF44819" s="12"/>
    </row>
    <row r="44820" spans="32:32" x14ac:dyDescent="0.2">
      <c r="AF44820" s="12"/>
    </row>
    <row r="44821" spans="32:32" x14ac:dyDescent="0.2">
      <c r="AF44821" s="12"/>
    </row>
    <row r="44822" spans="32:32" x14ac:dyDescent="0.2">
      <c r="AF44822" s="12"/>
    </row>
    <row r="44823" spans="32:32" x14ac:dyDescent="0.2">
      <c r="AF44823" s="12"/>
    </row>
    <row r="44824" spans="32:32" x14ac:dyDescent="0.2">
      <c r="AF44824" s="12"/>
    </row>
    <row r="44825" spans="32:32" x14ac:dyDescent="0.2">
      <c r="AF44825" s="12"/>
    </row>
    <row r="44826" spans="32:32" x14ac:dyDescent="0.2">
      <c r="AF44826" s="12"/>
    </row>
    <row r="44827" spans="32:32" x14ac:dyDescent="0.2">
      <c r="AF44827" s="12"/>
    </row>
    <row r="44828" spans="32:32" x14ac:dyDescent="0.2">
      <c r="AF44828" s="12"/>
    </row>
    <row r="44829" spans="32:32" x14ac:dyDescent="0.2">
      <c r="AF44829" s="12"/>
    </row>
    <row r="44830" spans="32:32" x14ac:dyDescent="0.2">
      <c r="AF44830" s="12"/>
    </row>
    <row r="44831" spans="32:32" x14ac:dyDescent="0.2">
      <c r="AF44831" s="12"/>
    </row>
    <row r="44832" spans="32:32" x14ac:dyDescent="0.2">
      <c r="AF44832" s="12"/>
    </row>
    <row r="44833" spans="32:32" x14ac:dyDescent="0.2">
      <c r="AF44833" s="12"/>
    </row>
    <row r="44834" spans="32:32" x14ac:dyDescent="0.2">
      <c r="AF44834" s="12"/>
    </row>
    <row r="44835" spans="32:32" x14ac:dyDescent="0.2">
      <c r="AF44835" s="12"/>
    </row>
    <row r="44836" spans="32:32" x14ac:dyDescent="0.2">
      <c r="AF44836" s="12"/>
    </row>
    <row r="44837" spans="32:32" x14ac:dyDescent="0.2">
      <c r="AF44837" s="12"/>
    </row>
    <row r="44838" spans="32:32" x14ac:dyDescent="0.2">
      <c r="AF44838" s="12"/>
    </row>
    <row r="44839" spans="32:32" x14ac:dyDescent="0.2">
      <c r="AF44839" s="12"/>
    </row>
    <row r="44840" spans="32:32" x14ac:dyDescent="0.2">
      <c r="AF44840" s="12"/>
    </row>
    <row r="44841" spans="32:32" x14ac:dyDescent="0.2">
      <c r="AF44841" s="12"/>
    </row>
    <row r="44842" spans="32:32" x14ac:dyDescent="0.2">
      <c r="AF44842" s="12"/>
    </row>
    <row r="44843" spans="32:32" x14ac:dyDescent="0.2">
      <c r="AF44843" s="12"/>
    </row>
    <row r="44844" spans="32:32" x14ac:dyDescent="0.2">
      <c r="AF44844" s="12"/>
    </row>
    <row r="44845" spans="32:32" x14ac:dyDescent="0.2">
      <c r="AF44845" s="12"/>
    </row>
    <row r="44846" spans="32:32" x14ac:dyDescent="0.2">
      <c r="AF44846" s="12"/>
    </row>
    <row r="44847" spans="32:32" x14ac:dyDescent="0.2">
      <c r="AF44847" s="12"/>
    </row>
    <row r="44848" spans="32:32" x14ac:dyDescent="0.2">
      <c r="AF44848" s="12"/>
    </row>
    <row r="44849" spans="32:32" x14ac:dyDescent="0.2">
      <c r="AF44849" s="12"/>
    </row>
    <row r="44850" spans="32:32" x14ac:dyDescent="0.2">
      <c r="AF44850" s="12"/>
    </row>
    <row r="44851" spans="32:32" x14ac:dyDescent="0.2">
      <c r="AF44851" s="12"/>
    </row>
    <row r="44852" spans="32:32" x14ac:dyDescent="0.2">
      <c r="AF44852" s="12"/>
    </row>
    <row r="44853" spans="32:32" x14ac:dyDescent="0.2">
      <c r="AF44853" s="12"/>
    </row>
    <row r="44854" spans="32:32" x14ac:dyDescent="0.2">
      <c r="AF44854" s="12"/>
    </row>
    <row r="44855" spans="32:32" x14ac:dyDescent="0.2">
      <c r="AF44855" s="12"/>
    </row>
    <row r="44856" spans="32:32" x14ac:dyDescent="0.2">
      <c r="AF44856" s="12"/>
    </row>
    <row r="44857" spans="32:32" x14ac:dyDescent="0.2">
      <c r="AF44857" s="12"/>
    </row>
    <row r="44858" spans="32:32" x14ac:dyDescent="0.2">
      <c r="AF44858" s="12"/>
    </row>
    <row r="44859" spans="32:32" x14ac:dyDescent="0.2">
      <c r="AF44859" s="12"/>
    </row>
    <row r="44860" spans="32:32" x14ac:dyDescent="0.2">
      <c r="AF44860" s="12"/>
    </row>
    <row r="44861" spans="32:32" x14ac:dyDescent="0.2">
      <c r="AF44861" s="12"/>
    </row>
    <row r="44862" spans="32:32" x14ac:dyDescent="0.2">
      <c r="AF44862" s="12"/>
    </row>
    <row r="44863" spans="32:32" x14ac:dyDescent="0.2">
      <c r="AF44863" s="12"/>
    </row>
    <row r="44864" spans="32:32" x14ac:dyDescent="0.2">
      <c r="AF44864" s="12"/>
    </row>
    <row r="44865" spans="32:32" x14ac:dyDescent="0.2">
      <c r="AF44865" s="12"/>
    </row>
    <row r="44866" spans="32:32" x14ac:dyDescent="0.2">
      <c r="AF44866" s="12"/>
    </row>
    <row r="44867" spans="32:32" x14ac:dyDescent="0.2">
      <c r="AF44867" s="12"/>
    </row>
    <row r="44868" spans="32:32" x14ac:dyDescent="0.2">
      <c r="AF44868" s="12"/>
    </row>
    <row r="44869" spans="32:32" x14ac:dyDescent="0.2">
      <c r="AF44869" s="12"/>
    </row>
    <row r="44870" spans="32:32" x14ac:dyDescent="0.2">
      <c r="AF44870" s="12"/>
    </row>
    <row r="44871" spans="32:32" x14ac:dyDescent="0.2">
      <c r="AF44871" s="12"/>
    </row>
    <row r="44872" spans="32:32" x14ac:dyDescent="0.2">
      <c r="AF44872" s="12"/>
    </row>
    <row r="44873" spans="32:32" x14ac:dyDescent="0.2">
      <c r="AF44873" s="12"/>
    </row>
    <row r="44874" spans="32:32" x14ac:dyDescent="0.2">
      <c r="AF44874" s="12"/>
    </row>
    <row r="44875" spans="32:32" x14ac:dyDescent="0.2">
      <c r="AF44875" s="12"/>
    </row>
    <row r="44876" spans="32:32" x14ac:dyDescent="0.2">
      <c r="AF44876" s="12"/>
    </row>
    <row r="44877" spans="32:32" x14ac:dyDescent="0.2">
      <c r="AF44877" s="12"/>
    </row>
    <row r="44878" spans="32:32" x14ac:dyDescent="0.2">
      <c r="AF44878" s="12"/>
    </row>
    <row r="44879" spans="32:32" x14ac:dyDescent="0.2">
      <c r="AF44879" s="12"/>
    </row>
    <row r="44880" spans="32:32" x14ac:dyDescent="0.2">
      <c r="AF44880" s="12"/>
    </row>
    <row r="44881" spans="32:32" x14ac:dyDescent="0.2">
      <c r="AF44881" s="12"/>
    </row>
    <row r="44882" spans="32:32" x14ac:dyDescent="0.2">
      <c r="AF44882" s="12"/>
    </row>
    <row r="44883" spans="32:32" x14ac:dyDescent="0.2">
      <c r="AF44883" s="12"/>
    </row>
    <row r="44884" spans="32:32" x14ac:dyDescent="0.2">
      <c r="AF44884" s="12"/>
    </row>
    <row r="44885" spans="32:32" x14ac:dyDescent="0.2">
      <c r="AF44885" s="12"/>
    </row>
    <row r="44886" spans="32:32" x14ac:dyDescent="0.2">
      <c r="AF44886" s="12"/>
    </row>
    <row r="44887" spans="32:32" x14ac:dyDescent="0.2">
      <c r="AF44887" s="12"/>
    </row>
    <row r="44888" spans="32:32" x14ac:dyDescent="0.2">
      <c r="AF44888" s="12"/>
    </row>
    <row r="44889" spans="32:32" x14ac:dyDescent="0.2">
      <c r="AF44889" s="12"/>
    </row>
    <row r="44890" spans="32:32" x14ac:dyDescent="0.2">
      <c r="AF44890" s="12"/>
    </row>
    <row r="44891" spans="32:32" x14ac:dyDescent="0.2">
      <c r="AF44891" s="12"/>
    </row>
    <row r="44892" spans="32:32" x14ac:dyDescent="0.2">
      <c r="AF44892" s="12"/>
    </row>
    <row r="44893" spans="32:32" x14ac:dyDescent="0.2">
      <c r="AF44893" s="12"/>
    </row>
    <row r="44894" spans="32:32" x14ac:dyDescent="0.2">
      <c r="AF44894" s="12"/>
    </row>
    <row r="44895" spans="32:32" x14ac:dyDescent="0.2">
      <c r="AF44895" s="12"/>
    </row>
    <row r="44896" spans="32:32" x14ac:dyDescent="0.2">
      <c r="AF44896" s="12"/>
    </row>
    <row r="44897" spans="32:32" x14ac:dyDescent="0.2">
      <c r="AF44897" s="12"/>
    </row>
    <row r="44898" spans="32:32" x14ac:dyDescent="0.2">
      <c r="AF44898" s="12"/>
    </row>
    <row r="44899" spans="32:32" x14ac:dyDescent="0.2">
      <c r="AF44899" s="12"/>
    </row>
    <row r="44900" spans="32:32" x14ac:dyDescent="0.2">
      <c r="AF44900" s="12"/>
    </row>
    <row r="44901" spans="32:32" x14ac:dyDescent="0.2">
      <c r="AF44901" s="12"/>
    </row>
    <row r="44902" spans="32:32" x14ac:dyDescent="0.2">
      <c r="AF44902" s="12"/>
    </row>
    <row r="44903" spans="32:32" x14ac:dyDescent="0.2">
      <c r="AF44903" s="12"/>
    </row>
    <row r="44904" spans="32:32" x14ac:dyDescent="0.2">
      <c r="AF44904" s="12"/>
    </row>
    <row r="44905" spans="32:32" x14ac:dyDescent="0.2">
      <c r="AF44905" s="12"/>
    </row>
    <row r="44906" spans="32:32" x14ac:dyDescent="0.2">
      <c r="AF44906" s="12"/>
    </row>
    <row r="44907" spans="32:32" x14ac:dyDescent="0.2">
      <c r="AF44907" s="12"/>
    </row>
    <row r="44908" spans="32:32" x14ac:dyDescent="0.2">
      <c r="AF44908" s="12"/>
    </row>
    <row r="44909" spans="32:32" x14ac:dyDescent="0.2">
      <c r="AF44909" s="12"/>
    </row>
    <row r="44910" spans="32:32" x14ac:dyDescent="0.2">
      <c r="AF44910" s="12"/>
    </row>
    <row r="44911" spans="32:32" x14ac:dyDescent="0.2">
      <c r="AF44911" s="12"/>
    </row>
    <row r="44912" spans="32:32" x14ac:dyDescent="0.2">
      <c r="AF44912" s="12"/>
    </row>
    <row r="44913" spans="32:32" x14ac:dyDescent="0.2">
      <c r="AF44913" s="12"/>
    </row>
    <row r="44914" spans="32:32" x14ac:dyDescent="0.2">
      <c r="AF44914" s="12"/>
    </row>
    <row r="44915" spans="32:32" x14ac:dyDescent="0.2">
      <c r="AF44915" s="12"/>
    </row>
    <row r="44916" spans="32:32" x14ac:dyDescent="0.2">
      <c r="AF44916" s="12"/>
    </row>
    <row r="44917" spans="32:32" x14ac:dyDescent="0.2">
      <c r="AF44917" s="12"/>
    </row>
    <row r="44918" spans="32:32" x14ac:dyDescent="0.2">
      <c r="AF44918" s="12"/>
    </row>
    <row r="44919" spans="32:32" x14ac:dyDescent="0.2">
      <c r="AF44919" s="12"/>
    </row>
    <row r="44920" spans="32:32" x14ac:dyDescent="0.2">
      <c r="AF44920" s="12"/>
    </row>
    <row r="44921" spans="32:32" x14ac:dyDescent="0.2">
      <c r="AF44921" s="12"/>
    </row>
    <row r="44922" spans="32:32" x14ac:dyDescent="0.2">
      <c r="AF44922" s="12"/>
    </row>
    <row r="44923" spans="32:32" x14ac:dyDescent="0.2">
      <c r="AF44923" s="12"/>
    </row>
    <row r="44924" spans="32:32" x14ac:dyDescent="0.2">
      <c r="AF44924" s="12"/>
    </row>
    <row r="44925" spans="32:32" x14ac:dyDescent="0.2">
      <c r="AF44925" s="12"/>
    </row>
    <row r="44926" spans="32:32" x14ac:dyDescent="0.2">
      <c r="AF44926" s="12"/>
    </row>
    <row r="44927" spans="32:32" x14ac:dyDescent="0.2">
      <c r="AF44927" s="12"/>
    </row>
    <row r="44928" spans="32:32" x14ac:dyDescent="0.2">
      <c r="AF44928" s="12"/>
    </row>
    <row r="44929" spans="32:32" x14ac:dyDescent="0.2">
      <c r="AF44929" s="12"/>
    </row>
    <row r="44930" spans="32:32" x14ac:dyDescent="0.2">
      <c r="AF44930" s="12"/>
    </row>
    <row r="44931" spans="32:32" x14ac:dyDescent="0.2">
      <c r="AF44931" s="12"/>
    </row>
    <row r="44932" spans="32:32" x14ac:dyDescent="0.2">
      <c r="AF44932" s="12"/>
    </row>
    <row r="44933" spans="32:32" x14ac:dyDescent="0.2">
      <c r="AF44933" s="12"/>
    </row>
    <row r="44934" spans="32:32" x14ac:dyDescent="0.2">
      <c r="AF44934" s="12"/>
    </row>
    <row r="44935" spans="32:32" x14ac:dyDescent="0.2">
      <c r="AF44935" s="12"/>
    </row>
    <row r="44936" spans="32:32" x14ac:dyDescent="0.2">
      <c r="AF44936" s="12"/>
    </row>
    <row r="44937" spans="32:32" x14ac:dyDescent="0.2">
      <c r="AF44937" s="12"/>
    </row>
    <row r="44938" spans="32:32" x14ac:dyDescent="0.2">
      <c r="AF44938" s="12"/>
    </row>
    <row r="44939" spans="32:32" x14ac:dyDescent="0.2">
      <c r="AF44939" s="12"/>
    </row>
    <row r="44940" spans="32:32" x14ac:dyDescent="0.2">
      <c r="AF44940" s="12"/>
    </row>
    <row r="44941" spans="32:32" x14ac:dyDescent="0.2">
      <c r="AF44941" s="12"/>
    </row>
    <row r="44942" spans="32:32" x14ac:dyDescent="0.2">
      <c r="AF44942" s="12"/>
    </row>
    <row r="44943" spans="32:32" x14ac:dyDescent="0.2">
      <c r="AF44943" s="12"/>
    </row>
    <row r="44944" spans="32:32" x14ac:dyDescent="0.2">
      <c r="AF44944" s="12"/>
    </row>
    <row r="44945" spans="32:32" x14ac:dyDescent="0.2">
      <c r="AF44945" s="12"/>
    </row>
    <row r="44946" spans="32:32" x14ac:dyDescent="0.2">
      <c r="AF44946" s="12"/>
    </row>
    <row r="44947" spans="32:32" x14ac:dyDescent="0.2">
      <c r="AF44947" s="12"/>
    </row>
    <row r="44948" spans="32:32" x14ac:dyDescent="0.2">
      <c r="AF44948" s="12"/>
    </row>
    <row r="44949" spans="32:32" x14ac:dyDescent="0.2">
      <c r="AF44949" s="12"/>
    </row>
    <row r="44950" spans="32:32" x14ac:dyDescent="0.2">
      <c r="AF44950" s="12"/>
    </row>
    <row r="44951" spans="32:32" x14ac:dyDescent="0.2">
      <c r="AF44951" s="12"/>
    </row>
    <row r="44952" spans="32:32" x14ac:dyDescent="0.2">
      <c r="AF44952" s="12"/>
    </row>
    <row r="44953" spans="32:32" x14ac:dyDescent="0.2">
      <c r="AF44953" s="12"/>
    </row>
    <row r="44954" spans="32:32" x14ac:dyDescent="0.2">
      <c r="AF44954" s="12"/>
    </row>
    <row r="44955" spans="32:32" x14ac:dyDescent="0.2">
      <c r="AF44955" s="12"/>
    </row>
    <row r="44956" spans="32:32" x14ac:dyDescent="0.2">
      <c r="AF44956" s="12"/>
    </row>
    <row r="44957" spans="32:32" x14ac:dyDescent="0.2">
      <c r="AF44957" s="12"/>
    </row>
    <row r="44958" spans="32:32" x14ac:dyDescent="0.2">
      <c r="AF44958" s="12"/>
    </row>
    <row r="44959" spans="32:32" x14ac:dyDescent="0.2">
      <c r="AF44959" s="12"/>
    </row>
    <row r="44960" spans="32:32" x14ac:dyDescent="0.2">
      <c r="AF44960" s="12"/>
    </row>
    <row r="44961" spans="32:32" x14ac:dyDescent="0.2">
      <c r="AF44961" s="12"/>
    </row>
    <row r="44962" spans="32:32" x14ac:dyDescent="0.2">
      <c r="AF44962" s="12"/>
    </row>
    <row r="44963" spans="32:32" x14ac:dyDescent="0.2">
      <c r="AF44963" s="12"/>
    </row>
    <row r="44964" spans="32:32" x14ac:dyDescent="0.2">
      <c r="AF44964" s="12"/>
    </row>
    <row r="44965" spans="32:32" x14ac:dyDescent="0.2">
      <c r="AF44965" s="12"/>
    </row>
    <row r="44966" spans="32:32" x14ac:dyDescent="0.2">
      <c r="AF44966" s="12"/>
    </row>
    <row r="44967" spans="32:32" x14ac:dyDescent="0.2">
      <c r="AF44967" s="12"/>
    </row>
    <row r="44968" spans="32:32" x14ac:dyDescent="0.2">
      <c r="AF44968" s="12"/>
    </row>
    <row r="44969" spans="32:32" x14ac:dyDescent="0.2">
      <c r="AF44969" s="12"/>
    </row>
    <row r="44970" spans="32:32" x14ac:dyDescent="0.2">
      <c r="AF44970" s="12"/>
    </row>
    <row r="44971" spans="32:32" x14ac:dyDescent="0.2">
      <c r="AF44971" s="12"/>
    </row>
    <row r="44972" spans="32:32" x14ac:dyDescent="0.2">
      <c r="AF44972" s="12"/>
    </row>
    <row r="44973" spans="32:32" x14ac:dyDescent="0.2">
      <c r="AF44973" s="12"/>
    </row>
    <row r="44974" spans="32:32" x14ac:dyDescent="0.2">
      <c r="AF44974" s="12"/>
    </row>
    <row r="44975" spans="32:32" x14ac:dyDescent="0.2">
      <c r="AF44975" s="12"/>
    </row>
    <row r="44976" spans="32:32" x14ac:dyDescent="0.2">
      <c r="AF44976" s="12"/>
    </row>
    <row r="44977" spans="32:32" x14ac:dyDescent="0.2">
      <c r="AF44977" s="12"/>
    </row>
    <row r="44978" spans="32:32" x14ac:dyDescent="0.2">
      <c r="AF44978" s="12"/>
    </row>
    <row r="44979" spans="32:32" x14ac:dyDescent="0.2">
      <c r="AF44979" s="12"/>
    </row>
    <row r="44980" spans="32:32" x14ac:dyDescent="0.2">
      <c r="AF44980" s="12"/>
    </row>
    <row r="44981" spans="32:32" x14ac:dyDescent="0.2">
      <c r="AF44981" s="12"/>
    </row>
    <row r="44982" spans="32:32" x14ac:dyDescent="0.2">
      <c r="AF44982" s="12"/>
    </row>
    <row r="44983" spans="32:32" x14ac:dyDescent="0.2">
      <c r="AF44983" s="12"/>
    </row>
    <row r="44984" spans="32:32" x14ac:dyDescent="0.2">
      <c r="AF44984" s="12"/>
    </row>
    <row r="44985" spans="32:32" x14ac:dyDescent="0.2">
      <c r="AF44985" s="12"/>
    </row>
    <row r="44986" spans="32:32" x14ac:dyDescent="0.2">
      <c r="AF44986" s="12"/>
    </row>
    <row r="44987" spans="32:32" x14ac:dyDescent="0.2">
      <c r="AF44987" s="12"/>
    </row>
    <row r="44988" spans="32:32" x14ac:dyDescent="0.2">
      <c r="AF44988" s="12"/>
    </row>
    <row r="44989" spans="32:32" x14ac:dyDescent="0.2">
      <c r="AF44989" s="12"/>
    </row>
    <row r="44990" spans="32:32" x14ac:dyDescent="0.2">
      <c r="AF44990" s="12"/>
    </row>
    <row r="44991" spans="32:32" x14ac:dyDescent="0.2">
      <c r="AF44991" s="12"/>
    </row>
    <row r="44992" spans="32:32" x14ac:dyDescent="0.2">
      <c r="AF44992" s="12"/>
    </row>
    <row r="44993" spans="32:32" x14ac:dyDescent="0.2">
      <c r="AF44993" s="12"/>
    </row>
    <row r="44994" spans="32:32" x14ac:dyDescent="0.2">
      <c r="AF44994" s="12"/>
    </row>
    <row r="44995" spans="32:32" x14ac:dyDescent="0.2">
      <c r="AF44995" s="12"/>
    </row>
    <row r="44996" spans="32:32" x14ac:dyDescent="0.2">
      <c r="AF44996" s="12"/>
    </row>
    <row r="44997" spans="32:32" x14ac:dyDescent="0.2">
      <c r="AF44997" s="12"/>
    </row>
    <row r="44998" spans="32:32" x14ac:dyDescent="0.2">
      <c r="AF44998" s="12"/>
    </row>
    <row r="44999" spans="32:32" x14ac:dyDescent="0.2">
      <c r="AF44999" s="12"/>
    </row>
    <row r="45000" spans="32:32" x14ac:dyDescent="0.2">
      <c r="AF45000" s="12"/>
    </row>
    <row r="45001" spans="32:32" x14ac:dyDescent="0.2">
      <c r="AF45001" s="12"/>
    </row>
    <row r="45002" spans="32:32" x14ac:dyDescent="0.2">
      <c r="AF45002" s="12"/>
    </row>
    <row r="45003" spans="32:32" x14ac:dyDescent="0.2">
      <c r="AF45003" s="12"/>
    </row>
    <row r="45004" spans="32:32" x14ac:dyDescent="0.2">
      <c r="AF45004" s="12"/>
    </row>
    <row r="45005" spans="32:32" x14ac:dyDescent="0.2">
      <c r="AF45005" s="12"/>
    </row>
    <row r="45006" spans="32:32" x14ac:dyDescent="0.2">
      <c r="AF45006" s="12"/>
    </row>
    <row r="45007" spans="32:32" x14ac:dyDescent="0.2">
      <c r="AF45007" s="12"/>
    </row>
    <row r="45008" spans="32:32" x14ac:dyDescent="0.2">
      <c r="AF45008" s="12"/>
    </row>
    <row r="45009" spans="32:32" x14ac:dyDescent="0.2">
      <c r="AF45009" s="12"/>
    </row>
    <row r="45010" spans="32:32" x14ac:dyDescent="0.2">
      <c r="AF45010" s="12"/>
    </row>
    <row r="45011" spans="32:32" x14ac:dyDescent="0.2">
      <c r="AF45011" s="12"/>
    </row>
    <row r="45012" spans="32:32" x14ac:dyDescent="0.2">
      <c r="AF45012" s="12"/>
    </row>
    <row r="45013" spans="32:32" x14ac:dyDescent="0.2">
      <c r="AF45013" s="12"/>
    </row>
    <row r="45014" spans="32:32" x14ac:dyDescent="0.2">
      <c r="AF45014" s="12"/>
    </row>
    <row r="45015" spans="32:32" x14ac:dyDescent="0.2">
      <c r="AF45015" s="12"/>
    </row>
    <row r="45016" spans="32:32" x14ac:dyDescent="0.2">
      <c r="AF45016" s="12"/>
    </row>
    <row r="45017" spans="32:32" x14ac:dyDescent="0.2">
      <c r="AF45017" s="12"/>
    </row>
    <row r="45018" spans="32:32" x14ac:dyDescent="0.2">
      <c r="AF45018" s="12"/>
    </row>
    <row r="45019" spans="32:32" x14ac:dyDescent="0.2">
      <c r="AF45019" s="12"/>
    </row>
    <row r="45020" spans="32:32" x14ac:dyDescent="0.2">
      <c r="AF45020" s="12"/>
    </row>
    <row r="45021" spans="32:32" x14ac:dyDescent="0.2">
      <c r="AF45021" s="12"/>
    </row>
    <row r="45022" spans="32:32" x14ac:dyDescent="0.2">
      <c r="AF45022" s="12"/>
    </row>
    <row r="45023" spans="32:32" x14ac:dyDescent="0.2">
      <c r="AF45023" s="12"/>
    </row>
    <row r="45024" spans="32:32" x14ac:dyDescent="0.2">
      <c r="AF45024" s="12"/>
    </row>
    <row r="45025" spans="32:32" x14ac:dyDescent="0.2">
      <c r="AF45025" s="12"/>
    </row>
    <row r="45026" spans="32:32" x14ac:dyDescent="0.2">
      <c r="AF45026" s="12"/>
    </row>
    <row r="45027" spans="32:32" x14ac:dyDescent="0.2">
      <c r="AF45027" s="12"/>
    </row>
    <row r="45028" spans="32:32" x14ac:dyDescent="0.2">
      <c r="AF45028" s="12"/>
    </row>
    <row r="45029" spans="32:32" x14ac:dyDescent="0.2">
      <c r="AF45029" s="12"/>
    </row>
    <row r="45030" spans="32:32" x14ac:dyDescent="0.2">
      <c r="AF45030" s="12"/>
    </row>
    <row r="45031" spans="32:32" x14ac:dyDescent="0.2">
      <c r="AF45031" s="12"/>
    </row>
    <row r="45032" spans="32:32" x14ac:dyDescent="0.2">
      <c r="AF45032" s="12"/>
    </row>
    <row r="45033" spans="32:32" x14ac:dyDescent="0.2">
      <c r="AF45033" s="12"/>
    </row>
    <row r="45034" spans="32:32" x14ac:dyDescent="0.2">
      <c r="AF45034" s="12"/>
    </row>
    <row r="45035" spans="32:32" x14ac:dyDescent="0.2">
      <c r="AF45035" s="12"/>
    </row>
    <row r="45036" spans="32:32" x14ac:dyDescent="0.2">
      <c r="AF45036" s="12"/>
    </row>
    <row r="45037" spans="32:32" x14ac:dyDescent="0.2">
      <c r="AF45037" s="12"/>
    </row>
    <row r="45038" spans="32:32" x14ac:dyDescent="0.2">
      <c r="AF45038" s="12"/>
    </row>
    <row r="45039" spans="32:32" x14ac:dyDescent="0.2">
      <c r="AF45039" s="12"/>
    </row>
    <row r="45040" spans="32:32" x14ac:dyDescent="0.2">
      <c r="AF45040" s="12"/>
    </row>
    <row r="45041" spans="32:32" x14ac:dyDescent="0.2">
      <c r="AF45041" s="12"/>
    </row>
    <row r="45042" spans="32:32" x14ac:dyDescent="0.2">
      <c r="AF45042" s="12"/>
    </row>
    <row r="45043" spans="32:32" x14ac:dyDescent="0.2">
      <c r="AF45043" s="12"/>
    </row>
    <row r="45044" spans="32:32" x14ac:dyDescent="0.2">
      <c r="AF45044" s="12"/>
    </row>
    <row r="45045" spans="32:32" x14ac:dyDescent="0.2">
      <c r="AF45045" s="12"/>
    </row>
    <row r="45046" spans="32:32" x14ac:dyDescent="0.2">
      <c r="AF45046" s="12"/>
    </row>
    <row r="45047" spans="32:32" x14ac:dyDescent="0.2">
      <c r="AF45047" s="12"/>
    </row>
    <row r="45048" spans="32:32" x14ac:dyDescent="0.2">
      <c r="AF45048" s="12"/>
    </row>
    <row r="45049" spans="32:32" x14ac:dyDescent="0.2">
      <c r="AF45049" s="12"/>
    </row>
    <row r="45050" spans="32:32" x14ac:dyDescent="0.2">
      <c r="AF45050" s="12"/>
    </row>
    <row r="45051" spans="32:32" x14ac:dyDescent="0.2">
      <c r="AF45051" s="12"/>
    </row>
    <row r="45052" spans="32:32" x14ac:dyDescent="0.2">
      <c r="AF45052" s="12"/>
    </row>
    <row r="45053" spans="32:32" x14ac:dyDescent="0.2">
      <c r="AF45053" s="12"/>
    </row>
    <row r="45054" spans="32:32" x14ac:dyDescent="0.2">
      <c r="AF45054" s="12"/>
    </row>
    <row r="45055" spans="32:32" x14ac:dyDescent="0.2">
      <c r="AF45055" s="12"/>
    </row>
    <row r="45056" spans="32:32" x14ac:dyDescent="0.2">
      <c r="AF45056" s="12"/>
    </row>
    <row r="45057" spans="32:32" x14ac:dyDescent="0.2">
      <c r="AF45057" s="12"/>
    </row>
    <row r="45058" spans="32:32" x14ac:dyDescent="0.2">
      <c r="AF45058" s="12"/>
    </row>
    <row r="45059" spans="32:32" x14ac:dyDescent="0.2">
      <c r="AF45059" s="12"/>
    </row>
    <row r="45060" spans="32:32" x14ac:dyDescent="0.2">
      <c r="AF45060" s="12"/>
    </row>
    <row r="45061" spans="32:32" x14ac:dyDescent="0.2">
      <c r="AF45061" s="12"/>
    </row>
    <row r="45062" spans="32:32" x14ac:dyDescent="0.2">
      <c r="AF45062" s="12"/>
    </row>
    <row r="45063" spans="32:32" x14ac:dyDescent="0.2">
      <c r="AF45063" s="12"/>
    </row>
    <row r="45064" spans="32:32" x14ac:dyDescent="0.2">
      <c r="AF45064" s="12"/>
    </row>
    <row r="45065" spans="32:32" x14ac:dyDescent="0.2">
      <c r="AF45065" s="12"/>
    </row>
    <row r="45066" spans="32:32" x14ac:dyDescent="0.2">
      <c r="AF45066" s="12"/>
    </row>
    <row r="45067" spans="32:32" x14ac:dyDescent="0.2">
      <c r="AF45067" s="12"/>
    </row>
    <row r="45068" spans="32:32" x14ac:dyDescent="0.2">
      <c r="AF45068" s="12"/>
    </row>
    <row r="45069" spans="32:32" x14ac:dyDescent="0.2">
      <c r="AF45069" s="12"/>
    </row>
    <row r="45070" spans="32:32" x14ac:dyDescent="0.2">
      <c r="AF45070" s="12"/>
    </row>
    <row r="45071" spans="32:32" x14ac:dyDescent="0.2">
      <c r="AF45071" s="12"/>
    </row>
    <row r="45072" spans="32:32" x14ac:dyDescent="0.2">
      <c r="AF45072" s="12"/>
    </row>
    <row r="45073" spans="32:32" x14ac:dyDescent="0.2">
      <c r="AF45073" s="12"/>
    </row>
    <row r="45074" spans="32:32" x14ac:dyDescent="0.2">
      <c r="AF45074" s="12"/>
    </row>
    <row r="45075" spans="32:32" x14ac:dyDescent="0.2">
      <c r="AF45075" s="12"/>
    </row>
    <row r="45076" spans="32:32" x14ac:dyDescent="0.2">
      <c r="AF45076" s="12"/>
    </row>
    <row r="45077" spans="32:32" x14ac:dyDescent="0.2">
      <c r="AF45077" s="12"/>
    </row>
    <row r="45078" spans="32:32" x14ac:dyDescent="0.2">
      <c r="AF45078" s="12"/>
    </row>
    <row r="45079" spans="32:32" x14ac:dyDescent="0.2">
      <c r="AF45079" s="12"/>
    </row>
    <row r="45080" spans="32:32" x14ac:dyDescent="0.2">
      <c r="AF45080" s="12"/>
    </row>
    <row r="45081" spans="32:32" x14ac:dyDescent="0.2">
      <c r="AF45081" s="12"/>
    </row>
    <row r="45082" spans="32:32" x14ac:dyDescent="0.2">
      <c r="AF45082" s="12"/>
    </row>
    <row r="45083" spans="32:32" x14ac:dyDescent="0.2">
      <c r="AF45083" s="12"/>
    </row>
    <row r="45084" spans="32:32" x14ac:dyDescent="0.2">
      <c r="AF45084" s="12"/>
    </row>
    <row r="45085" spans="32:32" x14ac:dyDescent="0.2">
      <c r="AF45085" s="12"/>
    </row>
    <row r="45086" spans="32:32" x14ac:dyDescent="0.2">
      <c r="AF45086" s="12"/>
    </row>
    <row r="45087" spans="32:32" x14ac:dyDescent="0.2">
      <c r="AF45087" s="12"/>
    </row>
    <row r="45088" spans="32:32" x14ac:dyDescent="0.2">
      <c r="AF45088" s="12"/>
    </row>
    <row r="45089" spans="32:32" x14ac:dyDescent="0.2">
      <c r="AF45089" s="12"/>
    </row>
    <row r="45090" spans="32:32" x14ac:dyDescent="0.2">
      <c r="AF45090" s="12"/>
    </row>
    <row r="45091" spans="32:32" x14ac:dyDescent="0.2">
      <c r="AF45091" s="12"/>
    </row>
    <row r="45092" spans="32:32" x14ac:dyDescent="0.2">
      <c r="AF45092" s="12"/>
    </row>
    <row r="45093" spans="32:32" x14ac:dyDescent="0.2">
      <c r="AF45093" s="12"/>
    </row>
    <row r="45094" spans="32:32" x14ac:dyDescent="0.2">
      <c r="AF45094" s="12"/>
    </row>
    <row r="45095" spans="32:32" x14ac:dyDescent="0.2">
      <c r="AF45095" s="12"/>
    </row>
    <row r="45096" spans="32:32" x14ac:dyDescent="0.2">
      <c r="AF45096" s="12"/>
    </row>
    <row r="45097" spans="32:32" x14ac:dyDescent="0.2">
      <c r="AF45097" s="12"/>
    </row>
    <row r="45098" spans="32:32" x14ac:dyDescent="0.2">
      <c r="AF45098" s="12"/>
    </row>
    <row r="45099" spans="32:32" x14ac:dyDescent="0.2">
      <c r="AF45099" s="12"/>
    </row>
    <row r="45100" spans="32:32" x14ac:dyDescent="0.2">
      <c r="AF45100" s="12"/>
    </row>
    <row r="45101" spans="32:32" x14ac:dyDescent="0.2">
      <c r="AF45101" s="12"/>
    </row>
    <row r="45102" spans="32:32" x14ac:dyDescent="0.2">
      <c r="AF45102" s="12"/>
    </row>
    <row r="45103" spans="32:32" x14ac:dyDescent="0.2">
      <c r="AF45103" s="12"/>
    </row>
    <row r="45104" spans="32:32" x14ac:dyDescent="0.2">
      <c r="AF45104" s="12"/>
    </row>
    <row r="45105" spans="32:32" x14ac:dyDescent="0.2">
      <c r="AF45105" s="12"/>
    </row>
    <row r="45106" spans="32:32" x14ac:dyDescent="0.2">
      <c r="AF45106" s="12"/>
    </row>
    <row r="45107" spans="32:32" x14ac:dyDescent="0.2">
      <c r="AF45107" s="12"/>
    </row>
    <row r="45108" spans="32:32" x14ac:dyDescent="0.2">
      <c r="AF45108" s="12"/>
    </row>
    <row r="45109" spans="32:32" x14ac:dyDescent="0.2">
      <c r="AF45109" s="12"/>
    </row>
    <row r="45110" spans="32:32" x14ac:dyDescent="0.2">
      <c r="AF45110" s="12"/>
    </row>
    <row r="45111" spans="32:32" x14ac:dyDescent="0.2">
      <c r="AF45111" s="12"/>
    </row>
    <row r="45112" spans="32:32" x14ac:dyDescent="0.2">
      <c r="AF45112" s="12"/>
    </row>
    <row r="45113" spans="32:32" x14ac:dyDescent="0.2">
      <c r="AF45113" s="12"/>
    </row>
    <row r="45114" spans="32:32" x14ac:dyDescent="0.2">
      <c r="AF45114" s="12"/>
    </row>
    <row r="45115" spans="32:32" x14ac:dyDescent="0.2">
      <c r="AF45115" s="12"/>
    </row>
    <row r="45116" spans="32:32" x14ac:dyDescent="0.2">
      <c r="AF45116" s="12"/>
    </row>
    <row r="45117" spans="32:32" x14ac:dyDescent="0.2">
      <c r="AF45117" s="12"/>
    </row>
    <row r="45118" spans="32:32" x14ac:dyDescent="0.2">
      <c r="AF45118" s="12"/>
    </row>
    <row r="45119" spans="32:32" x14ac:dyDescent="0.2">
      <c r="AF45119" s="12"/>
    </row>
    <row r="45120" spans="32:32" x14ac:dyDescent="0.2">
      <c r="AF45120" s="12"/>
    </row>
    <row r="45121" spans="32:32" x14ac:dyDescent="0.2">
      <c r="AF45121" s="12"/>
    </row>
    <row r="45122" spans="32:32" x14ac:dyDescent="0.2">
      <c r="AF45122" s="12"/>
    </row>
    <row r="45123" spans="32:32" x14ac:dyDescent="0.2">
      <c r="AF45123" s="12"/>
    </row>
    <row r="45124" spans="32:32" x14ac:dyDescent="0.2">
      <c r="AF45124" s="12"/>
    </row>
    <row r="45125" spans="32:32" x14ac:dyDescent="0.2">
      <c r="AF45125" s="12"/>
    </row>
    <row r="45126" spans="32:32" x14ac:dyDescent="0.2">
      <c r="AF45126" s="12"/>
    </row>
    <row r="45127" spans="32:32" x14ac:dyDescent="0.2">
      <c r="AF45127" s="12"/>
    </row>
    <row r="45128" spans="32:32" x14ac:dyDescent="0.2">
      <c r="AF45128" s="12"/>
    </row>
    <row r="45129" spans="32:32" x14ac:dyDescent="0.2">
      <c r="AF45129" s="12"/>
    </row>
    <row r="45130" spans="32:32" x14ac:dyDescent="0.2">
      <c r="AF45130" s="12"/>
    </row>
    <row r="45131" spans="32:32" x14ac:dyDescent="0.2">
      <c r="AF45131" s="12"/>
    </row>
    <row r="45132" spans="32:32" x14ac:dyDescent="0.2">
      <c r="AF45132" s="12"/>
    </row>
    <row r="45133" spans="32:32" x14ac:dyDescent="0.2">
      <c r="AF45133" s="12"/>
    </row>
    <row r="45134" spans="32:32" x14ac:dyDescent="0.2">
      <c r="AF45134" s="12"/>
    </row>
    <row r="45135" spans="32:32" x14ac:dyDescent="0.2">
      <c r="AF45135" s="12"/>
    </row>
    <row r="45136" spans="32:32" x14ac:dyDescent="0.2">
      <c r="AF45136" s="12"/>
    </row>
    <row r="45137" spans="32:32" x14ac:dyDescent="0.2">
      <c r="AF45137" s="12"/>
    </row>
    <row r="45138" spans="32:32" x14ac:dyDescent="0.2">
      <c r="AF45138" s="12"/>
    </row>
    <row r="45139" spans="32:32" x14ac:dyDescent="0.2">
      <c r="AF45139" s="12"/>
    </row>
    <row r="45140" spans="32:32" x14ac:dyDescent="0.2">
      <c r="AF45140" s="12"/>
    </row>
    <row r="45141" spans="32:32" x14ac:dyDescent="0.2">
      <c r="AF45141" s="12"/>
    </row>
    <row r="45142" spans="32:32" x14ac:dyDescent="0.2">
      <c r="AF45142" s="12"/>
    </row>
    <row r="45143" spans="32:32" x14ac:dyDescent="0.2">
      <c r="AF45143" s="12"/>
    </row>
    <row r="45144" spans="32:32" x14ac:dyDescent="0.2">
      <c r="AF45144" s="12"/>
    </row>
    <row r="45145" spans="32:32" x14ac:dyDescent="0.2">
      <c r="AF45145" s="12"/>
    </row>
    <row r="45146" spans="32:32" x14ac:dyDescent="0.2">
      <c r="AF45146" s="12"/>
    </row>
    <row r="45147" spans="32:32" x14ac:dyDescent="0.2">
      <c r="AF45147" s="12"/>
    </row>
    <row r="45148" spans="32:32" x14ac:dyDescent="0.2">
      <c r="AF45148" s="12"/>
    </row>
    <row r="45149" spans="32:32" x14ac:dyDescent="0.2">
      <c r="AF45149" s="12"/>
    </row>
    <row r="45150" spans="32:32" x14ac:dyDescent="0.2">
      <c r="AF45150" s="12"/>
    </row>
    <row r="45151" spans="32:32" x14ac:dyDescent="0.2">
      <c r="AF45151" s="12"/>
    </row>
    <row r="45152" spans="32:32" x14ac:dyDescent="0.2">
      <c r="AF45152" s="12"/>
    </row>
    <row r="45153" spans="32:32" x14ac:dyDescent="0.2">
      <c r="AF45153" s="12"/>
    </row>
    <row r="45154" spans="32:32" x14ac:dyDescent="0.2">
      <c r="AF45154" s="12"/>
    </row>
    <row r="45155" spans="32:32" x14ac:dyDescent="0.2">
      <c r="AF45155" s="12"/>
    </row>
    <row r="45156" spans="32:32" x14ac:dyDescent="0.2">
      <c r="AF45156" s="12"/>
    </row>
    <row r="45157" spans="32:32" x14ac:dyDescent="0.2">
      <c r="AF45157" s="12"/>
    </row>
    <row r="45158" spans="32:32" x14ac:dyDescent="0.2">
      <c r="AF45158" s="12"/>
    </row>
    <row r="45159" spans="32:32" x14ac:dyDescent="0.2">
      <c r="AF45159" s="12"/>
    </row>
    <row r="45160" spans="32:32" x14ac:dyDescent="0.2">
      <c r="AF45160" s="12"/>
    </row>
    <row r="45161" spans="32:32" x14ac:dyDescent="0.2">
      <c r="AF45161" s="12"/>
    </row>
    <row r="45162" spans="32:32" x14ac:dyDescent="0.2">
      <c r="AF45162" s="12"/>
    </row>
    <row r="45163" spans="32:32" x14ac:dyDescent="0.2">
      <c r="AF45163" s="12"/>
    </row>
    <row r="45164" spans="32:32" x14ac:dyDescent="0.2">
      <c r="AF45164" s="12"/>
    </row>
    <row r="45165" spans="32:32" x14ac:dyDescent="0.2">
      <c r="AF45165" s="12"/>
    </row>
    <row r="45166" spans="32:32" x14ac:dyDescent="0.2">
      <c r="AF45166" s="12"/>
    </row>
    <row r="45167" spans="32:32" x14ac:dyDescent="0.2">
      <c r="AF45167" s="12"/>
    </row>
    <row r="45168" spans="32:32" x14ac:dyDescent="0.2">
      <c r="AF45168" s="12"/>
    </row>
    <row r="45169" spans="32:32" x14ac:dyDescent="0.2">
      <c r="AF45169" s="12"/>
    </row>
    <row r="45170" spans="32:32" x14ac:dyDescent="0.2">
      <c r="AF45170" s="12"/>
    </row>
    <row r="45171" spans="32:32" x14ac:dyDescent="0.2">
      <c r="AF45171" s="12"/>
    </row>
    <row r="45172" spans="32:32" x14ac:dyDescent="0.2">
      <c r="AF45172" s="12"/>
    </row>
    <row r="45173" spans="32:32" x14ac:dyDescent="0.2">
      <c r="AF45173" s="12"/>
    </row>
    <row r="45174" spans="32:32" x14ac:dyDescent="0.2">
      <c r="AF45174" s="12"/>
    </row>
    <row r="45175" spans="32:32" x14ac:dyDescent="0.2">
      <c r="AF45175" s="12"/>
    </row>
    <row r="45176" spans="32:32" x14ac:dyDescent="0.2">
      <c r="AF45176" s="12"/>
    </row>
    <row r="45177" spans="32:32" x14ac:dyDescent="0.2">
      <c r="AF45177" s="12"/>
    </row>
    <row r="45178" spans="32:32" x14ac:dyDescent="0.2">
      <c r="AF45178" s="12"/>
    </row>
    <row r="45179" spans="32:32" x14ac:dyDescent="0.2">
      <c r="AF45179" s="12"/>
    </row>
    <row r="45180" spans="32:32" x14ac:dyDescent="0.2">
      <c r="AF45180" s="12"/>
    </row>
    <row r="45181" spans="32:32" x14ac:dyDescent="0.2">
      <c r="AF45181" s="12"/>
    </row>
    <row r="45182" spans="32:32" x14ac:dyDescent="0.2">
      <c r="AF45182" s="12"/>
    </row>
    <row r="45183" spans="32:32" x14ac:dyDescent="0.2">
      <c r="AF45183" s="12"/>
    </row>
    <row r="45184" spans="32:32" x14ac:dyDescent="0.2">
      <c r="AF45184" s="12"/>
    </row>
    <row r="45185" spans="32:32" x14ac:dyDescent="0.2">
      <c r="AF45185" s="12"/>
    </row>
    <row r="45186" spans="32:32" x14ac:dyDescent="0.2">
      <c r="AF45186" s="12"/>
    </row>
    <row r="45187" spans="32:32" x14ac:dyDescent="0.2">
      <c r="AF45187" s="12"/>
    </row>
    <row r="45188" spans="32:32" x14ac:dyDescent="0.2">
      <c r="AF45188" s="12"/>
    </row>
    <row r="45189" spans="32:32" x14ac:dyDescent="0.2">
      <c r="AF45189" s="12"/>
    </row>
    <row r="45190" spans="32:32" x14ac:dyDescent="0.2">
      <c r="AF45190" s="12"/>
    </row>
    <row r="45191" spans="32:32" x14ac:dyDescent="0.2">
      <c r="AF45191" s="12"/>
    </row>
    <row r="45192" spans="32:32" x14ac:dyDescent="0.2">
      <c r="AF45192" s="12"/>
    </row>
    <row r="45193" spans="32:32" x14ac:dyDescent="0.2">
      <c r="AF45193" s="12"/>
    </row>
    <row r="45194" spans="32:32" x14ac:dyDescent="0.2">
      <c r="AF45194" s="12"/>
    </row>
    <row r="45195" spans="32:32" x14ac:dyDescent="0.2">
      <c r="AF45195" s="12"/>
    </row>
    <row r="45196" spans="32:32" x14ac:dyDescent="0.2">
      <c r="AF45196" s="12"/>
    </row>
    <row r="45197" spans="32:32" x14ac:dyDescent="0.2">
      <c r="AF45197" s="12"/>
    </row>
    <row r="45198" spans="32:32" x14ac:dyDescent="0.2">
      <c r="AF45198" s="12"/>
    </row>
    <row r="45199" spans="32:32" x14ac:dyDescent="0.2">
      <c r="AF45199" s="12"/>
    </row>
    <row r="45200" spans="32:32" x14ac:dyDescent="0.2">
      <c r="AF45200" s="12"/>
    </row>
    <row r="45201" spans="32:32" x14ac:dyDescent="0.2">
      <c r="AF45201" s="12"/>
    </row>
    <row r="45202" spans="32:32" x14ac:dyDescent="0.2">
      <c r="AF45202" s="12"/>
    </row>
    <row r="45203" spans="32:32" x14ac:dyDescent="0.2">
      <c r="AF45203" s="12"/>
    </row>
    <row r="45204" spans="32:32" x14ac:dyDescent="0.2">
      <c r="AF45204" s="12"/>
    </row>
    <row r="45205" spans="32:32" x14ac:dyDescent="0.2">
      <c r="AF45205" s="12"/>
    </row>
    <row r="45206" spans="32:32" x14ac:dyDescent="0.2">
      <c r="AF45206" s="12"/>
    </row>
    <row r="45207" spans="32:32" x14ac:dyDescent="0.2">
      <c r="AF45207" s="12"/>
    </row>
    <row r="45208" spans="32:32" x14ac:dyDescent="0.2">
      <c r="AF45208" s="12"/>
    </row>
    <row r="45209" spans="32:32" x14ac:dyDescent="0.2">
      <c r="AF45209" s="12"/>
    </row>
    <row r="45210" spans="32:32" x14ac:dyDescent="0.2">
      <c r="AF45210" s="12"/>
    </row>
    <row r="45211" spans="32:32" x14ac:dyDescent="0.2">
      <c r="AF45211" s="12"/>
    </row>
    <row r="45212" spans="32:32" x14ac:dyDescent="0.2">
      <c r="AF45212" s="12"/>
    </row>
    <row r="45213" spans="32:32" x14ac:dyDescent="0.2">
      <c r="AF45213" s="12"/>
    </row>
    <row r="45214" spans="32:32" x14ac:dyDescent="0.2">
      <c r="AF45214" s="12"/>
    </row>
    <row r="45215" spans="32:32" x14ac:dyDescent="0.2">
      <c r="AF45215" s="12"/>
    </row>
    <row r="45216" spans="32:32" x14ac:dyDescent="0.2">
      <c r="AF45216" s="12"/>
    </row>
    <row r="45217" spans="32:32" x14ac:dyDescent="0.2">
      <c r="AF45217" s="12"/>
    </row>
    <row r="45218" spans="32:32" x14ac:dyDescent="0.2">
      <c r="AF45218" s="12"/>
    </row>
    <row r="45219" spans="32:32" x14ac:dyDescent="0.2">
      <c r="AF45219" s="12"/>
    </row>
    <row r="45220" spans="32:32" x14ac:dyDescent="0.2">
      <c r="AF45220" s="12"/>
    </row>
    <row r="45221" spans="32:32" x14ac:dyDescent="0.2">
      <c r="AF45221" s="12"/>
    </row>
    <row r="45222" spans="32:32" x14ac:dyDescent="0.2">
      <c r="AF45222" s="12"/>
    </row>
    <row r="45223" spans="32:32" x14ac:dyDescent="0.2">
      <c r="AF45223" s="12"/>
    </row>
    <row r="45224" spans="32:32" x14ac:dyDescent="0.2">
      <c r="AF45224" s="12"/>
    </row>
    <row r="45225" spans="32:32" x14ac:dyDescent="0.2">
      <c r="AF45225" s="12"/>
    </row>
    <row r="45226" spans="32:32" x14ac:dyDescent="0.2">
      <c r="AF45226" s="12"/>
    </row>
    <row r="45227" spans="32:32" x14ac:dyDescent="0.2">
      <c r="AF45227" s="12"/>
    </row>
    <row r="45228" spans="32:32" x14ac:dyDescent="0.2">
      <c r="AF45228" s="12"/>
    </row>
    <row r="45229" spans="32:32" x14ac:dyDescent="0.2">
      <c r="AF45229" s="12"/>
    </row>
    <row r="45230" spans="32:32" x14ac:dyDescent="0.2">
      <c r="AF45230" s="12"/>
    </row>
    <row r="45231" spans="32:32" x14ac:dyDescent="0.2">
      <c r="AF45231" s="12"/>
    </row>
    <row r="45232" spans="32:32" x14ac:dyDescent="0.2">
      <c r="AF45232" s="12"/>
    </row>
    <row r="45233" spans="32:32" x14ac:dyDescent="0.2">
      <c r="AF45233" s="12"/>
    </row>
    <row r="45234" spans="32:32" x14ac:dyDescent="0.2">
      <c r="AF45234" s="12"/>
    </row>
    <row r="45235" spans="32:32" x14ac:dyDescent="0.2">
      <c r="AF45235" s="12"/>
    </row>
    <row r="45236" spans="32:32" x14ac:dyDescent="0.2">
      <c r="AF45236" s="12"/>
    </row>
    <row r="45237" spans="32:32" x14ac:dyDescent="0.2">
      <c r="AF45237" s="12"/>
    </row>
    <row r="45238" spans="32:32" x14ac:dyDescent="0.2">
      <c r="AF45238" s="12"/>
    </row>
    <row r="45239" spans="32:32" x14ac:dyDescent="0.2">
      <c r="AF45239" s="12"/>
    </row>
    <row r="45240" spans="32:32" x14ac:dyDescent="0.2">
      <c r="AF45240" s="12"/>
    </row>
    <row r="45241" spans="32:32" x14ac:dyDescent="0.2">
      <c r="AF45241" s="12"/>
    </row>
    <row r="45242" spans="32:32" x14ac:dyDescent="0.2">
      <c r="AF45242" s="12"/>
    </row>
    <row r="45243" spans="32:32" x14ac:dyDescent="0.2">
      <c r="AF45243" s="12"/>
    </row>
    <row r="45244" spans="32:32" x14ac:dyDescent="0.2">
      <c r="AF45244" s="12"/>
    </row>
    <row r="45245" spans="32:32" x14ac:dyDescent="0.2">
      <c r="AF45245" s="12"/>
    </row>
    <row r="45246" spans="32:32" x14ac:dyDescent="0.2">
      <c r="AF45246" s="12"/>
    </row>
    <row r="45247" spans="32:32" x14ac:dyDescent="0.2">
      <c r="AF45247" s="12"/>
    </row>
    <row r="45248" spans="32:32" x14ac:dyDescent="0.2">
      <c r="AF45248" s="12"/>
    </row>
    <row r="45249" spans="32:32" x14ac:dyDescent="0.2">
      <c r="AF45249" s="12"/>
    </row>
    <row r="45250" spans="32:32" x14ac:dyDescent="0.2">
      <c r="AF45250" s="12"/>
    </row>
    <row r="45251" spans="32:32" x14ac:dyDescent="0.2">
      <c r="AF45251" s="12"/>
    </row>
    <row r="45252" spans="32:32" x14ac:dyDescent="0.2">
      <c r="AF45252" s="12"/>
    </row>
    <row r="45253" spans="32:32" x14ac:dyDescent="0.2">
      <c r="AF45253" s="12"/>
    </row>
    <row r="45254" spans="32:32" x14ac:dyDescent="0.2">
      <c r="AF45254" s="12"/>
    </row>
    <row r="45255" spans="32:32" x14ac:dyDescent="0.2">
      <c r="AF45255" s="12"/>
    </row>
    <row r="45256" spans="32:32" x14ac:dyDescent="0.2">
      <c r="AF45256" s="12"/>
    </row>
    <row r="45257" spans="32:32" x14ac:dyDescent="0.2">
      <c r="AF45257" s="12"/>
    </row>
    <row r="45258" spans="32:32" x14ac:dyDescent="0.2">
      <c r="AF45258" s="12"/>
    </row>
    <row r="45259" spans="32:32" x14ac:dyDescent="0.2">
      <c r="AF45259" s="12"/>
    </row>
    <row r="45260" spans="32:32" x14ac:dyDescent="0.2">
      <c r="AF45260" s="12"/>
    </row>
    <row r="45261" spans="32:32" x14ac:dyDescent="0.2">
      <c r="AF45261" s="12"/>
    </row>
    <row r="45262" spans="32:32" x14ac:dyDescent="0.2">
      <c r="AF45262" s="12"/>
    </row>
    <row r="45263" spans="32:32" x14ac:dyDescent="0.2">
      <c r="AF45263" s="12"/>
    </row>
    <row r="45264" spans="32:32" x14ac:dyDescent="0.2">
      <c r="AF45264" s="12"/>
    </row>
    <row r="45265" spans="32:32" x14ac:dyDescent="0.2">
      <c r="AF45265" s="12"/>
    </row>
    <row r="45266" spans="32:32" x14ac:dyDescent="0.2">
      <c r="AF45266" s="12"/>
    </row>
    <row r="45267" spans="32:32" x14ac:dyDescent="0.2">
      <c r="AF45267" s="12"/>
    </row>
    <row r="45268" spans="32:32" x14ac:dyDescent="0.2">
      <c r="AF45268" s="12"/>
    </row>
    <row r="45269" spans="32:32" x14ac:dyDescent="0.2">
      <c r="AF45269" s="12"/>
    </row>
    <row r="45270" spans="32:32" x14ac:dyDescent="0.2">
      <c r="AF45270" s="12"/>
    </row>
    <row r="45271" spans="32:32" x14ac:dyDescent="0.2">
      <c r="AF45271" s="12"/>
    </row>
    <row r="45272" spans="32:32" x14ac:dyDescent="0.2">
      <c r="AF45272" s="12"/>
    </row>
    <row r="45273" spans="32:32" x14ac:dyDescent="0.2">
      <c r="AF45273" s="12"/>
    </row>
    <row r="45274" spans="32:32" x14ac:dyDescent="0.2">
      <c r="AF45274" s="12"/>
    </row>
    <row r="45275" spans="32:32" x14ac:dyDescent="0.2">
      <c r="AF45275" s="12"/>
    </row>
    <row r="45276" spans="32:32" x14ac:dyDescent="0.2">
      <c r="AF45276" s="12"/>
    </row>
    <row r="45277" spans="32:32" x14ac:dyDescent="0.2">
      <c r="AF45277" s="12"/>
    </row>
    <row r="45278" spans="32:32" x14ac:dyDescent="0.2">
      <c r="AF45278" s="12"/>
    </row>
    <row r="45279" spans="32:32" x14ac:dyDescent="0.2">
      <c r="AF45279" s="12"/>
    </row>
    <row r="45280" spans="32:32" x14ac:dyDescent="0.2">
      <c r="AF45280" s="12"/>
    </row>
    <row r="45281" spans="32:32" x14ac:dyDescent="0.2">
      <c r="AF45281" s="12"/>
    </row>
    <row r="45282" spans="32:32" x14ac:dyDescent="0.2">
      <c r="AF45282" s="12"/>
    </row>
    <row r="45283" spans="32:32" x14ac:dyDescent="0.2">
      <c r="AF45283" s="12"/>
    </row>
    <row r="45284" spans="32:32" x14ac:dyDescent="0.2">
      <c r="AF45284" s="12"/>
    </row>
    <row r="45285" spans="32:32" x14ac:dyDescent="0.2">
      <c r="AF45285" s="12"/>
    </row>
    <row r="45286" spans="32:32" x14ac:dyDescent="0.2">
      <c r="AF45286" s="12"/>
    </row>
    <row r="45287" spans="32:32" x14ac:dyDescent="0.2">
      <c r="AF45287" s="12"/>
    </row>
    <row r="45288" spans="32:32" x14ac:dyDescent="0.2">
      <c r="AF45288" s="12"/>
    </row>
    <row r="45289" spans="32:32" x14ac:dyDescent="0.2">
      <c r="AF45289" s="12"/>
    </row>
    <row r="45290" spans="32:32" x14ac:dyDescent="0.2">
      <c r="AF45290" s="12"/>
    </row>
    <row r="45291" spans="32:32" x14ac:dyDescent="0.2">
      <c r="AF45291" s="12"/>
    </row>
    <row r="45292" spans="32:32" x14ac:dyDescent="0.2">
      <c r="AF45292" s="12"/>
    </row>
    <row r="45293" spans="32:32" x14ac:dyDescent="0.2">
      <c r="AF45293" s="12"/>
    </row>
    <row r="45294" spans="32:32" x14ac:dyDescent="0.2">
      <c r="AF45294" s="12"/>
    </row>
    <row r="45295" spans="32:32" x14ac:dyDescent="0.2">
      <c r="AF45295" s="12"/>
    </row>
    <row r="45296" spans="32:32" x14ac:dyDescent="0.2">
      <c r="AF45296" s="12"/>
    </row>
    <row r="45297" spans="32:32" x14ac:dyDescent="0.2">
      <c r="AF45297" s="12"/>
    </row>
    <row r="45298" spans="32:32" x14ac:dyDescent="0.2">
      <c r="AF45298" s="12"/>
    </row>
    <row r="45299" spans="32:32" x14ac:dyDescent="0.2">
      <c r="AF45299" s="12"/>
    </row>
    <row r="45300" spans="32:32" x14ac:dyDescent="0.2">
      <c r="AF45300" s="12"/>
    </row>
    <row r="45301" spans="32:32" x14ac:dyDescent="0.2">
      <c r="AF45301" s="12"/>
    </row>
    <row r="45302" spans="32:32" x14ac:dyDescent="0.2">
      <c r="AF45302" s="12"/>
    </row>
    <row r="45303" spans="32:32" x14ac:dyDescent="0.2">
      <c r="AF45303" s="12"/>
    </row>
    <row r="45304" spans="32:32" x14ac:dyDescent="0.2">
      <c r="AF45304" s="12"/>
    </row>
    <row r="45305" spans="32:32" x14ac:dyDescent="0.2">
      <c r="AF45305" s="12"/>
    </row>
    <row r="45306" spans="32:32" x14ac:dyDescent="0.2">
      <c r="AF45306" s="12"/>
    </row>
    <row r="45307" spans="32:32" x14ac:dyDescent="0.2">
      <c r="AF45307" s="12"/>
    </row>
    <row r="45308" spans="32:32" x14ac:dyDescent="0.2">
      <c r="AF45308" s="12"/>
    </row>
    <row r="45309" spans="32:32" x14ac:dyDescent="0.2">
      <c r="AF45309" s="12"/>
    </row>
    <row r="45310" spans="32:32" x14ac:dyDescent="0.2">
      <c r="AF45310" s="12"/>
    </row>
    <row r="45311" spans="32:32" x14ac:dyDescent="0.2">
      <c r="AF45311" s="12"/>
    </row>
    <row r="45312" spans="32:32" x14ac:dyDescent="0.2">
      <c r="AF45312" s="12"/>
    </row>
    <row r="45313" spans="32:32" x14ac:dyDescent="0.2">
      <c r="AF45313" s="12"/>
    </row>
    <row r="45314" spans="32:32" x14ac:dyDescent="0.2">
      <c r="AF45314" s="12"/>
    </row>
    <row r="45315" spans="32:32" x14ac:dyDescent="0.2">
      <c r="AF45315" s="12"/>
    </row>
    <row r="45316" spans="32:32" x14ac:dyDescent="0.2">
      <c r="AF45316" s="12"/>
    </row>
    <row r="45317" spans="32:32" x14ac:dyDescent="0.2">
      <c r="AF45317" s="12"/>
    </row>
    <row r="45318" spans="32:32" x14ac:dyDescent="0.2">
      <c r="AF45318" s="12"/>
    </row>
    <row r="45319" spans="32:32" x14ac:dyDescent="0.2">
      <c r="AF45319" s="12"/>
    </row>
    <row r="45320" spans="32:32" x14ac:dyDescent="0.2">
      <c r="AF45320" s="12"/>
    </row>
    <row r="45321" spans="32:32" x14ac:dyDescent="0.2">
      <c r="AF45321" s="12"/>
    </row>
    <row r="45322" spans="32:32" x14ac:dyDescent="0.2">
      <c r="AF45322" s="12"/>
    </row>
    <row r="45323" spans="32:32" x14ac:dyDescent="0.2">
      <c r="AF45323" s="12"/>
    </row>
    <row r="45324" spans="32:32" x14ac:dyDescent="0.2">
      <c r="AF45324" s="12"/>
    </row>
    <row r="45325" spans="32:32" x14ac:dyDescent="0.2">
      <c r="AF45325" s="12"/>
    </row>
    <row r="45326" spans="32:32" x14ac:dyDescent="0.2">
      <c r="AF45326" s="12"/>
    </row>
    <row r="45327" spans="32:32" x14ac:dyDescent="0.2">
      <c r="AF45327" s="12"/>
    </row>
    <row r="45328" spans="32:32" x14ac:dyDescent="0.2">
      <c r="AF45328" s="12"/>
    </row>
    <row r="45329" spans="32:32" x14ac:dyDescent="0.2">
      <c r="AF45329" s="12"/>
    </row>
    <row r="45330" spans="32:32" x14ac:dyDescent="0.2">
      <c r="AF45330" s="12"/>
    </row>
    <row r="45331" spans="32:32" x14ac:dyDescent="0.2">
      <c r="AF45331" s="12"/>
    </row>
    <row r="45332" spans="32:32" x14ac:dyDescent="0.2">
      <c r="AF45332" s="12"/>
    </row>
    <row r="45333" spans="32:32" x14ac:dyDescent="0.2">
      <c r="AF45333" s="12"/>
    </row>
    <row r="45334" spans="32:32" x14ac:dyDescent="0.2">
      <c r="AF45334" s="12"/>
    </row>
    <row r="45335" spans="32:32" x14ac:dyDescent="0.2">
      <c r="AF45335" s="12"/>
    </row>
    <row r="45336" spans="32:32" x14ac:dyDescent="0.2">
      <c r="AF45336" s="12"/>
    </row>
    <row r="45337" spans="32:32" x14ac:dyDescent="0.2">
      <c r="AF45337" s="12"/>
    </row>
    <row r="45338" spans="32:32" x14ac:dyDescent="0.2">
      <c r="AF45338" s="12"/>
    </row>
    <row r="45339" spans="32:32" x14ac:dyDescent="0.2">
      <c r="AF45339" s="12"/>
    </row>
    <row r="45340" spans="32:32" x14ac:dyDescent="0.2">
      <c r="AF45340" s="12"/>
    </row>
    <row r="45341" spans="32:32" x14ac:dyDescent="0.2">
      <c r="AF45341" s="12"/>
    </row>
    <row r="45342" spans="32:32" x14ac:dyDescent="0.2">
      <c r="AF45342" s="12"/>
    </row>
    <row r="45343" spans="32:32" x14ac:dyDescent="0.2">
      <c r="AF45343" s="12"/>
    </row>
    <row r="45344" spans="32:32" x14ac:dyDescent="0.2">
      <c r="AF45344" s="12"/>
    </row>
    <row r="45345" spans="32:32" x14ac:dyDescent="0.2">
      <c r="AF45345" s="12"/>
    </row>
    <row r="45346" spans="32:32" x14ac:dyDescent="0.2">
      <c r="AF45346" s="12"/>
    </row>
    <row r="45347" spans="32:32" x14ac:dyDescent="0.2">
      <c r="AF45347" s="12"/>
    </row>
    <row r="45348" spans="32:32" x14ac:dyDescent="0.2">
      <c r="AF45348" s="12"/>
    </row>
    <row r="45349" spans="32:32" x14ac:dyDescent="0.2">
      <c r="AF45349" s="12"/>
    </row>
    <row r="45350" spans="32:32" x14ac:dyDescent="0.2">
      <c r="AF45350" s="12"/>
    </row>
    <row r="45351" spans="32:32" x14ac:dyDescent="0.2">
      <c r="AF45351" s="12"/>
    </row>
    <row r="45352" spans="32:32" x14ac:dyDescent="0.2">
      <c r="AF45352" s="12"/>
    </row>
    <row r="45353" spans="32:32" x14ac:dyDescent="0.2">
      <c r="AF45353" s="12"/>
    </row>
    <row r="45354" spans="32:32" x14ac:dyDescent="0.2">
      <c r="AF45354" s="12"/>
    </row>
    <row r="45355" spans="32:32" x14ac:dyDescent="0.2">
      <c r="AF45355" s="12"/>
    </row>
    <row r="45356" spans="32:32" x14ac:dyDescent="0.2">
      <c r="AF45356" s="12"/>
    </row>
    <row r="45357" spans="32:32" x14ac:dyDescent="0.2">
      <c r="AF45357" s="12"/>
    </row>
    <row r="45358" spans="32:32" x14ac:dyDescent="0.2">
      <c r="AF45358" s="12"/>
    </row>
    <row r="45359" spans="32:32" x14ac:dyDescent="0.2">
      <c r="AF45359" s="12"/>
    </row>
    <row r="45360" spans="32:32" x14ac:dyDescent="0.2">
      <c r="AF45360" s="12"/>
    </row>
    <row r="45361" spans="32:32" x14ac:dyDescent="0.2">
      <c r="AF45361" s="12"/>
    </row>
    <row r="45362" spans="32:32" x14ac:dyDescent="0.2">
      <c r="AF45362" s="12"/>
    </row>
    <row r="45363" spans="32:32" x14ac:dyDescent="0.2">
      <c r="AF45363" s="12"/>
    </row>
    <row r="45364" spans="32:32" x14ac:dyDescent="0.2">
      <c r="AF45364" s="12"/>
    </row>
    <row r="45365" spans="32:32" x14ac:dyDescent="0.2">
      <c r="AF45365" s="12"/>
    </row>
    <row r="45366" spans="32:32" x14ac:dyDescent="0.2">
      <c r="AF45366" s="12"/>
    </row>
    <row r="45367" spans="32:32" x14ac:dyDescent="0.2">
      <c r="AF45367" s="12"/>
    </row>
    <row r="45368" spans="32:32" x14ac:dyDescent="0.2">
      <c r="AF45368" s="12"/>
    </row>
    <row r="45369" spans="32:32" x14ac:dyDescent="0.2">
      <c r="AF45369" s="12"/>
    </row>
    <row r="45370" spans="32:32" x14ac:dyDescent="0.2">
      <c r="AF45370" s="12"/>
    </row>
    <row r="45371" spans="32:32" x14ac:dyDescent="0.2">
      <c r="AF45371" s="12"/>
    </row>
    <row r="45372" spans="32:32" x14ac:dyDescent="0.2">
      <c r="AF45372" s="12"/>
    </row>
    <row r="45373" spans="32:32" x14ac:dyDescent="0.2">
      <c r="AF45373" s="12"/>
    </row>
    <row r="45374" spans="32:32" x14ac:dyDescent="0.2">
      <c r="AF45374" s="12"/>
    </row>
    <row r="45375" spans="32:32" x14ac:dyDescent="0.2">
      <c r="AF45375" s="12"/>
    </row>
    <row r="45376" spans="32:32" x14ac:dyDescent="0.2">
      <c r="AF45376" s="12"/>
    </row>
    <row r="45377" spans="32:32" x14ac:dyDescent="0.2">
      <c r="AF45377" s="12"/>
    </row>
    <row r="45378" spans="32:32" x14ac:dyDescent="0.2">
      <c r="AF45378" s="12"/>
    </row>
    <row r="45379" spans="32:32" x14ac:dyDescent="0.2">
      <c r="AF45379" s="12"/>
    </row>
    <row r="45380" spans="32:32" x14ac:dyDescent="0.2">
      <c r="AF45380" s="12"/>
    </row>
    <row r="45381" spans="32:32" x14ac:dyDescent="0.2">
      <c r="AF45381" s="12"/>
    </row>
    <row r="45382" spans="32:32" x14ac:dyDescent="0.2">
      <c r="AF45382" s="12"/>
    </row>
    <row r="45383" spans="32:32" x14ac:dyDescent="0.2">
      <c r="AF45383" s="12"/>
    </row>
    <row r="45384" spans="32:32" x14ac:dyDescent="0.2">
      <c r="AF45384" s="12"/>
    </row>
    <row r="45385" spans="32:32" x14ac:dyDescent="0.2">
      <c r="AF45385" s="12"/>
    </row>
    <row r="45386" spans="32:32" x14ac:dyDescent="0.2">
      <c r="AF45386" s="12"/>
    </row>
    <row r="45387" spans="32:32" x14ac:dyDescent="0.2">
      <c r="AF45387" s="12"/>
    </row>
    <row r="45388" spans="32:32" x14ac:dyDescent="0.2">
      <c r="AF45388" s="12"/>
    </row>
    <row r="45389" spans="32:32" x14ac:dyDescent="0.2">
      <c r="AF45389" s="12"/>
    </row>
    <row r="45390" spans="32:32" x14ac:dyDescent="0.2">
      <c r="AF45390" s="12"/>
    </row>
    <row r="45391" spans="32:32" x14ac:dyDescent="0.2">
      <c r="AF45391" s="12"/>
    </row>
    <row r="45392" spans="32:32" x14ac:dyDescent="0.2">
      <c r="AF45392" s="12"/>
    </row>
    <row r="45393" spans="32:32" x14ac:dyDescent="0.2">
      <c r="AF45393" s="12"/>
    </row>
    <row r="45394" spans="32:32" x14ac:dyDescent="0.2">
      <c r="AF45394" s="12"/>
    </row>
    <row r="45395" spans="32:32" x14ac:dyDescent="0.2">
      <c r="AF45395" s="12"/>
    </row>
    <row r="45396" spans="32:32" x14ac:dyDescent="0.2">
      <c r="AF45396" s="12"/>
    </row>
    <row r="45397" spans="32:32" x14ac:dyDescent="0.2">
      <c r="AF45397" s="12"/>
    </row>
    <row r="45398" spans="32:32" x14ac:dyDescent="0.2">
      <c r="AF45398" s="12"/>
    </row>
    <row r="45399" spans="32:32" x14ac:dyDescent="0.2">
      <c r="AF45399" s="12"/>
    </row>
    <row r="45400" spans="32:32" x14ac:dyDescent="0.2">
      <c r="AF45400" s="12"/>
    </row>
    <row r="45401" spans="32:32" x14ac:dyDescent="0.2">
      <c r="AF45401" s="12"/>
    </row>
    <row r="45402" spans="32:32" x14ac:dyDescent="0.2">
      <c r="AF45402" s="12"/>
    </row>
    <row r="45403" spans="32:32" x14ac:dyDescent="0.2">
      <c r="AF45403" s="12"/>
    </row>
    <row r="45404" spans="32:32" x14ac:dyDescent="0.2">
      <c r="AF45404" s="12"/>
    </row>
    <row r="45405" spans="32:32" x14ac:dyDescent="0.2">
      <c r="AF45405" s="12"/>
    </row>
    <row r="45406" spans="32:32" x14ac:dyDescent="0.2">
      <c r="AF45406" s="12"/>
    </row>
    <row r="45407" spans="32:32" x14ac:dyDescent="0.2">
      <c r="AF45407" s="12"/>
    </row>
    <row r="45408" spans="32:32" x14ac:dyDescent="0.2">
      <c r="AF45408" s="12"/>
    </row>
    <row r="45409" spans="32:32" x14ac:dyDescent="0.2">
      <c r="AF45409" s="12"/>
    </row>
    <row r="45410" spans="32:32" x14ac:dyDescent="0.2">
      <c r="AF45410" s="12"/>
    </row>
    <row r="45411" spans="32:32" x14ac:dyDescent="0.2">
      <c r="AF45411" s="12"/>
    </row>
    <row r="45412" spans="32:32" x14ac:dyDescent="0.2">
      <c r="AF45412" s="12"/>
    </row>
    <row r="45413" spans="32:32" x14ac:dyDescent="0.2">
      <c r="AF45413" s="12"/>
    </row>
    <row r="45414" spans="32:32" x14ac:dyDescent="0.2">
      <c r="AF45414" s="12"/>
    </row>
    <row r="45415" spans="32:32" x14ac:dyDescent="0.2">
      <c r="AF45415" s="12"/>
    </row>
    <row r="45416" spans="32:32" x14ac:dyDescent="0.2">
      <c r="AF45416" s="12"/>
    </row>
    <row r="45417" spans="32:32" x14ac:dyDescent="0.2">
      <c r="AF45417" s="12"/>
    </row>
    <row r="45418" spans="32:32" x14ac:dyDescent="0.2">
      <c r="AF45418" s="12"/>
    </row>
    <row r="45419" spans="32:32" x14ac:dyDescent="0.2">
      <c r="AF45419" s="12"/>
    </row>
    <row r="45420" spans="32:32" x14ac:dyDescent="0.2">
      <c r="AF45420" s="12"/>
    </row>
    <row r="45421" spans="32:32" x14ac:dyDescent="0.2">
      <c r="AF45421" s="12"/>
    </row>
    <row r="45422" spans="32:32" x14ac:dyDescent="0.2">
      <c r="AF45422" s="12"/>
    </row>
    <row r="45423" spans="32:32" x14ac:dyDescent="0.2">
      <c r="AF45423" s="12"/>
    </row>
    <row r="45424" spans="32:32" x14ac:dyDescent="0.2">
      <c r="AF45424" s="12"/>
    </row>
    <row r="45425" spans="32:32" x14ac:dyDescent="0.2">
      <c r="AF45425" s="12"/>
    </row>
    <row r="45426" spans="32:32" x14ac:dyDescent="0.2">
      <c r="AF45426" s="12"/>
    </row>
    <row r="45427" spans="32:32" x14ac:dyDescent="0.2">
      <c r="AF45427" s="12"/>
    </row>
    <row r="45428" spans="32:32" x14ac:dyDescent="0.2">
      <c r="AF45428" s="12"/>
    </row>
    <row r="45429" spans="32:32" x14ac:dyDescent="0.2">
      <c r="AF45429" s="12"/>
    </row>
    <row r="45430" spans="32:32" x14ac:dyDescent="0.2">
      <c r="AF45430" s="12"/>
    </row>
    <row r="45431" spans="32:32" x14ac:dyDescent="0.2">
      <c r="AF45431" s="12"/>
    </row>
    <row r="45432" spans="32:32" x14ac:dyDescent="0.2">
      <c r="AF45432" s="12"/>
    </row>
    <row r="45433" spans="32:32" x14ac:dyDescent="0.2">
      <c r="AF45433" s="12"/>
    </row>
    <row r="45434" spans="32:32" x14ac:dyDescent="0.2">
      <c r="AF45434" s="12"/>
    </row>
    <row r="45435" spans="32:32" x14ac:dyDescent="0.2">
      <c r="AF45435" s="12"/>
    </row>
    <row r="45436" spans="32:32" x14ac:dyDescent="0.2">
      <c r="AF45436" s="12"/>
    </row>
    <row r="45437" spans="32:32" x14ac:dyDescent="0.2">
      <c r="AF45437" s="12"/>
    </row>
    <row r="45438" spans="32:32" x14ac:dyDescent="0.2">
      <c r="AF45438" s="12"/>
    </row>
    <row r="45439" spans="32:32" x14ac:dyDescent="0.2">
      <c r="AF45439" s="12"/>
    </row>
    <row r="45440" spans="32:32" x14ac:dyDescent="0.2">
      <c r="AF45440" s="12"/>
    </row>
    <row r="45441" spans="32:32" x14ac:dyDescent="0.2">
      <c r="AF45441" s="12"/>
    </row>
    <row r="45442" spans="32:32" x14ac:dyDescent="0.2">
      <c r="AF45442" s="12"/>
    </row>
    <row r="45443" spans="32:32" x14ac:dyDescent="0.2">
      <c r="AF45443" s="12"/>
    </row>
    <row r="45444" spans="32:32" x14ac:dyDescent="0.2">
      <c r="AF45444" s="12"/>
    </row>
    <row r="45445" spans="32:32" x14ac:dyDescent="0.2">
      <c r="AF45445" s="12"/>
    </row>
    <row r="45446" spans="32:32" x14ac:dyDescent="0.2">
      <c r="AF45446" s="12"/>
    </row>
    <row r="45447" spans="32:32" x14ac:dyDescent="0.2">
      <c r="AF45447" s="12"/>
    </row>
    <row r="45448" spans="32:32" x14ac:dyDescent="0.2">
      <c r="AF45448" s="12"/>
    </row>
    <row r="45449" spans="32:32" x14ac:dyDescent="0.2">
      <c r="AF45449" s="12"/>
    </row>
    <row r="45450" spans="32:32" x14ac:dyDescent="0.2">
      <c r="AF45450" s="12"/>
    </row>
    <row r="45451" spans="32:32" x14ac:dyDescent="0.2">
      <c r="AF45451" s="12"/>
    </row>
    <row r="45452" spans="32:32" x14ac:dyDescent="0.2">
      <c r="AF45452" s="12"/>
    </row>
    <row r="45453" spans="32:32" x14ac:dyDescent="0.2">
      <c r="AF45453" s="12"/>
    </row>
    <row r="45454" spans="32:32" x14ac:dyDescent="0.2">
      <c r="AF45454" s="12"/>
    </row>
    <row r="45455" spans="32:32" x14ac:dyDescent="0.2">
      <c r="AF45455" s="12"/>
    </row>
    <row r="45456" spans="32:32" x14ac:dyDescent="0.2">
      <c r="AF45456" s="12"/>
    </row>
    <row r="45457" spans="32:32" x14ac:dyDescent="0.2">
      <c r="AF45457" s="12"/>
    </row>
    <row r="45458" spans="32:32" x14ac:dyDescent="0.2">
      <c r="AF45458" s="12"/>
    </row>
    <row r="45459" spans="32:32" x14ac:dyDescent="0.2">
      <c r="AF45459" s="12"/>
    </row>
    <row r="45460" spans="32:32" x14ac:dyDescent="0.2">
      <c r="AF45460" s="12"/>
    </row>
    <row r="45461" spans="32:32" x14ac:dyDescent="0.2">
      <c r="AF45461" s="12"/>
    </row>
    <row r="45462" spans="32:32" x14ac:dyDescent="0.2">
      <c r="AF45462" s="12"/>
    </row>
    <row r="45463" spans="32:32" x14ac:dyDescent="0.2">
      <c r="AF45463" s="12"/>
    </row>
    <row r="45464" spans="32:32" x14ac:dyDescent="0.2">
      <c r="AF45464" s="12"/>
    </row>
    <row r="45465" spans="32:32" x14ac:dyDescent="0.2">
      <c r="AF45465" s="12"/>
    </row>
    <row r="45466" spans="32:32" x14ac:dyDescent="0.2">
      <c r="AF45466" s="12"/>
    </row>
    <row r="45467" spans="32:32" x14ac:dyDescent="0.2">
      <c r="AF45467" s="12"/>
    </row>
    <row r="45468" spans="32:32" x14ac:dyDescent="0.2">
      <c r="AF45468" s="12"/>
    </row>
    <row r="45469" spans="32:32" x14ac:dyDescent="0.2">
      <c r="AF45469" s="12"/>
    </row>
    <row r="45470" spans="32:32" x14ac:dyDescent="0.2">
      <c r="AF45470" s="12"/>
    </row>
    <row r="45471" spans="32:32" x14ac:dyDescent="0.2">
      <c r="AF45471" s="12"/>
    </row>
    <row r="45472" spans="32:32" x14ac:dyDescent="0.2">
      <c r="AF45472" s="12"/>
    </row>
    <row r="45473" spans="32:32" x14ac:dyDescent="0.2">
      <c r="AF45473" s="12"/>
    </row>
    <row r="45474" spans="32:32" x14ac:dyDescent="0.2">
      <c r="AF45474" s="12"/>
    </row>
    <row r="45475" spans="32:32" x14ac:dyDescent="0.2">
      <c r="AF45475" s="12"/>
    </row>
    <row r="45476" spans="32:32" x14ac:dyDescent="0.2">
      <c r="AF45476" s="12"/>
    </row>
    <row r="45477" spans="32:32" x14ac:dyDescent="0.2">
      <c r="AF45477" s="12"/>
    </row>
    <row r="45478" spans="32:32" x14ac:dyDescent="0.2">
      <c r="AF45478" s="12"/>
    </row>
    <row r="45479" spans="32:32" x14ac:dyDescent="0.2">
      <c r="AF45479" s="12"/>
    </row>
    <row r="45480" spans="32:32" x14ac:dyDescent="0.2">
      <c r="AF45480" s="12"/>
    </row>
    <row r="45481" spans="32:32" x14ac:dyDescent="0.2">
      <c r="AF45481" s="12"/>
    </row>
    <row r="45482" spans="32:32" x14ac:dyDescent="0.2">
      <c r="AF45482" s="12"/>
    </row>
    <row r="45483" spans="32:32" x14ac:dyDescent="0.2">
      <c r="AF45483" s="12"/>
    </row>
    <row r="45484" spans="32:32" x14ac:dyDescent="0.2">
      <c r="AF45484" s="12"/>
    </row>
    <row r="45485" spans="32:32" x14ac:dyDescent="0.2">
      <c r="AF45485" s="12"/>
    </row>
    <row r="45486" spans="32:32" x14ac:dyDescent="0.2">
      <c r="AF45486" s="12"/>
    </row>
    <row r="45487" spans="32:32" x14ac:dyDescent="0.2">
      <c r="AF45487" s="12"/>
    </row>
    <row r="45488" spans="32:32" x14ac:dyDescent="0.2">
      <c r="AF45488" s="12"/>
    </row>
    <row r="45489" spans="32:32" x14ac:dyDescent="0.2">
      <c r="AF45489" s="12"/>
    </row>
    <row r="45490" spans="32:32" x14ac:dyDescent="0.2">
      <c r="AF45490" s="12"/>
    </row>
    <row r="45491" spans="32:32" x14ac:dyDescent="0.2">
      <c r="AF45491" s="12"/>
    </row>
    <row r="45492" spans="32:32" x14ac:dyDescent="0.2">
      <c r="AF45492" s="12"/>
    </row>
    <row r="45493" spans="32:32" x14ac:dyDescent="0.2">
      <c r="AF45493" s="12"/>
    </row>
    <row r="45494" spans="32:32" x14ac:dyDescent="0.2">
      <c r="AF45494" s="12"/>
    </row>
    <row r="45495" spans="32:32" x14ac:dyDescent="0.2">
      <c r="AF45495" s="12"/>
    </row>
    <row r="45496" spans="32:32" x14ac:dyDescent="0.2">
      <c r="AF45496" s="12"/>
    </row>
    <row r="45497" spans="32:32" x14ac:dyDescent="0.2">
      <c r="AF45497" s="12"/>
    </row>
    <row r="45498" spans="32:32" x14ac:dyDescent="0.2">
      <c r="AF45498" s="12"/>
    </row>
    <row r="45499" spans="32:32" x14ac:dyDescent="0.2">
      <c r="AF45499" s="12"/>
    </row>
    <row r="45500" spans="32:32" x14ac:dyDescent="0.2">
      <c r="AF45500" s="12"/>
    </row>
    <row r="45501" spans="32:32" x14ac:dyDescent="0.2">
      <c r="AF45501" s="12"/>
    </row>
    <row r="45502" spans="32:32" x14ac:dyDescent="0.2">
      <c r="AF45502" s="12"/>
    </row>
    <row r="45503" spans="32:32" x14ac:dyDescent="0.2">
      <c r="AF45503" s="12"/>
    </row>
    <row r="45504" spans="32:32" x14ac:dyDescent="0.2">
      <c r="AF45504" s="12"/>
    </row>
    <row r="45505" spans="32:32" x14ac:dyDescent="0.2">
      <c r="AF45505" s="12"/>
    </row>
    <row r="45506" spans="32:32" x14ac:dyDescent="0.2">
      <c r="AF45506" s="12"/>
    </row>
    <row r="45507" spans="32:32" x14ac:dyDescent="0.2">
      <c r="AF45507" s="12"/>
    </row>
    <row r="45508" spans="32:32" x14ac:dyDescent="0.2">
      <c r="AF45508" s="12"/>
    </row>
    <row r="45509" spans="32:32" x14ac:dyDescent="0.2">
      <c r="AF45509" s="12"/>
    </row>
    <row r="45510" spans="32:32" x14ac:dyDescent="0.2">
      <c r="AF45510" s="12"/>
    </row>
    <row r="45511" spans="32:32" x14ac:dyDescent="0.2">
      <c r="AF45511" s="12"/>
    </row>
    <row r="45512" spans="32:32" x14ac:dyDescent="0.2">
      <c r="AF45512" s="12"/>
    </row>
    <row r="45513" spans="32:32" x14ac:dyDescent="0.2">
      <c r="AF45513" s="12"/>
    </row>
    <row r="45514" spans="32:32" x14ac:dyDescent="0.2">
      <c r="AF45514" s="12"/>
    </row>
    <row r="45515" spans="32:32" x14ac:dyDescent="0.2">
      <c r="AF45515" s="12"/>
    </row>
    <row r="45516" spans="32:32" x14ac:dyDescent="0.2">
      <c r="AF45516" s="12"/>
    </row>
    <row r="45517" spans="32:32" x14ac:dyDescent="0.2">
      <c r="AF45517" s="12"/>
    </row>
    <row r="45518" spans="32:32" x14ac:dyDescent="0.2">
      <c r="AF45518" s="12"/>
    </row>
    <row r="45519" spans="32:32" x14ac:dyDescent="0.2">
      <c r="AF45519" s="12"/>
    </row>
    <row r="45520" spans="32:32" x14ac:dyDescent="0.2">
      <c r="AF45520" s="12"/>
    </row>
    <row r="45521" spans="32:32" x14ac:dyDescent="0.2">
      <c r="AF45521" s="12"/>
    </row>
    <row r="45522" spans="32:32" x14ac:dyDescent="0.2">
      <c r="AF45522" s="12"/>
    </row>
    <row r="45523" spans="32:32" x14ac:dyDescent="0.2">
      <c r="AF45523" s="12"/>
    </row>
    <row r="45524" spans="32:32" x14ac:dyDescent="0.2">
      <c r="AF45524" s="12"/>
    </row>
    <row r="45525" spans="32:32" x14ac:dyDescent="0.2">
      <c r="AF45525" s="12"/>
    </row>
    <row r="45526" spans="32:32" x14ac:dyDescent="0.2">
      <c r="AF45526" s="12"/>
    </row>
    <row r="45527" spans="32:32" x14ac:dyDescent="0.2">
      <c r="AF45527" s="12"/>
    </row>
    <row r="45528" spans="32:32" x14ac:dyDescent="0.2">
      <c r="AF45528" s="12"/>
    </row>
    <row r="45529" spans="32:32" x14ac:dyDescent="0.2">
      <c r="AF45529" s="12"/>
    </row>
    <row r="45530" spans="32:32" x14ac:dyDescent="0.2">
      <c r="AF45530" s="12"/>
    </row>
    <row r="45531" spans="32:32" x14ac:dyDescent="0.2">
      <c r="AF45531" s="12"/>
    </row>
    <row r="45532" spans="32:32" x14ac:dyDescent="0.2">
      <c r="AF45532" s="12"/>
    </row>
    <row r="45533" spans="32:32" x14ac:dyDescent="0.2">
      <c r="AF45533" s="12"/>
    </row>
    <row r="45534" spans="32:32" x14ac:dyDescent="0.2">
      <c r="AF45534" s="12"/>
    </row>
    <row r="45535" spans="32:32" x14ac:dyDescent="0.2">
      <c r="AF45535" s="12"/>
    </row>
    <row r="45536" spans="32:32" x14ac:dyDescent="0.2">
      <c r="AF45536" s="12"/>
    </row>
    <row r="45537" spans="32:32" x14ac:dyDescent="0.2">
      <c r="AF45537" s="12"/>
    </row>
    <row r="45538" spans="32:32" x14ac:dyDescent="0.2">
      <c r="AF45538" s="12"/>
    </row>
    <row r="45539" spans="32:32" x14ac:dyDescent="0.2">
      <c r="AF45539" s="12"/>
    </row>
    <row r="45540" spans="32:32" x14ac:dyDescent="0.2">
      <c r="AF45540" s="12"/>
    </row>
    <row r="45541" spans="32:32" x14ac:dyDescent="0.2">
      <c r="AF45541" s="12"/>
    </row>
    <row r="45542" spans="32:32" x14ac:dyDescent="0.2">
      <c r="AF45542" s="12"/>
    </row>
    <row r="45543" spans="32:32" x14ac:dyDescent="0.2">
      <c r="AF45543" s="12"/>
    </row>
    <row r="45544" spans="32:32" x14ac:dyDescent="0.2">
      <c r="AF45544" s="12"/>
    </row>
    <row r="45545" spans="32:32" x14ac:dyDescent="0.2">
      <c r="AF45545" s="12"/>
    </row>
    <row r="45546" spans="32:32" x14ac:dyDescent="0.2">
      <c r="AF45546" s="12"/>
    </row>
    <row r="45547" spans="32:32" x14ac:dyDescent="0.2">
      <c r="AF45547" s="12"/>
    </row>
    <row r="45548" spans="32:32" x14ac:dyDescent="0.2">
      <c r="AF45548" s="12"/>
    </row>
    <row r="45549" spans="32:32" x14ac:dyDescent="0.2">
      <c r="AF45549" s="12"/>
    </row>
    <row r="45550" spans="32:32" x14ac:dyDescent="0.2">
      <c r="AF45550" s="12"/>
    </row>
    <row r="45551" spans="32:32" x14ac:dyDescent="0.2">
      <c r="AF45551" s="12"/>
    </row>
    <row r="45552" spans="32:32" x14ac:dyDescent="0.2">
      <c r="AF45552" s="12"/>
    </row>
    <row r="45553" spans="32:32" x14ac:dyDescent="0.2">
      <c r="AF45553" s="12"/>
    </row>
    <row r="45554" spans="32:32" x14ac:dyDescent="0.2">
      <c r="AF45554" s="12"/>
    </row>
    <row r="45555" spans="32:32" x14ac:dyDescent="0.2">
      <c r="AF45555" s="12"/>
    </row>
    <row r="45556" spans="32:32" x14ac:dyDescent="0.2">
      <c r="AF45556" s="12"/>
    </row>
    <row r="45557" spans="32:32" x14ac:dyDescent="0.2">
      <c r="AF45557" s="12"/>
    </row>
    <row r="45558" spans="32:32" x14ac:dyDescent="0.2">
      <c r="AF45558" s="12"/>
    </row>
    <row r="45559" spans="32:32" x14ac:dyDescent="0.2">
      <c r="AF45559" s="12"/>
    </row>
    <row r="45560" spans="32:32" x14ac:dyDescent="0.2">
      <c r="AF45560" s="12"/>
    </row>
    <row r="45561" spans="32:32" x14ac:dyDescent="0.2">
      <c r="AF45561" s="12"/>
    </row>
    <row r="45562" spans="32:32" x14ac:dyDescent="0.2">
      <c r="AF45562" s="12"/>
    </row>
    <row r="45563" spans="32:32" x14ac:dyDescent="0.2">
      <c r="AF45563" s="12"/>
    </row>
    <row r="45564" spans="32:32" x14ac:dyDescent="0.2">
      <c r="AF45564" s="12"/>
    </row>
    <row r="45565" spans="32:32" x14ac:dyDescent="0.2">
      <c r="AF45565" s="12"/>
    </row>
    <row r="45566" spans="32:32" x14ac:dyDescent="0.2">
      <c r="AF45566" s="12"/>
    </row>
    <row r="45567" spans="32:32" x14ac:dyDescent="0.2">
      <c r="AF45567" s="12"/>
    </row>
    <row r="45568" spans="32:32" x14ac:dyDescent="0.2">
      <c r="AF45568" s="12"/>
    </row>
    <row r="45569" spans="32:32" x14ac:dyDescent="0.2">
      <c r="AF45569" s="12"/>
    </row>
    <row r="45570" spans="32:32" x14ac:dyDescent="0.2">
      <c r="AF45570" s="12"/>
    </row>
    <row r="45571" spans="32:32" x14ac:dyDescent="0.2">
      <c r="AF45571" s="12"/>
    </row>
    <row r="45572" spans="32:32" x14ac:dyDescent="0.2">
      <c r="AF45572" s="12"/>
    </row>
    <row r="45573" spans="32:32" x14ac:dyDescent="0.2">
      <c r="AF45573" s="12"/>
    </row>
    <row r="45574" spans="32:32" x14ac:dyDescent="0.2">
      <c r="AF45574" s="12"/>
    </row>
    <row r="45575" spans="32:32" x14ac:dyDescent="0.2">
      <c r="AF45575" s="12"/>
    </row>
    <row r="45576" spans="32:32" x14ac:dyDescent="0.2">
      <c r="AF45576" s="12"/>
    </row>
    <row r="45577" spans="32:32" x14ac:dyDescent="0.2">
      <c r="AF45577" s="12"/>
    </row>
    <row r="45578" spans="32:32" x14ac:dyDescent="0.2">
      <c r="AF45578" s="12"/>
    </row>
    <row r="45579" spans="32:32" x14ac:dyDescent="0.2">
      <c r="AF45579" s="12"/>
    </row>
    <row r="45580" spans="32:32" x14ac:dyDescent="0.2">
      <c r="AF45580" s="12"/>
    </row>
    <row r="45581" spans="32:32" x14ac:dyDescent="0.2">
      <c r="AF45581" s="12"/>
    </row>
    <row r="45582" spans="32:32" x14ac:dyDescent="0.2">
      <c r="AF45582" s="12"/>
    </row>
    <row r="45583" spans="32:32" x14ac:dyDescent="0.2">
      <c r="AF45583" s="12"/>
    </row>
    <row r="45584" spans="32:32" x14ac:dyDescent="0.2">
      <c r="AF45584" s="12"/>
    </row>
    <row r="45585" spans="32:32" x14ac:dyDescent="0.2">
      <c r="AF45585" s="12"/>
    </row>
    <row r="45586" spans="32:32" x14ac:dyDescent="0.2">
      <c r="AF45586" s="12"/>
    </row>
    <row r="45587" spans="32:32" x14ac:dyDescent="0.2">
      <c r="AF45587" s="12"/>
    </row>
    <row r="45588" spans="32:32" x14ac:dyDescent="0.2">
      <c r="AF45588" s="12"/>
    </row>
    <row r="45589" spans="32:32" x14ac:dyDescent="0.2">
      <c r="AF45589" s="12"/>
    </row>
    <row r="45590" spans="32:32" x14ac:dyDescent="0.2">
      <c r="AF45590" s="12"/>
    </row>
    <row r="45591" spans="32:32" x14ac:dyDescent="0.2">
      <c r="AF45591" s="12"/>
    </row>
    <row r="45592" spans="32:32" x14ac:dyDescent="0.2">
      <c r="AF45592" s="12"/>
    </row>
    <row r="45593" spans="32:32" x14ac:dyDescent="0.2">
      <c r="AF45593" s="12"/>
    </row>
    <row r="45594" spans="32:32" x14ac:dyDescent="0.2">
      <c r="AF45594" s="12"/>
    </row>
    <row r="45595" spans="32:32" x14ac:dyDescent="0.2">
      <c r="AF45595" s="12"/>
    </row>
    <row r="45596" spans="32:32" x14ac:dyDescent="0.2">
      <c r="AF45596" s="12"/>
    </row>
    <row r="45597" spans="32:32" x14ac:dyDescent="0.2">
      <c r="AF45597" s="12"/>
    </row>
    <row r="45598" spans="32:32" x14ac:dyDescent="0.2">
      <c r="AF45598" s="12"/>
    </row>
    <row r="45599" spans="32:32" x14ac:dyDescent="0.2">
      <c r="AF45599" s="12"/>
    </row>
    <row r="45600" spans="32:32" x14ac:dyDescent="0.2">
      <c r="AF45600" s="12"/>
    </row>
    <row r="45601" spans="32:32" x14ac:dyDescent="0.2">
      <c r="AF45601" s="12"/>
    </row>
    <row r="45602" spans="32:32" x14ac:dyDescent="0.2">
      <c r="AF45602" s="12"/>
    </row>
    <row r="45603" spans="32:32" x14ac:dyDescent="0.2">
      <c r="AF45603" s="12"/>
    </row>
    <row r="45604" spans="32:32" x14ac:dyDescent="0.2">
      <c r="AF45604" s="12"/>
    </row>
    <row r="45605" spans="32:32" x14ac:dyDescent="0.2">
      <c r="AF45605" s="12"/>
    </row>
    <row r="45606" spans="32:32" x14ac:dyDescent="0.2">
      <c r="AF45606" s="12"/>
    </row>
    <row r="45607" spans="32:32" x14ac:dyDescent="0.2">
      <c r="AF45607" s="12"/>
    </row>
    <row r="45608" spans="32:32" x14ac:dyDescent="0.2">
      <c r="AF45608" s="12"/>
    </row>
    <row r="45609" spans="32:32" x14ac:dyDescent="0.2">
      <c r="AF45609" s="12"/>
    </row>
    <row r="45610" spans="32:32" x14ac:dyDescent="0.2">
      <c r="AF45610" s="12"/>
    </row>
    <row r="45611" spans="32:32" x14ac:dyDescent="0.2">
      <c r="AF45611" s="12"/>
    </row>
    <row r="45612" spans="32:32" x14ac:dyDescent="0.2">
      <c r="AF45612" s="12"/>
    </row>
    <row r="45613" spans="32:32" x14ac:dyDescent="0.2">
      <c r="AF45613" s="12"/>
    </row>
    <row r="45614" spans="32:32" x14ac:dyDescent="0.2">
      <c r="AF45614" s="12"/>
    </row>
    <row r="45615" spans="32:32" x14ac:dyDescent="0.2">
      <c r="AF45615" s="12"/>
    </row>
    <row r="45616" spans="32:32" x14ac:dyDescent="0.2">
      <c r="AF45616" s="12"/>
    </row>
    <row r="45617" spans="32:32" x14ac:dyDescent="0.2">
      <c r="AF45617" s="12"/>
    </row>
    <row r="45618" spans="32:32" x14ac:dyDescent="0.2">
      <c r="AF45618" s="12"/>
    </row>
    <row r="45619" spans="32:32" x14ac:dyDescent="0.2">
      <c r="AF45619" s="12"/>
    </row>
    <row r="45620" spans="32:32" x14ac:dyDescent="0.2">
      <c r="AF45620" s="12"/>
    </row>
    <row r="45621" spans="32:32" x14ac:dyDescent="0.2">
      <c r="AF45621" s="12"/>
    </row>
    <row r="45622" spans="32:32" x14ac:dyDescent="0.2">
      <c r="AF45622" s="12"/>
    </row>
    <row r="45623" spans="32:32" x14ac:dyDescent="0.2">
      <c r="AF45623" s="12"/>
    </row>
    <row r="45624" spans="32:32" x14ac:dyDescent="0.2">
      <c r="AF45624" s="12"/>
    </row>
    <row r="45625" spans="32:32" x14ac:dyDescent="0.2">
      <c r="AF45625" s="12"/>
    </row>
    <row r="45626" spans="32:32" x14ac:dyDescent="0.2">
      <c r="AF45626" s="12"/>
    </row>
    <row r="45627" spans="32:32" x14ac:dyDescent="0.2">
      <c r="AF45627" s="12"/>
    </row>
    <row r="45628" spans="32:32" x14ac:dyDescent="0.2">
      <c r="AF45628" s="12"/>
    </row>
    <row r="45629" spans="32:32" x14ac:dyDescent="0.2">
      <c r="AF45629" s="12"/>
    </row>
    <row r="45630" spans="32:32" x14ac:dyDescent="0.2">
      <c r="AF45630" s="12"/>
    </row>
    <row r="45631" spans="32:32" x14ac:dyDescent="0.2">
      <c r="AF45631" s="12"/>
    </row>
    <row r="45632" spans="32:32" x14ac:dyDescent="0.2">
      <c r="AF45632" s="12"/>
    </row>
    <row r="45633" spans="32:32" x14ac:dyDescent="0.2">
      <c r="AF45633" s="12"/>
    </row>
    <row r="45634" spans="32:32" x14ac:dyDescent="0.2">
      <c r="AF45634" s="12"/>
    </row>
    <row r="45635" spans="32:32" x14ac:dyDescent="0.2">
      <c r="AF45635" s="12"/>
    </row>
    <row r="45636" spans="32:32" x14ac:dyDescent="0.2">
      <c r="AF45636" s="12"/>
    </row>
    <row r="45637" spans="32:32" x14ac:dyDescent="0.2">
      <c r="AF45637" s="12"/>
    </row>
    <row r="45638" spans="32:32" x14ac:dyDescent="0.2">
      <c r="AF45638" s="12"/>
    </row>
    <row r="45639" spans="32:32" x14ac:dyDescent="0.2">
      <c r="AF45639" s="12"/>
    </row>
    <row r="45640" spans="32:32" x14ac:dyDescent="0.2">
      <c r="AF45640" s="12"/>
    </row>
    <row r="45641" spans="32:32" x14ac:dyDescent="0.2">
      <c r="AF45641" s="12"/>
    </row>
    <row r="45642" spans="32:32" x14ac:dyDescent="0.2">
      <c r="AF45642" s="12"/>
    </row>
    <row r="45643" spans="32:32" x14ac:dyDescent="0.2">
      <c r="AF45643" s="12"/>
    </row>
    <row r="45644" spans="32:32" x14ac:dyDescent="0.2">
      <c r="AF45644" s="12"/>
    </row>
    <row r="45645" spans="32:32" x14ac:dyDescent="0.2">
      <c r="AF45645" s="12"/>
    </row>
    <row r="45646" spans="32:32" x14ac:dyDescent="0.2">
      <c r="AF45646" s="12"/>
    </row>
    <row r="45647" spans="32:32" x14ac:dyDescent="0.2">
      <c r="AF45647" s="12"/>
    </row>
    <row r="45648" spans="32:32" x14ac:dyDescent="0.2">
      <c r="AF45648" s="12"/>
    </row>
    <row r="45649" spans="32:32" x14ac:dyDescent="0.2">
      <c r="AF45649" s="12"/>
    </row>
    <row r="45650" spans="32:32" x14ac:dyDescent="0.2">
      <c r="AF45650" s="12"/>
    </row>
    <row r="45651" spans="32:32" x14ac:dyDescent="0.2">
      <c r="AF45651" s="12"/>
    </row>
    <row r="45652" spans="32:32" x14ac:dyDescent="0.2">
      <c r="AF45652" s="12"/>
    </row>
    <row r="45653" spans="32:32" x14ac:dyDescent="0.2">
      <c r="AF45653" s="12"/>
    </row>
    <row r="45654" spans="32:32" x14ac:dyDescent="0.2">
      <c r="AF45654" s="12"/>
    </row>
    <row r="45655" spans="32:32" x14ac:dyDescent="0.2">
      <c r="AF45655" s="12"/>
    </row>
    <row r="45656" spans="32:32" x14ac:dyDescent="0.2">
      <c r="AF45656" s="12"/>
    </row>
    <row r="45657" spans="32:32" x14ac:dyDescent="0.2">
      <c r="AF45657" s="12"/>
    </row>
    <row r="45658" spans="32:32" x14ac:dyDescent="0.2">
      <c r="AF45658" s="12"/>
    </row>
    <row r="45659" spans="32:32" x14ac:dyDescent="0.2">
      <c r="AF45659" s="12"/>
    </row>
    <row r="45660" spans="32:32" x14ac:dyDescent="0.2">
      <c r="AF45660" s="12"/>
    </row>
    <row r="45661" spans="32:32" x14ac:dyDescent="0.2">
      <c r="AF45661" s="12"/>
    </row>
    <row r="45662" spans="32:32" x14ac:dyDescent="0.2">
      <c r="AF45662" s="12"/>
    </row>
    <row r="45663" spans="32:32" x14ac:dyDescent="0.2">
      <c r="AF45663" s="12"/>
    </row>
    <row r="45664" spans="32:32" x14ac:dyDescent="0.2">
      <c r="AF45664" s="12"/>
    </row>
    <row r="45665" spans="32:32" x14ac:dyDescent="0.2">
      <c r="AF45665" s="12"/>
    </row>
    <row r="45666" spans="32:32" x14ac:dyDescent="0.2">
      <c r="AF45666" s="12"/>
    </row>
    <row r="45667" spans="32:32" x14ac:dyDescent="0.2">
      <c r="AF45667" s="12"/>
    </row>
    <row r="45668" spans="32:32" x14ac:dyDescent="0.2">
      <c r="AF45668" s="12"/>
    </row>
    <row r="45669" spans="32:32" x14ac:dyDescent="0.2">
      <c r="AF45669" s="12"/>
    </row>
    <row r="45670" spans="32:32" x14ac:dyDescent="0.2">
      <c r="AF45670" s="12"/>
    </row>
    <row r="45671" spans="32:32" x14ac:dyDescent="0.2">
      <c r="AF45671" s="12"/>
    </row>
    <row r="45672" spans="32:32" x14ac:dyDescent="0.2">
      <c r="AF45672" s="12"/>
    </row>
    <row r="45673" spans="32:32" x14ac:dyDescent="0.2">
      <c r="AF45673" s="12"/>
    </row>
    <row r="45674" spans="32:32" x14ac:dyDescent="0.2">
      <c r="AF45674" s="12"/>
    </row>
    <row r="45675" spans="32:32" x14ac:dyDescent="0.2">
      <c r="AF45675" s="12"/>
    </row>
    <row r="45676" spans="32:32" x14ac:dyDescent="0.2">
      <c r="AF45676" s="12"/>
    </row>
    <row r="45677" spans="32:32" x14ac:dyDescent="0.2">
      <c r="AF45677" s="12"/>
    </row>
    <row r="45678" spans="32:32" x14ac:dyDescent="0.2">
      <c r="AF45678" s="12"/>
    </row>
    <row r="45679" spans="32:32" x14ac:dyDescent="0.2">
      <c r="AF45679" s="12"/>
    </row>
    <row r="45680" spans="32:32" x14ac:dyDescent="0.2">
      <c r="AF45680" s="12"/>
    </row>
    <row r="45681" spans="32:32" x14ac:dyDescent="0.2">
      <c r="AF45681" s="12"/>
    </row>
    <row r="45682" spans="32:32" x14ac:dyDescent="0.2">
      <c r="AF45682" s="12"/>
    </row>
    <row r="45683" spans="32:32" x14ac:dyDescent="0.2">
      <c r="AF45683" s="12"/>
    </row>
    <row r="45684" spans="32:32" x14ac:dyDescent="0.2">
      <c r="AF45684" s="12"/>
    </row>
    <row r="45685" spans="32:32" x14ac:dyDescent="0.2">
      <c r="AF45685" s="12"/>
    </row>
    <row r="45686" spans="32:32" x14ac:dyDescent="0.2">
      <c r="AF45686" s="12"/>
    </row>
    <row r="45687" spans="32:32" x14ac:dyDescent="0.2">
      <c r="AF45687" s="12"/>
    </row>
    <row r="45688" spans="32:32" x14ac:dyDescent="0.2">
      <c r="AF45688" s="12"/>
    </row>
    <row r="45689" spans="32:32" x14ac:dyDescent="0.2">
      <c r="AF45689" s="12"/>
    </row>
    <row r="45690" spans="32:32" x14ac:dyDescent="0.2">
      <c r="AF45690" s="12"/>
    </row>
    <row r="45691" spans="32:32" x14ac:dyDescent="0.2">
      <c r="AF45691" s="12"/>
    </row>
    <row r="45692" spans="32:32" x14ac:dyDescent="0.2">
      <c r="AF45692" s="12"/>
    </row>
    <row r="45693" spans="32:32" x14ac:dyDescent="0.2">
      <c r="AF45693" s="12"/>
    </row>
    <row r="45694" spans="32:32" x14ac:dyDescent="0.2">
      <c r="AF45694" s="12"/>
    </row>
    <row r="45695" spans="32:32" x14ac:dyDescent="0.2">
      <c r="AF45695" s="12"/>
    </row>
    <row r="45696" spans="32:32" x14ac:dyDescent="0.2">
      <c r="AF45696" s="12"/>
    </row>
    <row r="45697" spans="32:32" x14ac:dyDescent="0.2">
      <c r="AF45697" s="12"/>
    </row>
    <row r="45698" spans="32:32" x14ac:dyDescent="0.2">
      <c r="AF45698" s="12"/>
    </row>
    <row r="45699" spans="32:32" x14ac:dyDescent="0.2">
      <c r="AF45699" s="12"/>
    </row>
    <row r="45700" spans="32:32" x14ac:dyDescent="0.2">
      <c r="AF45700" s="12"/>
    </row>
    <row r="45701" spans="32:32" x14ac:dyDescent="0.2">
      <c r="AF45701" s="12"/>
    </row>
    <row r="45702" spans="32:32" x14ac:dyDescent="0.2">
      <c r="AF45702" s="12"/>
    </row>
    <row r="45703" spans="32:32" x14ac:dyDescent="0.2">
      <c r="AF45703" s="12"/>
    </row>
    <row r="45704" spans="32:32" x14ac:dyDescent="0.2">
      <c r="AF45704" s="12"/>
    </row>
    <row r="45705" spans="32:32" x14ac:dyDescent="0.2">
      <c r="AF45705" s="12"/>
    </row>
    <row r="45706" spans="32:32" x14ac:dyDescent="0.2">
      <c r="AF45706" s="12"/>
    </row>
    <row r="45707" spans="32:32" x14ac:dyDescent="0.2">
      <c r="AF45707" s="12"/>
    </row>
    <row r="45708" spans="32:32" x14ac:dyDescent="0.2">
      <c r="AF45708" s="12"/>
    </row>
    <row r="45709" spans="32:32" x14ac:dyDescent="0.2">
      <c r="AF45709" s="12"/>
    </row>
    <row r="45710" spans="32:32" x14ac:dyDescent="0.2">
      <c r="AF45710" s="12"/>
    </row>
    <row r="45711" spans="32:32" x14ac:dyDescent="0.2">
      <c r="AF45711" s="12"/>
    </row>
    <row r="45712" spans="32:32" x14ac:dyDescent="0.2">
      <c r="AF45712" s="12"/>
    </row>
    <row r="45713" spans="32:32" x14ac:dyDescent="0.2">
      <c r="AF45713" s="12"/>
    </row>
    <row r="45714" spans="32:32" x14ac:dyDescent="0.2">
      <c r="AF45714" s="12"/>
    </row>
    <row r="45715" spans="32:32" x14ac:dyDescent="0.2">
      <c r="AF45715" s="12"/>
    </row>
    <row r="45716" spans="32:32" x14ac:dyDescent="0.2">
      <c r="AF45716" s="12"/>
    </row>
    <row r="45717" spans="32:32" x14ac:dyDescent="0.2">
      <c r="AF45717" s="12"/>
    </row>
    <row r="45718" spans="32:32" x14ac:dyDescent="0.2">
      <c r="AF45718" s="12"/>
    </row>
    <row r="45719" spans="32:32" x14ac:dyDescent="0.2">
      <c r="AF45719" s="12"/>
    </row>
    <row r="45720" spans="32:32" x14ac:dyDescent="0.2">
      <c r="AF45720" s="12"/>
    </row>
    <row r="45721" spans="32:32" x14ac:dyDescent="0.2">
      <c r="AF45721" s="12"/>
    </row>
    <row r="45722" spans="32:32" x14ac:dyDescent="0.2">
      <c r="AF45722" s="12"/>
    </row>
    <row r="45723" spans="32:32" x14ac:dyDescent="0.2">
      <c r="AF45723" s="12"/>
    </row>
    <row r="45724" spans="32:32" x14ac:dyDescent="0.2">
      <c r="AF45724" s="12"/>
    </row>
    <row r="45725" spans="32:32" x14ac:dyDescent="0.2">
      <c r="AF45725" s="12"/>
    </row>
    <row r="45726" spans="32:32" x14ac:dyDescent="0.2">
      <c r="AF45726" s="12"/>
    </row>
    <row r="45727" spans="32:32" x14ac:dyDescent="0.2">
      <c r="AF45727" s="12"/>
    </row>
    <row r="45728" spans="32:32" x14ac:dyDescent="0.2">
      <c r="AF45728" s="12"/>
    </row>
    <row r="45729" spans="32:32" x14ac:dyDescent="0.2">
      <c r="AF45729" s="12"/>
    </row>
    <row r="45730" spans="32:32" x14ac:dyDescent="0.2">
      <c r="AF45730" s="12"/>
    </row>
    <row r="45731" spans="32:32" x14ac:dyDescent="0.2">
      <c r="AF45731" s="12"/>
    </row>
    <row r="45732" spans="32:32" x14ac:dyDescent="0.2">
      <c r="AF45732" s="12"/>
    </row>
    <row r="45733" spans="32:32" x14ac:dyDescent="0.2">
      <c r="AF45733" s="12"/>
    </row>
    <row r="45734" spans="32:32" x14ac:dyDescent="0.2">
      <c r="AF45734" s="12"/>
    </row>
    <row r="45735" spans="32:32" x14ac:dyDescent="0.2">
      <c r="AF45735" s="12"/>
    </row>
    <row r="45736" spans="32:32" x14ac:dyDescent="0.2">
      <c r="AF45736" s="12"/>
    </row>
    <row r="45737" spans="32:32" x14ac:dyDescent="0.2">
      <c r="AF45737" s="12"/>
    </row>
    <row r="45738" spans="32:32" x14ac:dyDescent="0.2">
      <c r="AF45738" s="12"/>
    </row>
    <row r="45739" spans="32:32" x14ac:dyDescent="0.2">
      <c r="AF45739" s="12"/>
    </row>
    <row r="45740" spans="32:32" x14ac:dyDescent="0.2">
      <c r="AF45740" s="12"/>
    </row>
    <row r="45741" spans="32:32" x14ac:dyDescent="0.2">
      <c r="AF45741" s="12"/>
    </row>
    <row r="45742" spans="32:32" x14ac:dyDescent="0.2">
      <c r="AF45742" s="12"/>
    </row>
    <row r="45743" spans="32:32" x14ac:dyDescent="0.2">
      <c r="AF45743" s="12"/>
    </row>
    <row r="45744" spans="32:32" x14ac:dyDescent="0.2">
      <c r="AF45744" s="12"/>
    </row>
    <row r="45745" spans="32:32" x14ac:dyDescent="0.2">
      <c r="AF45745" s="12"/>
    </row>
    <row r="45746" spans="32:32" x14ac:dyDescent="0.2">
      <c r="AF45746" s="12"/>
    </row>
    <row r="45747" spans="32:32" x14ac:dyDescent="0.2">
      <c r="AF45747" s="12"/>
    </row>
    <row r="45748" spans="32:32" x14ac:dyDescent="0.2">
      <c r="AF45748" s="12"/>
    </row>
    <row r="45749" spans="32:32" x14ac:dyDescent="0.2">
      <c r="AF45749" s="12"/>
    </row>
    <row r="45750" spans="32:32" x14ac:dyDescent="0.2">
      <c r="AF45750" s="12"/>
    </row>
    <row r="45751" spans="32:32" x14ac:dyDescent="0.2">
      <c r="AF45751" s="12"/>
    </row>
    <row r="45752" spans="32:32" x14ac:dyDescent="0.2">
      <c r="AF45752" s="12"/>
    </row>
    <row r="45753" spans="32:32" x14ac:dyDescent="0.2">
      <c r="AF45753" s="12"/>
    </row>
    <row r="45754" spans="32:32" x14ac:dyDescent="0.2">
      <c r="AF45754" s="12"/>
    </row>
    <row r="45755" spans="32:32" x14ac:dyDescent="0.2">
      <c r="AF45755" s="12"/>
    </row>
    <row r="45756" spans="32:32" x14ac:dyDescent="0.2">
      <c r="AF45756" s="12"/>
    </row>
    <row r="45757" spans="32:32" x14ac:dyDescent="0.2">
      <c r="AF45757" s="12"/>
    </row>
    <row r="45758" spans="32:32" x14ac:dyDescent="0.2">
      <c r="AF45758" s="12"/>
    </row>
    <row r="45759" spans="32:32" x14ac:dyDescent="0.2">
      <c r="AF45759" s="12"/>
    </row>
    <row r="45760" spans="32:32" x14ac:dyDescent="0.2">
      <c r="AF45760" s="12"/>
    </row>
    <row r="45761" spans="32:32" x14ac:dyDescent="0.2">
      <c r="AF45761" s="12"/>
    </row>
    <row r="45762" spans="32:32" x14ac:dyDescent="0.2">
      <c r="AF45762" s="12"/>
    </row>
    <row r="45763" spans="32:32" x14ac:dyDescent="0.2">
      <c r="AF45763" s="12"/>
    </row>
    <row r="45764" spans="32:32" x14ac:dyDescent="0.2">
      <c r="AF45764" s="12"/>
    </row>
    <row r="45765" spans="32:32" x14ac:dyDescent="0.2">
      <c r="AF45765" s="12"/>
    </row>
    <row r="45766" spans="32:32" x14ac:dyDescent="0.2">
      <c r="AF45766" s="12"/>
    </row>
    <row r="45767" spans="32:32" x14ac:dyDescent="0.2">
      <c r="AF45767" s="12"/>
    </row>
    <row r="45768" spans="32:32" x14ac:dyDescent="0.2">
      <c r="AF45768" s="12"/>
    </row>
    <row r="45769" spans="32:32" x14ac:dyDescent="0.2">
      <c r="AF45769" s="12"/>
    </row>
    <row r="45770" spans="32:32" x14ac:dyDescent="0.2">
      <c r="AF45770" s="12"/>
    </row>
    <row r="45771" spans="32:32" x14ac:dyDescent="0.2">
      <c r="AF45771" s="12"/>
    </row>
    <row r="45772" spans="32:32" x14ac:dyDescent="0.2">
      <c r="AF45772" s="12"/>
    </row>
    <row r="45773" spans="32:32" x14ac:dyDescent="0.2">
      <c r="AF45773" s="12"/>
    </row>
    <row r="45774" spans="32:32" x14ac:dyDescent="0.2">
      <c r="AF45774" s="12"/>
    </row>
    <row r="45775" spans="32:32" x14ac:dyDescent="0.2">
      <c r="AF45775" s="12"/>
    </row>
    <row r="45776" spans="32:32" x14ac:dyDescent="0.2">
      <c r="AF45776" s="12"/>
    </row>
    <row r="45777" spans="32:32" x14ac:dyDescent="0.2">
      <c r="AF45777" s="12"/>
    </row>
    <row r="45778" spans="32:32" x14ac:dyDescent="0.2">
      <c r="AF45778" s="12"/>
    </row>
    <row r="45779" spans="32:32" x14ac:dyDescent="0.2">
      <c r="AF45779" s="12"/>
    </row>
    <row r="45780" spans="32:32" x14ac:dyDescent="0.2">
      <c r="AF45780" s="12"/>
    </row>
    <row r="45781" spans="32:32" x14ac:dyDescent="0.2">
      <c r="AF45781" s="12"/>
    </row>
    <row r="45782" spans="32:32" x14ac:dyDescent="0.2">
      <c r="AF45782" s="12"/>
    </row>
    <row r="45783" spans="32:32" x14ac:dyDescent="0.2">
      <c r="AF45783" s="12"/>
    </row>
    <row r="45784" spans="32:32" x14ac:dyDescent="0.2">
      <c r="AF45784" s="12"/>
    </row>
    <row r="45785" spans="32:32" x14ac:dyDescent="0.2">
      <c r="AF45785" s="12"/>
    </row>
    <row r="45786" spans="32:32" x14ac:dyDescent="0.2">
      <c r="AF45786" s="12"/>
    </row>
    <row r="45787" spans="32:32" x14ac:dyDescent="0.2">
      <c r="AF45787" s="12"/>
    </row>
    <row r="45788" spans="32:32" x14ac:dyDescent="0.2">
      <c r="AF45788" s="12"/>
    </row>
    <row r="45789" spans="32:32" x14ac:dyDescent="0.2">
      <c r="AF45789" s="12"/>
    </row>
    <row r="45790" spans="32:32" x14ac:dyDescent="0.2">
      <c r="AF45790" s="12"/>
    </row>
    <row r="45791" spans="32:32" x14ac:dyDescent="0.2">
      <c r="AF45791" s="12"/>
    </row>
    <row r="45792" spans="32:32" x14ac:dyDescent="0.2">
      <c r="AF45792" s="12"/>
    </row>
    <row r="45793" spans="32:32" x14ac:dyDescent="0.2">
      <c r="AF45793" s="12"/>
    </row>
    <row r="45794" spans="32:32" x14ac:dyDescent="0.2">
      <c r="AF45794" s="12"/>
    </row>
    <row r="45795" spans="32:32" x14ac:dyDescent="0.2">
      <c r="AF45795" s="12"/>
    </row>
    <row r="45796" spans="32:32" x14ac:dyDescent="0.2">
      <c r="AF45796" s="12"/>
    </row>
    <row r="45797" spans="32:32" x14ac:dyDescent="0.2">
      <c r="AF45797" s="12"/>
    </row>
    <row r="45798" spans="32:32" x14ac:dyDescent="0.2">
      <c r="AF45798" s="12"/>
    </row>
    <row r="45799" spans="32:32" x14ac:dyDescent="0.2">
      <c r="AF45799" s="12"/>
    </row>
    <row r="45800" spans="32:32" x14ac:dyDescent="0.2">
      <c r="AF45800" s="12"/>
    </row>
    <row r="45801" spans="32:32" x14ac:dyDescent="0.2">
      <c r="AF45801" s="12"/>
    </row>
    <row r="45802" spans="32:32" x14ac:dyDescent="0.2">
      <c r="AF45802" s="12"/>
    </row>
    <row r="45803" spans="32:32" x14ac:dyDescent="0.2">
      <c r="AF45803" s="12"/>
    </row>
    <row r="45804" spans="32:32" x14ac:dyDescent="0.2">
      <c r="AF45804" s="12"/>
    </row>
    <row r="45805" spans="32:32" x14ac:dyDescent="0.2">
      <c r="AF45805" s="12"/>
    </row>
    <row r="45806" spans="32:32" x14ac:dyDescent="0.2">
      <c r="AF45806" s="12"/>
    </row>
    <row r="45807" spans="32:32" x14ac:dyDescent="0.2">
      <c r="AF45807" s="12"/>
    </row>
    <row r="45808" spans="32:32" x14ac:dyDescent="0.2">
      <c r="AF45808" s="12"/>
    </row>
    <row r="45809" spans="32:32" x14ac:dyDescent="0.2">
      <c r="AF45809" s="12"/>
    </row>
    <row r="45810" spans="32:32" x14ac:dyDescent="0.2">
      <c r="AF45810" s="12"/>
    </row>
    <row r="45811" spans="32:32" x14ac:dyDescent="0.2">
      <c r="AF45811" s="12"/>
    </row>
    <row r="45812" spans="32:32" x14ac:dyDescent="0.2">
      <c r="AF45812" s="12"/>
    </row>
    <row r="45813" spans="32:32" x14ac:dyDescent="0.2">
      <c r="AF45813" s="12"/>
    </row>
    <row r="45814" spans="32:32" x14ac:dyDescent="0.2">
      <c r="AF45814" s="12"/>
    </row>
    <row r="45815" spans="32:32" x14ac:dyDescent="0.2">
      <c r="AF45815" s="12"/>
    </row>
    <row r="45816" spans="32:32" x14ac:dyDescent="0.2">
      <c r="AF45816" s="12"/>
    </row>
    <row r="45817" spans="32:32" x14ac:dyDescent="0.2">
      <c r="AF45817" s="12"/>
    </row>
    <row r="45818" spans="32:32" x14ac:dyDescent="0.2">
      <c r="AF45818" s="12"/>
    </row>
    <row r="45819" spans="32:32" x14ac:dyDescent="0.2">
      <c r="AF45819" s="12"/>
    </row>
    <row r="45820" spans="32:32" x14ac:dyDescent="0.2">
      <c r="AF45820" s="12"/>
    </row>
    <row r="45821" spans="32:32" x14ac:dyDescent="0.2">
      <c r="AF45821" s="12"/>
    </row>
    <row r="45822" spans="32:32" x14ac:dyDescent="0.2">
      <c r="AF45822" s="12"/>
    </row>
    <row r="45823" spans="32:32" x14ac:dyDescent="0.2">
      <c r="AF45823" s="12"/>
    </row>
    <row r="45824" spans="32:32" x14ac:dyDescent="0.2">
      <c r="AF45824" s="12"/>
    </row>
    <row r="45825" spans="32:32" x14ac:dyDescent="0.2">
      <c r="AF45825" s="12"/>
    </row>
    <row r="45826" spans="32:32" x14ac:dyDescent="0.2">
      <c r="AF45826" s="12"/>
    </row>
    <row r="45827" spans="32:32" x14ac:dyDescent="0.2">
      <c r="AF45827" s="12"/>
    </row>
    <row r="45828" spans="32:32" x14ac:dyDescent="0.2">
      <c r="AF45828" s="12"/>
    </row>
    <row r="45829" spans="32:32" x14ac:dyDescent="0.2">
      <c r="AF45829" s="12"/>
    </row>
    <row r="45830" spans="32:32" x14ac:dyDescent="0.2">
      <c r="AF45830" s="12"/>
    </row>
    <row r="45831" spans="32:32" x14ac:dyDescent="0.2">
      <c r="AF45831" s="12"/>
    </row>
    <row r="45832" spans="32:32" x14ac:dyDescent="0.2">
      <c r="AF45832" s="12"/>
    </row>
    <row r="45833" spans="32:32" x14ac:dyDescent="0.2">
      <c r="AF45833" s="12"/>
    </row>
    <row r="45834" spans="32:32" x14ac:dyDescent="0.2">
      <c r="AF45834" s="12"/>
    </row>
    <row r="45835" spans="32:32" x14ac:dyDescent="0.2">
      <c r="AF45835" s="12"/>
    </row>
    <row r="45836" spans="32:32" x14ac:dyDescent="0.2">
      <c r="AF45836" s="12"/>
    </row>
    <row r="45837" spans="32:32" x14ac:dyDescent="0.2">
      <c r="AF45837" s="12"/>
    </row>
    <row r="45838" spans="32:32" x14ac:dyDescent="0.2">
      <c r="AF45838" s="12"/>
    </row>
    <row r="45839" spans="32:32" x14ac:dyDescent="0.2">
      <c r="AF45839" s="12"/>
    </row>
    <row r="45840" spans="32:32" x14ac:dyDescent="0.2">
      <c r="AF45840" s="12"/>
    </row>
    <row r="45841" spans="32:32" x14ac:dyDescent="0.2">
      <c r="AF45841" s="12"/>
    </row>
    <row r="45842" spans="32:32" x14ac:dyDescent="0.2">
      <c r="AF45842" s="12"/>
    </row>
    <row r="45843" spans="32:32" x14ac:dyDescent="0.2">
      <c r="AF45843" s="12"/>
    </row>
    <row r="45844" spans="32:32" x14ac:dyDescent="0.2">
      <c r="AF45844" s="12"/>
    </row>
    <row r="45845" spans="32:32" x14ac:dyDescent="0.2">
      <c r="AF45845" s="12"/>
    </row>
    <row r="45846" spans="32:32" x14ac:dyDescent="0.2">
      <c r="AF45846" s="12"/>
    </row>
    <row r="45847" spans="32:32" x14ac:dyDescent="0.2">
      <c r="AF45847" s="12"/>
    </row>
    <row r="45848" spans="32:32" x14ac:dyDescent="0.2">
      <c r="AF45848" s="12"/>
    </row>
    <row r="45849" spans="32:32" x14ac:dyDescent="0.2">
      <c r="AF45849" s="12"/>
    </row>
    <row r="45850" spans="32:32" x14ac:dyDescent="0.2">
      <c r="AF45850" s="12"/>
    </row>
    <row r="45851" spans="32:32" x14ac:dyDescent="0.2">
      <c r="AF45851" s="12"/>
    </row>
    <row r="45852" spans="32:32" x14ac:dyDescent="0.2">
      <c r="AF45852" s="12"/>
    </row>
    <row r="45853" spans="32:32" x14ac:dyDescent="0.2">
      <c r="AF45853" s="12"/>
    </row>
    <row r="45854" spans="32:32" x14ac:dyDescent="0.2">
      <c r="AF45854" s="12"/>
    </row>
    <row r="45855" spans="32:32" x14ac:dyDescent="0.2">
      <c r="AF45855" s="12"/>
    </row>
    <row r="45856" spans="32:32" x14ac:dyDescent="0.2">
      <c r="AF45856" s="12"/>
    </row>
    <row r="45857" spans="32:32" x14ac:dyDescent="0.2">
      <c r="AF45857" s="12"/>
    </row>
    <row r="45858" spans="32:32" x14ac:dyDescent="0.2">
      <c r="AF45858" s="12"/>
    </row>
    <row r="45859" spans="32:32" x14ac:dyDescent="0.2">
      <c r="AF45859" s="12"/>
    </row>
    <row r="45860" spans="32:32" x14ac:dyDescent="0.2">
      <c r="AF45860" s="12"/>
    </row>
    <row r="45861" spans="32:32" x14ac:dyDescent="0.2">
      <c r="AF45861" s="12"/>
    </row>
    <row r="45862" spans="32:32" x14ac:dyDescent="0.2">
      <c r="AF45862" s="12"/>
    </row>
    <row r="45863" spans="32:32" x14ac:dyDescent="0.2">
      <c r="AF45863" s="12"/>
    </row>
    <row r="45864" spans="32:32" x14ac:dyDescent="0.2">
      <c r="AF45864" s="12"/>
    </row>
    <row r="45865" spans="32:32" x14ac:dyDescent="0.2">
      <c r="AF45865" s="12"/>
    </row>
    <row r="45866" spans="32:32" x14ac:dyDescent="0.2">
      <c r="AF45866" s="12"/>
    </row>
    <row r="45867" spans="32:32" x14ac:dyDescent="0.2">
      <c r="AF45867" s="12"/>
    </row>
    <row r="45868" spans="32:32" x14ac:dyDescent="0.2">
      <c r="AF45868" s="12"/>
    </row>
    <row r="45869" spans="32:32" x14ac:dyDescent="0.2">
      <c r="AF45869" s="12"/>
    </row>
    <row r="45870" spans="32:32" x14ac:dyDescent="0.2">
      <c r="AF45870" s="12"/>
    </row>
    <row r="45871" spans="32:32" x14ac:dyDescent="0.2">
      <c r="AF45871" s="12"/>
    </row>
    <row r="45872" spans="32:32" x14ac:dyDescent="0.2">
      <c r="AF45872" s="12"/>
    </row>
    <row r="45873" spans="32:32" x14ac:dyDescent="0.2">
      <c r="AF45873" s="12"/>
    </row>
    <row r="45874" spans="32:32" x14ac:dyDescent="0.2">
      <c r="AF45874" s="12"/>
    </row>
    <row r="45875" spans="32:32" x14ac:dyDescent="0.2">
      <c r="AF45875" s="12"/>
    </row>
    <row r="45876" spans="32:32" x14ac:dyDescent="0.2">
      <c r="AF45876" s="12"/>
    </row>
    <row r="45877" spans="32:32" x14ac:dyDescent="0.2">
      <c r="AF45877" s="12"/>
    </row>
    <row r="45878" spans="32:32" x14ac:dyDescent="0.2">
      <c r="AF45878" s="12"/>
    </row>
    <row r="45879" spans="32:32" x14ac:dyDescent="0.2">
      <c r="AF45879" s="12"/>
    </row>
    <row r="45880" spans="32:32" x14ac:dyDescent="0.2">
      <c r="AF45880" s="12"/>
    </row>
    <row r="45881" spans="32:32" x14ac:dyDescent="0.2">
      <c r="AF45881" s="12"/>
    </row>
    <row r="45882" spans="32:32" x14ac:dyDescent="0.2">
      <c r="AF45882" s="12"/>
    </row>
    <row r="45883" spans="32:32" x14ac:dyDescent="0.2">
      <c r="AF45883" s="12"/>
    </row>
    <row r="45884" spans="32:32" x14ac:dyDescent="0.2">
      <c r="AF45884" s="12"/>
    </row>
    <row r="45885" spans="32:32" x14ac:dyDescent="0.2">
      <c r="AF45885" s="12"/>
    </row>
    <row r="45886" spans="32:32" x14ac:dyDescent="0.2">
      <c r="AF45886" s="12"/>
    </row>
    <row r="45887" spans="32:32" x14ac:dyDescent="0.2">
      <c r="AF45887" s="12"/>
    </row>
    <row r="45888" spans="32:32" x14ac:dyDescent="0.2">
      <c r="AF45888" s="12"/>
    </row>
    <row r="45889" spans="32:32" x14ac:dyDescent="0.2">
      <c r="AF45889" s="12"/>
    </row>
    <row r="45890" spans="32:32" x14ac:dyDescent="0.2">
      <c r="AF45890" s="12"/>
    </row>
    <row r="45891" spans="32:32" x14ac:dyDescent="0.2">
      <c r="AF45891" s="12"/>
    </row>
    <row r="45892" spans="32:32" x14ac:dyDescent="0.2">
      <c r="AF45892" s="12"/>
    </row>
    <row r="45893" spans="32:32" x14ac:dyDescent="0.2">
      <c r="AF45893" s="12"/>
    </row>
    <row r="45894" spans="32:32" x14ac:dyDescent="0.2">
      <c r="AF45894" s="12"/>
    </row>
    <row r="45895" spans="32:32" x14ac:dyDescent="0.2">
      <c r="AF45895" s="12"/>
    </row>
    <row r="45896" spans="32:32" x14ac:dyDescent="0.2">
      <c r="AF45896" s="12"/>
    </row>
    <row r="45897" spans="32:32" x14ac:dyDescent="0.2">
      <c r="AF45897" s="12"/>
    </row>
    <row r="45898" spans="32:32" x14ac:dyDescent="0.2">
      <c r="AF45898" s="12"/>
    </row>
    <row r="45899" spans="32:32" x14ac:dyDescent="0.2">
      <c r="AF45899" s="12"/>
    </row>
    <row r="45900" spans="32:32" x14ac:dyDescent="0.2">
      <c r="AF45900" s="12"/>
    </row>
    <row r="45901" spans="32:32" x14ac:dyDescent="0.2">
      <c r="AF45901" s="12"/>
    </row>
    <row r="45902" spans="32:32" x14ac:dyDescent="0.2">
      <c r="AF45902" s="12"/>
    </row>
    <row r="45903" spans="32:32" x14ac:dyDescent="0.2">
      <c r="AF45903" s="12"/>
    </row>
    <row r="45904" spans="32:32" x14ac:dyDescent="0.2">
      <c r="AF45904" s="12"/>
    </row>
    <row r="45905" spans="32:32" x14ac:dyDescent="0.2">
      <c r="AF45905" s="12"/>
    </row>
    <row r="45906" spans="32:32" x14ac:dyDescent="0.2">
      <c r="AF45906" s="12"/>
    </row>
    <row r="45907" spans="32:32" x14ac:dyDescent="0.2">
      <c r="AF45907" s="12"/>
    </row>
    <row r="45908" spans="32:32" x14ac:dyDescent="0.2">
      <c r="AF45908" s="12"/>
    </row>
    <row r="45909" spans="32:32" x14ac:dyDescent="0.2">
      <c r="AF45909" s="12"/>
    </row>
    <row r="45910" spans="32:32" x14ac:dyDescent="0.2">
      <c r="AF45910" s="12"/>
    </row>
    <row r="45911" spans="32:32" x14ac:dyDescent="0.2">
      <c r="AF45911" s="12"/>
    </row>
    <row r="45912" spans="32:32" x14ac:dyDescent="0.2">
      <c r="AF45912" s="12"/>
    </row>
    <row r="45913" spans="32:32" x14ac:dyDescent="0.2">
      <c r="AF45913" s="12"/>
    </row>
    <row r="45914" spans="32:32" x14ac:dyDescent="0.2">
      <c r="AF45914" s="12"/>
    </row>
    <row r="45915" spans="32:32" x14ac:dyDescent="0.2">
      <c r="AF45915" s="12"/>
    </row>
    <row r="45916" spans="32:32" x14ac:dyDescent="0.2">
      <c r="AF45916" s="12"/>
    </row>
    <row r="45917" spans="32:32" x14ac:dyDescent="0.2">
      <c r="AF45917" s="12"/>
    </row>
    <row r="45918" spans="32:32" x14ac:dyDescent="0.2">
      <c r="AF45918" s="12"/>
    </row>
    <row r="45919" spans="32:32" x14ac:dyDescent="0.2">
      <c r="AF45919" s="12"/>
    </row>
    <row r="45920" spans="32:32" x14ac:dyDescent="0.2">
      <c r="AF45920" s="12"/>
    </row>
    <row r="45921" spans="32:32" x14ac:dyDescent="0.2">
      <c r="AF45921" s="12"/>
    </row>
    <row r="45922" spans="32:32" x14ac:dyDescent="0.2">
      <c r="AF45922" s="12"/>
    </row>
    <row r="45923" spans="32:32" x14ac:dyDescent="0.2">
      <c r="AF45923" s="12"/>
    </row>
    <row r="45924" spans="32:32" x14ac:dyDescent="0.2">
      <c r="AF45924" s="12"/>
    </row>
    <row r="45925" spans="32:32" x14ac:dyDescent="0.2">
      <c r="AF45925" s="12"/>
    </row>
    <row r="45926" spans="32:32" x14ac:dyDescent="0.2">
      <c r="AF45926" s="12"/>
    </row>
    <row r="45927" spans="32:32" x14ac:dyDescent="0.2">
      <c r="AF45927" s="12"/>
    </row>
    <row r="45928" spans="32:32" x14ac:dyDescent="0.2">
      <c r="AF45928" s="12"/>
    </row>
    <row r="45929" spans="32:32" x14ac:dyDescent="0.2">
      <c r="AF45929" s="12"/>
    </row>
    <row r="45930" spans="32:32" x14ac:dyDescent="0.2">
      <c r="AF45930" s="12"/>
    </row>
    <row r="45931" spans="32:32" x14ac:dyDescent="0.2">
      <c r="AF45931" s="12"/>
    </row>
    <row r="45932" spans="32:32" x14ac:dyDescent="0.2">
      <c r="AF45932" s="12"/>
    </row>
    <row r="45933" spans="32:32" x14ac:dyDescent="0.2">
      <c r="AF45933" s="12"/>
    </row>
    <row r="45934" spans="32:32" x14ac:dyDescent="0.2">
      <c r="AF45934" s="12"/>
    </row>
    <row r="45935" spans="32:32" x14ac:dyDescent="0.2">
      <c r="AF45935" s="12"/>
    </row>
    <row r="45936" spans="32:32" x14ac:dyDescent="0.2">
      <c r="AF45936" s="12"/>
    </row>
    <row r="45937" spans="32:32" x14ac:dyDescent="0.2">
      <c r="AF45937" s="12"/>
    </row>
    <row r="45938" spans="32:32" x14ac:dyDescent="0.2">
      <c r="AF45938" s="12"/>
    </row>
    <row r="45939" spans="32:32" x14ac:dyDescent="0.2">
      <c r="AF45939" s="12"/>
    </row>
    <row r="45940" spans="32:32" x14ac:dyDescent="0.2">
      <c r="AF45940" s="12"/>
    </row>
    <row r="45941" spans="32:32" x14ac:dyDescent="0.2">
      <c r="AF45941" s="12"/>
    </row>
    <row r="45942" spans="32:32" x14ac:dyDescent="0.2">
      <c r="AF45942" s="12"/>
    </row>
    <row r="45943" spans="32:32" x14ac:dyDescent="0.2">
      <c r="AF45943" s="12"/>
    </row>
    <row r="45944" spans="32:32" x14ac:dyDescent="0.2">
      <c r="AF45944" s="12"/>
    </row>
    <row r="45945" spans="32:32" x14ac:dyDescent="0.2">
      <c r="AF45945" s="12"/>
    </row>
    <row r="45946" spans="32:32" x14ac:dyDescent="0.2">
      <c r="AF45946" s="12"/>
    </row>
    <row r="45947" spans="32:32" x14ac:dyDescent="0.2">
      <c r="AF45947" s="12"/>
    </row>
    <row r="45948" spans="32:32" x14ac:dyDescent="0.2">
      <c r="AF45948" s="12"/>
    </row>
    <row r="45949" spans="32:32" x14ac:dyDescent="0.2">
      <c r="AF45949" s="12"/>
    </row>
    <row r="45950" spans="32:32" x14ac:dyDescent="0.2">
      <c r="AF45950" s="12"/>
    </row>
    <row r="45951" spans="32:32" x14ac:dyDescent="0.2">
      <c r="AF45951" s="12"/>
    </row>
    <row r="45952" spans="32:32" x14ac:dyDescent="0.2">
      <c r="AF45952" s="12"/>
    </row>
    <row r="45953" spans="32:32" x14ac:dyDescent="0.2">
      <c r="AF45953" s="12"/>
    </row>
    <row r="45954" spans="32:32" x14ac:dyDescent="0.2">
      <c r="AF45954" s="12"/>
    </row>
    <row r="45955" spans="32:32" x14ac:dyDescent="0.2">
      <c r="AF45955" s="12"/>
    </row>
    <row r="45956" spans="32:32" x14ac:dyDescent="0.2">
      <c r="AF45956" s="12"/>
    </row>
    <row r="45957" spans="32:32" x14ac:dyDescent="0.2">
      <c r="AF45957" s="12"/>
    </row>
    <row r="45958" spans="32:32" x14ac:dyDescent="0.2">
      <c r="AF45958" s="12"/>
    </row>
    <row r="45959" spans="32:32" x14ac:dyDescent="0.2">
      <c r="AF45959" s="12"/>
    </row>
    <row r="45960" spans="32:32" x14ac:dyDescent="0.2">
      <c r="AF45960" s="12"/>
    </row>
    <row r="45961" spans="32:32" x14ac:dyDescent="0.2">
      <c r="AF45961" s="12"/>
    </row>
    <row r="45962" spans="32:32" x14ac:dyDescent="0.2">
      <c r="AF45962" s="12"/>
    </row>
    <row r="45963" spans="32:32" x14ac:dyDescent="0.2">
      <c r="AF45963" s="12"/>
    </row>
    <row r="45964" spans="32:32" x14ac:dyDescent="0.2">
      <c r="AF45964" s="12"/>
    </row>
    <row r="45965" spans="32:32" x14ac:dyDescent="0.2">
      <c r="AF45965" s="12"/>
    </row>
    <row r="45966" spans="32:32" x14ac:dyDescent="0.2">
      <c r="AF45966" s="12"/>
    </row>
    <row r="45967" spans="32:32" x14ac:dyDescent="0.2">
      <c r="AF45967" s="12"/>
    </row>
    <row r="45968" spans="32:32" x14ac:dyDescent="0.2">
      <c r="AF45968" s="12"/>
    </row>
    <row r="45969" spans="32:32" x14ac:dyDescent="0.2">
      <c r="AF45969" s="12"/>
    </row>
    <row r="45970" spans="32:32" x14ac:dyDescent="0.2">
      <c r="AF45970" s="12"/>
    </row>
    <row r="45971" spans="32:32" x14ac:dyDescent="0.2">
      <c r="AF45971" s="12"/>
    </row>
    <row r="45972" spans="32:32" x14ac:dyDescent="0.2">
      <c r="AF45972" s="12"/>
    </row>
    <row r="45973" spans="32:32" x14ac:dyDescent="0.2">
      <c r="AF45973" s="12"/>
    </row>
    <row r="45974" spans="32:32" x14ac:dyDescent="0.2">
      <c r="AF45974" s="12"/>
    </row>
    <row r="45975" spans="32:32" x14ac:dyDescent="0.2">
      <c r="AF45975" s="12"/>
    </row>
    <row r="45976" spans="32:32" x14ac:dyDescent="0.2">
      <c r="AF45976" s="12"/>
    </row>
    <row r="45977" spans="32:32" x14ac:dyDescent="0.2">
      <c r="AF45977" s="12"/>
    </row>
    <row r="45978" spans="32:32" x14ac:dyDescent="0.2">
      <c r="AF45978" s="12"/>
    </row>
    <row r="45979" spans="32:32" x14ac:dyDescent="0.2">
      <c r="AF45979" s="12"/>
    </row>
    <row r="45980" spans="32:32" x14ac:dyDescent="0.2">
      <c r="AF45980" s="12"/>
    </row>
    <row r="45981" spans="32:32" x14ac:dyDescent="0.2">
      <c r="AF45981" s="12"/>
    </row>
    <row r="45982" spans="32:32" x14ac:dyDescent="0.2">
      <c r="AF45982" s="12"/>
    </row>
    <row r="45983" spans="32:32" x14ac:dyDescent="0.2">
      <c r="AF45983" s="12"/>
    </row>
    <row r="45984" spans="32:32" x14ac:dyDescent="0.2">
      <c r="AF45984" s="12"/>
    </row>
    <row r="45985" spans="32:32" x14ac:dyDescent="0.2">
      <c r="AF45985" s="12"/>
    </row>
    <row r="45986" spans="32:32" x14ac:dyDescent="0.2">
      <c r="AF45986" s="12"/>
    </row>
    <row r="45987" spans="32:32" x14ac:dyDescent="0.2">
      <c r="AF45987" s="12"/>
    </row>
    <row r="45988" spans="32:32" x14ac:dyDescent="0.2">
      <c r="AF45988" s="12"/>
    </row>
    <row r="45989" spans="32:32" x14ac:dyDescent="0.2">
      <c r="AF45989" s="12"/>
    </row>
    <row r="45990" spans="32:32" x14ac:dyDescent="0.2">
      <c r="AF45990" s="12"/>
    </row>
    <row r="45991" spans="32:32" x14ac:dyDescent="0.2">
      <c r="AF45991" s="12"/>
    </row>
    <row r="45992" spans="32:32" x14ac:dyDescent="0.2">
      <c r="AF45992" s="12"/>
    </row>
    <row r="45993" spans="32:32" x14ac:dyDescent="0.2">
      <c r="AF45993" s="12"/>
    </row>
    <row r="45994" spans="32:32" x14ac:dyDescent="0.2">
      <c r="AF45994" s="12"/>
    </row>
    <row r="45995" spans="32:32" x14ac:dyDescent="0.2">
      <c r="AF45995" s="12"/>
    </row>
    <row r="45996" spans="32:32" x14ac:dyDescent="0.2">
      <c r="AF45996" s="12"/>
    </row>
    <row r="45997" spans="32:32" x14ac:dyDescent="0.2">
      <c r="AF45997" s="12"/>
    </row>
    <row r="45998" spans="32:32" x14ac:dyDescent="0.2">
      <c r="AF45998" s="12"/>
    </row>
    <row r="45999" spans="32:32" x14ac:dyDescent="0.2">
      <c r="AF45999" s="12"/>
    </row>
    <row r="46000" spans="32:32" x14ac:dyDescent="0.2">
      <c r="AF46000" s="12"/>
    </row>
    <row r="46001" spans="32:32" x14ac:dyDescent="0.2">
      <c r="AF46001" s="12"/>
    </row>
    <row r="46002" spans="32:32" x14ac:dyDescent="0.2">
      <c r="AF46002" s="12"/>
    </row>
    <row r="46003" spans="32:32" x14ac:dyDescent="0.2">
      <c r="AF46003" s="12"/>
    </row>
    <row r="46004" spans="32:32" x14ac:dyDescent="0.2">
      <c r="AF46004" s="12"/>
    </row>
    <row r="46005" spans="32:32" x14ac:dyDescent="0.2">
      <c r="AF46005" s="12"/>
    </row>
    <row r="46006" spans="32:32" x14ac:dyDescent="0.2">
      <c r="AF46006" s="12"/>
    </row>
    <row r="46007" spans="32:32" x14ac:dyDescent="0.2">
      <c r="AF46007" s="12"/>
    </row>
    <row r="46008" spans="32:32" x14ac:dyDescent="0.2">
      <c r="AF46008" s="12"/>
    </row>
    <row r="46009" spans="32:32" x14ac:dyDescent="0.2">
      <c r="AF46009" s="12"/>
    </row>
    <row r="46010" spans="32:32" x14ac:dyDescent="0.2">
      <c r="AF46010" s="12"/>
    </row>
    <row r="46011" spans="32:32" x14ac:dyDescent="0.2">
      <c r="AF46011" s="12"/>
    </row>
    <row r="46012" spans="32:32" x14ac:dyDescent="0.2">
      <c r="AF46012" s="12"/>
    </row>
    <row r="46013" spans="32:32" x14ac:dyDescent="0.2">
      <c r="AF46013" s="12"/>
    </row>
    <row r="46014" spans="32:32" x14ac:dyDescent="0.2">
      <c r="AF46014" s="12"/>
    </row>
    <row r="46015" spans="32:32" x14ac:dyDescent="0.2">
      <c r="AF46015" s="12"/>
    </row>
    <row r="46016" spans="32:32" x14ac:dyDescent="0.2">
      <c r="AF46016" s="12"/>
    </row>
    <row r="46017" spans="32:32" x14ac:dyDescent="0.2">
      <c r="AF46017" s="12"/>
    </row>
    <row r="46018" spans="32:32" x14ac:dyDescent="0.2">
      <c r="AF46018" s="12"/>
    </row>
    <row r="46019" spans="32:32" x14ac:dyDescent="0.2">
      <c r="AF46019" s="12"/>
    </row>
    <row r="46020" spans="32:32" x14ac:dyDescent="0.2">
      <c r="AF46020" s="12"/>
    </row>
    <row r="46021" spans="32:32" x14ac:dyDescent="0.2">
      <c r="AF46021" s="12"/>
    </row>
    <row r="46022" spans="32:32" x14ac:dyDescent="0.2">
      <c r="AF46022" s="12"/>
    </row>
    <row r="46023" spans="32:32" x14ac:dyDescent="0.2">
      <c r="AF46023" s="12"/>
    </row>
    <row r="46024" spans="32:32" x14ac:dyDescent="0.2">
      <c r="AF46024" s="12"/>
    </row>
    <row r="46025" spans="32:32" x14ac:dyDescent="0.2">
      <c r="AF46025" s="12"/>
    </row>
    <row r="46026" spans="32:32" x14ac:dyDescent="0.2">
      <c r="AF46026" s="12"/>
    </row>
    <row r="46027" spans="32:32" x14ac:dyDescent="0.2">
      <c r="AF46027" s="12"/>
    </row>
    <row r="46028" spans="32:32" x14ac:dyDescent="0.2">
      <c r="AF46028" s="12"/>
    </row>
    <row r="46029" spans="32:32" x14ac:dyDescent="0.2">
      <c r="AF46029" s="12"/>
    </row>
    <row r="46030" spans="32:32" x14ac:dyDescent="0.2">
      <c r="AF46030" s="12"/>
    </row>
    <row r="46031" spans="32:32" x14ac:dyDescent="0.2">
      <c r="AF46031" s="12"/>
    </row>
    <row r="46032" spans="32:32" x14ac:dyDescent="0.2">
      <c r="AF46032" s="12"/>
    </row>
    <row r="46033" spans="32:32" x14ac:dyDescent="0.2">
      <c r="AF46033" s="12"/>
    </row>
    <row r="46034" spans="32:32" x14ac:dyDescent="0.2">
      <c r="AF46034" s="12"/>
    </row>
    <row r="46035" spans="32:32" x14ac:dyDescent="0.2">
      <c r="AF46035" s="12"/>
    </row>
    <row r="46036" spans="32:32" x14ac:dyDescent="0.2">
      <c r="AF46036" s="12"/>
    </row>
    <row r="46037" spans="32:32" x14ac:dyDescent="0.2">
      <c r="AF46037" s="12"/>
    </row>
    <row r="46038" spans="32:32" x14ac:dyDescent="0.2">
      <c r="AF46038" s="12"/>
    </row>
    <row r="46039" spans="32:32" x14ac:dyDescent="0.2">
      <c r="AF46039" s="12"/>
    </row>
    <row r="46040" spans="32:32" x14ac:dyDescent="0.2">
      <c r="AF46040" s="12"/>
    </row>
    <row r="46041" spans="32:32" x14ac:dyDescent="0.2">
      <c r="AF46041" s="12"/>
    </row>
    <row r="46042" spans="32:32" x14ac:dyDescent="0.2">
      <c r="AF46042" s="12"/>
    </row>
    <row r="46043" spans="32:32" x14ac:dyDescent="0.2">
      <c r="AF46043" s="12"/>
    </row>
    <row r="46044" spans="32:32" x14ac:dyDescent="0.2">
      <c r="AF46044" s="12"/>
    </row>
    <row r="46045" spans="32:32" x14ac:dyDescent="0.2">
      <c r="AF46045" s="12"/>
    </row>
    <row r="46046" spans="32:32" x14ac:dyDescent="0.2">
      <c r="AF46046" s="12"/>
    </row>
    <row r="46047" spans="32:32" x14ac:dyDescent="0.2">
      <c r="AF46047" s="12"/>
    </row>
    <row r="46048" spans="32:32" x14ac:dyDescent="0.2">
      <c r="AF46048" s="12"/>
    </row>
    <row r="46049" spans="32:32" x14ac:dyDescent="0.2">
      <c r="AF46049" s="12"/>
    </row>
    <row r="46050" spans="32:32" x14ac:dyDescent="0.2">
      <c r="AF46050" s="12"/>
    </row>
    <row r="46051" spans="32:32" x14ac:dyDescent="0.2">
      <c r="AF46051" s="12"/>
    </row>
    <row r="46052" spans="32:32" x14ac:dyDescent="0.2">
      <c r="AF46052" s="12"/>
    </row>
    <row r="46053" spans="32:32" x14ac:dyDescent="0.2">
      <c r="AF46053" s="12"/>
    </row>
    <row r="46054" spans="32:32" x14ac:dyDescent="0.2">
      <c r="AF46054" s="12"/>
    </row>
    <row r="46055" spans="32:32" x14ac:dyDescent="0.2">
      <c r="AF46055" s="12"/>
    </row>
    <row r="46056" spans="32:32" x14ac:dyDescent="0.2">
      <c r="AF46056" s="12"/>
    </row>
    <row r="46057" spans="32:32" x14ac:dyDescent="0.2">
      <c r="AF46057" s="12"/>
    </row>
    <row r="46058" spans="32:32" x14ac:dyDescent="0.2">
      <c r="AF46058" s="12"/>
    </row>
    <row r="46059" spans="32:32" x14ac:dyDescent="0.2">
      <c r="AF46059" s="12"/>
    </row>
    <row r="46060" spans="32:32" x14ac:dyDescent="0.2">
      <c r="AF46060" s="12"/>
    </row>
    <row r="46061" spans="32:32" x14ac:dyDescent="0.2">
      <c r="AF46061" s="12"/>
    </row>
    <row r="46062" spans="32:32" x14ac:dyDescent="0.2">
      <c r="AF46062" s="12"/>
    </row>
    <row r="46063" spans="32:32" x14ac:dyDescent="0.2">
      <c r="AF46063" s="12"/>
    </row>
    <row r="46064" spans="32:32" x14ac:dyDescent="0.2">
      <c r="AF46064" s="12"/>
    </row>
    <row r="46065" spans="32:32" x14ac:dyDescent="0.2">
      <c r="AF46065" s="12"/>
    </row>
    <row r="46066" spans="32:32" x14ac:dyDescent="0.2">
      <c r="AF46066" s="12"/>
    </row>
    <row r="46067" spans="32:32" x14ac:dyDescent="0.2">
      <c r="AF46067" s="12"/>
    </row>
    <row r="46068" spans="32:32" x14ac:dyDescent="0.2">
      <c r="AF46068" s="12"/>
    </row>
    <row r="46069" spans="32:32" x14ac:dyDescent="0.2">
      <c r="AF46069" s="12"/>
    </row>
    <row r="46070" spans="32:32" x14ac:dyDescent="0.2">
      <c r="AF46070" s="12"/>
    </row>
    <row r="46071" spans="32:32" x14ac:dyDescent="0.2">
      <c r="AF46071" s="12"/>
    </row>
    <row r="46072" spans="32:32" x14ac:dyDescent="0.2">
      <c r="AF46072" s="12"/>
    </row>
    <row r="46073" spans="32:32" x14ac:dyDescent="0.2">
      <c r="AF46073" s="12"/>
    </row>
    <row r="46074" spans="32:32" x14ac:dyDescent="0.2">
      <c r="AF46074" s="12"/>
    </row>
    <row r="46075" spans="32:32" x14ac:dyDescent="0.2">
      <c r="AF46075" s="12"/>
    </row>
    <row r="46076" spans="32:32" x14ac:dyDescent="0.2">
      <c r="AF46076" s="12"/>
    </row>
    <row r="46077" spans="32:32" x14ac:dyDescent="0.2">
      <c r="AF46077" s="12"/>
    </row>
    <row r="46078" spans="32:32" x14ac:dyDescent="0.2">
      <c r="AF46078" s="12"/>
    </row>
    <row r="46079" spans="32:32" x14ac:dyDescent="0.2">
      <c r="AF46079" s="12"/>
    </row>
    <row r="46080" spans="32:32" x14ac:dyDescent="0.2">
      <c r="AF46080" s="12"/>
    </row>
    <row r="46081" spans="32:32" x14ac:dyDescent="0.2">
      <c r="AF46081" s="12"/>
    </row>
    <row r="46082" spans="32:32" x14ac:dyDescent="0.2">
      <c r="AF46082" s="12"/>
    </row>
    <row r="46083" spans="32:32" x14ac:dyDescent="0.2">
      <c r="AF46083" s="12"/>
    </row>
    <row r="46084" spans="32:32" x14ac:dyDescent="0.2">
      <c r="AF46084" s="12"/>
    </row>
    <row r="46085" spans="32:32" x14ac:dyDescent="0.2">
      <c r="AF46085" s="12"/>
    </row>
    <row r="46086" spans="32:32" x14ac:dyDescent="0.2">
      <c r="AF46086" s="12"/>
    </row>
    <row r="46087" spans="32:32" x14ac:dyDescent="0.2">
      <c r="AF46087" s="12"/>
    </row>
    <row r="46088" spans="32:32" x14ac:dyDescent="0.2">
      <c r="AF46088" s="12"/>
    </row>
    <row r="46089" spans="32:32" x14ac:dyDescent="0.2">
      <c r="AF46089" s="12"/>
    </row>
    <row r="46090" spans="32:32" x14ac:dyDescent="0.2">
      <c r="AF46090" s="12"/>
    </row>
    <row r="46091" spans="32:32" x14ac:dyDescent="0.2">
      <c r="AF46091" s="12"/>
    </row>
    <row r="46092" spans="32:32" x14ac:dyDescent="0.2">
      <c r="AF46092" s="12"/>
    </row>
    <row r="46093" spans="32:32" x14ac:dyDescent="0.2">
      <c r="AF46093" s="12"/>
    </row>
    <row r="46094" spans="32:32" x14ac:dyDescent="0.2">
      <c r="AF46094" s="12"/>
    </row>
    <row r="46095" spans="32:32" x14ac:dyDescent="0.2">
      <c r="AF46095" s="12"/>
    </row>
    <row r="46096" spans="32:32" x14ac:dyDescent="0.2">
      <c r="AF46096" s="12"/>
    </row>
    <row r="46097" spans="32:32" x14ac:dyDescent="0.2">
      <c r="AF46097" s="12"/>
    </row>
    <row r="46098" spans="32:32" x14ac:dyDescent="0.2">
      <c r="AF46098" s="12"/>
    </row>
    <row r="46099" spans="32:32" x14ac:dyDescent="0.2">
      <c r="AF46099" s="12"/>
    </row>
    <row r="46100" spans="32:32" x14ac:dyDescent="0.2">
      <c r="AF46100" s="12"/>
    </row>
    <row r="46101" spans="32:32" x14ac:dyDescent="0.2">
      <c r="AF46101" s="12"/>
    </row>
    <row r="46102" spans="32:32" x14ac:dyDescent="0.2">
      <c r="AF46102" s="12"/>
    </row>
    <row r="46103" spans="32:32" x14ac:dyDescent="0.2">
      <c r="AF46103" s="12"/>
    </row>
    <row r="46104" spans="32:32" x14ac:dyDescent="0.2">
      <c r="AF46104" s="12"/>
    </row>
    <row r="46105" spans="32:32" x14ac:dyDescent="0.2">
      <c r="AF46105" s="12"/>
    </row>
    <row r="46106" spans="32:32" x14ac:dyDescent="0.2">
      <c r="AF46106" s="12"/>
    </row>
    <row r="46107" spans="32:32" x14ac:dyDescent="0.2">
      <c r="AF46107" s="12"/>
    </row>
    <row r="46108" spans="32:32" x14ac:dyDescent="0.2">
      <c r="AF46108" s="12"/>
    </row>
    <row r="46109" spans="32:32" x14ac:dyDescent="0.2">
      <c r="AF46109" s="12"/>
    </row>
    <row r="46110" spans="32:32" x14ac:dyDescent="0.2">
      <c r="AF46110" s="12"/>
    </row>
    <row r="46111" spans="32:32" x14ac:dyDescent="0.2">
      <c r="AF46111" s="12"/>
    </row>
    <row r="46112" spans="32:32" x14ac:dyDescent="0.2">
      <c r="AF46112" s="12"/>
    </row>
    <row r="46113" spans="32:32" x14ac:dyDescent="0.2">
      <c r="AF46113" s="12"/>
    </row>
    <row r="46114" spans="32:32" x14ac:dyDescent="0.2">
      <c r="AF46114" s="12"/>
    </row>
    <row r="46115" spans="32:32" x14ac:dyDescent="0.2">
      <c r="AF46115" s="12"/>
    </row>
    <row r="46116" spans="32:32" x14ac:dyDescent="0.2">
      <c r="AF46116" s="12"/>
    </row>
    <row r="46117" spans="32:32" x14ac:dyDescent="0.2">
      <c r="AF46117" s="12"/>
    </row>
    <row r="46118" spans="32:32" x14ac:dyDescent="0.2">
      <c r="AF46118" s="12"/>
    </row>
    <row r="46119" spans="32:32" x14ac:dyDescent="0.2">
      <c r="AF46119" s="12"/>
    </row>
    <row r="46120" spans="32:32" x14ac:dyDescent="0.2">
      <c r="AF46120" s="12"/>
    </row>
    <row r="46121" spans="32:32" x14ac:dyDescent="0.2">
      <c r="AF46121" s="12"/>
    </row>
    <row r="46122" spans="32:32" x14ac:dyDescent="0.2">
      <c r="AF46122" s="12"/>
    </row>
    <row r="46123" spans="32:32" x14ac:dyDescent="0.2">
      <c r="AF46123" s="12"/>
    </row>
    <row r="46124" spans="32:32" x14ac:dyDescent="0.2">
      <c r="AF46124" s="12"/>
    </row>
    <row r="46125" spans="32:32" x14ac:dyDescent="0.2">
      <c r="AF46125" s="12"/>
    </row>
    <row r="46126" spans="32:32" x14ac:dyDescent="0.2">
      <c r="AF46126" s="12"/>
    </row>
    <row r="46127" spans="32:32" x14ac:dyDescent="0.2">
      <c r="AF46127" s="12"/>
    </row>
    <row r="46128" spans="32:32" x14ac:dyDescent="0.2">
      <c r="AF46128" s="12"/>
    </row>
    <row r="46129" spans="32:32" x14ac:dyDescent="0.2">
      <c r="AF46129" s="12"/>
    </row>
    <row r="46130" spans="32:32" x14ac:dyDescent="0.2">
      <c r="AF46130" s="12"/>
    </row>
    <row r="46131" spans="32:32" x14ac:dyDescent="0.2">
      <c r="AF46131" s="12"/>
    </row>
    <row r="46132" spans="32:32" x14ac:dyDescent="0.2">
      <c r="AF46132" s="12"/>
    </row>
    <row r="46133" spans="32:32" x14ac:dyDescent="0.2">
      <c r="AF46133" s="12"/>
    </row>
    <row r="46134" spans="32:32" x14ac:dyDescent="0.2">
      <c r="AF46134" s="12"/>
    </row>
    <row r="46135" spans="32:32" x14ac:dyDescent="0.2">
      <c r="AF46135" s="12"/>
    </row>
    <row r="46136" spans="32:32" x14ac:dyDescent="0.2">
      <c r="AF46136" s="12"/>
    </row>
    <row r="46137" spans="32:32" x14ac:dyDescent="0.2">
      <c r="AF46137" s="12"/>
    </row>
    <row r="46138" spans="32:32" x14ac:dyDescent="0.2">
      <c r="AF46138" s="12"/>
    </row>
    <row r="46139" spans="32:32" x14ac:dyDescent="0.2">
      <c r="AF46139" s="12"/>
    </row>
    <row r="46140" spans="32:32" x14ac:dyDescent="0.2">
      <c r="AF46140" s="12"/>
    </row>
    <row r="46141" spans="32:32" x14ac:dyDescent="0.2">
      <c r="AF46141" s="12"/>
    </row>
    <row r="46142" spans="32:32" x14ac:dyDescent="0.2">
      <c r="AF46142" s="12"/>
    </row>
    <row r="46143" spans="32:32" x14ac:dyDescent="0.2">
      <c r="AF46143" s="12"/>
    </row>
    <row r="46144" spans="32:32" x14ac:dyDescent="0.2">
      <c r="AF46144" s="12"/>
    </row>
    <row r="46145" spans="32:32" x14ac:dyDescent="0.2">
      <c r="AF46145" s="12"/>
    </row>
    <row r="46146" spans="32:32" x14ac:dyDescent="0.2">
      <c r="AF46146" s="12"/>
    </row>
    <row r="46147" spans="32:32" x14ac:dyDescent="0.2">
      <c r="AF46147" s="12"/>
    </row>
    <row r="46148" spans="32:32" x14ac:dyDescent="0.2">
      <c r="AF46148" s="12"/>
    </row>
    <row r="46149" spans="32:32" x14ac:dyDescent="0.2">
      <c r="AF46149" s="12"/>
    </row>
    <row r="46150" spans="32:32" x14ac:dyDescent="0.2">
      <c r="AF46150" s="12"/>
    </row>
    <row r="46151" spans="32:32" x14ac:dyDescent="0.2">
      <c r="AF46151" s="12"/>
    </row>
    <row r="46152" spans="32:32" x14ac:dyDescent="0.2">
      <c r="AF46152" s="12"/>
    </row>
    <row r="46153" spans="32:32" x14ac:dyDescent="0.2">
      <c r="AF46153" s="12"/>
    </row>
    <row r="46154" spans="32:32" x14ac:dyDescent="0.2">
      <c r="AF46154" s="12"/>
    </row>
    <row r="46155" spans="32:32" x14ac:dyDescent="0.2">
      <c r="AF46155" s="12"/>
    </row>
    <row r="46156" spans="32:32" x14ac:dyDescent="0.2">
      <c r="AF46156" s="12"/>
    </row>
    <row r="46157" spans="32:32" x14ac:dyDescent="0.2">
      <c r="AF46157" s="12"/>
    </row>
    <row r="46158" spans="32:32" x14ac:dyDescent="0.2">
      <c r="AF46158" s="12"/>
    </row>
    <row r="46159" spans="32:32" x14ac:dyDescent="0.2">
      <c r="AF46159" s="12"/>
    </row>
    <row r="46160" spans="32:32" x14ac:dyDescent="0.2">
      <c r="AF46160" s="12"/>
    </row>
    <row r="46161" spans="32:32" x14ac:dyDescent="0.2">
      <c r="AF46161" s="12"/>
    </row>
    <row r="46162" spans="32:32" x14ac:dyDescent="0.2">
      <c r="AF46162" s="12"/>
    </row>
    <row r="46163" spans="32:32" x14ac:dyDescent="0.2">
      <c r="AF46163" s="12"/>
    </row>
    <row r="46164" spans="32:32" x14ac:dyDescent="0.2">
      <c r="AF46164" s="12"/>
    </row>
    <row r="46165" spans="32:32" x14ac:dyDescent="0.2">
      <c r="AF46165" s="12"/>
    </row>
    <row r="46166" spans="32:32" x14ac:dyDescent="0.2">
      <c r="AF46166" s="12"/>
    </row>
    <row r="46167" spans="32:32" x14ac:dyDescent="0.2">
      <c r="AF46167" s="12"/>
    </row>
    <row r="46168" spans="32:32" x14ac:dyDescent="0.2">
      <c r="AF46168" s="12"/>
    </row>
    <row r="46169" spans="32:32" x14ac:dyDescent="0.2">
      <c r="AF46169" s="12"/>
    </row>
    <row r="46170" spans="32:32" x14ac:dyDescent="0.2">
      <c r="AF46170" s="12"/>
    </row>
    <row r="46171" spans="32:32" x14ac:dyDescent="0.2">
      <c r="AF46171" s="12"/>
    </row>
    <row r="46172" spans="32:32" x14ac:dyDescent="0.2">
      <c r="AF46172" s="12"/>
    </row>
    <row r="46173" spans="32:32" x14ac:dyDescent="0.2">
      <c r="AF46173" s="12"/>
    </row>
    <row r="46174" spans="32:32" x14ac:dyDescent="0.2">
      <c r="AF46174" s="12"/>
    </row>
    <row r="46175" spans="32:32" x14ac:dyDescent="0.2">
      <c r="AF46175" s="12"/>
    </row>
    <row r="46176" spans="32:32" x14ac:dyDescent="0.2">
      <c r="AF46176" s="12"/>
    </row>
    <row r="46177" spans="32:32" x14ac:dyDescent="0.2">
      <c r="AF46177" s="12"/>
    </row>
    <row r="46178" spans="32:32" x14ac:dyDescent="0.2">
      <c r="AF46178" s="12"/>
    </row>
    <row r="46179" spans="32:32" x14ac:dyDescent="0.2">
      <c r="AF46179" s="12"/>
    </row>
    <row r="46180" spans="32:32" x14ac:dyDescent="0.2">
      <c r="AF46180" s="12"/>
    </row>
    <row r="46181" spans="32:32" x14ac:dyDescent="0.2">
      <c r="AF46181" s="12"/>
    </row>
    <row r="46182" spans="32:32" x14ac:dyDescent="0.2">
      <c r="AF46182" s="12"/>
    </row>
    <row r="46183" spans="32:32" x14ac:dyDescent="0.2">
      <c r="AF46183" s="12"/>
    </row>
    <row r="46184" spans="32:32" x14ac:dyDescent="0.2">
      <c r="AF46184" s="12"/>
    </row>
    <row r="46185" spans="32:32" x14ac:dyDescent="0.2">
      <c r="AF46185" s="12"/>
    </row>
    <row r="46186" spans="32:32" x14ac:dyDescent="0.2">
      <c r="AF46186" s="12"/>
    </row>
    <row r="46187" spans="32:32" x14ac:dyDescent="0.2">
      <c r="AF46187" s="12"/>
    </row>
    <row r="46188" spans="32:32" x14ac:dyDescent="0.2">
      <c r="AF46188" s="12"/>
    </row>
    <row r="46189" spans="32:32" x14ac:dyDescent="0.2">
      <c r="AF46189" s="12"/>
    </row>
    <row r="46190" spans="32:32" x14ac:dyDescent="0.2">
      <c r="AF46190" s="12"/>
    </row>
    <row r="46191" spans="32:32" x14ac:dyDescent="0.2">
      <c r="AF46191" s="12"/>
    </row>
    <row r="46192" spans="32:32" x14ac:dyDescent="0.2">
      <c r="AF46192" s="12"/>
    </row>
    <row r="46193" spans="32:32" x14ac:dyDescent="0.2">
      <c r="AF46193" s="12"/>
    </row>
    <row r="46194" spans="32:32" x14ac:dyDescent="0.2">
      <c r="AF46194" s="12"/>
    </row>
    <row r="46195" spans="32:32" x14ac:dyDescent="0.2">
      <c r="AF46195" s="12"/>
    </row>
    <row r="46196" spans="32:32" x14ac:dyDescent="0.2">
      <c r="AF46196" s="12"/>
    </row>
    <row r="46197" spans="32:32" x14ac:dyDescent="0.2">
      <c r="AF46197" s="12"/>
    </row>
    <row r="46198" spans="32:32" x14ac:dyDescent="0.2">
      <c r="AF46198" s="12"/>
    </row>
    <row r="46199" spans="32:32" x14ac:dyDescent="0.2">
      <c r="AF46199" s="12"/>
    </row>
    <row r="46200" spans="32:32" x14ac:dyDescent="0.2">
      <c r="AF46200" s="12"/>
    </row>
    <row r="46201" spans="32:32" x14ac:dyDescent="0.2">
      <c r="AF46201" s="12"/>
    </row>
    <row r="46202" spans="32:32" x14ac:dyDescent="0.2">
      <c r="AF46202" s="12"/>
    </row>
    <row r="46203" spans="32:32" x14ac:dyDescent="0.2">
      <c r="AF46203" s="12"/>
    </row>
    <row r="46204" spans="32:32" x14ac:dyDescent="0.2">
      <c r="AF46204" s="12"/>
    </row>
    <row r="46205" spans="32:32" x14ac:dyDescent="0.2">
      <c r="AF46205" s="12"/>
    </row>
    <row r="46206" spans="32:32" x14ac:dyDescent="0.2">
      <c r="AF46206" s="12"/>
    </row>
    <row r="46207" spans="32:32" x14ac:dyDescent="0.2">
      <c r="AF46207" s="12"/>
    </row>
    <row r="46208" spans="32:32" x14ac:dyDescent="0.2">
      <c r="AF46208" s="12"/>
    </row>
    <row r="46209" spans="32:32" x14ac:dyDescent="0.2">
      <c r="AF46209" s="12"/>
    </row>
    <row r="46210" spans="32:32" x14ac:dyDescent="0.2">
      <c r="AF46210" s="12"/>
    </row>
    <row r="46211" spans="32:32" x14ac:dyDescent="0.2">
      <c r="AF46211" s="12"/>
    </row>
    <row r="46212" spans="32:32" x14ac:dyDescent="0.2">
      <c r="AF46212" s="12"/>
    </row>
    <row r="46213" spans="32:32" x14ac:dyDescent="0.2">
      <c r="AF46213" s="12"/>
    </row>
    <row r="46214" spans="32:32" x14ac:dyDescent="0.2">
      <c r="AF46214" s="12"/>
    </row>
    <row r="46215" spans="32:32" x14ac:dyDescent="0.2">
      <c r="AF46215" s="12"/>
    </row>
    <row r="46216" spans="32:32" x14ac:dyDescent="0.2">
      <c r="AF46216" s="12"/>
    </row>
    <row r="46217" spans="32:32" x14ac:dyDescent="0.2">
      <c r="AF46217" s="12"/>
    </row>
    <row r="46218" spans="32:32" x14ac:dyDescent="0.2">
      <c r="AF46218" s="12"/>
    </row>
    <row r="46219" spans="32:32" x14ac:dyDescent="0.2">
      <c r="AF46219" s="12"/>
    </row>
    <row r="46220" spans="32:32" x14ac:dyDescent="0.2">
      <c r="AF46220" s="12"/>
    </row>
    <row r="46221" spans="32:32" x14ac:dyDescent="0.2">
      <c r="AF46221" s="12"/>
    </row>
    <row r="46222" spans="32:32" x14ac:dyDescent="0.2">
      <c r="AF46222" s="12"/>
    </row>
    <row r="46223" spans="32:32" x14ac:dyDescent="0.2">
      <c r="AF46223" s="12"/>
    </row>
    <row r="46224" spans="32:32" x14ac:dyDescent="0.2">
      <c r="AF46224" s="12"/>
    </row>
    <row r="46225" spans="32:32" x14ac:dyDescent="0.2">
      <c r="AF46225" s="12"/>
    </row>
    <row r="46226" spans="32:32" x14ac:dyDescent="0.2">
      <c r="AF46226" s="12"/>
    </row>
    <row r="46227" spans="32:32" x14ac:dyDescent="0.2">
      <c r="AF46227" s="12"/>
    </row>
    <row r="46228" spans="32:32" x14ac:dyDescent="0.2">
      <c r="AF46228" s="12"/>
    </row>
    <row r="46229" spans="32:32" x14ac:dyDescent="0.2">
      <c r="AF46229" s="12"/>
    </row>
    <row r="46230" spans="32:32" x14ac:dyDescent="0.2">
      <c r="AF46230" s="12"/>
    </row>
    <row r="46231" spans="32:32" x14ac:dyDescent="0.2">
      <c r="AF46231" s="12"/>
    </row>
    <row r="46232" spans="32:32" x14ac:dyDescent="0.2">
      <c r="AF46232" s="12"/>
    </row>
    <row r="46233" spans="32:32" x14ac:dyDescent="0.2">
      <c r="AF46233" s="12"/>
    </row>
    <row r="46234" spans="32:32" x14ac:dyDescent="0.2">
      <c r="AF46234" s="12"/>
    </row>
    <row r="46235" spans="32:32" x14ac:dyDescent="0.2">
      <c r="AF46235" s="12"/>
    </row>
    <row r="46236" spans="32:32" x14ac:dyDescent="0.2">
      <c r="AF46236" s="12"/>
    </row>
    <row r="46237" spans="32:32" x14ac:dyDescent="0.2">
      <c r="AF46237" s="12"/>
    </row>
    <row r="46238" spans="32:32" x14ac:dyDescent="0.2">
      <c r="AF46238" s="12"/>
    </row>
    <row r="46239" spans="32:32" x14ac:dyDescent="0.2">
      <c r="AF46239" s="12"/>
    </row>
    <row r="46240" spans="32:32" x14ac:dyDescent="0.2">
      <c r="AF46240" s="12"/>
    </row>
    <row r="46241" spans="32:32" x14ac:dyDescent="0.2">
      <c r="AF46241" s="12"/>
    </row>
    <row r="46242" spans="32:32" x14ac:dyDescent="0.2">
      <c r="AF46242" s="12"/>
    </row>
    <row r="46243" spans="32:32" x14ac:dyDescent="0.2">
      <c r="AF46243" s="12"/>
    </row>
    <row r="46244" spans="32:32" x14ac:dyDescent="0.2">
      <c r="AF46244" s="12"/>
    </row>
    <row r="46245" spans="32:32" x14ac:dyDescent="0.2">
      <c r="AF46245" s="12"/>
    </row>
    <row r="46246" spans="32:32" x14ac:dyDescent="0.2">
      <c r="AF46246" s="12"/>
    </row>
    <row r="46247" spans="32:32" x14ac:dyDescent="0.2">
      <c r="AF46247" s="12"/>
    </row>
    <row r="46248" spans="32:32" x14ac:dyDescent="0.2">
      <c r="AF46248" s="12"/>
    </row>
    <row r="46249" spans="32:32" x14ac:dyDescent="0.2">
      <c r="AF46249" s="12"/>
    </row>
    <row r="46250" spans="32:32" x14ac:dyDescent="0.2">
      <c r="AF46250" s="12"/>
    </row>
    <row r="46251" spans="32:32" x14ac:dyDescent="0.2">
      <c r="AF46251" s="12"/>
    </row>
    <row r="46252" spans="32:32" x14ac:dyDescent="0.2">
      <c r="AF46252" s="12"/>
    </row>
    <row r="46253" spans="32:32" x14ac:dyDescent="0.2">
      <c r="AF46253" s="12"/>
    </row>
    <row r="46254" spans="32:32" x14ac:dyDescent="0.2">
      <c r="AF46254" s="12"/>
    </row>
    <row r="46255" spans="32:32" x14ac:dyDescent="0.2">
      <c r="AF46255" s="12"/>
    </row>
    <row r="46256" spans="32:32" x14ac:dyDescent="0.2">
      <c r="AF46256" s="12"/>
    </row>
    <row r="46257" spans="32:32" x14ac:dyDescent="0.2">
      <c r="AF46257" s="12"/>
    </row>
    <row r="46258" spans="32:32" x14ac:dyDescent="0.2">
      <c r="AF46258" s="12"/>
    </row>
    <row r="46259" spans="32:32" x14ac:dyDescent="0.2">
      <c r="AF46259" s="12"/>
    </row>
    <row r="46260" spans="32:32" x14ac:dyDescent="0.2">
      <c r="AF46260" s="12"/>
    </row>
    <row r="46261" spans="32:32" x14ac:dyDescent="0.2">
      <c r="AF46261" s="12"/>
    </row>
    <row r="46262" spans="32:32" x14ac:dyDescent="0.2">
      <c r="AF46262" s="12"/>
    </row>
    <row r="46263" spans="32:32" x14ac:dyDescent="0.2">
      <c r="AF46263" s="12"/>
    </row>
    <row r="46264" spans="32:32" x14ac:dyDescent="0.2">
      <c r="AF46264" s="12"/>
    </row>
    <row r="46265" spans="32:32" x14ac:dyDescent="0.2">
      <c r="AF46265" s="12"/>
    </row>
    <row r="46266" spans="32:32" x14ac:dyDescent="0.2">
      <c r="AF46266" s="12"/>
    </row>
    <row r="46267" spans="32:32" x14ac:dyDescent="0.2">
      <c r="AF46267" s="12"/>
    </row>
    <row r="46268" spans="32:32" x14ac:dyDescent="0.2">
      <c r="AF46268" s="12"/>
    </row>
    <row r="46269" spans="32:32" x14ac:dyDescent="0.2">
      <c r="AF46269" s="12"/>
    </row>
    <row r="46270" spans="32:32" x14ac:dyDescent="0.2">
      <c r="AF46270" s="12"/>
    </row>
    <row r="46271" spans="32:32" x14ac:dyDescent="0.2">
      <c r="AF46271" s="12"/>
    </row>
    <row r="46272" spans="32:32" x14ac:dyDescent="0.2">
      <c r="AF46272" s="12"/>
    </row>
    <row r="46273" spans="32:32" x14ac:dyDescent="0.2">
      <c r="AF46273" s="12"/>
    </row>
    <row r="46274" spans="32:32" x14ac:dyDescent="0.2">
      <c r="AF46274" s="12"/>
    </row>
    <row r="46275" spans="32:32" x14ac:dyDescent="0.2">
      <c r="AF46275" s="12"/>
    </row>
    <row r="46276" spans="32:32" x14ac:dyDescent="0.2">
      <c r="AF46276" s="12"/>
    </row>
    <row r="46277" spans="32:32" x14ac:dyDescent="0.2">
      <c r="AF46277" s="12"/>
    </row>
    <row r="46278" spans="32:32" x14ac:dyDescent="0.2">
      <c r="AF46278" s="12"/>
    </row>
    <row r="46279" spans="32:32" x14ac:dyDescent="0.2">
      <c r="AF46279" s="12"/>
    </row>
    <row r="46280" spans="32:32" x14ac:dyDescent="0.2">
      <c r="AF46280" s="12"/>
    </row>
    <row r="46281" spans="32:32" x14ac:dyDescent="0.2">
      <c r="AF46281" s="12"/>
    </row>
    <row r="46282" spans="32:32" x14ac:dyDescent="0.2">
      <c r="AF46282" s="12"/>
    </row>
    <row r="46283" spans="32:32" x14ac:dyDescent="0.2">
      <c r="AF46283" s="12"/>
    </row>
    <row r="46284" spans="32:32" x14ac:dyDescent="0.2">
      <c r="AF46284" s="12"/>
    </row>
    <row r="46285" spans="32:32" x14ac:dyDescent="0.2">
      <c r="AF46285" s="12"/>
    </row>
    <row r="46286" spans="32:32" x14ac:dyDescent="0.2">
      <c r="AF46286" s="12"/>
    </row>
    <row r="46287" spans="32:32" x14ac:dyDescent="0.2">
      <c r="AF46287" s="12"/>
    </row>
    <row r="46288" spans="32:32" x14ac:dyDescent="0.2">
      <c r="AF46288" s="12"/>
    </row>
    <row r="46289" spans="32:32" x14ac:dyDescent="0.2">
      <c r="AF46289" s="12"/>
    </row>
    <row r="46290" spans="32:32" x14ac:dyDescent="0.2">
      <c r="AF46290" s="12"/>
    </row>
    <row r="46291" spans="32:32" x14ac:dyDescent="0.2">
      <c r="AF46291" s="12"/>
    </row>
    <row r="46292" spans="32:32" x14ac:dyDescent="0.2">
      <c r="AF46292" s="12"/>
    </row>
    <row r="46293" spans="32:32" x14ac:dyDescent="0.2">
      <c r="AF46293" s="12"/>
    </row>
    <row r="46294" spans="32:32" x14ac:dyDescent="0.2">
      <c r="AF46294" s="12"/>
    </row>
    <row r="46295" spans="32:32" x14ac:dyDescent="0.2">
      <c r="AF46295" s="12"/>
    </row>
    <row r="46296" spans="32:32" x14ac:dyDescent="0.2">
      <c r="AF46296" s="12"/>
    </row>
    <row r="46297" spans="32:32" x14ac:dyDescent="0.2">
      <c r="AF46297" s="12"/>
    </row>
    <row r="46298" spans="32:32" x14ac:dyDescent="0.2">
      <c r="AF46298" s="12"/>
    </row>
    <row r="46299" spans="32:32" x14ac:dyDescent="0.2">
      <c r="AF46299" s="12"/>
    </row>
    <row r="46300" spans="32:32" x14ac:dyDescent="0.2">
      <c r="AF46300" s="12"/>
    </row>
    <row r="46301" spans="32:32" x14ac:dyDescent="0.2">
      <c r="AF46301" s="12"/>
    </row>
    <row r="46302" spans="32:32" x14ac:dyDescent="0.2">
      <c r="AF46302" s="12"/>
    </row>
    <row r="46303" spans="32:32" x14ac:dyDescent="0.2">
      <c r="AF46303" s="12"/>
    </row>
    <row r="46304" spans="32:32" x14ac:dyDescent="0.2">
      <c r="AF46304" s="12"/>
    </row>
    <row r="46305" spans="32:32" x14ac:dyDescent="0.2">
      <c r="AF46305" s="12"/>
    </row>
    <row r="46306" spans="32:32" x14ac:dyDescent="0.2">
      <c r="AF46306" s="12"/>
    </row>
    <row r="46307" spans="32:32" x14ac:dyDescent="0.2">
      <c r="AF46307" s="12"/>
    </row>
    <row r="46308" spans="32:32" x14ac:dyDescent="0.2">
      <c r="AF46308" s="12"/>
    </row>
    <row r="46309" spans="32:32" x14ac:dyDescent="0.2">
      <c r="AF46309" s="12"/>
    </row>
    <row r="46310" spans="32:32" x14ac:dyDescent="0.2">
      <c r="AF46310" s="12"/>
    </row>
    <row r="46311" spans="32:32" x14ac:dyDescent="0.2">
      <c r="AF46311" s="12"/>
    </row>
    <row r="46312" spans="32:32" x14ac:dyDescent="0.2">
      <c r="AF46312" s="12"/>
    </row>
    <row r="46313" spans="32:32" x14ac:dyDescent="0.2">
      <c r="AF46313" s="12"/>
    </row>
    <row r="46314" spans="32:32" x14ac:dyDescent="0.2">
      <c r="AF46314" s="12"/>
    </row>
    <row r="46315" spans="32:32" x14ac:dyDescent="0.2">
      <c r="AF46315" s="12"/>
    </row>
    <row r="46316" spans="32:32" x14ac:dyDescent="0.2">
      <c r="AF46316" s="12"/>
    </row>
    <row r="46317" spans="32:32" x14ac:dyDescent="0.2">
      <c r="AF46317" s="12"/>
    </row>
    <row r="46318" spans="32:32" x14ac:dyDescent="0.2">
      <c r="AF46318" s="12"/>
    </row>
    <row r="46319" spans="32:32" x14ac:dyDescent="0.2">
      <c r="AF46319" s="12"/>
    </row>
    <row r="46320" spans="32:32" x14ac:dyDescent="0.2">
      <c r="AF46320" s="12"/>
    </row>
    <row r="46321" spans="32:32" x14ac:dyDescent="0.2">
      <c r="AF46321" s="12"/>
    </row>
    <row r="46322" spans="32:32" x14ac:dyDescent="0.2">
      <c r="AF46322" s="12"/>
    </row>
    <row r="46323" spans="32:32" x14ac:dyDescent="0.2">
      <c r="AF46323" s="12"/>
    </row>
    <row r="46324" spans="32:32" x14ac:dyDescent="0.2">
      <c r="AF46324" s="12"/>
    </row>
    <row r="46325" spans="32:32" x14ac:dyDescent="0.2">
      <c r="AF46325" s="12"/>
    </row>
    <row r="46326" spans="32:32" x14ac:dyDescent="0.2">
      <c r="AF46326" s="12"/>
    </row>
    <row r="46327" spans="32:32" x14ac:dyDescent="0.2">
      <c r="AF46327" s="12"/>
    </row>
    <row r="46328" spans="32:32" x14ac:dyDescent="0.2">
      <c r="AF46328" s="12"/>
    </row>
    <row r="46329" spans="32:32" x14ac:dyDescent="0.2">
      <c r="AF46329" s="12"/>
    </row>
    <row r="46330" spans="32:32" x14ac:dyDescent="0.2">
      <c r="AF46330" s="12"/>
    </row>
    <row r="46331" spans="32:32" x14ac:dyDescent="0.2">
      <c r="AF46331" s="12"/>
    </row>
    <row r="46332" spans="32:32" x14ac:dyDescent="0.2">
      <c r="AF46332" s="12"/>
    </row>
    <row r="46333" spans="32:32" x14ac:dyDescent="0.2">
      <c r="AF46333" s="12"/>
    </row>
    <row r="46334" spans="32:32" x14ac:dyDescent="0.2">
      <c r="AF46334" s="12"/>
    </row>
    <row r="46335" spans="32:32" x14ac:dyDescent="0.2">
      <c r="AF46335" s="12"/>
    </row>
    <row r="46336" spans="32:32" x14ac:dyDescent="0.2">
      <c r="AF46336" s="12"/>
    </row>
    <row r="46337" spans="32:32" x14ac:dyDescent="0.2">
      <c r="AF46337" s="12"/>
    </row>
    <row r="46338" spans="32:32" x14ac:dyDescent="0.2">
      <c r="AF46338" s="12"/>
    </row>
    <row r="46339" spans="32:32" x14ac:dyDescent="0.2">
      <c r="AF46339" s="12"/>
    </row>
    <row r="46340" spans="32:32" x14ac:dyDescent="0.2">
      <c r="AF46340" s="12"/>
    </row>
    <row r="46341" spans="32:32" x14ac:dyDescent="0.2">
      <c r="AF46341" s="12"/>
    </row>
    <row r="46342" spans="32:32" x14ac:dyDescent="0.2">
      <c r="AF46342" s="12"/>
    </row>
    <row r="46343" spans="32:32" x14ac:dyDescent="0.2">
      <c r="AF46343" s="12"/>
    </row>
    <row r="46344" spans="32:32" x14ac:dyDescent="0.2">
      <c r="AF46344" s="12"/>
    </row>
    <row r="46345" spans="32:32" x14ac:dyDescent="0.2">
      <c r="AF46345" s="12"/>
    </row>
    <row r="46346" spans="32:32" x14ac:dyDescent="0.2">
      <c r="AF46346" s="12"/>
    </row>
    <row r="46347" spans="32:32" x14ac:dyDescent="0.2">
      <c r="AF46347" s="12"/>
    </row>
    <row r="46348" spans="32:32" x14ac:dyDescent="0.2">
      <c r="AF46348" s="12"/>
    </row>
    <row r="46349" spans="32:32" x14ac:dyDescent="0.2">
      <c r="AF46349" s="12"/>
    </row>
    <row r="46350" spans="32:32" x14ac:dyDescent="0.2">
      <c r="AF46350" s="12"/>
    </row>
    <row r="46351" spans="32:32" x14ac:dyDescent="0.2">
      <c r="AF46351" s="12"/>
    </row>
    <row r="46352" spans="32:32" x14ac:dyDescent="0.2">
      <c r="AF46352" s="12"/>
    </row>
    <row r="46353" spans="32:32" x14ac:dyDescent="0.2">
      <c r="AF46353" s="12"/>
    </row>
    <row r="46354" spans="32:32" x14ac:dyDescent="0.2">
      <c r="AF46354" s="12"/>
    </row>
    <row r="46355" spans="32:32" x14ac:dyDescent="0.2">
      <c r="AF46355" s="12"/>
    </row>
    <row r="46356" spans="32:32" x14ac:dyDescent="0.2">
      <c r="AF46356" s="12"/>
    </row>
    <row r="46357" spans="32:32" x14ac:dyDescent="0.2">
      <c r="AF46357" s="12"/>
    </row>
    <row r="46358" spans="32:32" x14ac:dyDescent="0.2">
      <c r="AF46358" s="12"/>
    </row>
    <row r="46359" spans="32:32" x14ac:dyDescent="0.2">
      <c r="AF46359" s="12"/>
    </row>
    <row r="46360" spans="32:32" x14ac:dyDescent="0.2">
      <c r="AF46360" s="12"/>
    </row>
    <row r="46361" spans="32:32" x14ac:dyDescent="0.2">
      <c r="AF46361" s="12"/>
    </row>
    <row r="46362" spans="32:32" x14ac:dyDescent="0.2">
      <c r="AF46362" s="12"/>
    </row>
    <row r="46363" spans="32:32" x14ac:dyDescent="0.2">
      <c r="AF46363" s="12"/>
    </row>
    <row r="46364" spans="32:32" x14ac:dyDescent="0.2">
      <c r="AF46364" s="12"/>
    </row>
    <row r="46365" spans="32:32" x14ac:dyDescent="0.2">
      <c r="AF46365" s="12"/>
    </row>
    <row r="46366" spans="32:32" x14ac:dyDescent="0.2">
      <c r="AF46366" s="12"/>
    </row>
    <row r="46367" spans="32:32" x14ac:dyDescent="0.2">
      <c r="AF46367" s="12"/>
    </row>
    <row r="46368" spans="32:32" x14ac:dyDescent="0.2">
      <c r="AF46368" s="12"/>
    </row>
    <row r="46369" spans="32:32" x14ac:dyDescent="0.2">
      <c r="AF46369" s="12"/>
    </row>
    <row r="46370" spans="32:32" x14ac:dyDescent="0.2">
      <c r="AF46370" s="12"/>
    </row>
    <row r="46371" spans="32:32" x14ac:dyDescent="0.2">
      <c r="AF46371" s="12"/>
    </row>
    <row r="46372" spans="32:32" x14ac:dyDescent="0.2">
      <c r="AF46372" s="12"/>
    </row>
    <row r="46373" spans="32:32" x14ac:dyDescent="0.2">
      <c r="AF46373" s="12"/>
    </row>
    <row r="46374" spans="32:32" x14ac:dyDescent="0.2">
      <c r="AF46374" s="12"/>
    </row>
    <row r="46375" spans="32:32" x14ac:dyDescent="0.2">
      <c r="AF46375" s="12"/>
    </row>
    <row r="46376" spans="32:32" x14ac:dyDescent="0.2">
      <c r="AF46376" s="12"/>
    </row>
    <row r="46377" spans="32:32" x14ac:dyDescent="0.2">
      <c r="AF46377" s="12"/>
    </row>
    <row r="46378" spans="32:32" x14ac:dyDescent="0.2">
      <c r="AF46378" s="12"/>
    </row>
    <row r="46379" spans="32:32" x14ac:dyDescent="0.2">
      <c r="AF46379" s="12"/>
    </row>
    <row r="46380" spans="32:32" x14ac:dyDescent="0.2">
      <c r="AF46380" s="12"/>
    </row>
    <row r="46381" spans="32:32" x14ac:dyDescent="0.2">
      <c r="AF46381" s="12"/>
    </row>
    <row r="46382" spans="32:32" x14ac:dyDescent="0.2">
      <c r="AF46382" s="12"/>
    </row>
    <row r="46383" spans="32:32" x14ac:dyDescent="0.2">
      <c r="AF46383" s="12"/>
    </row>
    <row r="46384" spans="32:32" x14ac:dyDescent="0.2">
      <c r="AF46384" s="12"/>
    </row>
    <row r="46385" spans="32:32" x14ac:dyDescent="0.2">
      <c r="AF46385" s="12"/>
    </row>
    <row r="46386" spans="32:32" x14ac:dyDescent="0.2">
      <c r="AF46386" s="12"/>
    </row>
    <row r="46387" spans="32:32" x14ac:dyDescent="0.2">
      <c r="AF46387" s="12"/>
    </row>
    <row r="46388" spans="32:32" x14ac:dyDescent="0.2">
      <c r="AF46388" s="12"/>
    </row>
    <row r="46389" spans="32:32" x14ac:dyDescent="0.2">
      <c r="AF46389" s="12"/>
    </row>
    <row r="46390" spans="32:32" x14ac:dyDescent="0.2">
      <c r="AF46390" s="12"/>
    </row>
    <row r="46391" spans="32:32" x14ac:dyDescent="0.2">
      <c r="AF46391" s="12"/>
    </row>
    <row r="46392" spans="32:32" x14ac:dyDescent="0.2">
      <c r="AF46392" s="12"/>
    </row>
    <row r="46393" spans="32:32" x14ac:dyDescent="0.2">
      <c r="AF46393" s="12"/>
    </row>
    <row r="46394" spans="32:32" x14ac:dyDescent="0.2">
      <c r="AF46394" s="12"/>
    </row>
    <row r="46395" spans="32:32" x14ac:dyDescent="0.2">
      <c r="AF46395" s="12"/>
    </row>
    <row r="46396" spans="32:32" x14ac:dyDescent="0.2">
      <c r="AF46396" s="12"/>
    </row>
    <row r="46397" spans="32:32" x14ac:dyDescent="0.2">
      <c r="AF46397" s="12"/>
    </row>
    <row r="46398" spans="32:32" x14ac:dyDescent="0.2">
      <c r="AF46398" s="12"/>
    </row>
    <row r="46399" spans="32:32" x14ac:dyDescent="0.2">
      <c r="AF46399" s="12"/>
    </row>
    <row r="46400" spans="32:32" x14ac:dyDescent="0.2">
      <c r="AF46400" s="12"/>
    </row>
    <row r="46401" spans="32:32" x14ac:dyDescent="0.2">
      <c r="AF46401" s="12"/>
    </row>
    <row r="46402" spans="32:32" x14ac:dyDescent="0.2">
      <c r="AF46402" s="12"/>
    </row>
    <row r="46403" spans="32:32" x14ac:dyDescent="0.2">
      <c r="AF46403" s="12"/>
    </row>
    <row r="46404" spans="32:32" x14ac:dyDescent="0.2">
      <c r="AF46404" s="12"/>
    </row>
    <row r="46405" spans="32:32" x14ac:dyDescent="0.2">
      <c r="AF46405" s="12"/>
    </row>
    <row r="46406" spans="32:32" x14ac:dyDescent="0.2">
      <c r="AF46406" s="12"/>
    </row>
    <row r="46407" spans="32:32" x14ac:dyDescent="0.2">
      <c r="AF46407" s="12"/>
    </row>
    <row r="46408" spans="32:32" x14ac:dyDescent="0.2">
      <c r="AF46408" s="12"/>
    </row>
    <row r="46409" spans="32:32" x14ac:dyDescent="0.2">
      <c r="AF46409" s="12"/>
    </row>
    <row r="46410" spans="32:32" x14ac:dyDescent="0.2">
      <c r="AF46410" s="12"/>
    </row>
    <row r="46411" spans="32:32" x14ac:dyDescent="0.2">
      <c r="AF46411" s="12"/>
    </row>
    <row r="46412" spans="32:32" x14ac:dyDescent="0.2">
      <c r="AF46412" s="12"/>
    </row>
    <row r="46413" spans="32:32" x14ac:dyDescent="0.2">
      <c r="AF46413" s="12"/>
    </row>
    <row r="46414" spans="32:32" x14ac:dyDescent="0.2">
      <c r="AF46414" s="12"/>
    </row>
    <row r="46415" spans="32:32" x14ac:dyDescent="0.2">
      <c r="AF46415" s="12"/>
    </row>
    <row r="46416" spans="32:32" x14ac:dyDescent="0.2">
      <c r="AF46416" s="12"/>
    </row>
    <row r="46417" spans="32:32" x14ac:dyDescent="0.2">
      <c r="AF46417" s="12"/>
    </row>
    <row r="46418" spans="32:32" x14ac:dyDescent="0.2">
      <c r="AF46418" s="12"/>
    </row>
    <row r="46419" spans="32:32" x14ac:dyDescent="0.2">
      <c r="AF46419" s="12"/>
    </row>
    <row r="46420" spans="32:32" x14ac:dyDescent="0.2">
      <c r="AF46420" s="12"/>
    </row>
    <row r="46421" spans="32:32" x14ac:dyDescent="0.2">
      <c r="AF46421" s="12"/>
    </row>
    <row r="46422" spans="32:32" x14ac:dyDescent="0.2">
      <c r="AF46422" s="12"/>
    </row>
    <row r="46423" spans="32:32" x14ac:dyDescent="0.2">
      <c r="AF46423" s="12"/>
    </row>
    <row r="46424" spans="32:32" x14ac:dyDescent="0.2">
      <c r="AF46424" s="12"/>
    </row>
    <row r="46425" spans="32:32" x14ac:dyDescent="0.2">
      <c r="AF46425" s="12"/>
    </row>
    <row r="46426" spans="32:32" x14ac:dyDescent="0.2">
      <c r="AF46426" s="12"/>
    </row>
    <row r="46427" spans="32:32" x14ac:dyDescent="0.2">
      <c r="AF46427" s="12"/>
    </row>
    <row r="46428" spans="32:32" x14ac:dyDescent="0.2">
      <c r="AF46428" s="12"/>
    </row>
    <row r="46429" spans="32:32" x14ac:dyDescent="0.2">
      <c r="AF46429" s="12"/>
    </row>
    <row r="46430" spans="32:32" x14ac:dyDescent="0.2">
      <c r="AF46430" s="12"/>
    </row>
    <row r="46431" spans="32:32" x14ac:dyDescent="0.2">
      <c r="AF46431" s="12"/>
    </row>
    <row r="46432" spans="32:32" x14ac:dyDescent="0.2">
      <c r="AF46432" s="12"/>
    </row>
    <row r="46433" spans="32:32" x14ac:dyDescent="0.2">
      <c r="AF46433" s="12"/>
    </row>
    <row r="46434" spans="32:32" x14ac:dyDescent="0.2">
      <c r="AF46434" s="12"/>
    </row>
    <row r="46435" spans="32:32" x14ac:dyDescent="0.2">
      <c r="AF46435" s="12"/>
    </row>
    <row r="46436" spans="32:32" x14ac:dyDescent="0.2">
      <c r="AF46436" s="12"/>
    </row>
    <row r="46437" spans="32:32" x14ac:dyDescent="0.2">
      <c r="AF46437" s="12"/>
    </row>
    <row r="46438" spans="32:32" x14ac:dyDescent="0.2">
      <c r="AF46438" s="12"/>
    </row>
    <row r="46439" spans="32:32" x14ac:dyDescent="0.2">
      <c r="AF46439" s="12"/>
    </row>
    <row r="46440" spans="32:32" x14ac:dyDescent="0.2">
      <c r="AF46440" s="12"/>
    </row>
    <row r="46441" spans="32:32" x14ac:dyDescent="0.2">
      <c r="AF46441" s="12"/>
    </row>
    <row r="46442" spans="32:32" x14ac:dyDescent="0.2">
      <c r="AF46442" s="12"/>
    </row>
    <row r="46443" spans="32:32" x14ac:dyDescent="0.2">
      <c r="AF46443" s="12"/>
    </row>
    <row r="46444" spans="32:32" x14ac:dyDescent="0.2">
      <c r="AF46444" s="12"/>
    </row>
    <row r="46445" spans="32:32" x14ac:dyDescent="0.2">
      <c r="AF46445" s="12"/>
    </row>
    <row r="46446" spans="32:32" x14ac:dyDescent="0.2">
      <c r="AF46446" s="12"/>
    </row>
    <row r="46447" spans="32:32" x14ac:dyDescent="0.2">
      <c r="AF46447" s="12"/>
    </row>
    <row r="46448" spans="32:32" x14ac:dyDescent="0.2">
      <c r="AF46448" s="12"/>
    </row>
    <row r="46449" spans="32:32" x14ac:dyDescent="0.2">
      <c r="AF46449" s="12"/>
    </row>
    <row r="46450" spans="32:32" x14ac:dyDescent="0.2">
      <c r="AF46450" s="12"/>
    </row>
    <row r="46451" spans="32:32" x14ac:dyDescent="0.2">
      <c r="AF46451" s="12"/>
    </row>
    <row r="46452" spans="32:32" x14ac:dyDescent="0.2">
      <c r="AF46452" s="12"/>
    </row>
    <row r="46453" spans="32:32" x14ac:dyDescent="0.2">
      <c r="AF46453" s="12"/>
    </row>
    <row r="46454" spans="32:32" x14ac:dyDescent="0.2">
      <c r="AF46454" s="12"/>
    </row>
    <row r="46455" spans="32:32" x14ac:dyDescent="0.2">
      <c r="AF46455" s="12"/>
    </row>
    <row r="46456" spans="32:32" x14ac:dyDescent="0.2">
      <c r="AF46456" s="12"/>
    </row>
    <row r="46457" spans="32:32" x14ac:dyDescent="0.2">
      <c r="AF46457" s="12"/>
    </row>
    <row r="46458" spans="32:32" x14ac:dyDescent="0.2">
      <c r="AF46458" s="12"/>
    </row>
    <row r="46459" spans="32:32" x14ac:dyDescent="0.2">
      <c r="AF46459" s="12"/>
    </row>
    <row r="46460" spans="32:32" x14ac:dyDescent="0.2">
      <c r="AF46460" s="12"/>
    </row>
    <row r="46461" spans="32:32" x14ac:dyDescent="0.2">
      <c r="AF46461" s="12"/>
    </row>
    <row r="46462" spans="32:32" x14ac:dyDescent="0.2">
      <c r="AF46462" s="12"/>
    </row>
    <row r="46463" spans="32:32" x14ac:dyDescent="0.2">
      <c r="AF46463" s="12"/>
    </row>
    <row r="46464" spans="32:32" x14ac:dyDescent="0.2">
      <c r="AF46464" s="12"/>
    </row>
    <row r="46465" spans="32:32" x14ac:dyDescent="0.2">
      <c r="AF46465" s="12"/>
    </row>
    <row r="46466" spans="32:32" x14ac:dyDescent="0.2">
      <c r="AF46466" s="12"/>
    </row>
    <row r="46467" spans="32:32" x14ac:dyDescent="0.2">
      <c r="AF46467" s="12"/>
    </row>
    <row r="46468" spans="32:32" x14ac:dyDescent="0.2">
      <c r="AF46468" s="12"/>
    </row>
    <row r="46469" spans="32:32" x14ac:dyDescent="0.2">
      <c r="AF46469" s="12"/>
    </row>
    <row r="46470" spans="32:32" x14ac:dyDescent="0.2">
      <c r="AF46470" s="12"/>
    </row>
    <row r="46471" spans="32:32" x14ac:dyDescent="0.2">
      <c r="AF46471" s="12"/>
    </row>
    <row r="46472" spans="32:32" x14ac:dyDescent="0.2">
      <c r="AF46472" s="12"/>
    </row>
    <row r="46473" spans="32:32" x14ac:dyDescent="0.2">
      <c r="AF46473" s="12"/>
    </row>
    <row r="46474" spans="32:32" x14ac:dyDescent="0.2">
      <c r="AF46474" s="12"/>
    </row>
    <row r="46475" spans="32:32" x14ac:dyDescent="0.2">
      <c r="AF46475" s="12"/>
    </row>
    <row r="46476" spans="32:32" x14ac:dyDescent="0.2">
      <c r="AF46476" s="12"/>
    </row>
    <row r="46477" spans="32:32" x14ac:dyDescent="0.2">
      <c r="AF46477" s="12"/>
    </row>
    <row r="46478" spans="32:32" x14ac:dyDescent="0.2">
      <c r="AF46478" s="12"/>
    </row>
    <row r="46479" spans="32:32" x14ac:dyDescent="0.2">
      <c r="AF46479" s="12"/>
    </row>
    <row r="46480" spans="32:32" x14ac:dyDescent="0.2">
      <c r="AF46480" s="12"/>
    </row>
    <row r="46481" spans="32:32" x14ac:dyDescent="0.2">
      <c r="AF46481" s="12"/>
    </row>
    <row r="46482" spans="32:32" x14ac:dyDescent="0.2">
      <c r="AF46482" s="12"/>
    </row>
    <row r="46483" spans="32:32" x14ac:dyDescent="0.2">
      <c r="AF46483" s="12"/>
    </row>
    <row r="46484" spans="32:32" x14ac:dyDescent="0.2">
      <c r="AF46484" s="12"/>
    </row>
    <row r="46485" spans="32:32" x14ac:dyDescent="0.2">
      <c r="AF46485" s="12"/>
    </row>
    <row r="46486" spans="32:32" x14ac:dyDescent="0.2">
      <c r="AF46486" s="12"/>
    </row>
    <row r="46487" spans="32:32" x14ac:dyDescent="0.2">
      <c r="AF46487" s="12"/>
    </row>
    <row r="46488" spans="32:32" x14ac:dyDescent="0.2">
      <c r="AF46488" s="12"/>
    </row>
    <row r="46489" spans="32:32" x14ac:dyDescent="0.2">
      <c r="AF46489" s="12"/>
    </row>
    <row r="46490" spans="32:32" x14ac:dyDescent="0.2">
      <c r="AF46490" s="12"/>
    </row>
    <row r="46491" spans="32:32" x14ac:dyDescent="0.2">
      <c r="AF46491" s="12"/>
    </row>
    <row r="46492" spans="32:32" x14ac:dyDescent="0.2">
      <c r="AF46492" s="12"/>
    </row>
    <row r="46493" spans="32:32" x14ac:dyDescent="0.2">
      <c r="AF46493" s="12"/>
    </row>
    <row r="46494" spans="32:32" x14ac:dyDescent="0.2">
      <c r="AF46494" s="12"/>
    </row>
    <row r="46495" spans="32:32" x14ac:dyDescent="0.2">
      <c r="AF46495" s="12"/>
    </row>
    <row r="46496" spans="32:32" x14ac:dyDescent="0.2">
      <c r="AF46496" s="12"/>
    </row>
    <row r="46497" spans="32:32" x14ac:dyDescent="0.2">
      <c r="AF46497" s="12"/>
    </row>
    <row r="46498" spans="32:32" x14ac:dyDescent="0.2">
      <c r="AF46498" s="12"/>
    </row>
    <row r="46499" spans="32:32" x14ac:dyDescent="0.2">
      <c r="AF46499" s="12"/>
    </row>
    <row r="46500" spans="32:32" x14ac:dyDescent="0.2">
      <c r="AF46500" s="12"/>
    </row>
    <row r="46501" spans="32:32" x14ac:dyDescent="0.2">
      <c r="AF46501" s="12"/>
    </row>
    <row r="46502" spans="32:32" x14ac:dyDescent="0.2">
      <c r="AF46502" s="12"/>
    </row>
    <row r="46503" spans="32:32" x14ac:dyDescent="0.2">
      <c r="AF46503" s="12"/>
    </row>
    <row r="46504" spans="32:32" x14ac:dyDescent="0.2">
      <c r="AF46504" s="12"/>
    </row>
    <row r="46505" spans="32:32" x14ac:dyDescent="0.2">
      <c r="AF46505" s="12"/>
    </row>
    <row r="46506" spans="32:32" x14ac:dyDescent="0.2">
      <c r="AF46506" s="12"/>
    </row>
    <row r="46507" spans="32:32" x14ac:dyDescent="0.2">
      <c r="AF46507" s="12"/>
    </row>
    <row r="46508" spans="32:32" x14ac:dyDescent="0.2">
      <c r="AF46508" s="12"/>
    </row>
    <row r="46509" spans="32:32" x14ac:dyDescent="0.2">
      <c r="AF46509" s="12"/>
    </row>
    <row r="46510" spans="32:32" x14ac:dyDescent="0.2">
      <c r="AF46510" s="12"/>
    </row>
    <row r="46511" spans="32:32" x14ac:dyDescent="0.2">
      <c r="AF46511" s="12"/>
    </row>
    <row r="46512" spans="32:32" x14ac:dyDescent="0.2">
      <c r="AF46512" s="12"/>
    </row>
    <row r="46513" spans="32:32" x14ac:dyDescent="0.2">
      <c r="AF46513" s="12"/>
    </row>
    <row r="46514" spans="32:32" x14ac:dyDescent="0.2">
      <c r="AF46514" s="12"/>
    </row>
    <row r="46515" spans="32:32" x14ac:dyDescent="0.2">
      <c r="AF46515" s="12"/>
    </row>
    <row r="46516" spans="32:32" x14ac:dyDescent="0.2">
      <c r="AF46516" s="12"/>
    </row>
    <row r="46517" spans="32:32" x14ac:dyDescent="0.2">
      <c r="AF46517" s="12"/>
    </row>
    <row r="46518" spans="32:32" x14ac:dyDescent="0.2">
      <c r="AF46518" s="12"/>
    </row>
    <row r="46519" spans="32:32" x14ac:dyDescent="0.2">
      <c r="AF46519" s="12"/>
    </row>
    <row r="46520" spans="32:32" x14ac:dyDescent="0.2">
      <c r="AF46520" s="12"/>
    </row>
    <row r="46521" spans="32:32" x14ac:dyDescent="0.2">
      <c r="AF46521" s="12"/>
    </row>
    <row r="46522" spans="32:32" x14ac:dyDescent="0.2">
      <c r="AF46522" s="12"/>
    </row>
    <row r="46523" spans="32:32" x14ac:dyDescent="0.2">
      <c r="AF46523" s="12"/>
    </row>
    <row r="46524" spans="32:32" x14ac:dyDescent="0.2">
      <c r="AF46524" s="12"/>
    </row>
    <row r="46525" spans="32:32" x14ac:dyDescent="0.2">
      <c r="AF46525" s="12"/>
    </row>
    <row r="46526" spans="32:32" x14ac:dyDescent="0.2">
      <c r="AF46526" s="12"/>
    </row>
    <row r="46527" spans="32:32" x14ac:dyDescent="0.2">
      <c r="AF46527" s="12"/>
    </row>
    <row r="46528" spans="32:32" x14ac:dyDescent="0.2">
      <c r="AF46528" s="12"/>
    </row>
    <row r="46529" spans="32:32" x14ac:dyDescent="0.2">
      <c r="AF46529" s="12"/>
    </row>
    <row r="46530" spans="32:32" x14ac:dyDescent="0.2">
      <c r="AF46530" s="12"/>
    </row>
    <row r="46531" spans="32:32" x14ac:dyDescent="0.2">
      <c r="AF46531" s="12"/>
    </row>
    <row r="46532" spans="32:32" x14ac:dyDescent="0.2">
      <c r="AF46532" s="12"/>
    </row>
    <row r="46533" spans="32:32" x14ac:dyDescent="0.2">
      <c r="AF46533" s="12"/>
    </row>
    <row r="46534" spans="32:32" x14ac:dyDescent="0.2">
      <c r="AF46534" s="12"/>
    </row>
    <row r="46535" spans="32:32" x14ac:dyDescent="0.2">
      <c r="AF46535" s="12"/>
    </row>
    <row r="46536" spans="32:32" x14ac:dyDescent="0.2">
      <c r="AF46536" s="12"/>
    </row>
    <row r="46537" spans="32:32" x14ac:dyDescent="0.2">
      <c r="AF46537" s="12"/>
    </row>
    <row r="46538" spans="32:32" x14ac:dyDescent="0.2">
      <c r="AF46538" s="12"/>
    </row>
    <row r="46539" spans="32:32" x14ac:dyDescent="0.2">
      <c r="AF46539" s="12"/>
    </row>
    <row r="46540" spans="32:32" x14ac:dyDescent="0.2">
      <c r="AF46540" s="12"/>
    </row>
    <row r="46541" spans="32:32" x14ac:dyDescent="0.2">
      <c r="AF46541" s="12"/>
    </row>
    <row r="46542" spans="32:32" x14ac:dyDescent="0.2">
      <c r="AF46542" s="12"/>
    </row>
    <row r="46543" spans="32:32" x14ac:dyDescent="0.2">
      <c r="AF46543" s="12"/>
    </row>
    <row r="46544" spans="32:32" x14ac:dyDescent="0.2">
      <c r="AF46544" s="12"/>
    </row>
    <row r="46545" spans="32:32" x14ac:dyDescent="0.2">
      <c r="AF46545" s="12"/>
    </row>
    <row r="46546" spans="32:32" x14ac:dyDescent="0.2">
      <c r="AF46546" s="12"/>
    </row>
    <row r="46547" spans="32:32" x14ac:dyDescent="0.2">
      <c r="AF46547" s="12"/>
    </row>
    <row r="46548" spans="32:32" x14ac:dyDescent="0.2">
      <c r="AF46548" s="12"/>
    </row>
    <row r="46549" spans="32:32" x14ac:dyDescent="0.2">
      <c r="AF46549" s="12"/>
    </row>
    <row r="46550" spans="32:32" x14ac:dyDescent="0.2">
      <c r="AF46550" s="12"/>
    </row>
    <row r="46551" spans="32:32" x14ac:dyDescent="0.2">
      <c r="AF46551" s="12"/>
    </row>
    <row r="46552" spans="32:32" x14ac:dyDescent="0.2">
      <c r="AF46552" s="12"/>
    </row>
    <row r="46553" spans="32:32" x14ac:dyDescent="0.2">
      <c r="AF46553" s="12"/>
    </row>
    <row r="46554" spans="32:32" x14ac:dyDescent="0.2">
      <c r="AF46554" s="12"/>
    </row>
    <row r="46555" spans="32:32" x14ac:dyDescent="0.2">
      <c r="AF46555" s="12"/>
    </row>
    <row r="46556" spans="32:32" x14ac:dyDescent="0.2">
      <c r="AF46556" s="12"/>
    </row>
    <row r="46557" spans="32:32" x14ac:dyDescent="0.2">
      <c r="AF46557" s="12"/>
    </row>
    <row r="46558" spans="32:32" x14ac:dyDescent="0.2">
      <c r="AF46558" s="12"/>
    </row>
    <row r="46559" spans="32:32" x14ac:dyDescent="0.2">
      <c r="AF46559" s="12"/>
    </row>
    <row r="46560" spans="32:32" x14ac:dyDescent="0.2">
      <c r="AF46560" s="12"/>
    </row>
    <row r="46561" spans="32:32" x14ac:dyDescent="0.2">
      <c r="AF46561" s="12"/>
    </row>
    <row r="46562" spans="32:32" x14ac:dyDescent="0.2">
      <c r="AF46562" s="12"/>
    </row>
    <row r="46563" spans="32:32" x14ac:dyDescent="0.2">
      <c r="AF46563" s="12"/>
    </row>
    <row r="46564" spans="32:32" x14ac:dyDescent="0.2">
      <c r="AF46564" s="12"/>
    </row>
    <row r="46565" spans="32:32" x14ac:dyDescent="0.2">
      <c r="AF46565" s="12"/>
    </row>
    <row r="46566" spans="32:32" x14ac:dyDescent="0.2">
      <c r="AF46566" s="12"/>
    </row>
    <row r="46567" spans="32:32" x14ac:dyDescent="0.2">
      <c r="AF46567" s="12"/>
    </row>
    <row r="46568" spans="32:32" x14ac:dyDescent="0.2">
      <c r="AF46568" s="12"/>
    </row>
    <row r="46569" spans="32:32" x14ac:dyDescent="0.2">
      <c r="AF46569" s="12"/>
    </row>
    <row r="46570" spans="32:32" x14ac:dyDescent="0.2">
      <c r="AF46570" s="12"/>
    </row>
    <row r="46571" spans="32:32" x14ac:dyDescent="0.2">
      <c r="AF46571" s="12"/>
    </row>
    <row r="46572" spans="32:32" x14ac:dyDescent="0.2">
      <c r="AF46572" s="12"/>
    </row>
    <row r="46573" spans="32:32" x14ac:dyDescent="0.2">
      <c r="AF46573" s="12"/>
    </row>
    <row r="46574" spans="32:32" x14ac:dyDescent="0.2">
      <c r="AF46574" s="12"/>
    </row>
    <row r="46575" spans="32:32" x14ac:dyDescent="0.2">
      <c r="AF46575" s="12"/>
    </row>
    <row r="46576" spans="32:32" x14ac:dyDescent="0.2">
      <c r="AF46576" s="12"/>
    </row>
    <row r="46577" spans="32:32" x14ac:dyDescent="0.2">
      <c r="AF46577" s="12"/>
    </row>
    <row r="46578" spans="32:32" x14ac:dyDescent="0.2">
      <c r="AF46578" s="12"/>
    </row>
    <row r="46579" spans="32:32" x14ac:dyDescent="0.2">
      <c r="AF46579" s="12"/>
    </row>
    <row r="46580" spans="32:32" x14ac:dyDescent="0.2">
      <c r="AF46580" s="12"/>
    </row>
    <row r="46581" spans="32:32" x14ac:dyDescent="0.2">
      <c r="AF46581" s="12"/>
    </row>
    <row r="46582" spans="32:32" x14ac:dyDescent="0.2">
      <c r="AF46582" s="12"/>
    </row>
    <row r="46583" spans="32:32" x14ac:dyDescent="0.2">
      <c r="AF46583" s="12"/>
    </row>
    <row r="46584" spans="32:32" x14ac:dyDescent="0.2">
      <c r="AF46584" s="12"/>
    </row>
    <row r="46585" spans="32:32" x14ac:dyDescent="0.2">
      <c r="AF46585" s="12"/>
    </row>
    <row r="46586" spans="32:32" x14ac:dyDescent="0.2">
      <c r="AF46586" s="12"/>
    </row>
    <row r="46587" spans="32:32" x14ac:dyDescent="0.2">
      <c r="AF46587" s="12"/>
    </row>
    <row r="46588" spans="32:32" x14ac:dyDescent="0.2">
      <c r="AF46588" s="12"/>
    </row>
    <row r="46589" spans="32:32" x14ac:dyDescent="0.2">
      <c r="AF46589" s="12"/>
    </row>
    <row r="46590" spans="32:32" x14ac:dyDescent="0.2">
      <c r="AF46590" s="12"/>
    </row>
    <row r="46591" spans="32:32" x14ac:dyDescent="0.2">
      <c r="AF46591" s="12"/>
    </row>
    <row r="46592" spans="32:32" x14ac:dyDescent="0.2">
      <c r="AF46592" s="12"/>
    </row>
    <row r="46593" spans="32:32" x14ac:dyDescent="0.2">
      <c r="AF46593" s="12"/>
    </row>
    <row r="46594" spans="32:32" x14ac:dyDescent="0.2">
      <c r="AF46594" s="12"/>
    </row>
    <row r="46595" spans="32:32" x14ac:dyDescent="0.2">
      <c r="AF46595" s="12"/>
    </row>
    <row r="46596" spans="32:32" x14ac:dyDescent="0.2">
      <c r="AF46596" s="12"/>
    </row>
    <row r="46597" spans="32:32" x14ac:dyDescent="0.2">
      <c r="AF46597" s="12"/>
    </row>
    <row r="46598" spans="32:32" x14ac:dyDescent="0.2">
      <c r="AF46598" s="12"/>
    </row>
    <row r="46599" spans="32:32" x14ac:dyDescent="0.2">
      <c r="AF46599" s="12"/>
    </row>
    <row r="46600" spans="32:32" x14ac:dyDescent="0.2">
      <c r="AF46600" s="12"/>
    </row>
    <row r="46601" spans="32:32" x14ac:dyDescent="0.2">
      <c r="AF46601" s="12"/>
    </row>
    <row r="46602" spans="32:32" x14ac:dyDescent="0.2">
      <c r="AF46602" s="12"/>
    </row>
    <row r="46603" spans="32:32" x14ac:dyDescent="0.2">
      <c r="AF46603" s="12"/>
    </row>
    <row r="46604" spans="32:32" x14ac:dyDescent="0.2">
      <c r="AF46604" s="12"/>
    </row>
    <row r="46605" spans="32:32" x14ac:dyDescent="0.2">
      <c r="AF46605" s="12"/>
    </row>
    <row r="46606" spans="32:32" x14ac:dyDescent="0.2">
      <c r="AF46606" s="12"/>
    </row>
    <row r="46607" spans="32:32" x14ac:dyDescent="0.2">
      <c r="AF46607" s="12"/>
    </row>
    <row r="46608" spans="32:32" x14ac:dyDescent="0.2">
      <c r="AF46608" s="12"/>
    </row>
    <row r="46609" spans="32:32" x14ac:dyDescent="0.2">
      <c r="AF46609" s="12"/>
    </row>
    <row r="46610" spans="32:32" x14ac:dyDescent="0.2">
      <c r="AF46610" s="12"/>
    </row>
    <row r="46611" spans="32:32" x14ac:dyDescent="0.2">
      <c r="AF46611" s="12"/>
    </row>
    <row r="46612" spans="32:32" x14ac:dyDescent="0.2">
      <c r="AF46612" s="12"/>
    </row>
    <row r="46613" spans="32:32" x14ac:dyDescent="0.2">
      <c r="AF46613" s="12"/>
    </row>
    <row r="46614" spans="32:32" x14ac:dyDescent="0.2">
      <c r="AF46614" s="12"/>
    </row>
    <row r="46615" spans="32:32" x14ac:dyDescent="0.2">
      <c r="AF46615" s="12"/>
    </row>
    <row r="46616" spans="32:32" x14ac:dyDescent="0.2">
      <c r="AF46616" s="12"/>
    </row>
    <row r="46617" spans="32:32" x14ac:dyDescent="0.2">
      <c r="AF46617" s="12"/>
    </row>
    <row r="46618" spans="32:32" x14ac:dyDescent="0.2">
      <c r="AF46618" s="12"/>
    </row>
    <row r="46619" spans="32:32" x14ac:dyDescent="0.2">
      <c r="AF46619" s="12"/>
    </row>
    <row r="46620" spans="32:32" x14ac:dyDescent="0.2">
      <c r="AF46620" s="12"/>
    </row>
    <row r="46621" spans="32:32" x14ac:dyDescent="0.2">
      <c r="AF46621" s="12"/>
    </row>
    <row r="46622" spans="32:32" x14ac:dyDescent="0.2">
      <c r="AF46622" s="12"/>
    </row>
    <row r="46623" spans="32:32" x14ac:dyDescent="0.2">
      <c r="AF46623" s="12"/>
    </row>
    <row r="46624" spans="32:32" x14ac:dyDescent="0.2">
      <c r="AF46624" s="12"/>
    </row>
    <row r="46625" spans="32:32" x14ac:dyDescent="0.2">
      <c r="AF46625" s="12"/>
    </row>
    <row r="46626" spans="32:32" x14ac:dyDescent="0.2">
      <c r="AF46626" s="12"/>
    </row>
    <row r="46627" spans="32:32" x14ac:dyDescent="0.2">
      <c r="AF46627" s="12"/>
    </row>
    <row r="46628" spans="32:32" x14ac:dyDescent="0.2">
      <c r="AF46628" s="12"/>
    </row>
    <row r="46629" spans="32:32" x14ac:dyDescent="0.2">
      <c r="AF46629" s="12"/>
    </row>
    <row r="46630" spans="32:32" x14ac:dyDescent="0.2">
      <c r="AF46630" s="12"/>
    </row>
    <row r="46631" spans="32:32" x14ac:dyDescent="0.2">
      <c r="AF46631" s="12"/>
    </row>
    <row r="46632" spans="32:32" x14ac:dyDescent="0.2">
      <c r="AF46632" s="12"/>
    </row>
    <row r="46633" spans="32:32" x14ac:dyDescent="0.2">
      <c r="AF46633" s="12"/>
    </row>
    <row r="46634" spans="32:32" x14ac:dyDescent="0.2">
      <c r="AF46634" s="12"/>
    </row>
    <row r="46635" spans="32:32" x14ac:dyDescent="0.2">
      <c r="AF46635" s="12"/>
    </row>
    <row r="46636" spans="32:32" x14ac:dyDescent="0.2">
      <c r="AF46636" s="12"/>
    </row>
    <row r="46637" spans="32:32" x14ac:dyDescent="0.2">
      <c r="AF46637" s="12"/>
    </row>
    <row r="46638" spans="32:32" x14ac:dyDescent="0.2">
      <c r="AF46638" s="12"/>
    </row>
    <row r="46639" spans="32:32" x14ac:dyDescent="0.2">
      <c r="AF46639" s="12"/>
    </row>
    <row r="46640" spans="32:32" x14ac:dyDescent="0.2">
      <c r="AF46640" s="12"/>
    </row>
    <row r="46641" spans="32:32" x14ac:dyDescent="0.2">
      <c r="AF46641" s="12"/>
    </row>
    <row r="46642" spans="32:32" x14ac:dyDescent="0.2">
      <c r="AF46642" s="12"/>
    </row>
    <row r="46643" spans="32:32" x14ac:dyDescent="0.2">
      <c r="AF46643" s="12"/>
    </row>
    <row r="46644" spans="32:32" x14ac:dyDescent="0.2">
      <c r="AF46644" s="12"/>
    </row>
    <row r="46645" spans="32:32" x14ac:dyDescent="0.2">
      <c r="AF46645" s="12"/>
    </row>
    <row r="46646" spans="32:32" x14ac:dyDescent="0.2">
      <c r="AF46646" s="12"/>
    </row>
    <row r="46647" spans="32:32" x14ac:dyDescent="0.2">
      <c r="AF46647" s="12"/>
    </row>
    <row r="46648" spans="32:32" x14ac:dyDescent="0.2">
      <c r="AF46648" s="12"/>
    </row>
    <row r="46649" spans="32:32" x14ac:dyDescent="0.2">
      <c r="AF46649" s="12"/>
    </row>
    <row r="46650" spans="32:32" x14ac:dyDescent="0.2">
      <c r="AF46650" s="12"/>
    </row>
    <row r="46651" spans="32:32" x14ac:dyDescent="0.2">
      <c r="AF46651" s="12"/>
    </row>
    <row r="46652" spans="32:32" x14ac:dyDescent="0.2">
      <c r="AF46652" s="12"/>
    </row>
    <row r="46653" spans="32:32" x14ac:dyDescent="0.2">
      <c r="AF46653" s="12"/>
    </row>
    <row r="46654" spans="32:32" x14ac:dyDescent="0.2">
      <c r="AF46654" s="12"/>
    </row>
    <row r="46655" spans="32:32" x14ac:dyDescent="0.2">
      <c r="AF46655" s="12"/>
    </row>
    <row r="46656" spans="32:32" x14ac:dyDescent="0.2">
      <c r="AF46656" s="12"/>
    </row>
    <row r="46657" spans="32:32" x14ac:dyDescent="0.2">
      <c r="AF46657" s="12"/>
    </row>
    <row r="46658" spans="32:32" x14ac:dyDescent="0.2">
      <c r="AF46658" s="12"/>
    </row>
    <row r="46659" spans="32:32" x14ac:dyDescent="0.2">
      <c r="AF46659" s="12"/>
    </row>
    <row r="46660" spans="32:32" x14ac:dyDescent="0.2">
      <c r="AF46660" s="12"/>
    </row>
    <row r="46661" spans="32:32" x14ac:dyDescent="0.2">
      <c r="AF46661" s="12"/>
    </row>
    <row r="46662" spans="32:32" x14ac:dyDescent="0.2">
      <c r="AF46662" s="12"/>
    </row>
    <row r="46663" spans="32:32" x14ac:dyDescent="0.2">
      <c r="AF46663" s="12"/>
    </row>
    <row r="46664" spans="32:32" x14ac:dyDescent="0.2">
      <c r="AF46664" s="12"/>
    </row>
    <row r="46665" spans="32:32" x14ac:dyDescent="0.2">
      <c r="AF46665" s="12"/>
    </row>
    <row r="46666" spans="32:32" x14ac:dyDescent="0.2">
      <c r="AF46666" s="12"/>
    </row>
    <row r="46667" spans="32:32" x14ac:dyDescent="0.2">
      <c r="AF46667" s="12"/>
    </row>
    <row r="46668" spans="32:32" x14ac:dyDescent="0.2">
      <c r="AF46668" s="12"/>
    </row>
    <row r="46669" spans="32:32" x14ac:dyDescent="0.2">
      <c r="AF46669" s="12"/>
    </row>
    <row r="46670" spans="32:32" x14ac:dyDescent="0.2">
      <c r="AF46670" s="12"/>
    </row>
    <row r="46671" spans="32:32" x14ac:dyDescent="0.2">
      <c r="AF46671" s="12"/>
    </row>
    <row r="46672" spans="32:32" x14ac:dyDescent="0.2">
      <c r="AF46672" s="12"/>
    </row>
    <row r="46673" spans="32:32" x14ac:dyDescent="0.2">
      <c r="AF46673" s="12"/>
    </row>
    <row r="46674" spans="32:32" x14ac:dyDescent="0.2">
      <c r="AF46674" s="12"/>
    </row>
    <row r="46675" spans="32:32" x14ac:dyDescent="0.2">
      <c r="AF46675" s="12"/>
    </row>
    <row r="46676" spans="32:32" x14ac:dyDescent="0.2">
      <c r="AF46676" s="12"/>
    </row>
    <row r="46677" spans="32:32" x14ac:dyDescent="0.2">
      <c r="AF46677" s="12"/>
    </row>
    <row r="46678" spans="32:32" x14ac:dyDescent="0.2">
      <c r="AF46678" s="12"/>
    </row>
    <row r="46679" spans="32:32" x14ac:dyDescent="0.2">
      <c r="AF46679" s="12"/>
    </row>
    <row r="46680" spans="32:32" x14ac:dyDescent="0.2">
      <c r="AF46680" s="12"/>
    </row>
    <row r="46681" spans="32:32" x14ac:dyDescent="0.2">
      <c r="AF46681" s="12"/>
    </row>
    <row r="46682" spans="32:32" x14ac:dyDescent="0.2">
      <c r="AF46682" s="12"/>
    </row>
    <row r="46683" spans="32:32" x14ac:dyDescent="0.2">
      <c r="AF46683" s="12"/>
    </row>
    <row r="46684" spans="32:32" x14ac:dyDescent="0.2">
      <c r="AF46684" s="12"/>
    </row>
    <row r="46685" spans="32:32" x14ac:dyDescent="0.2">
      <c r="AF46685" s="12"/>
    </row>
    <row r="46686" spans="32:32" x14ac:dyDescent="0.2">
      <c r="AF46686" s="12"/>
    </row>
    <row r="46687" spans="32:32" x14ac:dyDescent="0.2">
      <c r="AF46687" s="12"/>
    </row>
    <row r="46688" spans="32:32" x14ac:dyDescent="0.2">
      <c r="AF46688" s="12"/>
    </row>
    <row r="46689" spans="32:32" x14ac:dyDescent="0.2">
      <c r="AF46689" s="12"/>
    </row>
    <row r="46690" spans="32:32" x14ac:dyDescent="0.2">
      <c r="AF46690" s="12"/>
    </row>
    <row r="46691" spans="32:32" x14ac:dyDescent="0.2">
      <c r="AF46691" s="12"/>
    </row>
    <row r="46692" spans="32:32" x14ac:dyDescent="0.2">
      <c r="AF46692" s="12"/>
    </row>
    <row r="46693" spans="32:32" x14ac:dyDescent="0.2">
      <c r="AF46693" s="12"/>
    </row>
    <row r="46694" spans="32:32" x14ac:dyDescent="0.2">
      <c r="AF46694" s="12"/>
    </row>
    <row r="46695" spans="32:32" x14ac:dyDescent="0.2">
      <c r="AF46695" s="12"/>
    </row>
    <row r="46696" spans="32:32" x14ac:dyDescent="0.2">
      <c r="AF46696" s="12"/>
    </row>
    <row r="46697" spans="32:32" x14ac:dyDescent="0.2">
      <c r="AF46697" s="12"/>
    </row>
    <row r="46698" spans="32:32" x14ac:dyDescent="0.2">
      <c r="AF46698" s="12"/>
    </row>
    <row r="46699" spans="32:32" x14ac:dyDescent="0.2">
      <c r="AF46699" s="12"/>
    </row>
    <row r="46700" spans="32:32" x14ac:dyDescent="0.2">
      <c r="AF46700" s="12"/>
    </row>
    <row r="46701" spans="32:32" x14ac:dyDescent="0.2">
      <c r="AF46701" s="12"/>
    </row>
    <row r="46702" spans="32:32" x14ac:dyDescent="0.2">
      <c r="AF46702" s="12"/>
    </row>
    <row r="46703" spans="32:32" x14ac:dyDescent="0.2">
      <c r="AF46703" s="12"/>
    </row>
    <row r="46704" spans="32:32" x14ac:dyDescent="0.2">
      <c r="AF46704" s="12"/>
    </row>
    <row r="46705" spans="32:32" x14ac:dyDescent="0.2">
      <c r="AF46705" s="12"/>
    </row>
    <row r="46706" spans="32:32" x14ac:dyDescent="0.2">
      <c r="AF46706" s="12"/>
    </row>
    <row r="46707" spans="32:32" x14ac:dyDescent="0.2">
      <c r="AF46707" s="12"/>
    </row>
    <row r="46708" spans="32:32" x14ac:dyDescent="0.2">
      <c r="AF46708" s="12"/>
    </row>
    <row r="46709" spans="32:32" x14ac:dyDescent="0.2">
      <c r="AF46709" s="12"/>
    </row>
    <row r="46710" spans="32:32" x14ac:dyDescent="0.2">
      <c r="AF46710" s="12"/>
    </row>
    <row r="46711" spans="32:32" x14ac:dyDescent="0.2">
      <c r="AF46711" s="12"/>
    </row>
    <row r="46712" spans="32:32" x14ac:dyDescent="0.2">
      <c r="AF46712" s="12"/>
    </row>
    <row r="46713" spans="32:32" x14ac:dyDescent="0.2">
      <c r="AF46713" s="12"/>
    </row>
    <row r="46714" spans="32:32" x14ac:dyDescent="0.2">
      <c r="AF46714" s="12"/>
    </row>
    <row r="46715" spans="32:32" x14ac:dyDescent="0.2">
      <c r="AF46715" s="12"/>
    </row>
    <row r="46716" spans="32:32" x14ac:dyDescent="0.2">
      <c r="AF46716" s="12"/>
    </row>
    <row r="46717" spans="32:32" x14ac:dyDescent="0.2">
      <c r="AF46717" s="12"/>
    </row>
    <row r="46718" spans="32:32" x14ac:dyDescent="0.2">
      <c r="AF46718" s="12"/>
    </row>
    <row r="46719" spans="32:32" x14ac:dyDescent="0.2">
      <c r="AF46719" s="12"/>
    </row>
    <row r="46720" spans="32:32" x14ac:dyDescent="0.2">
      <c r="AF46720" s="12"/>
    </row>
    <row r="46721" spans="32:32" x14ac:dyDescent="0.2">
      <c r="AF46721" s="12"/>
    </row>
    <row r="46722" spans="32:32" x14ac:dyDescent="0.2">
      <c r="AF46722" s="12"/>
    </row>
    <row r="46723" spans="32:32" x14ac:dyDescent="0.2">
      <c r="AF46723" s="12"/>
    </row>
    <row r="46724" spans="32:32" x14ac:dyDescent="0.2">
      <c r="AF46724" s="12"/>
    </row>
    <row r="46725" spans="32:32" x14ac:dyDescent="0.2">
      <c r="AF46725" s="12"/>
    </row>
    <row r="46726" spans="32:32" x14ac:dyDescent="0.2">
      <c r="AF46726" s="12"/>
    </row>
    <row r="46727" spans="32:32" x14ac:dyDescent="0.2">
      <c r="AF46727" s="12"/>
    </row>
    <row r="46728" spans="32:32" x14ac:dyDescent="0.2">
      <c r="AF46728" s="12"/>
    </row>
    <row r="46729" spans="32:32" x14ac:dyDescent="0.2">
      <c r="AF46729" s="12"/>
    </row>
    <row r="46730" spans="32:32" x14ac:dyDescent="0.2">
      <c r="AF46730" s="12"/>
    </row>
    <row r="46731" spans="32:32" x14ac:dyDescent="0.2">
      <c r="AF46731" s="12"/>
    </row>
    <row r="46732" spans="32:32" x14ac:dyDescent="0.2">
      <c r="AF46732" s="12"/>
    </row>
    <row r="46733" spans="32:32" x14ac:dyDescent="0.2">
      <c r="AF46733" s="12"/>
    </row>
    <row r="46734" spans="32:32" x14ac:dyDescent="0.2">
      <c r="AF46734" s="12"/>
    </row>
    <row r="46735" spans="32:32" x14ac:dyDescent="0.2">
      <c r="AF46735" s="12"/>
    </row>
    <row r="46736" spans="32:32" x14ac:dyDescent="0.2">
      <c r="AF46736" s="12"/>
    </row>
    <row r="46737" spans="32:32" x14ac:dyDescent="0.2">
      <c r="AF46737" s="12"/>
    </row>
    <row r="46738" spans="32:32" x14ac:dyDescent="0.2">
      <c r="AF46738" s="12"/>
    </row>
    <row r="46739" spans="32:32" x14ac:dyDescent="0.2">
      <c r="AF46739" s="12"/>
    </row>
    <row r="46740" spans="32:32" x14ac:dyDescent="0.2">
      <c r="AF46740" s="12"/>
    </row>
    <row r="46741" spans="32:32" x14ac:dyDescent="0.2">
      <c r="AF46741" s="12"/>
    </row>
    <row r="46742" spans="32:32" x14ac:dyDescent="0.2">
      <c r="AF46742" s="12"/>
    </row>
    <row r="46743" spans="32:32" x14ac:dyDescent="0.2">
      <c r="AF46743" s="12"/>
    </row>
    <row r="46744" spans="32:32" x14ac:dyDescent="0.2">
      <c r="AF46744" s="12"/>
    </row>
    <row r="46745" spans="32:32" x14ac:dyDescent="0.2">
      <c r="AF46745" s="12"/>
    </row>
    <row r="46746" spans="32:32" x14ac:dyDescent="0.2">
      <c r="AF46746" s="12"/>
    </row>
    <row r="46747" spans="32:32" x14ac:dyDescent="0.2">
      <c r="AF46747" s="12"/>
    </row>
    <row r="46748" spans="32:32" x14ac:dyDescent="0.2">
      <c r="AF46748" s="12"/>
    </row>
    <row r="46749" spans="32:32" x14ac:dyDescent="0.2">
      <c r="AF46749" s="12"/>
    </row>
    <row r="46750" spans="32:32" x14ac:dyDescent="0.2">
      <c r="AF46750" s="12"/>
    </row>
    <row r="46751" spans="32:32" x14ac:dyDescent="0.2">
      <c r="AF46751" s="12"/>
    </row>
    <row r="46752" spans="32:32" x14ac:dyDescent="0.2">
      <c r="AF46752" s="12"/>
    </row>
    <row r="46753" spans="32:32" x14ac:dyDescent="0.2">
      <c r="AF46753" s="12"/>
    </row>
    <row r="46754" spans="32:32" x14ac:dyDescent="0.2">
      <c r="AF46754" s="12"/>
    </row>
    <row r="46755" spans="32:32" x14ac:dyDescent="0.2">
      <c r="AF46755" s="12"/>
    </row>
    <row r="46756" spans="32:32" x14ac:dyDescent="0.2">
      <c r="AF46756" s="12"/>
    </row>
    <row r="46757" spans="32:32" x14ac:dyDescent="0.2">
      <c r="AF46757" s="12"/>
    </row>
    <row r="46758" spans="32:32" x14ac:dyDescent="0.2">
      <c r="AF46758" s="12"/>
    </row>
    <row r="46759" spans="32:32" x14ac:dyDescent="0.2">
      <c r="AF46759" s="12"/>
    </row>
    <row r="46760" spans="32:32" x14ac:dyDescent="0.2">
      <c r="AF46760" s="12"/>
    </row>
    <row r="46761" spans="32:32" x14ac:dyDescent="0.2">
      <c r="AF46761" s="12"/>
    </row>
    <row r="46762" spans="32:32" x14ac:dyDescent="0.2">
      <c r="AF46762" s="12"/>
    </row>
    <row r="46763" spans="32:32" x14ac:dyDescent="0.2">
      <c r="AF46763" s="12"/>
    </row>
    <row r="46764" spans="32:32" x14ac:dyDescent="0.2">
      <c r="AF46764" s="12"/>
    </row>
    <row r="46765" spans="32:32" x14ac:dyDescent="0.2">
      <c r="AF46765" s="12"/>
    </row>
    <row r="46766" spans="32:32" x14ac:dyDescent="0.2">
      <c r="AF46766" s="12"/>
    </row>
    <row r="46767" spans="32:32" x14ac:dyDescent="0.2">
      <c r="AF46767" s="12"/>
    </row>
    <row r="46768" spans="32:32" x14ac:dyDescent="0.2">
      <c r="AF46768" s="12"/>
    </row>
    <row r="46769" spans="32:32" x14ac:dyDescent="0.2">
      <c r="AF46769" s="12"/>
    </row>
    <row r="46770" spans="32:32" x14ac:dyDescent="0.2">
      <c r="AF46770" s="12"/>
    </row>
    <row r="46771" spans="32:32" x14ac:dyDescent="0.2">
      <c r="AF46771" s="12"/>
    </row>
    <row r="46772" spans="32:32" x14ac:dyDescent="0.2">
      <c r="AF46772" s="12"/>
    </row>
    <row r="46773" spans="32:32" x14ac:dyDescent="0.2">
      <c r="AF46773" s="12"/>
    </row>
    <row r="46774" spans="32:32" x14ac:dyDescent="0.2">
      <c r="AF46774" s="12"/>
    </row>
    <row r="46775" spans="32:32" x14ac:dyDescent="0.2">
      <c r="AF46775" s="12"/>
    </row>
    <row r="46776" spans="32:32" x14ac:dyDescent="0.2">
      <c r="AF46776" s="12"/>
    </row>
    <row r="46777" spans="32:32" x14ac:dyDescent="0.2">
      <c r="AF46777" s="12"/>
    </row>
    <row r="46778" spans="32:32" x14ac:dyDescent="0.2">
      <c r="AF46778" s="12"/>
    </row>
    <row r="46779" spans="32:32" x14ac:dyDescent="0.2">
      <c r="AF46779" s="12"/>
    </row>
    <row r="46780" spans="32:32" x14ac:dyDescent="0.2">
      <c r="AF46780" s="12"/>
    </row>
    <row r="46781" spans="32:32" x14ac:dyDescent="0.2">
      <c r="AF46781" s="12"/>
    </row>
    <row r="46782" spans="32:32" x14ac:dyDescent="0.2">
      <c r="AF46782" s="12"/>
    </row>
    <row r="46783" spans="32:32" x14ac:dyDescent="0.2">
      <c r="AF46783" s="12"/>
    </row>
    <row r="46784" spans="32:32" x14ac:dyDescent="0.2">
      <c r="AF46784" s="12"/>
    </row>
    <row r="46785" spans="32:32" x14ac:dyDescent="0.2">
      <c r="AF46785" s="12"/>
    </row>
    <row r="46786" spans="32:32" x14ac:dyDescent="0.2">
      <c r="AF46786" s="12"/>
    </row>
    <row r="46787" spans="32:32" x14ac:dyDescent="0.2">
      <c r="AF46787" s="12"/>
    </row>
    <row r="46788" spans="32:32" x14ac:dyDescent="0.2">
      <c r="AF46788" s="12"/>
    </row>
    <row r="46789" spans="32:32" x14ac:dyDescent="0.2">
      <c r="AF46789" s="12"/>
    </row>
    <row r="46790" spans="32:32" x14ac:dyDescent="0.2">
      <c r="AF46790" s="12"/>
    </row>
    <row r="46791" spans="32:32" x14ac:dyDescent="0.2">
      <c r="AF46791" s="12"/>
    </row>
    <row r="46792" spans="32:32" x14ac:dyDescent="0.2">
      <c r="AF46792" s="12"/>
    </row>
    <row r="46793" spans="32:32" x14ac:dyDescent="0.2">
      <c r="AF46793" s="12"/>
    </row>
    <row r="46794" spans="32:32" x14ac:dyDescent="0.2">
      <c r="AF46794" s="12"/>
    </row>
    <row r="46795" spans="32:32" x14ac:dyDescent="0.2">
      <c r="AF46795" s="12"/>
    </row>
    <row r="46796" spans="32:32" x14ac:dyDescent="0.2">
      <c r="AF46796" s="12"/>
    </row>
    <row r="46797" spans="32:32" x14ac:dyDescent="0.2">
      <c r="AF46797" s="12"/>
    </row>
    <row r="46798" spans="32:32" x14ac:dyDescent="0.2">
      <c r="AF46798" s="12"/>
    </row>
    <row r="46799" spans="32:32" x14ac:dyDescent="0.2">
      <c r="AF46799" s="12"/>
    </row>
    <row r="46800" spans="32:32" x14ac:dyDescent="0.2">
      <c r="AF46800" s="12"/>
    </row>
    <row r="46801" spans="32:32" x14ac:dyDescent="0.2">
      <c r="AF46801" s="12"/>
    </row>
    <row r="46802" spans="32:32" x14ac:dyDescent="0.2">
      <c r="AF46802" s="12"/>
    </row>
    <row r="46803" spans="32:32" x14ac:dyDescent="0.2">
      <c r="AF46803" s="12"/>
    </row>
    <row r="46804" spans="32:32" x14ac:dyDescent="0.2">
      <c r="AF46804" s="12"/>
    </row>
    <row r="46805" spans="32:32" x14ac:dyDescent="0.2">
      <c r="AF46805" s="12"/>
    </row>
    <row r="46806" spans="32:32" x14ac:dyDescent="0.2">
      <c r="AF46806" s="12"/>
    </row>
    <row r="46807" spans="32:32" x14ac:dyDescent="0.2">
      <c r="AF46807" s="12"/>
    </row>
    <row r="46808" spans="32:32" x14ac:dyDescent="0.2">
      <c r="AF46808" s="12"/>
    </row>
    <row r="46809" spans="32:32" x14ac:dyDescent="0.2">
      <c r="AF46809" s="12"/>
    </row>
    <row r="46810" spans="32:32" x14ac:dyDescent="0.2">
      <c r="AF46810" s="12"/>
    </row>
    <row r="46811" spans="32:32" x14ac:dyDescent="0.2">
      <c r="AF46811" s="12"/>
    </row>
    <row r="46812" spans="32:32" x14ac:dyDescent="0.2">
      <c r="AF46812" s="12"/>
    </row>
    <row r="46813" spans="32:32" x14ac:dyDescent="0.2">
      <c r="AF46813" s="12"/>
    </row>
    <row r="46814" spans="32:32" x14ac:dyDescent="0.2">
      <c r="AF46814" s="12"/>
    </row>
    <row r="46815" spans="32:32" x14ac:dyDescent="0.2">
      <c r="AF46815" s="12"/>
    </row>
    <row r="46816" spans="32:32" x14ac:dyDescent="0.2">
      <c r="AF46816" s="12"/>
    </row>
    <row r="46817" spans="32:32" x14ac:dyDescent="0.2">
      <c r="AF46817" s="12"/>
    </row>
    <row r="46818" spans="32:32" x14ac:dyDescent="0.2">
      <c r="AF46818" s="12"/>
    </row>
    <row r="46819" spans="32:32" x14ac:dyDescent="0.2">
      <c r="AF46819" s="12"/>
    </row>
    <row r="46820" spans="32:32" x14ac:dyDescent="0.2">
      <c r="AF46820" s="12"/>
    </row>
    <row r="46821" spans="32:32" x14ac:dyDescent="0.2">
      <c r="AF46821" s="12"/>
    </row>
    <row r="46822" spans="32:32" x14ac:dyDescent="0.2">
      <c r="AF46822" s="12"/>
    </row>
    <row r="46823" spans="32:32" x14ac:dyDescent="0.2">
      <c r="AF46823" s="12"/>
    </row>
    <row r="46824" spans="32:32" x14ac:dyDescent="0.2">
      <c r="AF46824" s="12"/>
    </row>
    <row r="46825" spans="32:32" x14ac:dyDescent="0.2">
      <c r="AF46825" s="12"/>
    </row>
    <row r="46826" spans="32:32" x14ac:dyDescent="0.2">
      <c r="AF46826" s="12"/>
    </row>
    <row r="46827" spans="32:32" x14ac:dyDescent="0.2">
      <c r="AF46827" s="12"/>
    </row>
    <row r="46828" spans="32:32" x14ac:dyDescent="0.2">
      <c r="AF46828" s="12"/>
    </row>
    <row r="46829" spans="32:32" x14ac:dyDescent="0.2">
      <c r="AF46829" s="12"/>
    </row>
    <row r="46830" spans="32:32" x14ac:dyDescent="0.2">
      <c r="AF46830" s="12"/>
    </row>
    <row r="46831" spans="32:32" x14ac:dyDescent="0.2">
      <c r="AF46831" s="12"/>
    </row>
    <row r="46832" spans="32:32" x14ac:dyDescent="0.2">
      <c r="AF46832" s="12"/>
    </row>
    <row r="46833" spans="32:32" x14ac:dyDescent="0.2">
      <c r="AF46833" s="12"/>
    </row>
    <row r="46834" spans="32:32" x14ac:dyDescent="0.2">
      <c r="AF46834" s="12"/>
    </row>
    <row r="46835" spans="32:32" x14ac:dyDescent="0.2">
      <c r="AF46835" s="12"/>
    </row>
    <row r="46836" spans="32:32" x14ac:dyDescent="0.2">
      <c r="AF46836" s="12"/>
    </row>
    <row r="46837" spans="32:32" x14ac:dyDescent="0.2">
      <c r="AF46837" s="12"/>
    </row>
    <row r="46838" spans="32:32" x14ac:dyDescent="0.2">
      <c r="AF46838" s="12"/>
    </row>
    <row r="46839" spans="32:32" x14ac:dyDescent="0.2">
      <c r="AF46839" s="12"/>
    </row>
    <row r="46840" spans="32:32" x14ac:dyDescent="0.2">
      <c r="AF46840" s="12"/>
    </row>
    <row r="46841" spans="32:32" x14ac:dyDescent="0.2">
      <c r="AF46841" s="12"/>
    </row>
    <row r="46842" spans="32:32" x14ac:dyDescent="0.2">
      <c r="AF46842" s="12"/>
    </row>
    <row r="46843" spans="32:32" x14ac:dyDescent="0.2">
      <c r="AF46843" s="12"/>
    </row>
    <row r="46844" spans="32:32" x14ac:dyDescent="0.2">
      <c r="AF46844" s="12"/>
    </row>
    <row r="46845" spans="32:32" x14ac:dyDescent="0.2">
      <c r="AF46845" s="12"/>
    </row>
    <row r="46846" spans="32:32" x14ac:dyDescent="0.2">
      <c r="AF46846" s="12"/>
    </row>
    <row r="46847" spans="32:32" x14ac:dyDescent="0.2">
      <c r="AF46847" s="12"/>
    </row>
    <row r="46848" spans="32:32" x14ac:dyDescent="0.2">
      <c r="AF46848" s="12"/>
    </row>
    <row r="46849" spans="32:32" x14ac:dyDescent="0.2">
      <c r="AF46849" s="12"/>
    </row>
    <row r="46850" spans="32:32" x14ac:dyDescent="0.2">
      <c r="AF46850" s="12"/>
    </row>
    <row r="46851" spans="32:32" x14ac:dyDescent="0.2">
      <c r="AF46851" s="12"/>
    </row>
    <row r="46852" spans="32:32" x14ac:dyDescent="0.2">
      <c r="AF46852" s="12"/>
    </row>
    <row r="46853" spans="32:32" x14ac:dyDescent="0.2">
      <c r="AF46853" s="12"/>
    </row>
    <row r="46854" spans="32:32" x14ac:dyDescent="0.2">
      <c r="AF46854" s="12"/>
    </row>
    <row r="46855" spans="32:32" x14ac:dyDescent="0.2">
      <c r="AF46855" s="12"/>
    </row>
    <row r="46856" spans="32:32" x14ac:dyDescent="0.2">
      <c r="AF46856" s="12"/>
    </row>
    <row r="46857" spans="32:32" x14ac:dyDescent="0.2">
      <c r="AF46857" s="12"/>
    </row>
    <row r="46858" spans="32:32" x14ac:dyDescent="0.2">
      <c r="AF46858" s="12"/>
    </row>
    <row r="46859" spans="32:32" x14ac:dyDescent="0.2">
      <c r="AF46859" s="12"/>
    </row>
    <row r="46860" spans="32:32" x14ac:dyDescent="0.2">
      <c r="AF46860" s="12"/>
    </row>
    <row r="46861" spans="32:32" x14ac:dyDescent="0.2">
      <c r="AF46861" s="12"/>
    </row>
    <row r="46862" spans="32:32" x14ac:dyDescent="0.2">
      <c r="AF46862" s="12"/>
    </row>
    <row r="46863" spans="32:32" x14ac:dyDescent="0.2">
      <c r="AF46863" s="12"/>
    </row>
    <row r="46864" spans="32:32" x14ac:dyDescent="0.2">
      <c r="AF46864" s="12"/>
    </row>
    <row r="46865" spans="32:32" x14ac:dyDescent="0.2">
      <c r="AF46865" s="12"/>
    </row>
    <row r="46866" spans="32:32" x14ac:dyDescent="0.2">
      <c r="AF46866" s="12"/>
    </row>
    <row r="46867" spans="32:32" x14ac:dyDescent="0.2">
      <c r="AF46867" s="12"/>
    </row>
    <row r="46868" spans="32:32" x14ac:dyDescent="0.2">
      <c r="AF46868" s="12"/>
    </row>
    <row r="46869" spans="32:32" x14ac:dyDescent="0.2">
      <c r="AF46869" s="12"/>
    </row>
    <row r="46870" spans="32:32" x14ac:dyDescent="0.2">
      <c r="AF46870" s="12"/>
    </row>
    <row r="46871" spans="32:32" x14ac:dyDescent="0.2">
      <c r="AF46871" s="12"/>
    </row>
    <row r="46872" spans="32:32" x14ac:dyDescent="0.2">
      <c r="AF46872" s="12"/>
    </row>
    <row r="46873" spans="32:32" x14ac:dyDescent="0.2">
      <c r="AF46873" s="12"/>
    </row>
    <row r="46874" spans="32:32" x14ac:dyDescent="0.2">
      <c r="AF46874" s="12"/>
    </row>
    <row r="46875" spans="32:32" x14ac:dyDescent="0.2">
      <c r="AF46875" s="12"/>
    </row>
    <row r="46876" spans="32:32" x14ac:dyDescent="0.2">
      <c r="AF46876" s="12"/>
    </row>
    <row r="46877" spans="32:32" x14ac:dyDescent="0.2">
      <c r="AF46877" s="12"/>
    </row>
    <row r="46878" spans="32:32" x14ac:dyDescent="0.2">
      <c r="AF46878" s="12"/>
    </row>
    <row r="46879" spans="32:32" x14ac:dyDescent="0.2">
      <c r="AF46879" s="12"/>
    </row>
    <row r="46880" spans="32:32" x14ac:dyDescent="0.2">
      <c r="AF46880" s="12"/>
    </row>
    <row r="46881" spans="32:32" x14ac:dyDescent="0.2">
      <c r="AF46881" s="12"/>
    </row>
    <row r="46882" spans="32:32" x14ac:dyDescent="0.2">
      <c r="AF46882" s="12"/>
    </row>
    <row r="46883" spans="32:32" x14ac:dyDescent="0.2">
      <c r="AF46883" s="12"/>
    </row>
    <row r="46884" spans="32:32" x14ac:dyDescent="0.2">
      <c r="AF46884" s="12"/>
    </row>
    <row r="46885" spans="32:32" x14ac:dyDescent="0.2">
      <c r="AF46885" s="12"/>
    </row>
    <row r="46886" spans="32:32" x14ac:dyDescent="0.2">
      <c r="AF46886" s="12"/>
    </row>
    <row r="46887" spans="32:32" x14ac:dyDescent="0.2">
      <c r="AF46887" s="12"/>
    </row>
    <row r="46888" spans="32:32" x14ac:dyDescent="0.2">
      <c r="AF46888" s="12"/>
    </row>
    <row r="46889" spans="32:32" x14ac:dyDescent="0.2">
      <c r="AF46889" s="12"/>
    </row>
    <row r="46890" spans="32:32" x14ac:dyDescent="0.2">
      <c r="AF46890" s="12"/>
    </row>
    <row r="46891" spans="32:32" x14ac:dyDescent="0.2">
      <c r="AF46891" s="12"/>
    </row>
    <row r="46892" spans="32:32" x14ac:dyDescent="0.2">
      <c r="AF46892" s="12"/>
    </row>
    <row r="46893" spans="32:32" x14ac:dyDescent="0.2">
      <c r="AF46893" s="12"/>
    </row>
    <row r="46894" spans="32:32" x14ac:dyDescent="0.2">
      <c r="AF46894" s="12"/>
    </row>
    <row r="46895" spans="32:32" x14ac:dyDescent="0.2">
      <c r="AF46895" s="12"/>
    </row>
    <row r="46896" spans="32:32" x14ac:dyDescent="0.2">
      <c r="AF46896" s="12"/>
    </row>
    <row r="46897" spans="32:32" x14ac:dyDescent="0.2">
      <c r="AF46897" s="12"/>
    </row>
    <row r="46898" spans="32:32" x14ac:dyDescent="0.2">
      <c r="AF46898" s="12"/>
    </row>
    <row r="46899" spans="32:32" x14ac:dyDescent="0.2">
      <c r="AF46899" s="12"/>
    </row>
    <row r="46900" spans="32:32" x14ac:dyDescent="0.2">
      <c r="AF46900" s="12"/>
    </row>
    <row r="46901" spans="32:32" x14ac:dyDescent="0.2">
      <c r="AF46901" s="12"/>
    </row>
    <row r="46902" spans="32:32" x14ac:dyDescent="0.2">
      <c r="AF46902" s="12"/>
    </row>
    <row r="46903" spans="32:32" x14ac:dyDescent="0.2">
      <c r="AF46903" s="12"/>
    </row>
    <row r="46904" spans="32:32" x14ac:dyDescent="0.2">
      <c r="AF46904" s="12"/>
    </row>
    <row r="46905" spans="32:32" x14ac:dyDescent="0.2">
      <c r="AF46905" s="12"/>
    </row>
    <row r="46906" spans="32:32" x14ac:dyDescent="0.2">
      <c r="AF46906" s="12"/>
    </row>
    <row r="46907" spans="32:32" x14ac:dyDescent="0.2">
      <c r="AF46907" s="12"/>
    </row>
    <row r="46908" spans="32:32" x14ac:dyDescent="0.2">
      <c r="AF46908" s="12"/>
    </row>
    <row r="46909" spans="32:32" x14ac:dyDescent="0.2">
      <c r="AF46909" s="12"/>
    </row>
    <row r="46910" spans="32:32" x14ac:dyDescent="0.2">
      <c r="AF46910" s="12"/>
    </row>
    <row r="46911" spans="32:32" x14ac:dyDescent="0.2">
      <c r="AF46911" s="12"/>
    </row>
    <row r="46912" spans="32:32" x14ac:dyDescent="0.2">
      <c r="AF46912" s="12"/>
    </row>
    <row r="46913" spans="32:32" x14ac:dyDescent="0.2">
      <c r="AF46913" s="12"/>
    </row>
    <row r="46914" spans="32:32" x14ac:dyDescent="0.2">
      <c r="AF46914" s="12"/>
    </row>
    <row r="46915" spans="32:32" x14ac:dyDescent="0.2">
      <c r="AF46915" s="12"/>
    </row>
    <row r="46916" spans="32:32" x14ac:dyDescent="0.2">
      <c r="AF46916" s="12"/>
    </row>
    <row r="46917" spans="32:32" x14ac:dyDescent="0.2">
      <c r="AF46917" s="12"/>
    </row>
    <row r="46918" spans="32:32" x14ac:dyDescent="0.2">
      <c r="AF46918" s="12"/>
    </row>
    <row r="46919" spans="32:32" x14ac:dyDescent="0.2">
      <c r="AF46919" s="12"/>
    </row>
    <row r="46920" spans="32:32" x14ac:dyDescent="0.2">
      <c r="AF46920" s="12"/>
    </row>
    <row r="46921" spans="32:32" x14ac:dyDescent="0.2">
      <c r="AF46921" s="12"/>
    </row>
    <row r="46922" spans="32:32" x14ac:dyDescent="0.2">
      <c r="AF46922" s="12"/>
    </row>
    <row r="46923" spans="32:32" x14ac:dyDescent="0.2">
      <c r="AF46923" s="12"/>
    </row>
    <row r="46924" spans="32:32" x14ac:dyDescent="0.2">
      <c r="AF46924" s="12"/>
    </row>
    <row r="46925" spans="32:32" x14ac:dyDescent="0.2">
      <c r="AF46925" s="12"/>
    </row>
    <row r="46926" spans="32:32" x14ac:dyDescent="0.2">
      <c r="AF46926" s="12"/>
    </row>
    <row r="46927" spans="32:32" x14ac:dyDescent="0.2">
      <c r="AF46927" s="12"/>
    </row>
    <row r="46928" spans="32:32" x14ac:dyDescent="0.2">
      <c r="AF46928" s="12"/>
    </row>
    <row r="46929" spans="32:32" x14ac:dyDescent="0.2">
      <c r="AF46929" s="12"/>
    </row>
    <row r="46930" spans="32:32" x14ac:dyDescent="0.2">
      <c r="AF46930" s="12"/>
    </row>
    <row r="46931" spans="32:32" x14ac:dyDescent="0.2">
      <c r="AF46931" s="12"/>
    </row>
    <row r="46932" spans="32:32" x14ac:dyDescent="0.2">
      <c r="AF46932" s="12"/>
    </row>
    <row r="46933" spans="32:32" x14ac:dyDescent="0.2">
      <c r="AF46933" s="12"/>
    </row>
    <row r="46934" spans="32:32" x14ac:dyDescent="0.2">
      <c r="AF46934" s="12"/>
    </row>
    <row r="46935" spans="32:32" x14ac:dyDescent="0.2">
      <c r="AF46935" s="12"/>
    </row>
    <row r="46936" spans="32:32" x14ac:dyDescent="0.2">
      <c r="AF46936" s="12"/>
    </row>
    <row r="46937" spans="32:32" x14ac:dyDescent="0.2">
      <c r="AF46937" s="12"/>
    </row>
    <row r="46938" spans="32:32" x14ac:dyDescent="0.2">
      <c r="AF46938" s="12"/>
    </row>
    <row r="46939" spans="32:32" x14ac:dyDescent="0.2">
      <c r="AF46939" s="12"/>
    </row>
    <row r="46940" spans="32:32" x14ac:dyDescent="0.2">
      <c r="AF46940" s="12"/>
    </row>
    <row r="46941" spans="32:32" x14ac:dyDescent="0.2">
      <c r="AF46941" s="12"/>
    </row>
    <row r="46942" spans="32:32" x14ac:dyDescent="0.2">
      <c r="AF46942" s="12"/>
    </row>
    <row r="46943" spans="32:32" x14ac:dyDescent="0.2">
      <c r="AF46943" s="12"/>
    </row>
    <row r="46944" spans="32:32" x14ac:dyDescent="0.2">
      <c r="AF46944" s="12"/>
    </row>
    <row r="46945" spans="32:32" x14ac:dyDescent="0.2">
      <c r="AF46945" s="12"/>
    </row>
    <row r="46946" spans="32:32" x14ac:dyDescent="0.2">
      <c r="AF46946" s="12"/>
    </row>
    <row r="46947" spans="32:32" x14ac:dyDescent="0.2">
      <c r="AF46947" s="12"/>
    </row>
    <row r="46948" spans="32:32" x14ac:dyDescent="0.2">
      <c r="AF46948" s="12"/>
    </row>
    <row r="46949" spans="32:32" x14ac:dyDescent="0.2">
      <c r="AF46949" s="12"/>
    </row>
    <row r="46950" spans="32:32" x14ac:dyDescent="0.2">
      <c r="AF46950" s="12"/>
    </row>
    <row r="46951" spans="32:32" x14ac:dyDescent="0.2">
      <c r="AF46951" s="12"/>
    </row>
    <row r="46952" spans="32:32" x14ac:dyDescent="0.2">
      <c r="AF46952" s="12"/>
    </row>
    <row r="46953" spans="32:32" x14ac:dyDescent="0.2">
      <c r="AF46953" s="12"/>
    </row>
    <row r="46954" spans="32:32" x14ac:dyDescent="0.2">
      <c r="AF46954" s="12"/>
    </row>
    <row r="46955" spans="32:32" x14ac:dyDescent="0.2">
      <c r="AF46955" s="12"/>
    </row>
    <row r="46956" spans="32:32" x14ac:dyDescent="0.2">
      <c r="AF46956" s="12"/>
    </row>
    <row r="46957" spans="32:32" x14ac:dyDescent="0.2">
      <c r="AF46957" s="12"/>
    </row>
    <row r="46958" spans="32:32" x14ac:dyDescent="0.2">
      <c r="AF46958" s="12"/>
    </row>
    <row r="46959" spans="32:32" x14ac:dyDescent="0.2">
      <c r="AF46959" s="12"/>
    </row>
    <row r="46960" spans="32:32" x14ac:dyDescent="0.2">
      <c r="AF46960" s="12"/>
    </row>
    <row r="46961" spans="32:32" x14ac:dyDescent="0.2">
      <c r="AF46961" s="12"/>
    </row>
    <row r="46962" spans="32:32" x14ac:dyDescent="0.2">
      <c r="AF46962" s="12"/>
    </row>
    <row r="46963" spans="32:32" x14ac:dyDescent="0.2">
      <c r="AF46963" s="12"/>
    </row>
    <row r="46964" spans="32:32" x14ac:dyDescent="0.2">
      <c r="AF46964" s="12"/>
    </row>
    <row r="46965" spans="32:32" x14ac:dyDescent="0.2">
      <c r="AF46965" s="12"/>
    </row>
    <row r="46966" spans="32:32" x14ac:dyDescent="0.2">
      <c r="AF46966" s="12"/>
    </row>
    <row r="46967" spans="32:32" x14ac:dyDescent="0.2">
      <c r="AF46967" s="12"/>
    </row>
    <row r="46968" spans="32:32" x14ac:dyDescent="0.2">
      <c r="AF46968" s="12"/>
    </row>
    <row r="46969" spans="32:32" x14ac:dyDescent="0.2">
      <c r="AF46969" s="12"/>
    </row>
    <row r="46970" spans="32:32" x14ac:dyDescent="0.2">
      <c r="AF46970" s="12"/>
    </row>
    <row r="46971" spans="32:32" x14ac:dyDescent="0.2">
      <c r="AF46971" s="12"/>
    </row>
    <row r="46972" spans="32:32" x14ac:dyDescent="0.2">
      <c r="AF46972" s="12"/>
    </row>
    <row r="46973" spans="32:32" x14ac:dyDescent="0.2">
      <c r="AF46973" s="12"/>
    </row>
    <row r="46974" spans="32:32" x14ac:dyDescent="0.2">
      <c r="AF46974" s="12"/>
    </row>
    <row r="46975" spans="32:32" x14ac:dyDescent="0.2">
      <c r="AF46975" s="12"/>
    </row>
    <row r="46976" spans="32:32" x14ac:dyDescent="0.2">
      <c r="AF46976" s="12"/>
    </row>
    <row r="46977" spans="32:32" x14ac:dyDescent="0.2">
      <c r="AF46977" s="12"/>
    </row>
    <row r="46978" spans="32:32" x14ac:dyDescent="0.2">
      <c r="AF46978" s="12"/>
    </row>
    <row r="46979" spans="32:32" x14ac:dyDescent="0.2">
      <c r="AF46979" s="12"/>
    </row>
    <row r="46980" spans="32:32" x14ac:dyDescent="0.2">
      <c r="AF46980" s="12"/>
    </row>
    <row r="46981" spans="32:32" x14ac:dyDescent="0.2">
      <c r="AF46981" s="12"/>
    </row>
    <row r="46982" spans="32:32" x14ac:dyDescent="0.2">
      <c r="AF46982" s="12"/>
    </row>
    <row r="46983" spans="32:32" x14ac:dyDescent="0.2">
      <c r="AF46983" s="12"/>
    </row>
    <row r="46984" spans="32:32" x14ac:dyDescent="0.2">
      <c r="AF46984" s="12"/>
    </row>
    <row r="46985" spans="32:32" x14ac:dyDescent="0.2">
      <c r="AF46985" s="12"/>
    </row>
    <row r="46986" spans="32:32" x14ac:dyDescent="0.2">
      <c r="AF46986" s="12"/>
    </row>
    <row r="46987" spans="32:32" x14ac:dyDescent="0.2">
      <c r="AF46987" s="12"/>
    </row>
    <row r="46988" spans="32:32" x14ac:dyDescent="0.2">
      <c r="AF46988" s="12"/>
    </row>
    <row r="46989" spans="32:32" x14ac:dyDescent="0.2">
      <c r="AF46989" s="12"/>
    </row>
    <row r="46990" spans="32:32" x14ac:dyDescent="0.2">
      <c r="AF46990" s="12"/>
    </row>
    <row r="46991" spans="32:32" x14ac:dyDescent="0.2">
      <c r="AF46991" s="12"/>
    </row>
    <row r="46992" spans="32:32" x14ac:dyDescent="0.2">
      <c r="AF46992" s="12"/>
    </row>
    <row r="46993" spans="32:32" x14ac:dyDescent="0.2">
      <c r="AF46993" s="12"/>
    </row>
    <row r="46994" spans="32:32" x14ac:dyDescent="0.2">
      <c r="AF46994" s="12"/>
    </row>
    <row r="46995" spans="32:32" x14ac:dyDescent="0.2">
      <c r="AF46995" s="12"/>
    </row>
    <row r="46996" spans="32:32" x14ac:dyDescent="0.2">
      <c r="AF46996" s="12"/>
    </row>
    <row r="46997" spans="32:32" x14ac:dyDescent="0.2">
      <c r="AF46997" s="12"/>
    </row>
    <row r="46998" spans="32:32" x14ac:dyDescent="0.2">
      <c r="AF46998" s="12"/>
    </row>
    <row r="46999" spans="32:32" x14ac:dyDescent="0.2">
      <c r="AF46999" s="12"/>
    </row>
    <row r="47000" spans="32:32" x14ac:dyDescent="0.2">
      <c r="AF47000" s="12"/>
    </row>
    <row r="47001" spans="32:32" x14ac:dyDescent="0.2">
      <c r="AF47001" s="12"/>
    </row>
    <row r="47002" spans="32:32" x14ac:dyDescent="0.2">
      <c r="AF47002" s="12"/>
    </row>
    <row r="47003" spans="32:32" x14ac:dyDescent="0.2">
      <c r="AF47003" s="12"/>
    </row>
    <row r="47004" spans="32:32" x14ac:dyDescent="0.2">
      <c r="AF47004" s="12"/>
    </row>
    <row r="47005" spans="32:32" x14ac:dyDescent="0.2">
      <c r="AF47005" s="12"/>
    </row>
    <row r="47006" spans="32:32" x14ac:dyDescent="0.2">
      <c r="AF47006" s="12"/>
    </row>
    <row r="47007" spans="32:32" x14ac:dyDescent="0.2">
      <c r="AF47007" s="12"/>
    </row>
    <row r="47008" spans="32:32" x14ac:dyDescent="0.2">
      <c r="AF47008" s="12"/>
    </row>
    <row r="47009" spans="32:32" x14ac:dyDescent="0.2">
      <c r="AF47009" s="12"/>
    </row>
    <row r="47010" spans="32:32" x14ac:dyDescent="0.2">
      <c r="AF47010" s="12"/>
    </row>
    <row r="47011" spans="32:32" x14ac:dyDescent="0.2">
      <c r="AF47011" s="12"/>
    </row>
    <row r="47012" spans="32:32" x14ac:dyDescent="0.2">
      <c r="AF47012" s="12"/>
    </row>
    <row r="47013" spans="32:32" x14ac:dyDescent="0.2">
      <c r="AF47013" s="12"/>
    </row>
    <row r="47014" spans="32:32" x14ac:dyDescent="0.2">
      <c r="AF47014" s="12"/>
    </row>
    <row r="47015" spans="32:32" x14ac:dyDescent="0.2">
      <c r="AF47015" s="12"/>
    </row>
    <row r="47016" spans="32:32" x14ac:dyDescent="0.2">
      <c r="AF47016" s="12"/>
    </row>
    <row r="47017" spans="32:32" x14ac:dyDescent="0.2">
      <c r="AF47017" s="12"/>
    </row>
    <row r="47018" spans="32:32" x14ac:dyDescent="0.2">
      <c r="AF47018" s="12"/>
    </row>
    <row r="47019" spans="32:32" x14ac:dyDescent="0.2">
      <c r="AF47019" s="12"/>
    </row>
    <row r="47020" spans="32:32" x14ac:dyDescent="0.2">
      <c r="AF47020" s="12"/>
    </row>
    <row r="47021" spans="32:32" x14ac:dyDescent="0.2">
      <c r="AF47021" s="12"/>
    </row>
    <row r="47022" spans="32:32" x14ac:dyDescent="0.2">
      <c r="AF47022" s="12"/>
    </row>
    <row r="47023" spans="32:32" x14ac:dyDescent="0.2">
      <c r="AF47023" s="12"/>
    </row>
    <row r="47024" spans="32:32" x14ac:dyDescent="0.2">
      <c r="AF47024" s="12"/>
    </row>
    <row r="47025" spans="32:32" x14ac:dyDescent="0.2">
      <c r="AF47025" s="12"/>
    </row>
    <row r="47026" spans="32:32" x14ac:dyDescent="0.2">
      <c r="AF47026" s="12"/>
    </row>
    <row r="47027" spans="32:32" x14ac:dyDescent="0.2">
      <c r="AF47027" s="12"/>
    </row>
    <row r="47028" spans="32:32" x14ac:dyDescent="0.2">
      <c r="AF47028" s="12"/>
    </row>
    <row r="47029" spans="32:32" x14ac:dyDescent="0.2">
      <c r="AF47029" s="12"/>
    </row>
    <row r="47030" spans="32:32" x14ac:dyDescent="0.2">
      <c r="AF47030" s="12"/>
    </row>
    <row r="47031" spans="32:32" x14ac:dyDescent="0.2">
      <c r="AF47031" s="12"/>
    </row>
    <row r="47032" spans="32:32" x14ac:dyDescent="0.2">
      <c r="AF47032" s="12"/>
    </row>
    <row r="47033" spans="32:32" x14ac:dyDescent="0.2">
      <c r="AF47033" s="12"/>
    </row>
    <row r="47034" spans="32:32" x14ac:dyDescent="0.2">
      <c r="AF47034" s="12"/>
    </row>
    <row r="47035" spans="32:32" x14ac:dyDescent="0.2">
      <c r="AF47035" s="12"/>
    </row>
    <row r="47036" spans="32:32" x14ac:dyDescent="0.2">
      <c r="AF47036" s="12"/>
    </row>
    <row r="47037" spans="32:32" x14ac:dyDescent="0.2">
      <c r="AF47037" s="12"/>
    </row>
    <row r="47038" spans="32:32" x14ac:dyDescent="0.2">
      <c r="AF47038" s="12"/>
    </row>
    <row r="47039" spans="32:32" x14ac:dyDescent="0.2">
      <c r="AF47039" s="12"/>
    </row>
    <row r="47040" spans="32:32" x14ac:dyDescent="0.2">
      <c r="AF47040" s="12"/>
    </row>
    <row r="47041" spans="32:32" x14ac:dyDescent="0.2">
      <c r="AF47041" s="12"/>
    </row>
    <row r="47042" spans="32:32" x14ac:dyDescent="0.2">
      <c r="AF47042" s="12"/>
    </row>
    <row r="47043" spans="32:32" x14ac:dyDescent="0.2">
      <c r="AF47043" s="12"/>
    </row>
    <row r="47044" spans="32:32" x14ac:dyDescent="0.2">
      <c r="AF47044" s="12"/>
    </row>
    <row r="47045" spans="32:32" x14ac:dyDescent="0.2">
      <c r="AF47045" s="12"/>
    </row>
    <row r="47046" spans="32:32" x14ac:dyDescent="0.2">
      <c r="AF47046" s="12"/>
    </row>
    <row r="47047" spans="32:32" x14ac:dyDescent="0.2">
      <c r="AF47047" s="12"/>
    </row>
    <row r="47048" spans="32:32" x14ac:dyDescent="0.2">
      <c r="AF47048" s="12"/>
    </row>
    <row r="47049" spans="32:32" x14ac:dyDescent="0.2">
      <c r="AF47049" s="12"/>
    </row>
    <row r="47050" spans="32:32" x14ac:dyDescent="0.2">
      <c r="AF47050" s="12"/>
    </row>
    <row r="47051" spans="32:32" x14ac:dyDescent="0.2">
      <c r="AF47051" s="12"/>
    </row>
    <row r="47052" spans="32:32" x14ac:dyDescent="0.2">
      <c r="AF47052" s="12"/>
    </row>
    <row r="47053" spans="32:32" x14ac:dyDescent="0.2">
      <c r="AF47053" s="12"/>
    </row>
    <row r="47054" spans="32:32" x14ac:dyDescent="0.2">
      <c r="AF47054" s="12"/>
    </row>
    <row r="47055" spans="32:32" x14ac:dyDescent="0.2">
      <c r="AF47055" s="12"/>
    </row>
    <row r="47056" spans="32:32" x14ac:dyDescent="0.2">
      <c r="AF47056" s="12"/>
    </row>
    <row r="47057" spans="32:32" x14ac:dyDescent="0.2">
      <c r="AF47057" s="12"/>
    </row>
    <row r="47058" spans="32:32" x14ac:dyDescent="0.2">
      <c r="AF47058" s="12"/>
    </row>
    <row r="47059" spans="32:32" x14ac:dyDescent="0.2">
      <c r="AF47059" s="12"/>
    </row>
    <row r="47060" spans="32:32" x14ac:dyDescent="0.2">
      <c r="AF47060" s="12"/>
    </row>
    <row r="47061" spans="32:32" x14ac:dyDescent="0.2">
      <c r="AF47061" s="12"/>
    </row>
    <row r="47062" spans="32:32" x14ac:dyDescent="0.2">
      <c r="AF47062" s="12"/>
    </row>
    <row r="47063" spans="32:32" x14ac:dyDescent="0.2">
      <c r="AF47063" s="12"/>
    </row>
    <row r="47064" spans="32:32" x14ac:dyDescent="0.2">
      <c r="AF47064" s="12"/>
    </row>
    <row r="47065" spans="32:32" x14ac:dyDescent="0.2">
      <c r="AF47065" s="12"/>
    </row>
    <row r="47066" spans="32:32" x14ac:dyDescent="0.2">
      <c r="AF47066" s="12"/>
    </row>
    <row r="47067" spans="32:32" x14ac:dyDescent="0.2">
      <c r="AF47067" s="12"/>
    </row>
    <row r="47068" spans="32:32" x14ac:dyDescent="0.2">
      <c r="AF47068" s="12"/>
    </row>
    <row r="47069" spans="32:32" x14ac:dyDescent="0.2">
      <c r="AF47069" s="12"/>
    </row>
    <row r="47070" spans="32:32" x14ac:dyDescent="0.2">
      <c r="AF47070" s="12"/>
    </row>
    <row r="47071" spans="32:32" x14ac:dyDescent="0.2">
      <c r="AF47071" s="12"/>
    </row>
    <row r="47072" spans="32:32" x14ac:dyDescent="0.2">
      <c r="AF47072" s="12"/>
    </row>
    <row r="47073" spans="32:32" x14ac:dyDescent="0.2">
      <c r="AF47073" s="12"/>
    </row>
    <row r="47074" spans="32:32" x14ac:dyDescent="0.2">
      <c r="AF47074" s="12"/>
    </row>
    <row r="47075" spans="32:32" x14ac:dyDescent="0.2">
      <c r="AF47075" s="12"/>
    </row>
    <row r="47076" spans="32:32" x14ac:dyDescent="0.2">
      <c r="AF47076" s="12"/>
    </row>
    <row r="47077" spans="32:32" x14ac:dyDescent="0.2">
      <c r="AF47077" s="12"/>
    </row>
    <row r="47078" spans="32:32" x14ac:dyDescent="0.2">
      <c r="AF47078" s="12"/>
    </row>
    <row r="47079" spans="32:32" x14ac:dyDescent="0.2">
      <c r="AF47079" s="12"/>
    </row>
    <row r="47080" spans="32:32" x14ac:dyDescent="0.2">
      <c r="AF47080" s="12"/>
    </row>
    <row r="47081" spans="32:32" x14ac:dyDescent="0.2">
      <c r="AF47081" s="12"/>
    </row>
    <row r="47082" spans="32:32" x14ac:dyDescent="0.2">
      <c r="AF47082" s="12"/>
    </row>
    <row r="47083" spans="32:32" x14ac:dyDescent="0.2">
      <c r="AF47083" s="12"/>
    </row>
    <row r="47084" spans="32:32" x14ac:dyDescent="0.2">
      <c r="AF47084" s="12"/>
    </row>
    <row r="47085" spans="32:32" x14ac:dyDescent="0.2">
      <c r="AF47085" s="12"/>
    </row>
    <row r="47086" spans="32:32" x14ac:dyDescent="0.2">
      <c r="AF47086" s="12"/>
    </row>
    <row r="47087" spans="32:32" x14ac:dyDescent="0.2">
      <c r="AF47087" s="12"/>
    </row>
    <row r="47088" spans="32:32" x14ac:dyDescent="0.2">
      <c r="AF47088" s="12"/>
    </row>
    <row r="47089" spans="32:32" x14ac:dyDescent="0.2">
      <c r="AF47089" s="12"/>
    </row>
    <row r="47090" spans="32:32" x14ac:dyDescent="0.2">
      <c r="AF47090" s="12"/>
    </row>
    <row r="47091" spans="32:32" x14ac:dyDescent="0.2">
      <c r="AF47091" s="12"/>
    </row>
    <row r="47092" spans="32:32" x14ac:dyDescent="0.2">
      <c r="AF47092" s="12"/>
    </row>
    <row r="47093" spans="32:32" x14ac:dyDescent="0.2">
      <c r="AF47093" s="12"/>
    </row>
    <row r="47094" spans="32:32" x14ac:dyDescent="0.2">
      <c r="AF47094" s="12"/>
    </row>
    <row r="47095" spans="32:32" x14ac:dyDescent="0.2">
      <c r="AF47095" s="12"/>
    </row>
    <row r="47096" spans="32:32" x14ac:dyDescent="0.2">
      <c r="AF47096" s="12"/>
    </row>
    <row r="47097" spans="32:32" x14ac:dyDescent="0.2">
      <c r="AF47097" s="12"/>
    </row>
    <row r="47098" spans="32:32" x14ac:dyDescent="0.2">
      <c r="AF47098" s="12"/>
    </row>
    <row r="47099" spans="32:32" x14ac:dyDescent="0.2">
      <c r="AF47099" s="12"/>
    </row>
    <row r="47100" spans="32:32" x14ac:dyDescent="0.2">
      <c r="AF47100" s="12"/>
    </row>
    <row r="47101" spans="32:32" x14ac:dyDescent="0.2">
      <c r="AF47101" s="12"/>
    </row>
    <row r="47102" spans="32:32" x14ac:dyDescent="0.2">
      <c r="AF47102" s="12"/>
    </row>
    <row r="47103" spans="32:32" x14ac:dyDescent="0.2">
      <c r="AF47103" s="12"/>
    </row>
    <row r="47104" spans="32:32" x14ac:dyDescent="0.2">
      <c r="AF47104" s="12"/>
    </row>
    <row r="47105" spans="32:32" x14ac:dyDescent="0.2">
      <c r="AF47105" s="12"/>
    </row>
    <row r="47106" spans="32:32" x14ac:dyDescent="0.2">
      <c r="AF47106" s="12"/>
    </row>
    <row r="47107" spans="32:32" x14ac:dyDescent="0.2">
      <c r="AF47107" s="12"/>
    </row>
    <row r="47108" spans="32:32" x14ac:dyDescent="0.2">
      <c r="AF47108" s="12"/>
    </row>
    <row r="47109" spans="32:32" x14ac:dyDescent="0.2">
      <c r="AF47109" s="12"/>
    </row>
    <row r="47110" spans="32:32" x14ac:dyDescent="0.2">
      <c r="AF47110" s="12"/>
    </row>
    <row r="47111" spans="32:32" x14ac:dyDescent="0.2">
      <c r="AF47111" s="12"/>
    </row>
    <row r="47112" spans="32:32" x14ac:dyDescent="0.2">
      <c r="AF47112" s="12"/>
    </row>
    <row r="47113" spans="32:32" x14ac:dyDescent="0.2">
      <c r="AF47113" s="12"/>
    </row>
    <row r="47114" spans="32:32" x14ac:dyDescent="0.2">
      <c r="AF47114" s="12"/>
    </row>
    <row r="47115" spans="32:32" x14ac:dyDescent="0.2">
      <c r="AF47115" s="12"/>
    </row>
    <row r="47116" spans="32:32" x14ac:dyDescent="0.2">
      <c r="AF47116" s="12"/>
    </row>
    <row r="47117" spans="32:32" x14ac:dyDescent="0.2">
      <c r="AF47117" s="12"/>
    </row>
    <row r="47118" spans="32:32" x14ac:dyDescent="0.2">
      <c r="AF47118" s="12"/>
    </row>
    <row r="47119" spans="32:32" x14ac:dyDescent="0.2">
      <c r="AF47119" s="12"/>
    </row>
    <row r="47120" spans="32:32" x14ac:dyDescent="0.2">
      <c r="AF47120" s="12"/>
    </row>
    <row r="47121" spans="32:32" x14ac:dyDescent="0.2">
      <c r="AF47121" s="12"/>
    </row>
    <row r="47122" spans="32:32" x14ac:dyDescent="0.2">
      <c r="AF47122" s="12"/>
    </row>
    <row r="47123" spans="32:32" x14ac:dyDescent="0.2">
      <c r="AF47123" s="12"/>
    </row>
    <row r="47124" spans="32:32" x14ac:dyDescent="0.2">
      <c r="AF47124" s="12"/>
    </row>
    <row r="47125" spans="32:32" x14ac:dyDescent="0.2">
      <c r="AF47125" s="12"/>
    </row>
    <row r="47126" spans="32:32" x14ac:dyDescent="0.2">
      <c r="AF47126" s="12"/>
    </row>
    <row r="47127" spans="32:32" x14ac:dyDescent="0.2">
      <c r="AF47127" s="12"/>
    </row>
    <row r="47128" spans="32:32" x14ac:dyDescent="0.2">
      <c r="AF47128" s="12"/>
    </row>
    <row r="47129" spans="32:32" x14ac:dyDescent="0.2">
      <c r="AF47129" s="12"/>
    </row>
    <row r="47130" spans="32:32" x14ac:dyDescent="0.2">
      <c r="AF47130" s="12"/>
    </row>
    <row r="47131" spans="32:32" x14ac:dyDescent="0.2">
      <c r="AF47131" s="12"/>
    </row>
    <row r="47132" spans="32:32" x14ac:dyDescent="0.2">
      <c r="AF47132" s="12"/>
    </row>
    <row r="47133" spans="32:32" x14ac:dyDescent="0.2">
      <c r="AF47133" s="12"/>
    </row>
    <row r="47134" spans="32:32" x14ac:dyDescent="0.2">
      <c r="AF47134" s="12"/>
    </row>
    <row r="47135" spans="32:32" x14ac:dyDescent="0.2">
      <c r="AF47135" s="12"/>
    </row>
    <row r="47136" spans="32:32" x14ac:dyDescent="0.2">
      <c r="AF47136" s="12"/>
    </row>
    <row r="47137" spans="32:32" x14ac:dyDescent="0.2">
      <c r="AF47137" s="12"/>
    </row>
    <row r="47138" spans="32:32" x14ac:dyDescent="0.2">
      <c r="AF47138" s="12"/>
    </row>
    <row r="47139" spans="32:32" x14ac:dyDescent="0.2">
      <c r="AF47139" s="12"/>
    </row>
    <row r="47140" spans="32:32" x14ac:dyDescent="0.2">
      <c r="AF47140" s="12"/>
    </row>
    <row r="47141" spans="32:32" x14ac:dyDescent="0.2">
      <c r="AF47141" s="12"/>
    </row>
    <row r="47142" spans="32:32" x14ac:dyDescent="0.2">
      <c r="AF47142" s="12"/>
    </row>
    <row r="47143" spans="32:32" x14ac:dyDescent="0.2">
      <c r="AF47143" s="12"/>
    </row>
    <row r="47144" spans="32:32" x14ac:dyDescent="0.2">
      <c r="AF47144" s="12"/>
    </row>
    <row r="47145" spans="32:32" x14ac:dyDescent="0.2">
      <c r="AF47145" s="12"/>
    </row>
    <row r="47146" spans="32:32" x14ac:dyDescent="0.2">
      <c r="AF47146" s="12"/>
    </row>
    <row r="47147" spans="32:32" x14ac:dyDescent="0.2">
      <c r="AF47147" s="12"/>
    </row>
    <row r="47148" spans="32:32" x14ac:dyDescent="0.2">
      <c r="AF47148" s="12"/>
    </row>
    <row r="47149" spans="32:32" x14ac:dyDescent="0.2">
      <c r="AF47149" s="12"/>
    </row>
    <row r="47150" spans="32:32" x14ac:dyDescent="0.2">
      <c r="AF47150" s="12"/>
    </row>
    <row r="47151" spans="32:32" x14ac:dyDescent="0.2">
      <c r="AF47151" s="12"/>
    </row>
    <row r="47152" spans="32:32" x14ac:dyDescent="0.2">
      <c r="AF47152" s="12"/>
    </row>
    <row r="47153" spans="32:32" x14ac:dyDescent="0.2">
      <c r="AF47153" s="12"/>
    </row>
    <row r="47154" spans="32:32" x14ac:dyDescent="0.2">
      <c r="AF47154" s="12"/>
    </row>
    <row r="47155" spans="32:32" x14ac:dyDescent="0.2">
      <c r="AF47155" s="12"/>
    </row>
    <row r="47156" spans="32:32" x14ac:dyDescent="0.2">
      <c r="AF47156" s="12"/>
    </row>
    <row r="47157" spans="32:32" x14ac:dyDescent="0.2">
      <c r="AF47157" s="12"/>
    </row>
    <row r="47158" spans="32:32" x14ac:dyDescent="0.2">
      <c r="AF47158" s="12"/>
    </row>
    <row r="47159" spans="32:32" x14ac:dyDescent="0.2">
      <c r="AF47159" s="12"/>
    </row>
    <row r="47160" spans="32:32" x14ac:dyDescent="0.2">
      <c r="AF47160" s="12"/>
    </row>
    <row r="47161" spans="32:32" x14ac:dyDescent="0.2">
      <c r="AF47161" s="12"/>
    </row>
    <row r="47162" spans="32:32" x14ac:dyDescent="0.2">
      <c r="AF47162" s="12"/>
    </row>
    <row r="47163" spans="32:32" x14ac:dyDescent="0.2">
      <c r="AF47163" s="12"/>
    </row>
    <row r="47164" spans="32:32" x14ac:dyDescent="0.2">
      <c r="AF47164" s="12"/>
    </row>
    <row r="47165" spans="32:32" x14ac:dyDescent="0.2">
      <c r="AF47165" s="12"/>
    </row>
    <row r="47166" spans="32:32" x14ac:dyDescent="0.2">
      <c r="AF47166" s="12"/>
    </row>
    <row r="47167" spans="32:32" x14ac:dyDescent="0.2">
      <c r="AF47167" s="12"/>
    </row>
    <row r="47168" spans="32:32" x14ac:dyDescent="0.2">
      <c r="AF47168" s="12"/>
    </row>
    <row r="47169" spans="32:32" x14ac:dyDescent="0.2">
      <c r="AF47169" s="12"/>
    </row>
    <row r="47170" spans="32:32" x14ac:dyDescent="0.2">
      <c r="AF47170" s="12"/>
    </row>
    <row r="47171" spans="32:32" x14ac:dyDescent="0.2">
      <c r="AF47171" s="12"/>
    </row>
    <row r="47172" spans="32:32" x14ac:dyDescent="0.2">
      <c r="AF47172" s="12"/>
    </row>
    <row r="47173" spans="32:32" x14ac:dyDescent="0.2">
      <c r="AF47173" s="12"/>
    </row>
    <row r="47174" spans="32:32" x14ac:dyDescent="0.2">
      <c r="AF47174" s="12"/>
    </row>
    <row r="47175" spans="32:32" x14ac:dyDescent="0.2">
      <c r="AF47175" s="12"/>
    </row>
    <row r="47176" spans="32:32" x14ac:dyDescent="0.2">
      <c r="AF47176" s="12"/>
    </row>
    <row r="47177" spans="32:32" x14ac:dyDescent="0.2">
      <c r="AF47177" s="12"/>
    </row>
    <row r="47178" spans="32:32" x14ac:dyDescent="0.2">
      <c r="AF47178" s="12"/>
    </row>
    <row r="47179" spans="32:32" x14ac:dyDescent="0.2">
      <c r="AF47179" s="12"/>
    </row>
    <row r="47180" spans="32:32" x14ac:dyDescent="0.2">
      <c r="AF47180" s="12"/>
    </row>
    <row r="47181" spans="32:32" x14ac:dyDescent="0.2">
      <c r="AF47181" s="12"/>
    </row>
    <row r="47182" spans="32:32" x14ac:dyDescent="0.2">
      <c r="AF47182" s="12"/>
    </row>
    <row r="47183" spans="32:32" x14ac:dyDescent="0.2">
      <c r="AF47183" s="12"/>
    </row>
    <row r="47184" spans="32:32" x14ac:dyDescent="0.2">
      <c r="AF47184" s="12"/>
    </row>
    <row r="47185" spans="32:32" x14ac:dyDescent="0.2">
      <c r="AF47185" s="12"/>
    </row>
    <row r="47186" spans="32:32" x14ac:dyDescent="0.2">
      <c r="AF47186" s="12"/>
    </row>
    <row r="47187" spans="32:32" x14ac:dyDescent="0.2">
      <c r="AF47187" s="12"/>
    </row>
    <row r="47188" spans="32:32" x14ac:dyDescent="0.2">
      <c r="AF47188" s="12"/>
    </row>
    <row r="47189" spans="32:32" x14ac:dyDescent="0.2">
      <c r="AF47189" s="12"/>
    </row>
    <row r="47190" spans="32:32" x14ac:dyDescent="0.2">
      <c r="AF47190" s="12"/>
    </row>
    <row r="47191" spans="32:32" x14ac:dyDescent="0.2">
      <c r="AF47191" s="12"/>
    </row>
    <row r="47192" spans="32:32" x14ac:dyDescent="0.2">
      <c r="AF47192" s="12"/>
    </row>
    <row r="47193" spans="32:32" x14ac:dyDescent="0.2">
      <c r="AF47193" s="12"/>
    </row>
    <row r="47194" spans="32:32" x14ac:dyDescent="0.2">
      <c r="AF47194" s="12"/>
    </row>
    <row r="47195" spans="32:32" x14ac:dyDescent="0.2">
      <c r="AF47195" s="12"/>
    </row>
    <row r="47196" spans="32:32" x14ac:dyDescent="0.2">
      <c r="AF47196" s="12"/>
    </row>
    <row r="47197" spans="32:32" x14ac:dyDescent="0.2">
      <c r="AF47197" s="12"/>
    </row>
    <row r="47198" spans="32:32" x14ac:dyDescent="0.2">
      <c r="AF47198" s="12"/>
    </row>
    <row r="47199" spans="32:32" x14ac:dyDescent="0.2">
      <c r="AF47199" s="12"/>
    </row>
    <row r="47200" spans="32:32" x14ac:dyDescent="0.2">
      <c r="AF47200" s="12"/>
    </row>
    <row r="47201" spans="32:32" x14ac:dyDescent="0.2">
      <c r="AF47201" s="12"/>
    </row>
    <row r="47202" spans="32:32" x14ac:dyDescent="0.2">
      <c r="AF47202" s="12"/>
    </row>
    <row r="47203" spans="32:32" x14ac:dyDescent="0.2">
      <c r="AF47203" s="12"/>
    </row>
    <row r="47204" spans="32:32" x14ac:dyDescent="0.2">
      <c r="AF47204" s="12"/>
    </row>
    <row r="47205" spans="32:32" x14ac:dyDescent="0.2">
      <c r="AF47205" s="12"/>
    </row>
    <row r="47206" spans="32:32" x14ac:dyDescent="0.2">
      <c r="AF47206" s="12"/>
    </row>
    <row r="47207" spans="32:32" x14ac:dyDescent="0.2">
      <c r="AF47207" s="12"/>
    </row>
    <row r="47208" spans="32:32" x14ac:dyDescent="0.2">
      <c r="AF47208" s="12"/>
    </row>
    <row r="47209" spans="32:32" x14ac:dyDescent="0.2">
      <c r="AF47209" s="12"/>
    </row>
    <row r="47210" spans="32:32" x14ac:dyDescent="0.2">
      <c r="AF47210" s="12"/>
    </row>
    <row r="47211" spans="32:32" x14ac:dyDescent="0.2">
      <c r="AF47211" s="12"/>
    </row>
    <row r="47212" spans="32:32" x14ac:dyDescent="0.2">
      <c r="AF47212" s="12"/>
    </row>
    <row r="47213" spans="32:32" x14ac:dyDescent="0.2">
      <c r="AF47213" s="12"/>
    </row>
    <row r="47214" spans="32:32" x14ac:dyDescent="0.2">
      <c r="AF47214" s="12"/>
    </row>
    <row r="47215" spans="32:32" x14ac:dyDescent="0.2">
      <c r="AF47215" s="12"/>
    </row>
    <row r="47216" spans="32:32" x14ac:dyDescent="0.2">
      <c r="AF47216" s="12"/>
    </row>
    <row r="47217" spans="32:32" x14ac:dyDescent="0.2">
      <c r="AF47217" s="12"/>
    </row>
    <row r="47218" spans="32:32" x14ac:dyDescent="0.2">
      <c r="AF47218" s="12"/>
    </row>
    <row r="47219" spans="32:32" x14ac:dyDescent="0.2">
      <c r="AF47219" s="12"/>
    </row>
    <row r="47220" spans="32:32" x14ac:dyDescent="0.2">
      <c r="AF47220" s="12"/>
    </row>
    <row r="47221" spans="32:32" x14ac:dyDescent="0.2">
      <c r="AF47221" s="12"/>
    </row>
    <row r="47222" spans="32:32" x14ac:dyDescent="0.2">
      <c r="AF47222" s="12"/>
    </row>
    <row r="47223" spans="32:32" x14ac:dyDescent="0.2">
      <c r="AF47223" s="12"/>
    </row>
    <row r="47224" spans="32:32" x14ac:dyDescent="0.2">
      <c r="AF47224" s="12"/>
    </row>
    <row r="47225" spans="32:32" x14ac:dyDescent="0.2">
      <c r="AF47225" s="12"/>
    </row>
    <row r="47226" spans="32:32" x14ac:dyDescent="0.2">
      <c r="AF47226" s="12"/>
    </row>
    <row r="47227" spans="32:32" x14ac:dyDescent="0.2">
      <c r="AF47227" s="12"/>
    </row>
    <row r="47228" spans="32:32" x14ac:dyDescent="0.2">
      <c r="AF47228" s="12"/>
    </row>
    <row r="47229" spans="32:32" x14ac:dyDescent="0.2">
      <c r="AF47229" s="12"/>
    </row>
    <row r="47230" spans="32:32" x14ac:dyDescent="0.2">
      <c r="AF47230" s="12"/>
    </row>
    <row r="47231" spans="32:32" x14ac:dyDescent="0.2">
      <c r="AF47231" s="12"/>
    </row>
    <row r="47232" spans="32:32" x14ac:dyDescent="0.2">
      <c r="AF47232" s="12"/>
    </row>
    <row r="47233" spans="32:32" x14ac:dyDescent="0.2">
      <c r="AF47233" s="12"/>
    </row>
    <row r="47234" spans="32:32" x14ac:dyDescent="0.2">
      <c r="AF47234" s="12"/>
    </row>
    <row r="47235" spans="32:32" x14ac:dyDescent="0.2">
      <c r="AF47235" s="12"/>
    </row>
    <row r="47236" spans="32:32" x14ac:dyDescent="0.2">
      <c r="AF47236" s="12"/>
    </row>
    <row r="47237" spans="32:32" x14ac:dyDescent="0.2">
      <c r="AF47237" s="12"/>
    </row>
    <row r="47238" spans="32:32" x14ac:dyDescent="0.2">
      <c r="AF47238" s="12"/>
    </row>
    <row r="47239" spans="32:32" x14ac:dyDescent="0.2">
      <c r="AF47239" s="12"/>
    </row>
    <row r="47240" spans="32:32" x14ac:dyDescent="0.2">
      <c r="AF47240" s="12"/>
    </row>
    <row r="47241" spans="32:32" x14ac:dyDescent="0.2">
      <c r="AF47241" s="12"/>
    </row>
    <row r="47242" spans="32:32" x14ac:dyDescent="0.2">
      <c r="AF47242" s="12"/>
    </row>
    <row r="47243" spans="32:32" x14ac:dyDescent="0.2">
      <c r="AF47243" s="12"/>
    </row>
    <row r="47244" spans="32:32" x14ac:dyDescent="0.2">
      <c r="AF47244" s="12"/>
    </row>
    <row r="47245" spans="32:32" x14ac:dyDescent="0.2">
      <c r="AF47245" s="12"/>
    </row>
    <row r="47246" spans="32:32" x14ac:dyDescent="0.2">
      <c r="AF47246" s="12"/>
    </row>
    <row r="47247" spans="32:32" x14ac:dyDescent="0.2">
      <c r="AF47247" s="12"/>
    </row>
    <row r="47248" spans="32:32" x14ac:dyDescent="0.2">
      <c r="AF47248" s="12"/>
    </row>
    <row r="47249" spans="32:32" x14ac:dyDescent="0.2">
      <c r="AF47249" s="12"/>
    </row>
    <row r="47250" spans="32:32" x14ac:dyDescent="0.2">
      <c r="AF47250" s="12"/>
    </row>
    <row r="47251" spans="32:32" x14ac:dyDescent="0.2">
      <c r="AF47251" s="12"/>
    </row>
    <row r="47252" spans="32:32" x14ac:dyDescent="0.2">
      <c r="AF47252" s="12"/>
    </row>
    <row r="47253" spans="32:32" x14ac:dyDescent="0.2">
      <c r="AF47253" s="12"/>
    </row>
    <row r="47254" spans="32:32" x14ac:dyDescent="0.2">
      <c r="AF47254" s="12"/>
    </row>
    <row r="47255" spans="32:32" x14ac:dyDescent="0.2">
      <c r="AF47255" s="12"/>
    </row>
    <row r="47256" spans="32:32" x14ac:dyDescent="0.2">
      <c r="AF47256" s="12"/>
    </row>
    <row r="47257" spans="32:32" x14ac:dyDescent="0.2">
      <c r="AF47257" s="12"/>
    </row>
    <row r="47258" spans="32:32" x14ac:dyDescent="0.2">
      <c r="AF47258" s="12"/>
    </row>
    <row r="47259" spans="32:32" x14ac:dyDescent="0.2">
      <c r="AF47259" s="12"/>
    </row>
    <row r="47260" spans="32:32" x14ac:dyDescent="0.2">
      <c r="AF47260" s="12"/>
    </row>
    <row r="47261" spans="32:32" x14ac:dyDescent="0.2">
      <c r="AF47261" s="12"/>
    </row>
    <row r="47262" spans="32:32" x14ac:dyDescent="0.2">
      <c r="AF47262" s="12"/>
    </row>
    <row r="47263" spans="32:32" x14ac:dyDescent="0.2">
      <c r="AF47263" s="12"/>
    </row>
    <row r="47264" spans="32:32" x14ac:dyDescent="0.2">
      <c r="AF47264" s="12"/>
    </row>
    <row r="47265" spans="32:32" x14ac:dyDescent="0.2">
      <c r="AF47265" s="12"/>
    </row>
    <row r="47266" spans="32:32" x14ac:dyDescent="0.2">
      <c r="AF47266" s="12"/>
    </row>
    <row r="47267" spans="32:32" x14ac:dyDescent="0.2">
      <c r="AF47267" s="12"/>
    </row>
    <row r="47268" spans="32:32" x14ac:dyDescent="0.2">
      <c r="AF47268" s="12"/>
    </row>
    <row r="47269" spans="32:32" x14ac:dyDescent="0.2">
      <c r="AF47269" s="12"/>
    </row>
    <row r="47270" spans="32:32" x14ac:dyDescent="0.2">
      <c r="AF47270" s="12"/>
    </row>
    <row r="47271" spans="32:32" x14ac:dyDescent="0.2">
      <c r="AF47271" s="12"/>
    </row>
    <row r="47272" spans="32:32" x14ac:dyDescent="0.2">
      <c r="AF47272" s="12"/>
    </row>
    <row r="47273" spans="32:32" x14ac:dyDescent="0.2">
      <c r="AF47273" s="12"/>
    </row>
    <row r="47274" spans="32:32" x14ac:dyDescent="0.2">
      <c r="AF47274" s="12"/>
    </row>
    <row r="47275" spans="32:32" x14ac:dyDescent="0.2">
      <c r="AF47275" s="12"/>
    </row>
    <row r="47276" spans="32:32" x14ac:dyDescent="0.2">
      <c r="AF47276" s="12"/>
    </row>
    <row r="47277" spans="32:32" x14ac:dyDescent="0.2">
      <c r="AF47277" s="12"/>
    </row>
    <row r="47278" spans="32:32" x14ac:dyDescent="0.2">
      <c r="AF47278" s="12"/>
    </row>
    <row r="47279" spans="32:32" x14ac:dyDescent="0.2">
      <c r="AF47279" s="12"/>
    </row>
    <row r="47280" spans="32:32" x14ac:dyDescent="0.2">
      <c r="AF47280" s="12"/>
    </row>
    <row r="47281" spans="32:32" x14ac:dyDescent="0.2">
      <c r="AF47281" s="12"/>
    </row>
    <row r="47282" spans="32:32" x14ac:dyDescent="0.2">
      <c r="AF47282" s="12"/>
    </row>
    <row r="47283" spans="32:32" x14ac:dyDescent="0.2">
      <c r="AF47283" s="12"/>
    </row>
    <row r="47284" spans="32:32" x14ac:dyDescent="0.2">
      <c r="AF47284" s="12"/>
    </row>
    <row r="47285" spans="32:32" x14ac:dyDescent="0.2">
      <c r="AF47285" s="12"/>
    </row>
    <row r="47286" spans="32:32" x14ac:dyDescent="0.2">
      <c r="AF47286" s="12"/>
    </row>
    <row r="47287" spans="32:32" x14ac:dyDescent="0.2">
      <c r="AF47287" s="12"/>
    </row>
    <row r="47288" spans="32:32" x14ac:dyDescent="0.2">
      <c r="AF47288" s="12"/>
    </row>
    <row r="47289" spans="32:32" x14ac:dyDescent="0.2">
      <c r="AF47289" s="12"/>
    </row>
    <row r="47290" spans="32:32" x14ac:dyDescent="0.2">
      <c r="AF47290" s="12"/>
    </row>
    <row r="47291" spans="32:32" x14ac:dyDescent="0.2">
      <c r="AF47291" s="12"/>
    </row>
    <row r="47292" spans="32:32" x14ac:dyDescent="0.2">
      <c r="AF47292" s="12"/>
    </row>
    <row r="47293" spans="32:32" x14ac:dyDescent="0.2">
      <c r="AF47293" s="12"/>
    </row>
    <row r="47294" spans="32:32" x14ac:dyDescent="0.2">
      <c r="AF47294" s="12"/>
    </row>
    <row r="47295" spans="32:32" x14ac:dyDescent="0.2">
      <c r="AF47295" s="12"/>
    </row>
    <row r="47296" spans="32:32" x14ac:dyDescent="0.2">
      <c r="AF47296" s="12"/>
    </row>
    <row r="47297" spans="32:32" x14ac:dyDescent="0.2">
      <c r="AF47297" s="12"/>
    </row>
    <row r="47298" spans="32:32" x14ac:dyDescent="0.2">
      <c r="AF47298" s="12"/>
    </row>
    <row r="47299" spans="32:32" x14ac:dyDescent="0.2">
      <c r="AF47299" s="12"/>
    </row>
    <row r="47300" spans="32:32" x14ac:dyDescent="0.2">
      <c r="AF47300" s="12"/>
    </row>
    <row r="47301" spans="32:32" x14ac:dyDescent="0.2">
      <c r="AF47301" s="12"/>
    </row>
    <row r="47302" spans="32:32" x14ac:dyDescent="0.2">
      <c r="AF47302" s="12"/>
    </row>
    <row r="47303" spans="32:32" x14ac:dyDescent="0.2">
      <c r="AF47303" s="12"/>
    </row>
    <row r="47304" spans="32:32" x14ac:dyDescent="0.2">
      <c r="AF47304" s="12"/>
    </row>
    <row r="47305" spans="32:32" x14ac:dyDescent="0.2">
      <c r="AF47305" s="12"/>
    </row>
    <row r="47306" spans="32:32" x14ac:dyDescent="0.2">
      <c r="AF47306" s="12"/>
    </row>
    <row r="47307" spans="32:32" x14ac:dyDescent="0.2">
      <c r="AF47307" s="12"/>
    </row>
    <row r="47308" spans="32:32" x14ac:dyDescent="0.2">
      <c r="AF47308" s="12"/>
    </row>
    <row r="47309" spans="32:32" x14ac:dyDescent="0.2">
      <c r="AF47309" s="12"/>
    </row>
    <row r="47310" spans="32:32" x14ac:dyDescent="0.2">
      <c r="AF47310" s="12"/>
    </row>
    <row r="47311" spans="32:32" x14ac:dyDescent="0.2">
      <c r="AF47311" s="12"/>
    </row>
    <row r="47312" spans="32:32" x14ac:dyDescent="0.2">
      <c r="AF47312" s="12"/>
    </row>
    <row r="47313" spans="32:32" x14ac:dyDescent="0.2">
      <c r="AF47313" s="12"/>
    </row>
    <row r="47314" spans="32:32" x14ac:dyDescent="0.2">
      <c r="AF47314" s="12"/>
    </row>
    <row r="47315" spans="32:32" x14ac:dyDescent="0.2">
      <c r="AF47315" s="12"/>
    </row>
    <row r="47316" spans="32:32" x14ac:dyDescent="0.2">
      <c r="AF47316" s="12"/>
    </row>
    <row r="47317" spans="32:32" x14ac:dyDescent="0.2">
      <c r="AF47317" s="12"/>
    </row>
    <row r="47318" spans="32:32" x14ac:dyDescent="0.2">
      <c r="AF47318" s="12"/>
    </row>
    <row r="47319" spans="32:32" x14ac:dyDescent="0.2">
      <c r="AF47319" s="12"/>
    </row>
    <row r="47320" spans="32:32" x14ac:dyDescent="0.2">
      <c r="AF47320" s="12"/>
    </row>
    <row r="47321" spans="32:32" x14ac:dyDescent="0.2">
      <c r="AF47321" s="12"/>
    </row>
    <row r="47322" spans="32:32" x14ac:dyDescent="0.2">
      <c r="AF47322" s="12"/>
    </row>
    <row r="47323" spans="32:32" x14ac:dyDescent="0.2">
      <c r="AF47323" s="12"/>
    </row>
    <row r="47324" spans="32:32" x14ac:dyDescent="0.2">
      <c r="AF47324" s="12"/>
    </row>
    <row r="47325" spans="32:32" x14ac:dyDescent="0.2">
      <c r="AF47325" s="12"/>
    </row>
    <row r="47326" spans="32:32" x14ac:dyDescent="0.2">
      <c r="AF47326" s="12"/>
    </row>
    <row r="47327" spans="32:32" x14ac:dyDescent="0.2">
      <c r="AF47327" s="12"/>
    </row>
    <row r="47328" spans="32:32" x14ac:dyDescent="0.2">
      <c r="AF47328" s="12"/>
    </row>
    <row r="47329" spans="32:32" x14ac:dyDescent="0.2">
      <c r="AF47329" s="12"/>
    </row>
    <row r="47330" spans="32:32" x14ac:dyDescent="0.2">
      <c r="AF47330" s="12"/>
    </row>
    <row r="47331" spans="32:32" x14ac:dyDescent="0.2">
      <c r="AF47331" s="12"/>
    </row>
    <row r="47332" spans="32:32" x14ac:dyDescent="0.2">
      <c r="AF47332" s="12"/>
    </row>
    <row r="47333" spans="32:32" x14ac:dyDescent="0.2">
      <c r="AF47333" s="12"/>
    </row>
    <row r="47334" spans="32:32" x14ac:dyDescent="0.2">
      <c r="AF47334" s="12"/>
    </row>
    <row r="47335" spans="32:32" x14ac:dyDescent="0.2">
      <c r="AF47335" s="12"/>
    </row>
    <row r="47336" spans="32:32" x14ac:dyDescent="0.2">
      <c r="AF47336" s="12"/>
    </row>
    <row r="47337" spans="32:32" x14ac:dyDescent="0.2">
      <c r="AF47337" s="12"/>
    </row>
    <row r="47338" spans="32:32" x14ac:dyDescent="0.2">
      <c r="AF47338" s="12"/>
    </row>
    <row r="47339" spans="32:32" x14ac:dyDescent="0.2">
      <c r="AF47339" s="12"/>
    </row>
    <row r="47340" spans="32:32" x14ac:dyDescent="0.2">
      <c r="AF47340" s="12"/>
    </row>
    <row r="47341" spans="32:32" x14ac:dyDescent="0.2">
      <c r="AF47341" s="12"/>
    </row>
    <row r="47342" spans="32:32" x14ac:dyDescent="0.2">
      <c r="AF47342" s="12"/>
    </row>
    <row r="47343" spans="32:32" x14ac:dyDescent="0.2">
      <c r="AF47343" s="12"/>
    </row>
    <row r="47344" spans="32:32" x14ac:dyDescent="0.2">
      <c r="AF47344" s="12"/>
    </row>
    <row r="47345" spans="32:32" x14ac:dyDescent="0.2">
      <c r="AF47345" s="12"/>
    </row>
    <row r="47346" spans="32:32" x14ac:dyDescent="0.2">
      <c r="AF47346" s="12"/>
    </row>
    <row r="47347" spans="32:32" x14ac:dyDescent="0.2">
      <c r="AF47347" s="12"/>
    </row>
    <row r="47348" spans="32:32" x14ac:dyDescent="0.2">
      <c r="AF47348" s="12"/>
    </row>
    <row r="47349" spans="32:32" x14ac:dyDescent="0.2">
      <c r="AF47349" s="12"/>
    </row>
    <row r="47350" spans="32:32" x14ac:dyDescent="0.2">
      <c r="AF47350" s="12"/>
    </row>
    <row r="47351" spans="32:32" x14ac:dyDescent="0.2">
      <c r="AF47351" s="12"/>
    </row>
    <row r="47352" spans="32:32" x14ac:dyDescent="0.2">
      <c r="AF47352" s="12"/>
    </row>
    <row r="47353" spans="32:32" x14ac:dyDescent="0.2">
      <c r="AF47353" s="12"/>
    </row>
    <row r="47354" spans="32:32" x14ac:dyDescent="0.2">
      <c r="AF47354" s="12"/>
    </row>
    <row r="47355" spans="32:32" x14ac:dyDescent="0.2">
      <c r="AF47355" s="12"/>
    </row>
    <row r="47356" spans="32:32" x14ac:dyDescent="0.2">
      <c r="AF47356" s="12"/>
    </row>
    <row r="47357" spans="32:32" x14ac:dyDescent="0.2">
      <c r="AF47357" s="12"/>
    </row>
    <row r="47358" spans="32:32" x14ac:dyDescent="0.2">
      <c r="AF47358" s="12"/>
    </row>
    <row r="47359" spans="32:32" x14ac:dyDescent="0.2">
      <c r="AF47359" s="12"/>
    </row>
    <row r="47360" spans="32:32" x14ac:dyDescent="0.2">
      <c r="AF47360" s="12"/>
    </row>
    <row r="47361" spans="32:32" x14ac:dyDescent="0.2">
      <c r="AF47361" s="12"/>
    </row>
    <row r="47362" spans="32:32" x14ac:dyDescent="0.2">
      <c r="AF47362" s="12"/>
    </row>
    <row r="47363" spans="32:32" x14ac:dyDescent="0.2">
      <c r="AF47363" s="12"/>
    </row>
    <row r="47364" spans="32:32" x14ac:dyDescent="0.2">
      <c r="AF47364" s="12"/>
    </row>
    <row r="47365" spans="32:32" x14ac:dyDescent="0.2">
      <c r="AF47365" s="12"/>
    </row>
    <row r="47366" spans="32:32" x14ac:dyDescent="0.2">
      <c r="AF47366" s="12"/>
    </row>
    <row r="47367" spans="32:32" x14ac:dyDescent="0.2">
      <c r="AF47367" s="12"/>
    </row>
    <row r="47368" spans="32:32" x14ac:dyDescent="0.2">
      <c r="AF47368" s="12"/>
    </row>
    <row r="47369" spans="32:32" x14ac:dyDescent="0.2">
      <c r="AF47369" s="12"/>
    </row>
    <row r="47370" spans="32:32" x14ac:dyDescent="0.2">
      <c r="AF47370" s="12"/>
    </row>
    <row r="47371" spans="32:32" x14ac:dyDescent="0.2">
      <c r="AF47371" s="12"/>
    </row>
    <row r="47372" spans="32:32" x14ac:dyDescent="0.2">
      <c r="AF47372" s="12"/>
    </row>
    <row r="47373" spans="32:32" x14ac:dyDescent="0.2">
      <c r="AF47373" s="12"/>
    </row>
    <row r="47374" spans="32:32" x14ac:dyDescent="0.2">
      <c r="AF47374" s="12"/>
    </row>
    <row r="47375" spans="32:32" x14ac:dyDescent="0.2">
      <c r="AF47375" s="12"/>
    </row>
    <row r="47376" spans="32:32" x14ac:dyDescent="0.2">
      <c r="AF47376" s="12"/>
    </row>
    <row r="47377" spans="32:32" x14ac:dyDescent="0.2">
      <c r="AF47377" s="12"/>
    </row>
    <row r="47378" spans="32:32" x14ac:dyDescent="0.2">
      <c r="AF47378" s="12"/>
    </row>
    <row r="47379" spans="32:32" x14ac:dyDescent="0.2">
      <c r="AF47379" s="12"/>
    </row>
    <row r="47380" spans="32:32" x14ac:dyDescent="0.2">
      <c r="AF47380" s="12"/>
    </row>
    <row r="47381" spans="32:32" x14ac:dyDescent="0.2">
      <c r="AF47381" s="12"/>
    </row>
    <row r="47382" spans="32:32" x14ac:dyDescent="0.2">
      <c r="AF47382" s="12"/>
    </row>
    <row r="47383" spans="32:32" x14ac:dyDescent="0.2">
      <c r="AF47383" s="12"/>
    </row>
    <row r="47384" spans="32:32" x14ac:dyDescent="0.2">
      <c r="AF47384" s="12"/>
    </row>
    <row r="47385" spans="32:32" x14ac:dyDescent="0.2">
      <c r="AF47385" s="12"/>
    </row>
    <row r="47386" spans="32:32" x14ac:dyDescent="0.2">
      <c r="AF47386" s="12"/>
    </row>
    <row r="47387" spans="32:32" x14ac:dyDescent="0.2">
      <c r="AF47387" s="12"/>
    </row>
    <row r="47388" spans="32:32" x14ac:dyDescent="0.2">
      <c r="AF47388" s="12"/>
    </row>
    <row r="47389" spans="32:32" x14ac:dyDescent="0.2">
      <c r="AF47389" s="12"/>
    </row>
    <row r="47390" spans="32:32" x14ac:dyDescent="0.2">
      <c r="AF47390" s="12"/>
    </row>
    <row r="47391" spans="32:32" x14ac:dyDescent="0.2">
      <c r="AF47391" s="12"/>
    </row>
    <row r="47392" spans="32:32" x14ac:dyDescent="0.2">
      <c r="AF47392" s="12"/>
    </row>
    <row r="47393" spans="32:32" x14ac:dyDescent="0.2">
      <c r="AF47393" s="12"/>
    </row>
    <row r="47394" spans="32:32" x14ac:dyDescent="0.2">
      <c r="AF47394" s="12"/>
    </row>
    <row r="47395" spans="32:32" x14ac:dyDescent="0.2">
      <c r="AF47395" s="12"/>
    </row>
    <row r="47396" spans="32:32" x14ac:dyDescent="0.2">
      <c r="AF47396" s="12"/>
    </row>
    <row r="47397" spans="32:32" x14ac:dyDescent="0.2">
      <c r="AF47397" s="12"/>
    </row>
    <row r="47398" spans="32:32" x14ac:dyDescent="0.2">
      <c r="AF47398" s="12"/>
    </row>
    <row r="47399" spans="32:32" x14ac:dyDescent="0.2">
      <c r="AF47399" s="12"/>
    </row>
    <row r="47400" spans="32:32" x14ac:dyDescent="0.2">
      <c r="AF47400" s="12"/>
    </row>
    <row r="47401" spans="32:32" x14ac:dyDescent="0.2">
      <c r="AF47401" s="12"/>
    </row>
    <row r="47402" spans="32:32" x14ac:dyDescent="0.2">
      <c r="AF47402" s="12"/>
    </row>
    <row r="47403" spans="32:32" x14ac:dyDescent="0.2">
      <c r="AF47403" s="12"/>
    </row>
    <row r="47404" spans="32:32" x14ac:dyDescent="0.2">
      <c r="AF47404" s="12"/>
    </row>
    <row r="47405" spans="32:32" x14ac:dyDescent="0.2">
      <c r="AF47405" s="12"/>
    </row>
    <row r="47406" spans="32:32" x14ac:dyDescent="0.2">
      <c r="AF47406" s="12"/>
    </row>
    <row r="47407" spans="32:32" x14ac:dyDescent="0.2">
      <c r="AF47407" s="12"/>
    </row>
    <row r="47408" spans="32:32" x14ac:dyDescent="0.2">
      <c r="AF47408" s="12"/>
    </row>
    <row r="47409" spans="32:32" x14ac:dyDescent="0.2">
      <c r="AF47409" s="12"/>
    </row>
    <row r="47410" spans="32:32" x14ac:dyDescent="0.2">
      <c r="AF47410" s="12"/>
    </row>
    <row r="47411" spans="32:32" x14ac:dyDescent="0.2">
      <c r="AF47411" s="12"/>
    </row>
    <row r="47412" spans="32:32" x14ac:dyDescent="0.2">
      <c r="AF47412" s="12"/>
    </row>
    <row r="47413" spans="32:32" x14ac:dyDescent="0.2">
      <c r="AF47413" s="12"/>
    </row>
    <row r="47414" spans="32:32" x14ac:dyDescent="0.2">
      <c r="AF47414" s="12"/>
    </row>
    <row r="47415" spans="32:32" x14ac:dyDescent="0.2">
      <c r="AF47415" s="12"/>
    </row>
    <row r="47416" spans="32:32" x14ac:dyDescent="0.2">
      <c r="AF47416" s="12"/>
    </row>
    <row r="47417" spans="32:32" x14ac:dyDescent="0.2">
      <c r="AF47417" s="12"/>
    </row>
    <row r="47418" spans="32:32" x14ac:dyDescent="0.2">
      <c r="AF47418" s="12"/>
    </row>
    <row r="47419" spans="32:32" x14ac:dyDescent="0.2">
      <c r="AF47419" s="12"/>
    </row>
    <row r="47420" spans="32:32" x14ac:dyDescent="0.2">
      <c r="AF47420" s="12"/>
    </row>
    <row r="47421" spans="32:32" x14ac:dyDescent="0.2">
      <c r="AF47421" s="12"/>
    </row>
    <row r="47422" spans="32:32" x14ac:dyDescent="0.2">
      <c r="AF47422" s="12"/>
    </row>
    <row r="47423" spans="32:32" x14ac:dyDescent="0.2">
      <c r="AF47423" s="12"/>
    </row>
    <row r="47424" spans="32:32" x14ac:dyDescent="0.2">
      <c r="AF47424" s="12"/>
    </row>
    <row r="47425" spans="32:32" x14ac:dyDescent="0.2">
      <c r="AF47425" s="12"/>
    </row>
    <row r="47426" spans="32:32" x14ac:dyDescent="0.2">
      <c r="AF47426" s="12"/>
    </row>
    <row r="47427" spans="32:32" x14ac:dyDescent="0.2">
      <c r="AF47427" s="12"/>
    </row>
    <row r="47428" spans="32:32" x14ac:dyDescent="0.2">
      <c r="AF47428" s="12"/>
    </row>
    <row r="47429" spans="32:32" x14ac:dyDescent="0.2">
      <c r="AF47429" s="12"/>
    </row>
    <row r="47430" spans="32:32" x14ac:dyDescent="0.2">
      <c r="AF47430" s="12"/>
    </row>
    <row r="47431" spans="32:32" x14ac:dyDescent="0.2">
      <c r="AF47431" s="12"/>
    </row>
    <row r="47432" spans="32:32" x14ac:dyDescent="0.2">
      <c r="AF47432" s="12"/>
    </row>
    <row r="47433" spans="32:32" x14ac:dyDescent="0.2">
      <c r="AF47433" s="12"/>
    </row>
    <row r="47434" spans="32:32" x14ac:dyDescent="0.2">
      <c r="AF47434" s="12"/>
    </row>
    <row r="47435" spans="32:32" x14ac:dyDescent="0.2">
      <c r="AF47435" s="12"/>
    </row>
    <row r="47436" spans="32:32" x14ac:dyDescent="0.2">
      <c r="AF47436" s="12"/>
    </row>
    <row r="47437" spans="32:32" x14ac:dyDescent="0.2">
      <c r="AF47437" s="12"/>
    </row>
    <row r="47438" spans="32:32" x14ac:dyDescent="0.2">
      <c r="AF47438" s="12"/>
    </row>
    <row r="47439" spans="32:32" x14ac:dyDescent="0.2">
      <c r="AF47439" s="12"/>
    </row>
    <row r="47440" spans="32:32" x14ac:dyDescent="0.2">
      <c r="AF47440" s="12"/>
    </row>
    <row r="47441" spans="32:32" x14ac:dyDescent="0.2">
      <c r="AF47441" s="12"/>
    </row>
    <row r="47442" spans="32:32" x14ac:dyDescent="0.2">
      <c r="AF47442" s="12"/>
    </row>
    <row r="47443" spans="32:32" x14ac:dyDescent="0.2">
      <c r="AF47443" s="12"/>
    </row>
    <row r="47444" spans="32:32" x14ac:dyDescent="0.2">
      <c r="AF47444" s="12"/>
    </row>
    <row r="47445" spans="32:32" x14ac:dyDescent="0.2">
      <c r="AF47445" s="12"/>
    </row>
    <row r="47446" spans="32:32" x14ac:dyDescent="0.2">
      <c r="AF47446" s="12"/>
    </row>
    <row r="47447" spans="32:32" x14ac:dyDescent="0.2">
      <c r="AF47447" s="12"/>
    </row>
    <row r="47448" spans="32:32" x14ac:dyDescent="0.2">
      <c r="AF47448" s="12"/>
    </row>
    <row r="47449" spans="32:32" x14ac:dyDescent="0.2">
      <c r="AF47449" s="12"/>
    </row>
    <row r="47450" spans="32:32" x14ac:dyDescent="0.2">
      <c r="AF47450" s="12"/>
    </row>
    <row r="47451" spans="32:32" x14ac:dyDescent="0.2">
      <c r="AF47451" s="12"/>
    </row>
    <row r="47452" spans="32:32" x14ac:dyDescent="0.2">
      <c r="AF47452" s="12"/>
    </row>
    <row r="47453" spans="32:32" x14ac:dyDescent="0.2">
      <c r="AF47453" s="12"/>
    </row>
    <row r="47454" spans="32:32" x14ac:dyDescent="0.2">
      <c r="AF47454" s="12"/>
    </row>
    <row r="47455" spans="32:32" x14ac:dyDescent="0.2">
      <c r="AF47455" s="12"/>
    </row>
    <row r="47456" spans="32:32" x14ac:dyDescent="0.2">
      <c r="AF47456" s="12"/>
    </row>
    <row r="47457" spans="32:32" x14ac:dyDescent="0.2">
      <c r="AF47457" s="12"/>
    </row>
    <row r="47458" spans="32:32" x14ac:dyDescent="0.2">
      <c r="AF47458" s="12"/>
    </row>
    <row r="47459" spans="32:32" x14ac:dyDescent="0.2">
      <c r="AF47459" s="12"/>
    </row>
    <row r="47460" spans="32:32" x14ac:dyDescent="0.2">
      <c r="AF47460" s="12"/>
    </row>
    <row r="47461" spans="32:32" x14ac:dyDescent="0.2">
      <c r="AF47461" s="12"/>
    </row>
    <row r="47462" spans="32:32" x14ac:dyDescent="0.2">
      <c r="AF47462" s="12"/>
    </row>
    <row r="47463" spans="32:32" x14ac:dyDescent="0.2">
      <c r="AF47463" s="12"/>
    </row>
    <row r="47464" spans="32:32" x14ac:dyDescent="0.2">
      <c r="AF47464" s="12"/>
    </row>
    <row r="47465" spans="32:32" x14ac:dyDescent="0.2">
      <c r="AF47465" s="12"/>
    </row>
    <row r="47466" spans="32:32" x14ac:dyDescent="0.2">
      <c r="AF47466" s="12"/>
    </row>
    <row r="47467" spans="32:32" x14ac:dyDescent="0.2">
      <c r="AF47467" s="12"/>
    </row>
    <row r="47468" spans="32:32" x14ac:dyDescent="0.2">
      <c r="AF47468" s="12"/>
    </row>
    <row r="47469" spans="32:32" x14ac:dyDescent="0.2">
      <c r="AF47469" s="12"/>
    </row>
    <row r="47470" spans="32:32" x14ac:dyDescent="0.2">
      <c r="AF47470" s="12"/>
    </row>
    <row r="47471" spans="32:32" x14ac:dyDescent="0.2">
      <c r="AF47471" s="12"/>
    </row>
    <row r="47472" spans="32:32" x14ac:dyDescent="0.2">
      <c r="AF47472" s="12"/>
    </row>
    <row r="47473" spans="32:32" x14ac:dyDescent="0.2">
      <c r="AF47473" s="12"/>
    </row>
    <row r="47474" spans="32:32" x14ac:dyDescent="0.2">
      <c r="AF47474" s="12"/>
    </row>
    <row r="47475" spans="32:32" x14ac:dyDescent="0.2">
      <c r="AF47475" s="12"/>
    </row>
    <row r="47476" spans="32:32" x14ac:dyDescent="0.2">
      <c r="AF47476" s="12"/>
    </row>
    <row r="47477" spans="32:32" x14ac:dyDescent="0.2">
      <c r="AF47477" s="12"/>
    </row>
    <row r="47478" spans="32:32" x14ac:dyDescent="0.2">
      <c r="AF47478" s="12"/>
    </row>
    <row r="47479" spans="32:32" x14ac:dyDescent="0.2">
      <c r="AF47479" s="12"/>
    </row>
    <row r="47480" spans="32:32" x14ac:dyDescent="0.2">
      <c r="AF47480" s="12"/>
    </row>
    <row r="47481" spans="32:32" x14ac:dyDescent="0.2">
      <c r="AF47481" s="12"/>
    </row>
    <row r="47482" spans="32:32" x14ac:dyDescent="0.2">
      <c r="AF47482" s="12"/>
    </row>
    <row r="47483" spans="32:32" x14ac:dyDescent="0.2">
      <c r="AF47483" s="12"/>
    </row>
    <row r="47484" spans="32:32" x14ac:dyDescent="0.2">
      <c r="AF47484" s="12"/>
    </row>
    <row r="47485" spans="32:32" x14ac:dyDescent="0.2">
      <c r="AF47485" s="12"/>
    </row>
    <row r="47486" spans="32:32" x14ac:dyDescent="0.2">
      <c r="AF47486" s="12"/>
    </row>
    <row r="47487" spans="32:32" x14ac:dyDescent="0.2">
      <c r="AF47487" s="12"/>
    </row>
    <row r="47488" spans="32:32" x14ac:dyDescent="0.2">
      <c r="AF47488" s="12"/>
    </row>
    <row r="47489" spans="32:32" x14ac:dyDescent="0.2">
      <c r="AF47489" s="12"/>
    </row>
    <row r="47490" spans="32:32" x14ac:dyDescent="0.2">
      <c r="AF47490" s="12"/>
    </row>
    <row r="47491" spans="32:32" x14ac:dyDescent="0.2">
      <c r="AF47491" s="12"/>
    </row>
    <row r="47492" spans="32:32" x14ac:dyDescent="0.2">
      <c r="AF47492" s="12"/>
    </row>
    <row r="47493" spans="32:32" x14ac:dyDescent="0.2">
      <c r="AF47493" s="12"/>
    </row>
    <row r="47494" spans="32:32" x14ac:dyDescent="0.2">
      <c r="AF47494" s="12"/>
    </row>
    <row r="47495" spans="32:32" x14ac:dyDescent="0.2">
      <c r="AF47495" s="12"/>
    </row>
    <row r="47496" spans="32:32" x14ac:dyDescent="0.2">
      <c r="AF47496" s="12"/>
    </row>
    <row r="47497" spans="32:32" x14ac:dyDescent="0.2">
      <c r="AF47497" s="12"/>
    </row>
    <row r="47498" spans="32:32" x14ac:dyDescent="0.2">
      <c r="AF47498" s="12"/>
    </row>
    <row r="47499" spans="32:32" x14ac:dyDescent="0.2">
      <c r="AF47499" s="12"/>
    </row>
    <row r="47500" spans="32:32" x14ac:dyDescent="0.2">
      <c r="AF47500" s="12"/>
    </row>
    <row r="47501" spans="32:32" x14ac:dyDescent="0.2">
      <c r="AF47501" s="12"/>
    </row>
    <row r="47502" spans="32:32" x14ac:dyDescent="0.2">
      <c r="AF47502" s="12"/>
    </row>
    <row r="47503" spans="32:32" x14ac:dyDescent="0.2">
      <c r="AF47503" s="12"/>
    </row>
    <row r="47504" spans="32:32" x14ac:dyDescent="0.2">
      <c r="AF47504" s="12"/>
    </row>
    <row r="47505" spans="32:32" x14ac:dyDescent="0.2">
      <c r="AF47505" s="12"/>
    </row>
    <row r="47506" spans="32:32" x14ac:dyDescent="0.2">
      <c r="AF47506" s="12"/>
    </row>
    <row r="47507" spans="32:32" x14ac:dyDescent="0.2">
      <c r="AF47507" s="12"/>
    </row>
    <row r="47508" spans="32:32" x14ac:dyDescent="0.2">
      <c r="AF47508" s="12"/>
    </row>
    <row r="47509" spans="32:32" x14ac:dyDescent="0.2">
      <c r="AF47509" s="12"/>
    </row>
    <row r="47510" spans="32:32" x14ac:dyDescent="0.2">
      <c r="AF47510" s="12"/>
    </row>
    <row r="47511" spans="32:32" x14ac:dyDescent="0.2">
      <c r="AF47511" s="12"/>
    </row>
    <row r="47512" spans="32:32" x14ac:dyDescent="0.2">
      <c r="AF47512" s="12"/>
    </row>
    <row r="47513" spans="32:32" x14ac:dyDescent="0.2">
      <c r="AF47513" s="12"/>
    </row>
    <row r="47514" spans="32:32" x14ac:dyDescent="0.2">
      <c r="AF47514" s="12"/>
    </row>
    <row r="47515" spans="32:32" x14ac:dyDescent="0.2">
      <c r="AF47515" s="12"/>
    </row>
    <row r="47516" spans="32:32" x14ac:dyDescent="0.2">
      <c r="AF47516" s="12"/>
    </row>
    <row r="47517" spans="32:32" x14ac:dyDescent="0.2">
      <c r="AF47517" s="12"/>
    </row>
    <row r="47518" spans="32:32" x14ac:dyDescent="0.2">
      <c r="AF47518" s="12"/>
    </row>
    <row r="47519" spans="32:32" x14ac:dyDescent="0.2">
      <c r="AF47519" s="12"/>
    </row>
    <row r="47520" spans="32:32" x14ac:dyDescent="0.2">
      <c r="AF47520" s="12"/>
    </row>
    <row r="47521" spans="32:32" x14ac:dyDescent="0.2">
      <c r="AF47521" s="12"/>
    </row>
    <row r="47522" spans="32:32" x14ac:dyDescent="0.2">
      <c r="AF47522" s="12"/>
    </row>
    <row r="47523" spans="32:32" x14ac:dyDescent="0.2">
      <c r="AF47523" s="12"/>
    </row>
    <row r="47524" spans="32:32" x14ac:dyDescent="0.2">
      <c r="AF47524" s="12"/>
    </row>
    <row r="47525" spans="32:32" x14ac:dyDescent="0.2">
      <c r="AF47525" s="12"/>
    </row>
    <row r="47526" spans="32:32" x14ac:dyDescent="0.2">
      <c r="AF47526" s="12"/>
    </row>
    <row r="47527" spans="32:32" x14ac:dyDescent="0.2">
      <c r="AF47527" s="12"/>
    </row>
    <row r="47528" spans="32:32" x14ac:dyDescent="0.2">
      <c r="AF47528" s="12"/>
    </row>
    <row r="47529" spans="32:32" x14ac:dyDescent="0.2">
      <c r="AF47529" s="12"/>
    </row>
    <row r="47530" spans="32:32" x14ac:dyDescent="0.2">
      <c r="AF47530" s="12"/>
    </row>
    <row r="47531" spans="32:32" x14ac:dyDescent="0.2">
      <c r="AF47531" s="12"/>
    </row>
    <row r="47532" spans="32:32" x14ac:dyDescent="0.2">
      <c r="AF47532" s="12"/>
    </row>
    <row r="47533" spans="32:32" x14ac:dyDescent="0.2">
      <c r="AF47533" s="12"/>
    </row>
    <row r="47534" spans="32:32" x14ac:dyDescent="0.2">
      <c r="AF47534" s="12"/>
    </row>
    <row r="47535" spans="32:32" x14ac:dyDescent="0.2">
      <c r="AF47535" s="12"/>
    </row>
    <row r="47536" spans="32:32" x14ac:dyDescent="0.2">
      <c r="AF47536" s="12"/>
    </row>
    <row r="47537" spans="32:32" x14ac:dyDescent="0.2">
      <c r="AF47537" s="12"/>
    </row>
    <row r="47538" spans="32:32" x14ac:dyDescent="0.2">
      <c r="AF47538" s="12"/>
    </row>
    <row r="47539" spans="32:32" x14ac:dyDescent="0.2">
      <c r="AF47539" s="12"/>
    </row>
    <row r="47540" spans="32:32" x14ac:dyDescent="0.2">
      <c r="AF47540" s="12"/>
    </row>
    <row r="47541" spans="32:32" x14ac:dyDescent="0.2">
      <c r="AF47541" s="12"/>
    </row>
    <row r="47542" spans="32:32" x14ac:dyDescent="0.2">
      <c r="AF47542" s="12"/>
    </row>
    <row r="47543" spans="32:32" x14ac:dyDescent="0.2">
      <c r="AF47543" s="12"/>
    </row>
    <row r="47544" spans="32:32" x14ac:dyDescent="0.2">
      <c r="AF47544" s="12"/>
    </row>
    <row r="47545" spans="32:32" x14ac:dyDescent="0.2">
      <c r="AF47545" s="12"/>
    </row>
    <row r="47546" spans="32:32" x14ac:dyDescent="0.2">
      <c r="AF47546" s="12"/>
    </row>
    <row r="47547" spans="32:32" x14ac:dyDescent="0.2">
      <c r="AF47547" s="12"/>
    </row>
    <row r="47548" spans="32:32" x14ac:dyDescent="0.2">
      <c r="AF47548" s="12"/>
    </row>
    <row r="47549" spans="32:32" x14ac:dyDescent="0.2">
      <c r="AF47549" s="12"/>
    </row>
    <row r="47550" spans="32:32" x14ac:dyDescent="0.2">
      <c r="AF47550" s="12"/>
    </row>
    <row r="47551" spans="32:32" x14ac:dyDescent="0.2">
      <c r="AF47551" s="12"/>
    </row>
    <row r="47552" spans="32:32" x14ac:dyDescent="0.2">
      <c r="AF47552" s="12"/>
    </row>
    <row r="47553" spans="32:32" x14ac:dyDescent="0.2">
      <c r="AF47553" s="12"/>
    </row>
    <row r="47554" spans="32:32" x14ac:dyDescent="0.2">
      <c r="AF47554" s="12"/>
    </row>
    <row r="47555" spans="32:32" x14ac:dyDescent="0.2">
      <c r="AF47555" s="12"/>
    </row>
    <row r="47556" spans="32:32" x14ac:dyDescent="0.2">
      <c r="AF47556" s="12"/>
    </row>
    <row r="47557" spans="32:32" x14ac:dyDescent="0.2">
      <c r="AF47557" s="12"/>
    </row>
    <row r="47558" spans="32:32" x14ac:dyDescent="0.2">
      <c r="AF47558" s="12"/>
    </row>
    <row r="47559" spans="32:32" x14ac:dyDescent="0.2">
      <c r="AF47559" s="12"/>
    </row>
    <row r="47560" spans="32:32" x14ac:dyDescent="0.2">
      <c r="AF47560" s="12"/>
    </row>
    <row r="47561" spans="32:32" x14ac:dyDescent="0.2">
      <c r="AF47561" s="12"/>
    </row>
    <row r="47562" spans="32:32" x14ac:dyDescent="0.2">
      <c r="AF47562" s="12"/>
    </row>
    <row r="47563" spans="32:32" x14ac:dyDescent="0.2">
      <c r="AF47563" s="12"/>
    </row>
    <row r="47564" spans="32:32" x14ac:dyDescent="0.2">
      <c r="AF47564" s="12"/>
    </row>
    <row r="47565" spans="32:32" x14ac:dyDescent="0.2">
      <c r="AF47565" s="12"/>
    </row>
    <row r="47566" spans="32:32" x14ac:dyDescent="0.2">
      <c r="AF47566" s="12"/>
    </row>
    <row r="47567" spans="32:32" x14ac:dyDescent="0.2">
      <c r="AF47567" s="12"/>
    </row>
    <row r="47568" spans="32:32" x14ac:dyDescent="0.2">
      <c r="AF47568" s="12"/>
    </row>
    <row r="47569" spans="32:32" x14ac:dyDescent="0.2">
      <c r="AF47569" s="12"/>
    </row>
    <row r="47570" spans="32:32" x14ac:dyDescent="0.2">
      <c r="AF47570" s="12"/>
    </row>
    <row r="47571" spans="32:32" x14ac:dyDescent="0.2">
      <c r="AF47571" s="12"/>
    </row>
    <row r="47572" spans="32:32" x14ac:dyDescent="0.2">
      <c r="AF47572" s="12"/>
    </row>
    <row r="47573" spans="32:32" x14ac:dyDescent="0.2">
      <c r="AF47573" s="12"/>
    </row>
    <row r="47574" spans="32:32" x14ac:dyDescent="0.2">
      <c r="AF47574" s="12"/>
    </row>
    <row r="47575" spans="32:32" x14ac:dyDescent="0.2">
      <c r="AF47575" s="12"/>
    </row>
    <row r="47576" spans="32:32" x14ac:dyDescent="0.2">
      <c r="AF47576" s="12"/>
    </row>
    <row r="47577" spans="32:32" x14ac:dyDescent="0.2">
      <c r="AF47577" s="12"/>
    </row>
    <row r="47578" spans="32:32" x14ac:dyDescent="0.2">
      <c r="AF47578" s="12"/>
    </row>
    <row r="47579" spans="32:32" x14ac:dyDescent="0.2">
      <c r="AF47579" s="12"/>
    </row>
    <row r="47580" spans="32:32" x14ac:dyDescent="0.2">
      <c r="AF47580" s="12"/>
    </row>
    <row r="47581" spans="32:32" x14ac:dyDescent="0.2">
      <c r="AF47581" s="12"/>
    </row>
    <row r="47582" spans="32:32" x14ac:dyDescent="0.2">
      <c r="AF47582" s="12"/>
    </row>
    <row r="47583" spans="32:32" x14ac:dyDescent="0.2">
      <c r="AF47583" s="12"/>
    </row>
    <row r="47584" spans="32:32" x14ac:dyDescent="0.2">
      <c r="AF47584" s="12"/>
    </row>
    <row r="47585" spans="32:32" x14ac:dyDescent="0.2">
      <c r="AF47585" s="12"/>
    </row>
    <row r="47586" spans="32:32" x14ac:dyDescent="0.2">
      <c r="AF47586" s="12"/>
    </row>
    <row r="47587" spans="32:32" x14ac:dyDescent="0.2">
      <c r="AF47587" s="12"/>
    </row>
    <row r="47588" spans="32:32" x14ac:dyDescent="0.2">
      <c r="AF47588" s="12"/>
    </row>
    <row r="47589" spans="32:32" x14ac:dyDescent="0.2">
      <c r="AF47589" s="12"/>
    </row>
    <row r="47590" spans="32:32" x14ac:dyDescent="0.2">
      <c r="AF47590" s="12"/>
    </row>
    <row r="47591" spans="32:32" x14ac:dyDescent="0.2">
      <c r="AF47591" s="12"/>
    </row>
    <row r="47592" spans="32:32" x14ac:dyDescent="0.2">
      <c r="AF47592" s="12"/>
    </row>
    <row r="47593" spans="32:32" x14ac:dyDescent="0.2">
      <c r="AF47593" s="12"/>
    </row>
    <row r="47594" spans="32:32" x14ac:dyDescent="0.2">
      <c r="AF47594" s="12"/>
    </row>
    <row r="47595" spans="32:32" x14ac:dyDescent="0.2">
      <c r="AF47595" s="12"/>
    </row>
    <row r="47596" spans="32:32" x14ac:dyDescent="0.2">
      <c r="AF47596" s="12"/>
    </row>
    <row r="47597" spans="32:32" x14ac:dyDescent="0.2">
      <c r="AF47597" s="12"/>
    </row>
    <row r="47598" spans="32:32" x14ac:dyDescent="0.2">
      <c r="AF47598" s="12"/>
    </row>
    <row r="47599" spans="32:32" x14ac:dyDescent="0.2">
      <c r="AF47599" s="12"/>
    </row>
    <row r="47600" spans="32:32" x14ac:dyDescent="0.2">
      <c r="AF47600" s="12"/>
    </row>
    <row r="47601" spans="32:32" x14ac:dyDescent="0.2">
      <c r="AF47601" s="12"/>
    </row>
    <row r="47602" spans="32:32" x14ac:dyDescent="0.2">
      <c r="AF47602" s="12"/>
    </row>
    <row r="47603" spans="32:32" x14ac:dyDescent="0.2">
      <c r="AF47603" s="12"/>
    </row>
    <row r="47604" spans="32:32" x14ac:dyDescent="0.2">
      <c r="AF47604" s="12"/>
    </row>
    <row r="47605" spans="32:32" x14ac:dyDescent="0.2">
      <c r="AF47605" s="12"/>
    </row>
    <row r="47606" spans="32:32" x14ac:dyDescent="0.2">
      <c r="AF47606" s="12"/>
    </row>
    <row r="47607" spans="32:32" x14ac:dyDescent="0.2">
      <c r="AF47607" s="12"/>
    </row>
    <row r="47608" spans="32:32" x14ac:dyDescent="0.2">
      <c r="AF47608" s="12"/>
    </row>
    <row r="47609" spans="32:32" x14ac:dyDescent="0.2">
      <c r="AF47609" s="12"/>
    </row>
    <row r="47610" spans="32:32" x14ac:dyDescent="0.2">
      <c r="AF47610" s="12"/>
    </row>
    <row r="47611" spans="32:32" x14ac:dyDescent="0.2">
      <c r="AF47611" s="12"/>
    </row>
    <row r="47612" spans="32:32" x14ac:dyDescent="0.2">
      <c r="AF47612" s="12"/>
    </row>
    <row r="47613" spans="32:32" x14ac:dyDescent="0.2">
      <c r="AF47613" s="12"/>
    </row>
    <row r="47614" spans="32:32" x14ac:dyDescent="0.2">
      <c r="AF47614" s="12"/>
    </row>
    <row r="47615" spans="32:32" x14ac:dyDescent="0.2">
      <c r="AF47615" s="12"/>
    </row>
    <row r="47616" spans="32:32" x14ac:dyDescent="0.2">
      <c r="AF47616" s="12"/>
    </row>
    <row r="47617" spans="32:32" x14ac:dyDescent="0.2">
      <c r="AF47617" s="12"/>
    </row>
    <row r="47618" spans="32:32" x14ac:dyDescent="0.2">
      <c r="AF47618" s="12"/>
    </row>
    <row r="47619" spans="32:32" x14ac:dyDescent="0.2">
      <c r="AF47619" s="12"/>
    </row>
    <row r="47620" spans="32:32" x14ac:dyDescent="0.2">
      <c r="AF47620" s="12"/>
    </row>
    <row r="47621" spans="32:32" x14ac:dyDescent="0.2">
      <c r="AF47621" s="12"/>
    </row>
    <row r="47622" spans="32:32" x14ac:dyDescent="0.2">
      <c r="AF47622" s="12"/>
    </row>
    <row r="47623" spans="32:32" x14ac:dyDescent="0.2">
      <c r="AF47623" s="12"/>
    </row>
    <row r="47624" spans="32:32" x14ac:dyDescent="0.2">
      <c r="AF47624" s="12"/>
    </row>
    <row r="47625" spans="32:32" x14ac:dyDescent="0.2">
      <c r="AF47625" s="12"/>
    </row>
    <row r="47626" spans="32:32" x14ac:dyDescent="0.2">
      <c r="AF47626" s="12"/>
    </row>
    <row r="47627" spans="32:32" x14ac:dyDescent="0.2">
      <c r="AF47627" s="12"/>
    </row>
    <row r="47628" spans="32:32" x14ac:dyDescent="0.2">
      <c r="AF47628" s="12"/>
    </row>
    <row r="47629" spans="32:32" x14ac:dyDescent="0.2">
      <c r="AF47629" s="12"/>
    </row>
    <row r="47630" spans="32:32" x14ac:dyDescent="0.2">
      <c r="AF47630" s="12"/>
    </row>
    <row r="47631" spans="32:32" x14ac:dyDescent="0.2">
      <c r="AF47631" s="12"/>
    </row>
    <row r="47632" spans="32:32" x14ac:dyDescent="0.2">
      <c r="AF47632" s="12"/>
    </row>
    <row r="47633" spans="32:32" x14ac:dyDescent="0.2">
      <c r="AF47633" s="12"/>
    </row>
    <row r="47634" spans="32:32" x14ac:dyDescent="0.2">
      <c r="AF47634" s="12"/>
    </row>
    <row r="47635" spans="32:32" x14ac:dyDescent="0.2">
      <c r="AF47635" s="12"/>
    </row>
    <row r="47636" spans="32:32" x14ac:dyDescent="0.2">
      <c r="AF47636" s="12"/>
    </row>
    <row r="47637" spans="32:32" x14ac:dyDescent="0.2">
      <c r="AF47637" s="12"/>
    </row>
    <row r="47638" spans="32:32" x14ac:dyDescent="0.2">
      <c r="AF47638" s="12"/>
    </row>
    <row r="47639" spans="32:32" x14ac:dyDescent="0.2">
      <c r="AF47639" s="12"/>
    </row>
    <row r="47640" spans="32:32" x14ac:dyDescent="0.2">
      <c r="AF47640" s="12"/>
    </row>
    <row r="47641" spans="32:32" x14ac:dyDescent="0.2">
      <c r="AF47641" s="12"/>
    </row>
    <row r="47642" spans="32:32" x14ac:dyDescent="0.2">
      <c r="AF47642" s="12"/>
    </row>
    <row r="47643" spans="32:32" x14ac:dyDescent="0.2">
      <c r="AF47643" s="12"/>
    </row>
    <row r="47644" spans="32:32" x14ac:dyDescent="0.2">
      <c r="AF47644" s="12"/>
    </row>
    <row r="47645" spans="32:32" x14ac:dyDescent="0.2">
      <c r="AF47645" s="12"/>
    </row>
    <row r="47646" spans="32:32" x14ac:dyDescent="0.2">
      <c r="AF47646" s="12"/>
    </row>
    <row r="47647" spans="32:32" x14ac:dyDescent="0.2">
      <c r="AF47647" s="12"/>
    </row>
    <row r="47648" spans="32:32" x14ac:dyDescent="0.2">
      <c r="AF47648" s="12"/>
    </row>
    <row r="47649" spans="32:32" x14ac:dyDescent="0.2">
      <c r="AF47649" s="12"/>
    </row>
    <row r="47650" spans="32:32" x14ac:dyDescent="0.2">
      <c r="AF47650" s="12"/>
    </row>
    <row r="47651" spans="32:32" x14ac:dyDescent="0.2">
      <c r="AF47651" s="12"/>
    </row>
    <row r="47652" spans="32:32" x14ac:dyDescent="0.2">
      <c r="AF47652" s="12"/>
    </row>
    <row r="47653" spans="32:32" x14ac:dyDescent="0.2">
      <c r="AF47653" s="12"/>
    </row>
    <row r="47654" spans="32:32" x14ac:dyDescent="0.2">
      <c r="AF47654" s="12"/>
    </row>
    <row r="47655" spans="32:32" x14ac:dyDescent="0.2">
      <c r="AF47655" s="12"/>
    </row>
    <row r="47656" spans="32:32" x14ac:dyDescent="0.2">
      <c r="AF47656" s="12"/>
    </row>
    <row r="47657" spans="32:32" x14ac:dyDescent="0.2">
      <c r="AF47657" s="12"/>
    </row>
    <row r="47658" spans="32:32" x14ac:dyDescent="0.2">
      <c r="AF47658" s="12"/>
    </row>
    <row r="47659" spans="32:32" x14ac:dyDescent="0.2">
      <c r="AF47659" s="12"/>
    </row>
    <row r="47660" spans="32:32" x14ac:dyDescent="0.2">
      <c r="AF47660" s="12"/>
    </row>
    <row r="47661" spans="32:32" x14ac:dyDescent="0.2">
      <c r="AF47661" s="12"/>
    </row>
    <row r="47662" spans="32:32" x14ac:dyDescent="0.2">
      <c r="AF47662" s="12"/>
    </row>
    <row r="47663" spans="32:32" x14ac:dyDescent="0.2">
      <c r="AF47663" s="12"/>
    </row>
    <row r="47664" spans="32:32" x14ac:dyDescent="0.2">
      <c r="AF47664" s="12"/>
    </row>
    <row r="47665" spans="32:32" x14ac:dyDescent="0.2">
      <c r="AF47665" s="12"/>
    </row>
    <row r="47666" spans="32:32" x14ac:dyDescent="0.2">
      <c r="AF47666" s="12"/>
    </row>
    <row r="47667" spans="32:32" x14ac:dyDescent="0.2">
      <c r="AF47667" s="12"/>
    </row>
    <row r="47668" spans="32:32" x14ac:dyDescent="0.2">
      <c r="AF47668" s="12"/>
    </row>
    <row r="47669" spans="32:32" x14ac:dyDescent="0.2">
      <c r="AF47669" s="12"/>
    </row>
    <row r="47670" spans="32:32" x14ac:dyDescent="0.2">
      <c r="AF47670" s="12"/>
    </row>
    <row r="47671" spans="32:32" x14ac:dyDescent="0.2">
      <c r="AF47671" s="12"/>
    </row>
    <row r="47672" spans="32:32" x14ac:dyDescent="0.2">
      <c r="AF47672" s="12"/>
    </row>
    <row r="47673" spans="32:32" x14ac:dyDescent="0.2">
      <c r="AF47673" s="12"/>
    </row>
    <row r="47674" spans="32:32" x14ac:dyDescent="0.2">
      <c r="AF47674" s="12"/>
    </row>
    <row r="47675" spans="32:32" x14ac:dyDescent="0.2">
      <c r="AF47675" s="12"/>
    </row>
    <row r="47676" spans="32:32" x14ac:dyDescent="0.2">
      <c r="AF47676" s="12"/>
    </row>
    <row r="47677" spans="32:32" x14ac:dyDescent="0.2">
      <c r="AF47677" s="12"/>
    </row>
    <row r="47678" spans="32:32" x14ac:dyDescent="0.2">
      <c r="AF47678" s="12"/>
    </row>
    <row r="47679" spans="32:32" x14ac:dyDescent="0.2">
      <c r="AF47679" s="12"/>
    </row>
    <row r="47680" spans="32:32" x14ac:dyDescent="0.2">
      <c r="AF47680" s="12"/>
    </row>
    <row r="47681" spans="32:32" x14ac:dyDescent="0.2">
      <c r="AF47681" s="12"/>
    </row>
    <row r="47682" spans="32:32" x14ac:dyDescent="0.2">
      <c r="AF47682" s="12"/>
    </row>
    <row r="47683" spans="32:32" x14ac:dyDescent="0.2">
      <c r="AF47683" s="12"/>
    </row>
    <row r="47684" spans="32:32" x14ac:dyDescent="0.2">
      <c r="AF47684" s="12"/>
    </row>
    <row r="47685" spans="32:32" x14ac:dyDescent="0.2">
      <c r="AF47685" s="12"/>
    </row>
    <row r="47686" spans="32:32" x14ac:dyDescent="0.2">
      <c r="AF47686" s="12"/>
    </row>
    <row r="47687" spans="32:32" x14ac:dyDescent="0.2">
      <c r="AF47687" s="12"/>
    </row>
    <row r="47688" spans="32:32" x14ac:dyDescent="0.2">
      <c r="AF47688" s="12"/>
    </row>
    <row r="47689" spans="32:32" x14ac:dyDescent="0.2">
      <c r="AF47689" s="12"/>
    </row>
    <row r="47690" spans="32:32" x14ac:dyDescent="0.2">
      <c r="AF47690" s="12"/>
    </row>
    <row r="47691" spans="32:32" x14ac:dyDescent="0.2">
      <c r="AF47691" s="12"/>
    </row>
    <row r="47692" spans="32:32" x14ac:dyDescent="0.2">
      <c r="AF47692" s="12"/>
    </row>
    <row r="47693" spans="32:32" x14ac:dyDescent="0.2">
      <c r="AF47693" s="12"/>
    </row>
    <row r="47694" spans="32:32" x14ac:dyDescent="0.2">
      <c r="AF47694" s="12"/>
    </row>
    <row r="47695" spans="32:32" x14ac:dyDescent="0.2">
      <c r="AF47695" s="12"/>
    </row>
    <row r="47696" spans="32:32" x14ac:dyDescent="0.2">
      <c r="AF47696" s="12"/>
    </row>
    <row r="47697" spans="32:32" x14ac:dyDescent="0.2">
      <c r="AF47697" s="12"/>
    </row>
    <row r="47698" spans="32:32" x14ac:dyDescent="0.2">
      <c r="AF47698" s="12"/>
    </row>
    <row r="47699" spans="32:32" x14ac:dyDescent="0.2">
      <c r="AF47699" s="12"/>
    </row>
    <row r="47700" spans="32:32" x14ac:dyDescent="0.2">
      <c r="AF47700" s="12"/>
    </row>
    <row r="47701" spans="32:32" x14ac:dyDescent="0.2">
      <c r="AF47701" s="12"/>
    </row>
    <row r="47702" spans="32:32" x14ac:dyDescent="0.2">
      <c r="AF47702" s="12"/>
    </row>
    <row r="47703" spans="32:32" x14ac:dyDescent="0.2">
      <c r="AF47703" s="12"/>
    </row>
    <row r="47704" spans="32:32" x14ac:dyDescent="0.2">
      <c r="AF47704" s="12"/>
    </row>
    <row r="47705" spans="32:32" x14ac:dyDescent="0.2">
      <c r="AF47705" s="12"/>
    </row>
    <row r="47706" spans="32:32" x14ac:dyDescent="0.2">
      <c r="AF47706" s="12"/>
    </row>
    <row r="47707" spans="32:32" x14ac:dyDescent="0.2">
      <c r="AF47707" s="12"/>
    </row>
    <row r="47708" spans="32:32" x14ac:dyDescent="0.2">
      <c r="AF47708" s="12"/>
    </row>
    <row r="47709" spans="32:32" x14ac:dyDescent="0.2">
      <c r="AF47709" s="12"/>
    </row>
    <row r="47710" spans="32:32" x14ac:dyDescent="0.2">
      <c r="AF47710" s="12"/>
    </row>
    <row r="47711" spans="32:32" x14ac:dyDescent="0.2">
      <c r="AF47711" s="12"/>
    </row>
    <row r="47712" spans="32:32" x14ac:dyDescent="0.2">
      <c r="AF47712" s="12"/>
    </row>
    <row r="47713" spans="32:32" x14ac:dyDescent="0.2">
      <c r="AF47713" s="12"/>
    </row>
    <row r="47714" spans="32:32" x14ac:dyDescent="0.2">
      <c r="AF47714" s="12"/>
    </row>
    <row r="47715" spans="32:32" x14ac:dyDescent="0.2">
      <c r="AF47715" s="12"/>
    </row>
    <row r="47716" spans="32:32" x14ac:dyDescent="0.2">
      <c r="AF47716" s="12"/>
    </row>
    <row r="47717" spans="32:32" x14ac:dyDescent="0.2">
      <c r="AF47717" s="12"/>
    </row>
    <row r="47718" spans="32:32" x14ac:dyDescent="0.2">
      <c r="AF47718" s="12"/>
    </row>
    <row r="47719" spans="32:32" x14ac:dyDescent="0.2">
      <c r="AF47719" s="12"/>
    </row>
    <row r="47720" spans="32:32" x14ac:dyDescent="0.2">
      <c r="AF47720" s="12"/>
    </row>
    <row r="47721" spans="32:32" x14ac:dyDescent="0.2">
      <c r="AF47721" s="12"/>
    </row>
    <row r="47722" spans="32:32" x14ac:dyDescent="0.2">
      <c r="AF47722" s="12"/>
    </row>
    <row r="47723" spans="32:32" x14ac:dyDescent="0.2">
      <c r="AF47723" s="12"/>
    </row>
    <row r="47724" spans="32:32" x14ac:dyDescent="0.2">
      <c r="AF47724" s="12"/>
    </row>
    <row r="47725" spans="32:32" x14ac:dyDescent="0.2">
      <c r="AF47725" s="12"/>
    </row>
    <row r="47726" spans="32:32" x14ac:dyDescent="0.2">
      <c r="AF47726" s="12"/>
    </row>
    <row r="47727" spans="32:32" x14ac:dyDescent="0.2">
      <c r="AF47727" s="12"/>
    </row>
    <row r="47728" spans="32:32" x14ac:dyDescent="0.2">
      <c r="AF47728" s="12"/>
    </row>
    <row r="47729" spans="32:32" x14ac:dyDescent="0.2">
      <c r="AF47729" s="12"/>
    </row>
    <row r="47730" spans="32:32" x14ac:dyDescent="0.2">
      <c r="AF47730" s="12"/>
    </row>
    <row r="47731" spans="32:32" x14ac:dyDescent="0.2">
      <c r="AF47731" s="12"/>
    </row>
    <row r="47732" spans="32:32" x14ac:dyDescent="0.2">
      <c r="AF47732" s="12"/>
    </row>
    <row r="47733" spans="32:32" x14ac:dyDescent="0.2">
      <c r="AF47733" s="12"/>
    </row>
    <row r="47734" spans="32:32" x14ac:dyDescent="0.2">
      <c r="AF47734" s="12"/>
    </row>
    <row r="47735" spans="32:32" x14ac:dyDescent="0.2">
      <c r="AF47735" s="12"/>
    </row>
    <row r="47736" spans="32:32" x14ac:dyDescent="0.2">
      <c r="AF47736" s="12"/>
    </row>
    <row r="47737" spans="32:32" x14ac:dyDescent="0.2">
      <c r="AF47737" s="12"/>
    </row>
    <row r="47738" spans="32:32" x14ac:dyDescent="0.2">
      <c r="AF47738" s="12"/>
    </row>
    <row r="47739" spans="32:32" x14ac:dyDescent="0.2">
      <c r="AF47739" s="12"/>
    </row>
    <row r="47740" spans="32:32" x14ac:dyDescent="0.2">
      <c r="AF47740" s="12"/>
    </row>
    <row r="47741" spans="32:32" x14ac:dyDescent="0.2">
      <c r="AF47741" s="12"/>
    </row>
    <row r="47742" spans="32:32" x14ac:dyDescent="0.2">
      <c r="AF47742" s="12"/>
    </row>
    <row r="47743" spans="32:32" x14ac:dyDescent="0.2">
      <c r="AF47743" s="12"/>
    </row>
    <row r="47744" spans="32:32" x14ac:dyDescent="0.2">
      <c r="AF47744" s="12"/>
    </row>
    <row r="47745" spans="32:32" x14ac:dyDescent="0.2">
      <c r="AF47745" s="12"/>
    </row>
    <row r="47746" spans="32:32" x14ac:dyDescent="0.2">
      <c r="AF47746" s="12"/>
    </row>
    <row r="47747" spans="32:32" x14ac:dyDescent="0.2">
      <c r="AF47747" s="12"/>
    </row>
    <row r="47748" spans="32:32" x14ac:dyDescent="0.2">
      <c r="AF47748" s="12"/>
    </row>
    <row r="47749" spans="32:32" x14ac:dyDescent="0.2">
      <c r="AF47749" s="12"/>
    </row>
    <row r="47750" spans="32:32" x14ac:dyDescent="0.2">
      <c r="AF47750" s="12"/>
    </row>
    <row r="47751" spans="32:32" x14ac:dyDescent="0.2">
      <c r="AF47751" s="12"/>
    </row>
    <row r="47752" spans="32:32" x14ac:dyDescent="0.2">
      <c r="AF47752" s="12"/>
    </row>
    <row r="47753" spans="32:32" x14ac:dyDescent="0.2">
      <c r="AF47753" s="12"/>
    </row>
    <row r="47754" spans="32:32" x14ac:dyDescent="0.2">
      <c r="AF47754" s="12"/>
    </row>
    <row r="47755" spans="32:32" x14ac:dyDescent="0.2">
      <c r="AF47755" s="12"/>
    </row>
    <row r="47756" spans="32:32" x14ac:dyDescent="0.2">
      <c r="AF47756" s="12"/>
    </row>
    <row r="47757" spans="32:32" x14ac:dyDescent="0.2">
      <c r="AF47757" s="12"/>
    </row>
    <row r="47758" spans="32:32" x14ac:dyDescent="0.2">
      <c r="AF47758" s="12"/>
    </row>
    <row r="47759" spans="32:32" x14ac:dyDescent="0.2">
      <c r="AF47759" s="12"/>
    </row>
    <row r="47760" spans="32:32" x14ac:dyDescent="0.2">
      <c r="AF47760" s="12"/>
    </row>
    <row r="47761" spans="32:32" x14ac:dyDescent="0.2">
      <c r="AF47761" s="12"/>
    </row>
    <row r="47762" spans="32:32" x14ac:dyDescent="0.2">
      <c r="AF47762" s="12"/>
    </row>
    <row r="47763" spans="32:32" x14ac:dyDescent="0.2">
      <c r="AF47763" s="12"/>
    </row>
    <row r="47764" spans="32:32" x14ac:dyDescent="0.2">
      <c r="AF47764" s="12"/>
    </row>
    <row r="47765" spans="32:32" x14ac:dyDescent="0.2">
      <c r="AF47765" s="12"/>
    </row>
    <row r="47766" spans="32:32" x14ac:dyDescent="0.2">
      <c r="AF47766" s="12"/>
    </row>
    <row r="47767" spans="32:32" x14ac:dyDescent="0.2">
      <c r="AF47767" s="12"/>
    </row>
    <row r="47768" spans="32:32" x14ac:dyDescent="0.2">
      <c r="AF47768" s="12"/>
    </row>
    <row r="47769" spans="32:32" x14ac:dyDescent="0.2">
      <c r="AF47769" s="12"/>
    </row>
    <row r="47770" spans="32:32" x14ac:dyDescent="0.2">
      <c r="AF47770" s="12"/>
    </row>
    <row r="47771" spans="32:32" x14ac:dyDescent="0.2">
      <c r="AF47771" s="12"/>
    </row>
    <row r="47772" spans="32:32" x14ac:dyDescent="0.2">
      <c r="AF47772" s="12"/>
    </row>
    <row r="47773" spans="32:32" x14ac:dyDescent="0.2">
      <c r="AF47773" s="12"/>
    </row>
    <row r="47774" spans="32:32" x14ac:dyDescent="0.2">
      <c r="AF47774" s="12"/>
    </row>
    <row r="47775" spans="32:32" x14ac:dyDescent="0.2">
      <c r="AF47775" s="12"/>
    </row>
    <row r="47776" spans="32:32" x14ac:dyDescent="0.2">
      <c r="AF47776" s="12"/>
    </row>
    <row r="47777" spans="32:32" x14ac:dyDescent="0.2">
      <c r="AF47777" s="12"/>
    </row>
    <row r="47778" spans="32:32" x14ac:dyDescent="0.2">
      <c r="AF47778" s="12"/>
    </row>
    <row r="47779" spans="32:32" x14ac:dyDescent="0.2">
      <c r="AF47779" s="12"/>
    </row>
    <row r="47780" spans="32:32" x14ac:dyDescent="0.2">
      <c r="AF47780" s="12"/>
    </row>
    <row r="47781" spans="32:32" x14ac:dyDescent="0.2">
      <c r="AF47781" s="12"/>
    </row>
    <row r="47782" spans="32:32" x14ac:dyDescent="0.2">
      <c r="AF47782" s="12"/>
    </row>
    <row r="47783" spans="32:32" x14ac:dyDescent="0.2">
      <c r="AF47783" s="12"/>
    </row>
    <row r="47784" spans="32:32" x14ac:dyDescent="0.2">
      <c r="AF47784" s="12"/>
    </row>
    <row r="47785" spans="32:32" x14ac:dyDescent="0.2">
      <c r="AF47785" s="12"/>
    </row>
    <row r="47786" spans="32:32" x14ac:dyDescent="0.2">
      <c r="AF47786" s="12"/>
    </row>
    <row r="47787" spans="32:32" x14ac:dyDescent="0.2">
      <c r="AF47787" s="12"/>
    </row>
    <row r="47788" spans="32:32" x14ac:dyDescent="0.2">
      <c r="AF47788" s="12"/>
    </row>
    <row r="47789" spans="32:32" x14ac:dyDescent="0.2">
      <c r="AF47789" s="12"/>
    </row>
    <row r="47790" spans="32:32" x14ac:dyDescent="0.2">
      <c r="AF47790" s="12"/>
    </row>
    <row r="47791" spans="32:32" x14ac:dyDescent="0.2">
      <c r="AF47791" s="12"/>
    </row>
    <row r="47792" spans="32:32" x14ac:dyDescent="0.2">
      <c r="AF47792" s="12"/>
    </row>
    <row r="47793" spans="32:32" x14ac:dyDescent="0.2">
      <c r="AF47793" s="12"/>
    </row>
    <row r="47794" spans="32:32" x14ac:dyDescent="0.2">
      <c r="AF47794" s="12"/>
    </row>
    <row r="47795" spans="32:32" x14ac:dyDescent="0.2">
      <c r="AF47795" s="12"/>
    </row>
    <row r="47796" spans="32:32" x14ac:dyDescent="0.2">
      <c r="AF47796" s="12"/>
    </row>
    <row r="47797" spans="32:32" x14ac:dyDescent="0.2">
      <c r="AF47797" s="12"/>
    </row>
    <row r="47798" spans="32:32" x14ac:dyDescent="0.2">
      <c r="AF47798" s="12"/>
    </row>
    <row r="47799" spans="32:32" x14ac:dyDescent="0.2">
      <c r="AF47799" s="12"/>
    </row>
    <row r="47800" spans="32:32" x14ac:dyDescent="0.2">
      <c r="AF47800" s="12"/>
    </row>
    <row r="47801" spans="32:32" x14ac:dyDescent="0.2">
      <c r="AF47801" s="12"/>
    </row>
    <row r="47802" spans="32:32" x14ac:dyDescent="0.2">
      <c r="AF47802" s="12"/>
    </row>
    <row r="47803" spans="32:32" x14ac:dyDescent="0.2">
      <c r="AF47803" s="12"/>
    </row>
    <row r="47804" spans="32:32" x14ac:dyDescent="0.2">
      <c r="AF47804" s="12"/>
    </row>
    <row r="47805" spans="32:32" x14ac:dyDescent="0.2">
      <c r="AF47805" s="12"/>
    </row>
    <row r="47806" spans="32:32" x14ac:dyDescent="0.2">
      <c r="AF47806" s="12"/>
    </row>
    <row r="47807" spans="32:32" x14ac:dyDescent="0.2">
      <c r="AF47807" s="12"/>
    </row>
    <row r="47808" spans="32:32" x14ac:dyDescent="0.2">
      <c r="AF47808" s="12"/>
    </row>
    <row r="47809" spans="32:32" x14ac:dyDescent="0.2">
      <c r="AF47809" s="12"/>
    </row>
    <row r="47810" spans="32:32" x14ac:dyDescent="0.2">
      <c r="AF47810" s="12"/>
    </row>
    <row r="47811" spans="32:32" x14ac:dyDescent="0.2">
      <c r="AF47811" s="12"/>
    </row>
    <row r="47812" spans="32:32" x14ac:dyDescent="0.2">
      <c r="AF47812" s="12"/>
    </row>
    <row r="47813" spans="32:32" x14ac:dyDescent="0.2">
      <c r="AF47813" s="12"/>
    </row>
    <row r="47814" spans="32:32" x14ac:dyDescent="0.2">
      <c r="AF47814" s="12"/>
    </row>
    <row r="47815" spans="32:32" x14ac:dyDescent="0.2">
      <c r="AF47815" s="12"/>
    </row>
    <row r="47816" spans="32:32" x14ac:dyDescent="0.2">
      <c r="AF47816" s="12"/>
    </row>
    <row r="47817" spans="32:32" x14ac:dyDescent="0.2">
      <c r="AF47817" s="12"/>
    </row>
    <row r="47818" spans="32:32" x14ac:dyDescent="0.2">
      <c r="AF47818" s="12"/>
    </row>
    <row r="47819" spans="32:32" x14ac:dyDescent="0.2">
      <c r="AF47819" s="12"/>
    </row>
    <row r="47820" spans="32:32" x14ac:dyDescent="0.2">
      <c r="AF47820" s="12"/>
    </row>
    <row r="47821" spans="32:32" x14ac:dyDescent="0.2">
      <c r="AF47821" s="12"/>
    </row>
    <row r="47822" spans="32:32" x14ac:dyDescent="0.2">
      <c r="AF47822" s="12"/>
    </row>
    <row r="47823" spans="32:32" x14ac:dyDescent="0.2">
      <c r="AF47823" s="12"/>
    </row>
    <row r="47824" spans="32:32" x14ac:dyDescent="0.2">
      <c r="AF47824" s="12"/>
    </row>
    <row r="47825" spans="32:32" x14ac:dyDescent="0.2">
      <c r="AF47825" s="12"/>
    </row>
    <row r="47826" spans="32:32" x14ac:dyDescent="0.2">
      <c r="AF47826" s="12"/>
    </row>
    <row r="47827" spans="32:32" x14ac:dyDescent="0.2">
      <c r="AF47827" s="12"/>
    </row>
    <row r="47828" spans="32:32" x14ac:dyDescent="0.2">
      <c r="AF47828" s="12"/>
    </row>
    <row r="47829" spans="32:32" x14ac:dyDescent="0.2">
      <c r="AF47829" s="12"/>
    </row>
    <row r="47830" spans="32:32" x14ac:dyDescent="0.2">
      <c r="AF47830" s="12"/>
    </row>
    <row r="47831" spans="32:32" x14ac:dyDescent="0.2">
      <c r="AF47831" s="12"/>
    </row>
    <row r="47832" spans="32:32" x14ac:dyDescent="0.2">
      <c r="AF47832" s="12"/>
    </row>
    <row r="47833" spans="32:32" x14ac:dyDescent="0.2">
      <c r="AF47833" s="12"/>
    </row>
    <row r="47834" spans="32:32" x14ac:dyDescent="0.2">
      <c r="AF47834" s="12"/>
    </row>
    <row r="47835" spans="32:32" x14ac:dyDescent="0.2">
      <c r="AF47835" s="12"/>
    </row>
    <row r="47836" spans="32:32" x14ac:dyDescent="0.2">
      <c r="AF47836" s="12"/>
    </row>
    <row r="47837" spans="32:32" x14ac:dyDescent="0.2">
      <c r="AF47837" s="12"/>
    </row>
    <row r="47838" spans="32:32" x14ac:dyDescent="0.2">
      <c r="AF47838" s="12"/>
    </row>
    <row r="47839" spans="32:32" x14ac:dyDescent="0.2">
      <c r="AF47839" s="12"/>
    </row>
    <row r="47840" spans="32:32" x14ac:dyDescent="0.2">
      <c r="AF47840" s="12"/>
    </row>
    <row r="47841" spans="32:32" x14ac:dyDescent="0.2">
      <c r="AF47841" s="12"/>
    </row>
    <row r="47842" spans="32:32" x14ac:dyDescent="0.2">
      <c r="AF47842" s="12"/>
    </row>
    <row r="47843" spans="32:32" x14ac:dyDescent="0.2">
      <c r="AF47843" s="12"/>
    </row>
    <row r="47844" spans="32:32" x14ac:dyDescent="0.2">
      <c r="AF47844" s="12"/>
    </row>
    <row r="47845" spans="32:32" x14ac:dyDescent="0.2">
      <c r="AF47845" s="12"/>
    </row>
    <row r="47846" spans="32:32" x14ac:dyDescent="0.2">
      <c r="AF47846" s="12"/>
    </row>
    <row r="47847" spans="32:32" x14ac:dyDescent="0.2">
      <c r="AF47847" s="12"/>
    </row>
    <row r="47848" spans="32:32" x14ac:dyDescent="0.2">
      <c r="AF47848" s="12"/>
    </row>
    <row r="47849" spans="32:32" x14ac:dyDescent="0.2">
      <c r="AF47849" s="12"/>
    </row>
    <row r="47850" spans="32:32" x14ac:dyDescent="0.2">
      <c r="AF47850" s="12"/>
    </row>
    <row r="47851" spans="32:32" x14ac:dyDescent="0.2">
      <c r="AF47851" s="12"/>
    </row>
    <row r="47852" spans="32:32" x14ac:dyDescent="0.2">
      <c r="AF47852" s="12"/>
    </row>
    <row r="47853" spans="32:32" x14ac:dyDescent="0.2">
      <c r="AF47853" s="12"/>
    </row>
    <row r="47854" spans="32:32" x14ac:dyDescent="0.2">
      <c r="AF47854" s="12"/>
    </row>
    <row r="47855" spans="32:32" x14ac:dyDescent="0.2">
      <c r="AF47855" s="12"/>
    </row>
    <row r="47856" spans="32:32" x14ac:dyDescent="0.2">
      <c r="AF47856" s="12"/>
    </row>
    <row r="47857" spans="32:32" x14ac:dyDescent="0.2">
      <c r="AF47857" s="12"/>
    </row>
    <row r="47858" spans="32:32" x14ac:dyDescent="0.2">
      <c r="AF47858" s="12"/>
    </row>
    <row r="47859" spans="32:32" x14ac:dyDescent="0.2">
      <c r="AF47859" s="12"/>
    </row>
    <row r="47860" spans="32:32" x14ac:dyDescent="0.2">
      <c r="AF47860" s="12"/>
    </row>
    <row r="47861" spans="32:32" x14ac:dyDescent="0.2">
      <c r="AF47861" s="12"/>
    </row>
    <row r="47862" spans="32:32" x14ac:dyDescent="0.2">
      <c r="AF47862" s="12"/>
    </row>
    <row r="47863" spans="32:32" x14ac:dyDescent="0.2">
      <c r="AF47863" s="12"/>
    </row>
    <row r="47864" spans="32:32" x14ac:dyDescent="0.2">
      <c r="AF47864" s="12"/>
    </row>
    <row r="47865" spans="32:32" x14ac:dyDescent="0.2">
      <c r="AF47865" s="12"/>
    </row>
    <row r="47866" spans="32:32" x14ac:dyDescent="0.2">
      <c r="AF47866" s="12"/>
    </row>
    <row r="47867" spans="32:32" x14ac:dyDescent="0.2">
      <c r="AF47867" s="12"/>
    </row>
    <row r="47868" spans="32:32" x14ac:dyDescent="0.2">
      <c r="AF47868" s="12"/>
    </row>
    <row r="47869" spans="32:32" x14ac:dyDescent="0.2">
      <c r="AF47869" s="12"/>
    </row>
    <row r="47870" spans="32:32" x14ac:dyDescent="0.2">
      <c r="AF47870" s="12"/>
    </row>
    <row r="47871" spans="32:32" x14ac:dyDescent="0.2">
      <c r="AF47871" s="12"/>
    </row>
    <row r="47872" spans="32:32" x14ac:dyDescent="0.2">
      <c r="AF47872" s="12"/>
    </row>
    <row r="47873" spans="32:32" x14ac:dyDescent="0.2">
      <c r="AF47873" s="12"/>
    </row>
    <row r="47874" spans="32:32" x14ac:dyDescent="0.2">
      <c r="AF47874" s="12"/>
    </row>
    <row r="47875" spans="32:32" x14ac:dyDescent="0.2">
      <c r="AF47875" s="12"/>
    </row>
    <row r="47876" spans="32:32" x14ac:dyDescent="0.2">
      <c r="AF47876" s="12"/>
    </row>
    <row r="47877" spans="32:32" x14ac:dyDescent="0.2">
      <c r="AF47877" s="12"/>
    </row>
    <row r="47878" spans="32:32" x14ac:dyDescent="0.2">
      <c r="AF47878" s="12"/>
    </row>
    <row r="47879" spans="32:32" x14ac:dyDescent="0.2">
      <c r="AF47879" s="12"/>
    </row>
    <row r="47880" spans="32:32" x14ac:dyDescent="0.2">
      <c r="AF47880" s="12"/>
    </row>
    <row r="47881" spans="32:32" x14ac:dyDescent="0.2">
      <c r="AF47881" s="12"/>
    </row>
    <row r="47882" spans="32:32" x14ac:dyDescent="0.2">
      <c r="AF47882" s="12"/>
    </row>
    <row r="47883" spans="32:32" x14ac:dyDescent="0.2">
      <c r="AF47883" s="12"/>
    </row>
    <row r="47884" spans="32:32" x14ac:dyDescent="0.2">
      <c r="AF47884" s="12"/>
    </row>
    <row r="47885" spans="32:32" x14ac:dyDescent="0.2">
      <c r="AF47885" s="12"/>
    </row>
    <row r="47886" spans="32:32" x14ac:dyDescent="0.2">
      <c r="AF47886" s="12"/>
    </row>
    <row r="47887" spans="32:32" x14ac:dyDescent="0.2">
      <c r="AF47887" s="12"/>
    </row>
    <row r="47888" spans="32:32" x14ac:dyDescent="0.2">
      <c r="AF47888" s="12"/>
    </row>
    <row r="47889" spans="32:32" x14ac:dyDescent="0.2">
      <c r="AF47889" s="12"/>
    </row>
    <row r="47890" spans="32:32" x14ac:dyDescent="0.2">
      <c r="AF47890" s="12"/>
    </row>
    <row r="47891" spans="32:32" x14ac:dyDescent="0.2">
      <c r="AF47891" s="12"/>
    </row>
    <row r="47892" spans="32:32" x14ac:dyDescent="0.2">
      <c r="AF47892" s="12"/>
    </row>
    <row r="47893" spans="32:32" x14ac:dyDescent="0.2">
      <c r="AF47893" s="12"/>
    </row>
    <row r="47894" spans="32:32" x14ac:dyDescent="0.2">
      <c r="AF47894" s="12"/>
    </row>
    <row r="47895" spans="32:32" x14ac:dyDescent="0.2">
      <c r="AF47895" s="12"/>
    </row>
    <row r="47896" spans="32:32" x14ac:dyDescent="0.2">
      <c r="AF47896" s="12"/>
    </row>
    <row r="47897" spans="32:32" x14ac:dyDescent="0.2">
      <c r="AF47897" s="12"/>
    </row>
    <row r="47898" spans="32:32" x14ac:dyDescent="0.2">
      <c r="AF47898" s="12"/>
    </row>
    <row r="47899" spans="32:32" x14ac:dyDescent="0.2">
      <c r="AF47899" s="12"/>
    </row>
    <row r="47900" spans="32:32" x14ac:dyDescent="0.2">
      <c r="AF47900" s="12"/>
    </row>
    <row r="47901" spans="32:32" x14ac:dyDescent="0.2">
      <c r="AF47901" s="12"/>
    </row>
    <row r="47902" spans="32:32" x14ac:dyDescent="0.2">
      <c r="AF47902" s="12"/>
    </row>
    <row r="47903" spans="32:32" x14ac:dyDescent="0.2">
      <c r="AF47903" s="12"/>
    </row>
    <row r="47904" spans="32:32" x14ac:dyDescent="0.2">
      <c r="AF47904" s="12"/>
    </row>
    <row r="47905" spans="32:32" x14ac:dyDescent="0.2">
      <c r="AF47905" s="12"/>
    </row>
    <row r="47906" spans="32:32" x14ac:dyDescent="0.2">
      <c r="AF47906" s="12"/>
    </row>
    <row r="47907" spans="32:32" x14ac:dyDescent="0.2">
      <c r="AF47907" s="12"/>
    </row>
    <row r="47908" spans="32:32" x14ac:dyDescent="0.2">
      <c r="AF47908" s="12"/>
    </row>
    <row r="47909" spans="32:32" x14ac:dyDescent="0.2">
      <c r="AF47909" s="12"/>
    </row>
    <row r="47910" spans="32:32" x14ac:dyDescent="0.2">
      <c r="AF47910" s="12"/>
    </row>
    <row r="47911" spans="32:32" x14ac:dyDescent="0.2">
      <c r="AF47911" s="12"/>
    </row>
    <row r="47912" spans="32:32" x14ac:dyDescent="0.2">
      <c r="AF47912" s="12"/>
    </row>
    <row r="47913" spans="32:32" x14ac:dyDescent="0.2">
      <c r="AF47913" s="12"/>
    </row>
    <row r="47914" spans="32:32" x14ac:dyDescent="0.2">
      <c r="AF47914" s="12"/>
    </row>
    <row r="47915" spans="32:32" x14ac:dyDescent="0.2">
      <c r="AF47915" s="12"/>
    </row>
    <row r="47916" spans="32:32" x14ac:dyDescent="0.2">
      <c r="AF47916" s="12"/>
    </row>
    <row r="47917" spans="32:32" x14ac:dyDescent="0.2">
      <c r="AF47917" s="12"/>
    </row>
    <row r="47918" spans="32:32" x14ac:dyDescent="0.2">
      <c r="AF47918" s="12"/>
    </row>
    <row r="47919" spans="32:32" x14ac:dyDescent="0.2">
      <c r="AF47919" s="12"/>
    </row>
    <row r="47920" spans="32:32" x14ac:dyDescent="0.2">
      <c r="AF47920" s="12"/>
    </row>
    <row r="47921" spans="32:32" x14ac:dyDescent="0.2">
      <c r="AF47921" s="12"/>
    </row>
    <row r="47922" spans="32:32" x14ac:dyDescent="0.2">
      <c r="AF47922" s="12"/>
    </row>
    <row r="47923" spans="32:32" x14ac:dyDescent="0.2">
      <c r="AF47923" s="12"/>
    </row>
    <row r="47924" spans="32:32" x14ac:dyDescent="0.2">
      <c r="AF47924" s="12"/>
    </row>
    <row r="47925" spans="32:32" x14ac:dyDescent="0.2">
      <c r="AF47925" s="12"/>
    </row>
    <row r="47926" spans="32:32" x14ac:dyDescent="0.2">
      <c r="AF47926" s="12"/>
    </row>
    <row r="47927" spans="32:32" x14ac:dyDescent="0.2">
      <c r="AF47927" s="12"/>
    </row>
    <row r="47928" spans="32:32" x14ac:dyDescent="0.2">
      <c r="AF47928" s="12"/>
    </row>
    <row r="47929" spans="32:32" x14ac:dyDescent="0.2">
      <c r="AF47929" s="12"/>
    </row>
    <row r="47930" spans="32:32" x14ac:dyDescent="0.2">
      <c r="AF47930" s="12"/>
    </row>
    <row r="47931" spans="32:32" x14ac:dyDescent="0.2">
      <c r="AF47931" s="12"/>
    </row>
    <row r="47932" spans="32:32" x14ac:dyDescent="0.2">
      <c r="AF47932" s="12"/>
    </row>
    <row r="47933" spans="32:32" x14ac:dyDescent="0.2">
      <c r="AF47933" s="12"/>
    </row>
    <row r="47934" spans="32:32" x14ac:dyDescent="0.2">
      <c r="AF47934" s="12"/>
    </row>
    <row r="47935" spans="32:32" x14ac:dyDescent="0.2">
      <c r="AF47935" s="12"/>
    </row>
    <row r="47936" spans="32:32" x14ac:dyDescent="0.2">
      <c r="AF47936" s="12"/>
    </row>
    <row r="47937" spans="32:32" x14ac:dyDescent="0.2">
      <c r="AF47937" s="12"/>
    </row>
    <row r="47938" spans="32:32" x14ac:dyDescent="0.2">
      <c r="AF47938" s="12"/>
    </row>
    <row r="47939" spans="32:32" x14ac:dyDescent="0.2">
      <c r="AF47939" s="12"/>
    </row>
    <row r="47940" spans="32:32" x14ac:dyDescent="0.2">
      <c r="AF47940" s="12"/>
    </row>
    <row r="47941" spans="32:32" x14ac:dyDescent="0.2">
      <c r="AF47941" s="12"/>
    </row>
    <row r="47942" spans="32:32" x14ac:dyDescent="0.2">
      <c r="AF47942" s="12"/>
    </row>
    <row r="47943" spans="32:32" x14ac:dyDescent="0.2">
      <c r="AF47943" s="12"/>
    </row>
    <row r="47944" spans="32:32" x14ac:dyDescent="0.2">
      <c r="AF47944" s="12"/>
    </row>
    <row r="47945" spans="32:32" x14ac:dyDescent="0.2">
      <c r="AF47945" s="12"/>
    </row>
    <row r="47946" spans="32:32" x14ac:dyDescent="0.2">
      <c r="AF47946" s="12"/>
    </row>
    <row r="47947" spans="32:32" x14ac:dyDescent="0.2">
      <c r="AF47947" s="12"/>
    </row>
    <row r="47948" spans="32:32" x14ac:dyDescent="0.2">
      <c r="AF47948" s="12"/>
    </row>
    <row r="47949" spans="32:32" x14ac:dyDescent="0.2">
      <c r="AF47949" s="12"/>
    </row>
    <row r="47950" spans="32:32" x14ac:dyDescent="0.2">
      <c r="AF47950" s="12"/>
    </row>
    <row r="47951" spans="32:32" x14ac:dyDescent="0.2">
      <c r="AF47951" s="12"/>
    </row>
    <row r="47952" spans="32:32" x14ac:dyDescent="0.2">
      <c r="AF47952" s="12"/>
    </row>
    <row r="47953" spans="32:32" x14ac:dyDescent="0.2">
      <c r="AF47953" s="12"/>
    </row>
    <row r="47954" spans="32:32" x14ac:dyDescent="0.2">
      <c r="AF47954" s="12"/>
    </row>
    <row r="47955" spans="32:32" x14ac:dyDescent="0.2">
      <c r="AF47955" s="12"/>
    </row>
    <row r="47956" spans="32:32" x14ac:dyDescent="0.2">
      <c r="AF47956" s="12"/>
    </row>
    <row r="47957" spans="32:32" x14ac:dyDescent="0.2">
      <c r="AF47957" s="12"/>
    </row>
    <row r="47958" spans="32:32" x14ac:dyDescent="0.2">
      <c r="AF47958" s="12"/>
    </row>
    <row r="47959" spans="32:32" x14ac:dyDescent="0.2">
      <c r="AF47959" s="12"/>
    </row>
    <row r="47960" spans="32:32" x14ac:dyDescent="0.2">
      <c r="AF47960" s="12"/>
    </row>
    <row r="47961" spans="32:32" x14ac:dyDescent="0.2">
      <c r="AF47961" s="12"/>
    </row>
    <row r="47962" spans="32:32" x14ac:dyDescent="0.2">
      <c r="AF47962" s="12"/>
    </row>
    <row r="47963" spans="32:32" x14ac:dyDescent="0.2">
      <c r="AF47963" s="12"/>
    </row>
    <row r="47964" spans="32:32" x14ac:dyDescent="0.2">
      <c r="AF47964" s="12"/>
    </row>
    <row r="47965" spans="32:32" x14ac:dyDescent="0.2">
      <c r="AF47965" s="12"/>
    </row>
    <row r="47966" spans="32:32" x14ac:dyDescent="0.2">
      <c r="AF47966" s="12"/>
    </row>
    <row r="47967" spans="32:32" x14ac:dyDescent="0.2">
      <c r="AF47967" s="12"/>
    </row>
    <row r="47968" spans="32:32" x14ac:dyDescent="0.2">
      <c r="AF47968" s="12"/>
    </row>
    <row r="47969" spans="32:32" x14ac:dyDescent="0.2">
      <c r="AF47969" s="12"/>
    </row>
    <row r="47970" spans="32:32" x14ac:dyDescent="0.2">
      <c r="AF47970" s="12"/>
    </row>
    <row r="47971" spans="32:32" x14ac:dyDescent="0.2">
      <c r="AF47971" s="12"/>
    </row>
    <row r="47972" spans="32:32" x14ac:dyDescent="0.2">
      <c r="AF47972" s="12"/>
    </row>
    <row r="47973" spans="32:32" x14ac:dyDescent="0.2">
      <c r="AF47973" s="12"/>
    </row>
    <row r="47974" spans="32:32" x14ac:dyDescent="0.2">
      <c r="AF47974" s="12"/>
    </row>
    <row r="47975" spans="32:32" x14ac:dyDescent="0.2">
      <c r="AF47975" s="12"/>
    </row>
    <row r="47976" spans="32:32" x14ac:dyDescent="0.2">
      <c r="AF47976" s="12"/>
    </row>
    <row r="47977" spans="32:32" x14ac:dyDescent="0.2">
      <c r="AF47977" s="12"/>
    </row>
    <row r="47978" spans="32:32" x14ac:dyDescent="0.2">
      <c r="AF47978" s="12"/>
    </row>
    <row r="47979" spans="32:32" x14ac:dyDescent="0.2">
      <c r="AF47979" s="12"/>
    </row>
    <row r="47980" spans="32:32" x14ac:dyDescent="0.2">
      <c r="AF47980" s="12"/>
    </row>
    <row r="47981" spans="32:32" x14ac:dyDescent="0.2">
      <c r="AF47981" s="12"/>
    </row>
    <row r="47982" spans="32:32" x14ac:dyDescent="0.2">
      <c r="AF47982" s="12"/>
    </row>
    <row r="47983" spans="32:32" x14ac:dyDescent="0.2">
      <c r="AF47983" s="12"/>
    </row>
    <row r="47984" spans="32:32" x14ac:dyDescent="0.2">
      <c r="AF47984" s="12"/>
    </row>
    <row r="47985" spans="32:32" x14ac:dyDescent="0.2">
      <c r="AF47985" s="12"/>
    </row>
    <row r="47986" spans="32:32" x14ac:dyDescent="0.2">
      <c r="AF47986" s="12"/>
    </row>
    <row r="47987" spans="32:32" x14ac:dyDescent="0.2">
      <c r="AF47987" s="12"/>
    </row>
    <row r="47988" spans="32:32" x14ac:dyDescent="0.2">
      <c r="AF47988" s="12"/>
    </row>
    <row r="47989" spans="32:32" x14ac:dyDescent="0.2">
      <c r="AF47989" s="12"/>
    </row>
    <row r="47990" spans="32:32" x14ac:dyDescent="0.2">
      <c r="AF47990" s="12"/>
    </row>
    <row r="47991" spans="32:32" x14ac:dyDescent="0.2">
      <c r="AF47991" s="12"/>
    </row>
    <row r="47992" spans="32:32" x14ac:dyDescent="0.2">
      <c r="AF47992" s="12"/>
    </row>
    <row r="47993" spans="32:32" x14ac:dyDescent="0.2">
      <c r="AF47993" s="12"/>
    </row>
    <row r="47994" spans="32:32" x14ac:dyDescent="0.2">
      <c r="AF47994" s="12"/>
    </row>
    <row r="47995" spans="32:32" x14ac:dyDescent="0.2">
      <c r="AF47995" s="12"/>
    </row>
    <row r="47996" spans="32:32" x14ac:dyDescent="0.2">
      <c r="AF47996" s="12"/>
    </row>
    <row r="47997" spans="32:32" x14ac:dyDescent="0.2">
      <c r="AF47997" s="12"/>
    </row>
    <row r="47998" spans="32:32" x14ac:dyDescent="0.2">
      <c r="AF47998" s="12"/>
    </row>
    <row r="47999" spans="32:32" x14ac:dyDescent="0.2">
      <c r="AF47999" s="12"/>
    </row>
    <row r="48000" spans="32:32" x14ac:dyDescent="0.2">
      <c r="AF48000" s="12"/>
    </row>
    <row r="48001" spans="32:32" x14ac:dyDescent="0.2">
      <c r="AF48001" s="12"/>
    </row>
    <row r="48002" spans="32:32" x14ac:dyDescent="0.2">
      <c r="AF48002" s="12"/>
    </row>
    <row r="48003" spans="32:32" x14ac:dyDescent="0.2">
      <c r="AF48003" s="12"/>
    </row>
    <row r="48004" spans="32:32" x14ac:dyDescent="0.2">
      <c r="AF48004" s="12"/>
    </row>
    <row r="48005" spans="32:32" x14ac:dyDescent="0.2">
      <c r="AF48005" s="12"/>
    </row>
    <row r="48006" spans="32:32" x14ac:dyDescent="0.2">
      <c r="AF48006" s="12"/>
    </row>
    <row r="48007" spans="32:32" x14ac:dyDescent="0.2">
      <c r="AF48007" s="12"/>
    </row>
    <row r="48008" spans="32:32" x14ac:dyDescent="0.2">
      <c r="AF48008" s="12"/>
    </row>
    <row r="48009" spans="32:32" x14ac:dyDescent="0.2">
      <c r="AF48009" s="12"/>
    </row>
    <row r="48010" spans="32:32" x14ac:dyDescent="0.2">
      <c r="AF48010" s="12"/>
    </row>
    <row r="48011" spans="32:32" x14ac:dyDescent="0.2">
      <c r="AF48011" s="12"/>
    </row>
    <row r="48012" spans="32:32" x14ac:dyDescent="0.2">
      <c r="AF48012" s="12"/>
    </row>
    <row r="48013" spans="32:32" x14ac:dyDescent="0.2">
      <c r="AF48013" s="12"/>
    </row>
    <row r="48014" spans="32:32" x14ac:dyDescent="0.2">
      <c r="AF48014" s="12"/>
    </row>
    <row r="48015" spans="32:32" x14ac:dyDescent="0.2">
      <c r="AF48015" s="12"/>
    </row>
    <row r="48016" spans="32:32" x14ac:dyDescent="0.2">
      <c r="AF48016" s="12"/>
    </row>
    <row r="48017" spans="32:32" x14ac:dyDescent="0.2">
      <c r="AF48017" s="12"/>
    </row>
    <row r="48018" spans="32:32" x14ac:dyDescent="0.2">
      <c r="AF48018" s="12"/>
    </row>
    <row r="48019" spans="32:32" x14ac:dyDescent="0.2">
      <c r="AF48019" s="12"/>
    </row>
    <row r="48020" spans="32:32" x14ac:dyDescent="0.2">
      <c r="AF48020" s="12"/>
    </row>
    <row r="48021" spans="32:32" x14ac:dyDescent="0.2">
      <c r="AF48021" s="12"/>
    </row>
    <row r="48022" spans="32:32" x14ac:dyDescent="0.2">
      <c r="AF48022" s="12"/>
    </row>
    <row r="48023" spans="32:32" x14ac:dyDescent="0.2">
      <c r="AF48023" s="12"/>
    </row>
    <row r="48024" spans="32:32" x14ac:dyDescent="0.2">
      <c r="AF48024" s="12"/>
    </row>
    <row r="48025" spans="32:32" x14ac:dyDescent="0.2">
      <c r="AF48025" s="12"/>
    </row>
    <row r="48026" spans="32:32" x14ac:dyDescent="0.2">
      <c r="AF48026" s="12"/>
    </row>
    <row r="48027" spans="32:32" x14ac:dyDescent="0.2">
      <c r="AF48027" s="12"/>
    </row>
    <row r="48028" spans="32:32" x14ac:dyDescent="0.2">
      <c r="AF48028" s="12"/>
    </row>
    <row r="48029" spans="32:32" x14ac:dyDescent="0.2">
      <c r="AF48029" s="12"/>
    </row>
    <row r="48030" spans="32:32" x14ac:dyDescent="0.2">
      <c r="AF48030" s="12"/>
    </row>
    <row r="48031" spans="32:32" x14ac:dyDescent="0.2">
      <c r="AF48031" s="12"/>
    </row>
    <row r="48032" spans="32:32" x14ac:dyDescent="0.2">
      <c r="AF48032" s="12"/>
    </row>
    <row r="48033" spans="32:32" x14ac:dyDescent="0.2">
      <c r="AF48033" s="12"/>
    </row>
    <row r="48034" spans="32:32" x14ac:dyDescent="0.2">
      <c r="AF48034" s="12"/>
    </row>
    <row r="48035" spans="32:32" x14ac:dyDescent="0.2">
      <c r="AF48035" s="12"/>
    </row>
    <row r="48036" spans="32:32" x14ac:dyDescent="0.2">
      <c r="AF48036" s="12"/>
    </row>
    <row r="48037" spans="32:32" x14ac:dyDescent="0.2">
      <c r="AF48037" s="12"/>
    </row>
    <row r="48038" spans="32:32" x14ac:dyDescent="0.2">
      <c r="AF48038" s="12"/>
    </row>
    <row r="48039" spans="32:32" x14ac:dyDescent="0.2">
      <c r="AF48039" s="12"/>
    </row>
    <row r="48040" spans="32:32" x14ac:dyDescent="0.2">
      <c r="AF48040" s="12"/>
    </row>
    <row r="48041" spans="32:32" x14ac:dyDescent="0.2">
      <c r="AF48041" s="12"/>
    </row>
    <row r="48042" spans="32:32" x14ac:dyDescent="0.2">
      <c r="AF48042" s="12"/>
    </row>
    <row r="48043" spans="32:32" x14ac:dyDescent="0.2">
      <c r="AF48043" s="12"/>
    </row>
    <row r="48044" spans="32:32" x14ac:dyDescent="0.2">
      <c r="AF48044" s="12"/>
    </row>
    <row r="48045" spans="32:32" x14ac:dyDescent="0.2">
      <c r="AF48045" s="12"/>
    </row>
    <row r="48046" spans="32:32" x14ac:dyDescent="0.2">
      <c r="AF48046" s="12"/>
    </row>
    <row r="48047" spans="32:32" x14ac:dyDescent="0.2">
      <c r="AF48047" s="12"/>
    </row>
    <row r="48048" spans="32:32" x14ac:dyDescent="0.2">
      <c r="AF48048" s="12"/>
    </row>
    <row r="48049" spans="32:32" x14ac:dyDescent="0.2">
      <c r="AF48049" s="12"/>
    </row>
    <row r="48050" spans="32:32" x14ac:dyDescent="0.2">
      <c r="AF48050" s="12"/>
    </row>
    <row r="48051" spans="32:32" x14ac:dyDescent="0.2">
      <c r="AF48051" s="12"/>
    </row>
    <row r="48052" spans="32:32" x14ac:dyDescent="0.2">
      <c r="AF48052" s="12"/>
    </row>
    <row r="48053" spans="32:32" x14ac:dyDescent="0.2">
      <c r="AF48053" s="12"/>
    </row>
    <row r="48054" spans="32:32" x14ac:dyDescent="0.2">
      <c r="AF48054" s="12"/>
    </row>
    <row r="48055" spans="32:32" x14ac:dyDescent="0.2">
      <c r="AF48055" s="12"/>
    </row>
    <row r="48056" spans="32:32" x14ac:dyDescent="0.2">
      <c r="AF48056" s="12"/>
    </row>
    <row r="48057" spans="32:32" x14ac:dyDescent="0.2">
      <c r="AF48057" s="12"/>
    </row>
    <row r="48058" spans="32:32" x14ac:dyDescent="0.2">
      <c r="AF48058" s="12"/>
    </row>
    <row r="48059" spans="32:32" x14ac:dyDescent="0.2">
      <c r="AF48059" s="12"/>
    </row>
    <row r="48060" spans="32:32" x14ac:dyDescent="0.2">
      <c r="AF48060" s="12"/>
    </row>
    <row r="48061" spans="32:32" x14ac:dyDescent="0.2">
      <c r="AF48061" s="12"/>
    </row>
    <row r="48062" spans="32:32" x14ac:dyDescent="0.2">
      <c r="AF48062" s="12"/>
    </row>
    <row r="48063" spans="32:32" x14ac:dyDescent="0.2">
      <c r="AF48063" s="12"/>
    </row>
    <row r="48064" spans="32:32" x14ac:dyDescent="0.2">
      <c r="AF48064" s="12"/>
    </row>
    <row r="48065" spans="32:32" x14ac:dyDescent="0.2">
      <c r="AF48065" s="12"/>
    </row>
    <row r="48066" spans="32:32" x14ac:dyDescent="0.2">
      <c r="AF48066" s="12"/>
    </row>
    <row r="48067" spans="32:32" x14ac:dyDescent="0.2">
      <c r="AF48067" s="12"/>
    </row>
    <row r="48068" spans="32:32" x14ac:dyDescent="0.2">
      <c r="AF48068" s="12"/>
    </row>
    <row r="48069" spans="32:32" x14ac:dyDescent="0.2">
      <c r="AF48069" s="12"/>
    </row>
    <row r="48070" spans="32:32" x14ac:dyDescent="0.2">
      <c r="AF48070" s="12"/>
    </row>
    <row r="48071" spans="32:32" x14ac:dyDescent="0.2">
      <c r="AF48071" s="12"/>
    </row>
    <row r="48072" spans="32:32" x14ac:dyDescent="0.2">
      <c r="AF48072" s="12"/>
    </row>
    <row r="48073" spans="32:32" x14ac:dyDescent="0.2">
      <c r="AF48073" s="12"/>
    </row>
    <row r="48074" spans="32:32" x14ac:dyDescent="0.2">
      <c r="AF48074" s="12"/>
    </row>
    <row r="48075" spans="32:32" x14ac:dyDescent="0.2">
      <c r="AF48075" s="12"/>
    </row>
    <row r="48076" spans="32:32" x14ac:dyDescent="0.2">
      <c r="AF48076" s="12"/>
    </row>
    <row r="48077" spans="32:32" x14ac:dyDescent="0.2">
      <c r="AF48077" s="12"/>
    </row>
    <row r="48078" spans="32:32" x14ac:dyDescent="0.2">
      <c r="AF48078" s="12"/>
    </row>
    <row r="48079" spans="32:32" x14ac:dyDescent="0.2">
      <c r="AF48079" s="12"/>
    </row>
    <row r="48080" spans="32:32" x14ac:dyDescent="0.2">
      <c r="AF48080" s="12"/>
    </row>
    <row r="48081" spans="32:32" x14ac:dyDescent="0.2">
      <c r="AF48081" s="12"/>
    </row>
    <row r="48082" spans="32:32" x14ac:dyDescent="0.2">
      <c r="AF48082" s="12"/>
    </row>
    <row r="48083" spans="32:32" x14ac:dyDescent="0.2">
      <c r="AF48083" s="12"/>
    </row>
    <row r="48084" spans="32:32" x14ac:dyDescent="0.2">
      <c r="AF48084" s="12"/>
    </row>
    <row r="48085" spans="32:32" x14ac:dyDescent="0.2">
      <c r="AF48085" s="12"/>
    </row>
    <row r="48086" spans="32:32" x14ac:dyDescent="0.2">
      <c r="AF48086" s="12"/>
    </row>
    <row r="48087" spans="32:32" x14ac:dyDescent="0.2">
      <c r="AF48087" s="12"/>
    </row>
    <row r="48088" spans="32:32" x14ac:dyDescent="0.2">
      <c r="AF48088" s="12"/>
    </row>
    <row r="48089" spans="32:32" x14ac:dyDescent="0.2">
      <c r="AF48089" s="12"/>
    </row>
    <row r="48090" spans="32:32" x14ac:dyDescent="0.2">
      <c r="AF48090" s="12"/>
    </row>
    <row r="48091" spans="32:32" x14ac:dyDescent="0.2">
      <c r="AF48091" s="12"/>
    </row>
    <row r="48092" spans="32:32" x14ac:dyDescent="0.2">
      <c r="AF48092" s="12"/>
    </row>
    <row r="48093" spans="32:32" x14ac:dyDescent="0.2">
      <c r="AF48093" s="12"/>
    </row>
    <row r="48094" spans="32:32" x14ac:dyDescent="0.2">
      <c r="AF48094" s="12"/>
    </row>
    <row r="48095" spans="32:32" x14ac:dyDescent="0.2">
      <c r="AF48095" s="12"/>
    </row>
    <row r="48096" spans="32:32" x14ac:dyDescent="0.2">
      <c r="AF48096" s="12"/>
    </row>
    <row r="48097" spans="32:32" x14ac:dyDescent="0.2">
      <c r="AF48097" s="12"/>
    </row>
    <row r="48098" spans="32:32" x14ac:dyDescent="0.2">
      <c r="AF48098" s="12"/>
    </row>
    <row r="48099" spans="32:32" x14ac:dyDescent="0.2">
      <c r="AF48099" s="12"/>
    </row>
    <row r="48100" spans="32:32" x14ac:dyDescent="0.2">
      <c r="AF48100" s="12"/>
    </row>
    <row r="48101" spans="32:32" x14ac:dyDescent="0.2">
      <c r="AF48101" s="12"/>
    </row>
    <row r="48102" spans="32:32" x14ac:dyDescent="0.2">
      <c r="AF48102" s="12"/>
    </row>
    <row r="48103" spans="32:32" x14ac:dyDescent="0.2">
      <c r="AF48103" s="12"/>
    </row>
    <row r="48104" spans="32:32" x14ac:dyDescent="0.2">
      <c r="AF48104" s="12"/>
    </row>
    <row r="48105" spans="32:32" x14ac:dyDescent="0.2">
      <c r="AF48105" s="12"/>
    </row>
    <row r="48106" spans="32:32" x14ac:dyDescent="0.2">
      <c r="AF48106" s="12"/>
    </row>
    <row r="48107" spans="32:32" x14ac:dyDescent="0.2">
      <c r="AF48107" s="12"/>
    </row>
    <row r="48108" spans="32:32" x14ac:dyDescent="0.2">
      <c r="AF48108" s="12"/>
    </row>
    <row r="48109" spans="32:32" x14ac:dyDescent="0.2">
      <c r="AF48109" s="12"/>
    </row>
    <row r="48110" spans="32:32" x14ac:dyDescent="0.2">
      <c r="AF48110" s="12"/>
    </row>
    <row r="48111" spans="32:32" x14ac:dyDescent="0.2">
      <c r="AF48111" s="12"/>
    </row>
    <row r="48112" spans="32:32" x14ac:dyDescent="0.2">
      <c r="AF48112" s="12"/>
    </row>
    <row r="48113" spans="32:32" x14ac:dyDescent="0.2">
      <c r="AF48113" s="12"/>
    </row>
    <row r="48114" spans="32:32" x14ac:dyDescent="0.2">
      <c r="AF48114" s="12"/>
    </row>
    <row r="48115" spans="32:32" x14ac:dyDescent="0.2">
      <c r="AF48115" s="12"/>
    </row>
    <row r="48116" spans="32:32" x14ac:dyDescent="0.2">
      <c r="AF48116" s="12"/>
    </row>
    <row r="48117" spans="32:32" x14ac:dyDescent="0.2">
      <c r="AF48117" s="12"/>
    </row>
    <row r="48118" spans="32:32" x14ac:dyDescent="0.2">
      <c r="AF48118" s="12"/>
    </row>
    <row r="48119" spans="32:32" x14ac:dyDescent="0.2">
      <c r="AF48119" s="12"/>
    </row>
    <row r="48120" spans="32:32" x14ac:dyDescent="0.2">
      <c r="AF48120" s="12"/>
    </row>
    <row r="48121" spans="32:32" x14ac:dyDescent="0.2">
      <c r="AF48121" s="12"/>
    </row>
    <row r="48122" spans="32:32" x14ac:dyDescent="0.2">
      <c r="AF48122" s="12"/>
    </row>
    <row r="48123" spans="32:32" x14ac:dyDescent="0.2">
      <c r="AF48123" s="12"/>
    </row>
    <row r="48124" spans="32:32" x14ac:dyDescent="0.2">
      <c r="AF48124" s="12"/>
    </row>
    <row r="48125" spans="32:32" x14ac:dyDescent="0.2">
      <c r="AF48125" s="12"/>
    </row>
    <row r="48126" spans="32:32" x14ac:dyDescent="0.2">
      <c r="AF48126" s="12"/>
    </row>
    <row r="48127" spans="32:32" x14ac:dyDescent="0.2">
      <c r="AF48127" s="12"/>
    </row>
    <row r="48128" spans="32:32" x14ac:dyDescent="0.2">
      <c r="AF48128" s="12"/>
    </row>
    <row r="48129" spans="32:32" x14ac:dyDescent="0.2">
      <c r="AF48129" s="12"/>
    </row>
    <row r="48130" spans="32:32" x14ac:dyDescent="0.2">
      <c r="AF48130" s="12"/>
    </row>
    <row r="48131" spans="32:32" x14ac:dyDescent="0.2">
      <c r="AF48131" s="12"/>
    </row>
    <row r="48132" spans="32:32" x14ac:dyDescent="0.2">
      <c r="AF48132" s="12"/>
    </row>
    <row r="48133" spans="32:32" x14ac:dyDescent="0.2">
      <c r="AF48133" s="12"/>
    </row>
    <row r="48134" spans="32:32" x14ac:dyDescent="0.2">
      <c r="AF48134" s="12"/>
    </row>
    <row r="48135" spans="32:32" x14ac:dyDescent="0.2">
      <c r="AF48135" s="12"/>
    </row>
    <row r="48136" spans="32:32" x14ac:dyDescent="0.2">
      <c r="AF48136" s="12"/>
    </row>
    <row r="48137" spans="32:32" x14ac:dyDescent="0.2">
      <c r="AF48137" s="12"/>
    </row>
    <row r="48138" spans="32:32" x14ac:dyDescent="0.2">
      <c r="AF48138" s="12"/>
    </row>
    <row r="48139" spans="32:32" x14ac:dyDescent="0.2">
      <c r="AF48139" s="12"/>
    </row>
    <row r="48140" spans="32:32" x14ac:dyDescent="0.2">
      <c r="AF48140" s="12"/>
    </row>
    <row r="48141" spans="32:32" x14ac:dyDescent="0.2">
      <c r="AF48141" s="12"/>
    </row>
    <row r="48142" spans="32:32" x14ac:dyDescent="0.2">
      <c r="AF48142" s="12"/>
    </row>
    <row r="48143" spans="32:32" x14ac:dyDescent="0.2">
      <c r="AF48143" s="12"/>
    </row>
    <row r="48144" spans="32:32" x14ac:dyDescent="0.2">
      <c r="AF48144" s="12"/>
    </row>
    <row r="48145" spans="32:32" x14ac:dyDescent="0.2">
      <c r="AF48145" s="12"/>
    </row>
    <row r="48146" spans="32:32" x14ac:dyDescent="0.2">
      <c r="AF48146" s="12"/>
    </row>
    <row r="48147" spans="32:32" x14ac:dyDescent="0.2">
      <c r="AF48147" s="12"/>
    </row>
    <row r="48148" spans="32:32" x14ac:dyDescent="0.2">
      <c r="AF48148" s="12"/>
    </row>
    <row r="48149" spans="32:32" x14ac:dyDescent="0.2">
      <c r="AF48149" s="12"/>
    </row>
    <row r="48150" spans="32:32" x14ac:dyDescent="0.2">
      <c r="AF48150" s="12"/>
    </row>
    <row r="48151" spans="32:32" x14ac:dyDescent="0.2">
      <c r="AF48151" s="12"/>
    </row>
    <row r="48152" spans="32:32" x14ac:dyDescent="0.2">
      <c r="AF48152" s="12"/>
    </row>
    <row r="48153" spans="32:32" x14ac:dyDescent="0.2">
      <c r="AF48153" s="12"/>
    </row>
    <row r="48154" spans="32:32" x14ac:dyDescent="0.2">
      <c r="AF48154" s="12"/>
    </row>
    <row r="48155" spans="32:32" x14ac:dyDescent="0.2">
      <c r="AF48155" s="12"/>
    </row>
    <row r="48156" spans="32:32" x14ac:dyDescent="0.2">
      <c r="AF48156" s="12"/>
    </row>
    <row r="48157" spans="32:32" x14ac:dyDescent="0.2">
      <c r="AF48157" s="12"/>
    </row>
    <row r="48158" spans="32:32" x14ac:dyDescent="0.2">
      <c r="AF48158" s="12"/>
    </row>
    <row r="48159" spans="32:32" x14ac:dyDescent="0.2">
      <c r="AF48159" s="12"/>
    </row>
    <row r="48160" spans="32:32" x14ac:dyDescent="0.2">
      <c r="AF48160" s="12"/>
    </row>
    <row r="48161" spans="32:32" x14ac:dyDescent="0.2">
      <c r="AF48161" s="12"/>
    </row>
    <row r="48162" spans="32:32" x14ac:dyDescent="0.2">
      <c r="AF48162" s="12"/>
    </row>
    <row r="48163" spans="32:32" x14ac:dyDescent="0.2">
      <c r="AF48163" s="12"/>
    </row>
    <row r="48164" spans="32:32" x14ac:dyDescent="0.2">
      <c r="AF48164" s="12"/>
    </row>
    <row r="48165" spans="32:32" x14ac:dyDescent="0.2">
      <c r="AF48165" s="12"/>
    </row>
    <row r="48166" spans="32:32" x14ac:dyDescent="0.2">
      <c r="AF48166" s="12"/>
    </row>
    <row r="48167" spans="32:32" x14ac:dyDescent="0.2">
      <c r="AF48167" s="12"/>
    </row>
    <row r="48168" spans="32:32" x14ac:dyDescent="0.2">
      <c r="AF48168" s="12"/>
    </row>
    <row r="48169" spans="32:32" x14ac:dyDescent="0.2">
      <c r="AF48169" s="12"/>
    </row>
    <row r="48170" spans="32:32" x14ac:dyDescent="0.2">
      <c r="AF48170" s="12"/>
    </row>
    <row r="48171" spans="32:32" x14ac:dyDescent="0.2">
      <c r="AF48171" s="12"/>
    </row>
    <row r="48172" spans="32:32" x14ac:dyDescent="0.2">
      <c r="AF48172" s="12"/>
    </row>
    <row r="48173" spans="32:32" x14ac:dyDescent="0.2">
      <c r="AF48173" s="12"/>
    </row>
    <row r="48174" spans="32:32" x14ac:dyDescent="0.2">
      <c r="AF48174" s="12"/>
    </row>
    <row r="48175" spans="32:32" x14ac:dyDescent="0.2">
      <c r="AF48175" s="12"/>
    </row>
    <row r="48176" spans="32:32" x14ac:dyDescent="0.2">
      <c r="AF48176" s="12"/>
    </row>
    <row r="48177" spans="32:32" x14ac:dyDescent="0.2">
      <c r="AF48177" s="12"/>
    </row>
    <row r="48178" spans="32:32" x14ac:dyDescent="0.2">
      <c r="AF48178" s="12"/>
    </row>
    <row r="48179" spans="32:32" x14ac:dyDescent="0.2">
      <c r="AF48179" s="12"/>
    </row>
    <row r="48180" spans="32:32" x14ac:dyDescent="0.2">
      <c r="AF48180" s="12"/>
    </row>
    <row r="48181" spans="32:32" x14ac:dyDescent="0.2">
      <c r="AF48181" s="12"/>
    </row>
    <row r="48182" spans="32:32" x14ac:dyDescent="0.2">
      <c r="AF48182" s="12"/>
    </row>
    <row r="48183" spans="32:32" x14ac:dyDescent="0.2">
      <c r="AF48183" s="12"/>
    </row>
    <row r="48184" spans="32:32" x14ac:dyDescent="0.2">
      <c r="AF48184" s="12"/>
    </row>
    <row r="48185" spans="32:32" x14ac:dyDescent="0.2">
      <c r="AF48185" s="12"/>
    </row>
    <row r="48186" spans="32:32" x14ac:dyDescent="0.2">
      <c r="AF48186" s="12"/>
    </row>
    <row r="48187" spans="32:32" x14ac:dyDescent="0.2">
      <c r="AF48187" s="12"/>
    </row>
    <row r="48188" spans="32:32" x14ac:dyDescent="0.2">
      <c r="AF48188" s="12"/>
    </row>
    <row r="48189" spans="32:32" x14ac:dyDescent="0.2">
      <c r="AF48189" s="12"/>
    </row>
    <row r="48190" spans="32:32" x14ac:dyDescent="0.2">
      <c r="AF48190" s="12"/>
    </row>
    <row r="48191" spans="32:32" x14ac:dyDescent="0.2">
      <c r="AF48191" s="12"/>
    </row>
    <row r="48192" spans="32:32" x14ac:dyDescent="0.2">
      <c r="AF48192" s="12"/>
    </row>
    <row r="48193" spans="32:32" x14ac:dyDescent="0.2">
      <c r="AF48193" s="12"/>
    </row>
    <row r="48194" spans="32:32" x14ac:dyDescent="0.2">
      <c r="AF48194" s="12"/>
    </row>
    <row r="48195" spans="32:32" x14ac:dyDescent="0.2">
      <c r="AF48195" s="12"/>
    </row>
    <row r="48196" spans="32:32" x14ac:dyDescent="0.2">
      <c r="AF48196" s="12"/>
    </row>
    <row r="48197" spans="32:32" x14ac:dyDescent="0.2">
      <c r="AF48197" s="12"/>
    </row>
    <row r="48198" spans="32:32" x14ac:dyDescent="0.2">
      <c r="AF48198" s="12"/>
    </row>
    <row r="48199" spans="32:32" x14ac:dyDescent="0.2">
      <c r="AF48199" s="12"/>
    </row>
    <row r="48200" spans="32:32" x14ac:dyDescent="0.2">
      <c r="AF48200" s="12"/>
    </row>
    <row r="48201" spans="32:32" x14ac:dyDescent="0.2">
      <c r="AF48201" s="12"/>
    </row>
    <row r="48202" spans="32:32" x14ac:dyDescent="0.2">
      <c r="AF48202" s="12"/>
    </row>
    <row r="48203" spans="32:32" x14ac:dyDescent="0.2">
      <c r="AF48203" s="12"/>
    </row>
    <row r="48204" spans="32:32" x14ac:dyDescent="0.2">
      <c r="AF48204" s="12"/>
    </row>
    <row r="48205" spans="32:32" x14ac:dyDescent="0.2">
      <c r="AF48205" s="12"/>
    </row>
    <row r="48206" spans="32:32" x14ac:dyDescent="0.2">
      <c r="AF48206" s="12"/>
    </row>
    <row r="48207" spans="32:32" x14ac:dyDescent="0.2">
      <c r="AF48207" s="12"/>
    </row>
    <row r="48208" spans="32:32" x14ac:dyDescent="0.2">
      <c r="AF48208" s="12"/>
    </row>
    <row r="48209" spans="32:32" x14ac:dyDescent="0.2">
      <c r="AF48209" s="12"/>
    </row>
    <row r="48210" spans="32:32" x14ac:dyDescent="0.2">
      <c r="AF48210" s="12"/>
    </row>
    <row r="48211" spans="32:32" x14ac:dyDescent="0.2">
      <c r="AF48211" s="12"/>
    </row>
    <row r="48212" spans="32:32" x14ac:dyDescent="0.2">
      <c r="AF48212" s="12"/>
    </row>
    <row r="48213" spans="32:32" x14ac:dyDescent="0.2">
      <c r="AF48213" s="12"/>
    </row>
    <row r="48214" spans="32:32" x14ac:dyDescent="0.2">
      <c r="AF48214" s="12"/>
    </row>
    <row r="48215" spans="32:32" x14ac:dyDescent="0.2">
      <c r="AF48215" s="12"/>
    </row>
    <row r="48216" spans="32:32" x14ac:dyDescent="0.2">
      <c r="AF48216" s="12"/>
    </row>
    <row r="48217" spans="32:32" x14ac:dyDescent="0.2">
      <c r="AF48217" s="12"/>
    </row>
    <row r="48218" spans="32:32" x14ac:dyDescent="0.2">
      <c r="AF48218" s="12"/>
    </row>
    <row r="48219" spans="32:32" x14ac:dyDescent="0.2">
      <c r="AF48219" s="12"/>
    </row>
    <row r="48220" spans="32:32" x14ac:dyDescent="0.2">
      <c r="AF48220" s="12"/>
    </row>
    <row r="48221" spans="32:32" x14ac:dyDescent="0.2">
      <c r="AF48221" s="12"/>
    </row>
    <row r="48222" spans="32:32" x14ac:dyDescent="0.2">
      <c r="AF48222" s="12"/>
    </row>
    <row r="48223" spans="32:32" x14ac:dyDescent="0.2">
      <c r="AF48223" s="12"/>
    </row>
    <row r="48224" spans="32:32" x14ac:dyDescent="0.2">
      <c r="AF48224" s="12"/>
    </row>
    <row r="48225" spans="32:32" x14ac:dyDescent="0.2">
      <c r="AF48225" s="12"/>
    </row>
    <row r="48226" spans="32:32" x14ac:dyDescent="0.2">
      <c r="AF48226" s="12"/>
    </row>
    <row r="48227" spans="32:32" x14ac:dyDescent="0.2">
      <c r="AF48227" s="12"/>
    </row>
    <row r="48228" spans="32:32" x14ac:dyDescent="0.2">
      <c r="AF48228" s="12"/>
    </row>
    <row r="48229" spans="32:32" x14ac:dyDescent="0.2">
      <c r="AF48229" s="12"/>
    </row>
    <row r="48230" spans="32:32" x14ac:dyDescent="0.2">
      <c r="AF48230" s="12"/>
    </row>
    <row r="48231" spans="32:32" x14ac:dyDescent="0.2">
      <c r="AF48231" s="12"/>
    </row>
    <row r="48232" spans="32:32" x14ac:dyDescent="0.2">
      <c r="AF48232" s="12"/>
    </row>
    <row r="48233" spans="32:32" x14ac:dyDescent="0.2">
      <c r="AF48233" s="12"/>
    </row>
    <row r="48234" spans="32:32" x14ac:dyDescent="0.2">
      <c r="AF48234" s="12"/>
    </row>
    <row r="48235" spans="32:32" x14ac:dyDescent="0.2">
      <c r="AF48235" s="12"/>
    </row>
    <row r="48236" spans="32:32" x14ac:dyDescent="0.2">
      <c r="AF48236" s="12"/>
    </row>
    <row r="48237" spans="32:32" x14ac:dyDescent="0.2">
      <c r="AF48237" s="12"/>
    </row>
    <row r="48238" spans="32:32" x14ac:dyDescent="0.2">
      <c r="AF48238" s="12"/>
    </row>
    <row r="48239" spans="32:32" x14ac:dyDescent="0.2">
      <c r="AF48239" s="12"/>
    </row>
    <row r="48240" spans="32:32" x14ac:dyDescent="0.2">
      <c r="AF48240" s="12"/>
    </row>
    <row r="48241" spans="32:32" x14ac:dyDescent="0.2">
      <c r="AF48241" s="12"/>
    </row>
    <row r="48242" spans="32:32" x14ac:dyDescent="0.2">
      <c r="AF48242" s="12"/>
    </row>
    <row r="48243" spans="32:32" x14ac:dyDescent="0.2">
      <c r="AF48243" s="12"/>
    </row>
    <row r="48244" spans="32:32" x14ac:dyDescent="0.2">
      <c r="AF48244" s="12"/>
    </row>
    <row r="48245" spans="32:32" x14ac:dyDescent="0.2">
      <c r="AF48245" s="12"/>
    </row>
    <row r="48246" spans="32:32" x14ac:dyDescent="0.2">
      <c r="AF48246" s="12"/>
    </row>
    <row r="48247" spans="32:32" x14ac:dyDescent="0.2">
      <c r="AF48247" s="12"/>
    </row>
    <row r="48248" spans="32:32" x14ac:dyDescent="0.2">
      <c r="AF48248" s="12"/>
    </row>
    <row r="48249" spans="32:32" x14ac:dyDescent="0.2">
      <c r="AF48249" s="12"/>
    </row>
    <row r="48250" spans="32:32" x14ac:dyDescent="0.2">
      <c r="AF48250" s="12"/>
    </row>
    <row r="48251" spans="32:32" x14ac:dyDescent="0.2">
      <c r="AF48251" s="12"/>
    </row>
    <row r="48252" spans="32:32" x14ac:dyDescent="0.2">
      <c r="AF48252" s="12"/>
    </row>
    <row r="48253" spans="32:32" x14ac:dyDescent="0.2">
      <c r="AF48253" s="12"/>
    </row>
    <row r="48254" spans="32:32" x14ac:dyDescent="0.2">
      <c r="AF48254" s="12"/>
    </row>
    <row r="48255" spans="32:32" x14ac:dyDescent="0.2">
      <c r="AF48255" s="12"/>
    </row>
    <row r="48256" spans="32:32" x14ac:dyDescent="0.2">
      <c r="AF48256" s="12"/>
    </row>
    <row r="48257" spans="32:32" x14ac:dyDescent="0.2">
      <c r="AF48257" s="12"/>
    </row>
    <row r="48258" spans="32:32" x14ac:dyDescent="0.2">
      <c r="AF48258" s="12"/>
    </row>
    <row r="48259" spans="32:32" x14ac:dyDescent="0.2">
      <c r="AF48259" s="12"/>
    </row>
    <row r="48260" spans="32:32" x14ac:dyDescent="0.2">
      <c r="AF48260" s="12"/>
    </row>
    <row r="48261" spans="32:32" x14ac:dyDescent="0.2">
      <c r="AF48261" s="12"/>
    </row>
    <row r="48262" spans="32:32" x14ac:dyDescent="0.2">
      <c r="AF48262" s="12"/>
    </row>
    <row r="48263" spans="32:32" x14ac:dyDescent="0.2">
      <c r="AF48263" s="12"/>
    </row>
    <row r="48264" spans="32:32" x14ac:dyDescent="0.2">
      <c r="AF48264" s="12"/>
    </row>
    <row r="48265" spans="32:32" x14ac:dyDescent="0.2">
      <c r="AF48265" s="12"/>
    </row>
    <row r="48266" spans="32:32" x14ac:dyDescent="0.2">
      <c r="AF48266" s="12"/>
    </row>
    <row r="48267" spans="32:32" x14ac:dyDescent="0.2">
      <c r="AF48267" s="12"/>
    </row>
    <row r="48268" spans="32:32" x14ac:dyDescent="0.2">
      <c r="AF48268" s="12"/>
    </row>
    <row r="48269" spans="32:32" x14ac:dyDescent="0.2">
      <c r="AF48269" s="12"/>
    </row>
    <row r="48270" spans="32:32" x14ac:dyDescent="0.2">
      <c r="AF48270" s="12"/>
    </row>
    <row r="48271" spans="32:32" x14ac:dyDescent="0.2">
      <c r="AF48271" s="12"/>
    </row>
    <row r="48272" spans="32:32" x14ac:dyDescent="0.2">
      <c r="AF48272" s="12"/>
    </row>
    <row r="48273" spans="32:32" x14ac:dyDescent="0.2">
      <c r="AF48273" s="12"/>
    </row>
    <row r="48274" spans="32:32" x14ac:dyDescent="0.2">
      <c r="AF48274" s="12"/>
    </row>
    <row r="48275" spans="32:32" x14ac:dyDescent="0.2">
      <c r="AF48275" s="12"/>
    </row>
    <row r="48276" spans="32:32" x14ac:dyDescent="0.2">
      <c r="AF48276" s="12"/>
    </row>
    <row r="48277" spans="32:32" x14ac:dyDescent="0.2">
      <c r="AF48277" s="12"/>
    </row>
    <row r="48278" spans="32:32" x14ac:dyDescent="0.2">
      <c r="AF48278" s="12"/>
    </row>
    <row r="48279" spans="32:32" x14ac:dyDescent="0.2">
      <c r="AF48279" s="12"/>
    </row>
    <row r="48280" spans="32:32" x14ac:dyDescent="0.2">
      <c r="AF48280" s="12"/>
    </row>
    <row r="48281" spans="32:32" x14ac:dyDescent="0.2">
      <c r="AF48281" s="12"/>
    </row>
    <row r="48282" spans="32:32" x14ac:dyDescent="0.2">
      <c r="AF48282" s="12"/>
    </row>
    <row r="48283" spans="32:32" x14ac:dyDescent="0.2">
      <c r="AF48283" s="12"/>
    </row>
    <row r="48284" spans="32:32" x14ac:dyDescent="0.2">
      <c r="AF48284" s="12"/>
    </row>
    <row r="48285" spans="32:32" x14ac:dyDescent="0.2">
      <c r="AF48285" s="12"/>
    </row>
    <row r="48286" spans="32:32" x14ac:dyDescent="0.2">
      <c r="AF48286" s="12"/>
    </row>
    <row r="48287" spans="32:32" x14ac:dyDescent="0.2">
      <c r="AF48287" s="12"/>
    </row>
    <row r="48288" spans="32:32" x14ac:dyDescent="0.2">
      <c r="AF48288" s="12"/>
    </row>
    <row r="48289" spans="32:32" x14ac:dyDescent="0.2">
      <c r="AF48289" s="12"/>
    </row>
    <row r="48290" spans="32:32" x14ac:dyDescent="0.2">
      <c r="AF48290" s="12"/>
    </row>
    <row r="48291" spans="32:32" x14ac:dyDescent="0.2">
      <c r="AF48291" s="12"/>
    </row>
    <row r="48292" spans="32:32" x14ac:dyDescent="0.2">
      <c r="AF48292" s="12"/>
    </row>
    <row r="48293" spans="32:32" x14ac:dyDescent="0.2">
      <c r="AF48293" s="12"/>
    </row>
    <row r="48294" spans="32:32" x14ac:dyDescent="0.2">
      <c r="AF48294" s="12"/>
    </row>
    <row r="48295" spans="32:32" x14ac:dyDescent="0.2">
      <c r="AF48295" s="12"/>
    </row>
    <row r="48296" spans="32:32" x14ac:dyDescent="0.2">
      <c r="AF48296" s="12"/>
    </row>
    <row r="48297" spans="32:32" x14ac:dyDescent="0.2">
      <c r="AF48297" s="12"/>
    </row>
    <row r="48298" spans="32:32" x14ac:dyDescent="0.2">
      <c r="AF48298" s="12"/>
    </row>
    <row r="48299" spans="32:32" x14ac:dyDescent="0.2">
      <c r="AF48299" s="12"/>
    </row>
    <row r="48300" spans="32:32" x14ac:dyDescent="0.2">
      <c r="AF48300" s="12"/>
    </row>
    <row r="48301" spans="32:32" x14ac:dyDescent="0.2">
      <c r="AF48301" s="12"/>
    </row>
    <row r="48302" spans="32:32" x14ac:dyDescent="0.2">
      <c r="AF48302" s="12"/>
    </row>
    <row r="48303" spans="32:32" x14ac:dyDescent="0.2">
      <c r="AF48303" s="12"/>
    </row>
    <row r="48304" spans="32:32" x14ac:dyDescent="0.2">
      <c r="AF48304" s="12"/>
    </row>
    <row r="48305" spans="32:32" x14ac:dyDescent="0.2">
      <c r="AF48305" s="12"/>
    </row>
    <row r="48306" spans="32:32" x14ac:dyDescent="0.2">
      <c r="AF48306" s="12"/>
    </row>
    <row r="48307" spans="32:32" x14ac:dyDescent="0.2">
      <c r="AF48307" s="12"/>
    </row>
    <row r="48308" spans="32:32" x14ac:dyDescent="0.2">
      <c r="AF48308" s="12"/>
    </row>
    <row r="48309" spans="32:32" x14ac:dyDescent="0.2">
      <c r="AF48309" s="12"/>
    </row>
    <row r="48310" spans="32:32" x14ac:dyDescent="0.2">
      <c r="AF48310" s="12"/>
    </row>
    <row r="48311" spans="32:32" x14ac:dyDescent="0.2">
      <c r="AF48311" s="12"/>
    </row>
    <row r="48312" spans="32:32" x14ac:dyDescent="0.2">
      <c r="AF48312" s="12"/>
    </row>
    <row r="48313" spans="32:32" x14ac:dyDescent="0.2">
      <c r="AF48313" s="12"/>
    </row>
    <row r="48314" spans="32:32" x14ac:dyDescent="0.2">
      <c r="AF48314" s="12"/>
    </row>
    <row r="48315" spans="32:32" x14ac:dyDescent="0.2">
      <c r="AF48315" s="12"/>
    </row>
    <row r="48316" spans="32:32" x14ac:dyDescent="0.2">
      <c r="AF48316" s="12"/>
    </row>
    <row r="48317" spans="32:32" x14ac:dyDescent="0.2">
      <c r="AF48317" s="12"/>
    </row>
    <row r="48318" spans="32:32" x14ac:dyDescent="0.2">
      <c r="AF48318" s="12"/>
    </row>
    <row r="48319" spans="32:32" x14ac:dyDescent="0.2">
      <c r="AF48319" s="12"/>
    </row>
    <row r="48320" spans="32:32" x14ac:dyDescent="0.2">
      <c r="AF48320" s="12"/>
    </row>
    <row r="48321" spans="32:32" x14ac:dyDescent="0.2">
      <c r="AF48321" s="12"/>
    </row>
    <row r="48322" spans="32:32" x14ac:dyDescent="0.2">
      <c r="AF48322" s="12"/>
    </row>
    <row r="48323" spans="32:32" x14ac:dyDescent="0.2">
      <c r="AF48323" s="12"/>
    </row>
    <row r="48324" spans="32:32" x14ac:dyDescent="0.2">
      <c r="AF48324" s="12"/>
    </row>
    <row r="48325" spans="32:32" x14ac:dyDescent="0.2">
      <c r="AF48325" s="12"/>
    </row>
    <row r="48326" spans="32:32" x14ac:dyDescent="0.2">
      <c r="AF48326" s="12"/>
    </row>
    <row r="48327" spans="32:32" x14ac:dyDescent="0.2">
      <c r="AF48327" s="12"/>
    </row>
    <row r="48328" spans="32:32" x14ac:dyDescent="0.2">
      <c r="AF48328" s="12"/>
    </row>
    <row r="48329" spans="32:32" x14ac:dyDescent="0.2">
      <c r="AF48329" s="12"/>
    </row>
    <row r="48330" spans="32:32" x14ac:dyDescent="0.2">
      <c r="AF48330" s="12"/>
    </row>
    <row r="48331" spans="32:32" x14ac:dyDescent="0.2">
      <c r="AF48331" s="12"/>
    </row>
    <row r="48332" spans="32:32" x14ac:dyDescent="0.2">
      <c r="AF48332" s="12"/>
    </row>
    <row r="48333" spans="32:32" x14ac:dyDescent="0.2">
      <c r="AF48333" s="12"/>
    </row>
    <row r="48334" spans="32:32" x14ac:dyDescent="0.2">
      <c r="AF48334" s="12"/>
    </row>
    <row r="48335" spans="32:32" x14ac:dyDescent="0.2">
      <c r="AF48335" s="12"/>
    </row>
    <row r="48336" spans="32:32" x14ac:dyDescent="0.2">
      <c r="AF48336" s="12"/>
    </row>
    <row r="48337" spans="32:32" x14ac:dyDescent="0.2">
      <c r="AF48337" s="12"/>
    </row>
    <row r="48338" spans="32:32" x14ac:dyDescent="0.2">
      <c r="AF48338" s="12"/>
    </row>
    <row r="48339" spans="32:32" x14ac:dyDescent="0.2">
      <c r="AF48339" s="12"/>
    </row>
    <row r="48340" spans="32:32" x14ac:dyDescent="0.2">
      <c r="AF48340" s="12"/>
    </row>
    <row r="48341" spans="32:32" x14ac:dyDescent="0.2">
      <c r="AF48341" s="12"/>
    </row>
    <row r="48342" spans="32:32" x14ac:dyDescent="0.2">
      <c r="AF48342" s="12"/>
    </row>
    <row r="48343" spans="32:32" x14ac:dyDescent="0.2">
      <c r="AF48343" s="12"/>
    </row>
    <row r="48344" spans="32:32" x14ac:dyDescent="0.2">
      <c r="AF48344" s="12"/>
    </row>
    <row r="48345" spans="32:32" x14ac:dyDescent="0.2">
      <c r="AF48345" s="12"/>
    </row>
    <row r="48346" spans="32:32" x14ac:dyDescent="0.2">
      <c r="AF48346" s="12"/>
    </row>
    <row r="48347" spans="32:32" x14ac:dyDescent="0.2">
      <c r="AF48347" s="12"/>
    </row>
    <row r="48348" spans="32:32" x14ac:dyDescent="0.2">
      <c r="AF48348" s="12"/>
    </row>
    <row r="48349" spans="32:32" x14ac:dyDescent="0.2">
      <c r="AF48349" s="12"/>
    </row>
    <row r="48350" spans="32:32" x14ac:dyDescent="0.2">
      <c r="AF48350" s="12"/>
    </row>
    <row r="48351" spans="32:32" x14ac:dyDescent="0.2">
      <c r="AF48351" s="12"/>
    </row>
    <row r="48352" spans="32:32" x14ac:dyDescent="0.2">
      <c r="AF48352" s="12"/>
    </row>
    <row r="48353" spans="32:32" x14ac:dyDescent="0.2">
      <c r="AF48353" s="12"/>
    </row>
    <row r="48354" spans="32:32" x14ac:dyDescent="0.2">
      <c r="AF48354" s="12"/>
    </row>
    <row r="48355" spans="32:32" x14ac:dyDescent="0.2">
      <c r="AF48355" s="12"/>
    </row>
    <row r="48356" spans="32:32" x14ac:dyDescent="0.2">
      <c r="AF48356" s="12"/>
    </row>
    <row r="48357" spans="32:32" x14ac:dyDescent="0.2">
      <c r="AF48357" s="12"/>
    </row>
    <row r="48358" spans="32:32" x14ac:dyDescent="0.2">
      <c r="AF48358" s="12"/>
    </row>
    <row r="48359" spans="32:32" x14ac:dyDescent="0.2">
      <c r="AF48359" s="12"/>
    </row>
    <row r="48360" spans="32:32" x14ac:dyDescent="0.2">
      <c r="AF48360" s="12"/>
    </row>
    <row r="48361" spans="32:32" x14ac:dyDescent="0.2">
      <c r="AF48361" s="12"/>
    </row>
    <row r="48362" spans="32:32" x14ac:dyDescent="0.2">
      <c r="AF48362" s="12"/>
    </row>
    <row r="48363" spans="32:32" x14ac:dyDescent="0.2">
      <c r="AF48363" s="12"/>
    </row>
    <row r="48364" spans="32:32" x14ac:dyDescent="0.2">
      <c r="AF48364" s="12"/>
    </row>
    <row r="48365" spans="32:32" x14ac:dyDescent="0.2">
      <c r="AF48365" s="12"/>
    </row>
    <row r="48366" spans="32:32" x14ac:dyDescent="0.2">
      <c r="AF48366" s="12"/>
    </row>
    <row r="48367" spans="32:32" x14ac:dyDescent="0.2">
      <c r="AF48367" s="12"/>
    </row>
    <row r="48368" spans="32:32" x14ac:dyDescent="0.2">
      <c r="AF48368" s="12"/>
    </row>
    <row r="48369" spans="32:32" x14ac:dyDescent="0.2">
      <c r="AF48369" s="12"/>
    </row>
    <row r="48370" spans="32:32" x14ac:dyDescent="0.2">
      <c r="AF48370" s="12"/>
    </row>
    <row r="48371" spans="32:32" x14ac:dyDescent="0.2">
      <c r="AF48371" s="12"/>
    </row>
    <row r="48372" spans="32:32" x14ac:dyDescent="0.2">
      <c r="AF48372" s="12"/>
    </row>
    <row r="48373" spans="32:32" x14ac:dyDescent="0.2">
      <c r="AF48373" s="12"/>
    </row>
    <row r="48374" spans="32:32" x14ac:dyDescent="0.2">
      <c r="AF48374" s="12"/>
    </row>
    <row r="48375" spans="32:32" x14ac:dyDescent="0.2">
      <c r="AF48375" s="12"/>
    </row>
    <row r="48376" spans="32:32" x14ac:dyDescent="0.2">
      <c r="AF48376" s="12"/>
    </row>
    <row r="48377" spans="32:32" x14ac:dyDescent="0.2">
      <c r="AF48377" s="12"/>
    </row>
    <row r="48378" spans="32:32" x14ac:dyDescent="0.2">
      <c r="AF48378" s="12"/>
    </row>
    <row r="48379" spans="32:32" x14ac:dyDescent="0.2">
      <c r="AF48379" s="12"/>
    </row>
    <row r="48380" spans="32:32" x14ac:dyDescent="0.2">
      <c r="AF48380" s="12"/>
    </row>
    <row r="48381" spans="32:32" x14ac:dyDescent="0.2">
      <c r="AF48381" s="12"/>
    </row>
    <row r="48382" spans="32:32" x14ac:dyDescent="0.2">
      <c r="AF48382" s="12"/>
    </row>
    <row r="48383" spans="32:32" x14ac:dyDescent="0.2">
      <c r="AF48383" s="12"/>
    </row>
    <row r="48384" spans="32:32" x14ac:dyDescent="0.2">
      <c r="AF48384" s="12"/>
    </row>
    <row r="48385" spans="32:32" x14ac:dyDescent="0.2">
      <c r="AF48385" s="12"/>
    </row>
    <row r="48386" spans="32:32" x14ac:dyDescent="0.2">
      <c r="AF48386" s="12"/>
    </row>
    <row r="48387" spans="32:32" x14ac:dyDescent="0.2">
      <c r="AF48387" s="12"/>
    </row>
    <row r="48388" spans="32:32" x14ac:dyDescent="0.2">
      <c r="AF48388" s="12"/>
    </row>
    <row r="48389" spans="32:32" x14ac:dyDescent="0.2">
      <c r="AF48389" s="12"/>
    </row>
    <row r="48390" spans="32:32" x14ac:dyDescent="0.2">
      <c r="AF48390" s="12"/>
    </row>
    <row r="48391" spans="32:32" x14ac:dyDescent="0.2">
      <c r="AF48391" s="12"/>
    </row>
    <row r="48392" spans="32:32" x14ac:dyDescent="0.2">
      <c r="AF48392" s="12"/>
    </row>
    <row r="48393" spans="32:32" x14ac:dyDescent="0.2">
      <c r="AF48393" s="12"/>
    </row>
    <row r="48394" spans="32:32" x14ac:dyDescent="0.2">
      <c r="AF48394" s="12"/>
    </row>
    <row r="48395" spans="32:32" x14ac:dyDescent="0.2">
      <c r="AF48395" s="12"/>
    </row>
    <row r="48396" spans="32:32" x14ac:dyDescent="0.2">
      <c r="AF48396" s="12"/>
    </row>
    <row r="48397" spans="32:32" x14ac:dyDescent="0.2">
      <c r="AF48397" s="12"/>
    </row>
    <row r="48398" spans="32:32" x14ac:dyDescent="0.2">
      <c r="AF48398" s="12"/>
    </row>
    <row r="48399" spans="32:32" x14ac:dyDescent="0.2">
      <c r="AF48399" s="12"/>
    </row>
    <row r="48400" spans="32:32" x14ac:dyDescent="0.2">
      <c r="AF48400" s="12"/>
    </row>
    <row r="48401" spans="32:32" x14ac:dyDescent="0.2">
      <c r="AF48401" s="12"/>
    </row>
    <row r="48402" spans="32:32" x14ac:dyDescent="0.2">
      <c r="AF48402" s="12"/>
    </row>
    <row r="48403" spans="32:32" x14ac:dyDescent="0.2">
      <c r="AF48403" s="12"/>
    </row>
    <row r="48404" spans="32:32" x14ac:dyDescent="0.2">
      <c r="AF48404" s="12"/>
    </row>
    <row r="48405" spans="32:32" x14ac:dyDescent="0.2">
      <c r="AF48405" s="12"/>
    </row>
    <row r="48406" spans="32:32" x14ac:dyDescent="0.2">
      <c r="AF48406" s="12"/>
    </row>
    <row r="48407" spans="32:32" x14ac:dyDescent="0.2">
      <c r="AF48407" s="12"/>
    </row>
    <row r="48408" spans="32:32" x14ac:dyDescent="0.2">
      <c r="AF48408" s="12"/>
    </row>
    <row r="48409" spans="32:32" x14ac:dyDescent="0.2">
      <c r="AF48409" s="12"/>
    </row>
    <row r="48410" spans="32:32" x14ac:dyDescent="0.2">
      <c r="AF48410" s="12"/>
    </row>
    <row r="48411" spans="32:32" x14ac:dyDescent="0.2">
      <c r="AF48411" s="12"/>
    </row>
    <row r="48412" spans="32:32" x14ac:dyDescent="0.2">
      <c r="AF48412" s="12"/>
    </row>
    <row r="48413" spans="32:32" x14ac:dyDescent="0.2">
      <c r="AF48413" s="12"/>
    </row>
    <row r="48414" spans="32:32" x14ac:dyDescent="0.2">
      <c r="AF48414" s="12"/>
    </row>
    <row r="48415" spans="32:32" x14ac:dyDescent="0.2">
      <c r="AF48415" s="12"/>
    </row>
    <row r="48416" spans="32:32" x14ac:dyDescent="0.2">
      <c r="AF48416" s="12"/>
    </row>
    <row r="48417" spans="32:32" x14ac:dyDescent="0.2">
      <c r="AF48417" s="12"/>
    </row>
    <row r="48418" spans="32:32" x14ac:dyDescent="0.2">
      <c r="AF48418" s="12"/>
    </row>
    <row r="48419" spans="32:32" x14ac:dyDescent="0.2">
      <c r="AF48419" s="12"/>
    </row>
    <row r="48420" spans="32:32" x14ac:dyDescent="0.2">
      <c r="AF48420" s="12"/>
    </row>
    <row r="48421" spans="32:32" x14ac:dyDescent="0.2">
      <c r="AF48421" s="12"/>
    </row>
    <row r="48422" spans="32:32" x14ac:dyDescent="0.2">
      <c r="AF48422" s="12"/>
    </row>
    <row r="48423" spans="32:32" x14ac:dyDescent="0.2">
      <c r="AF48423" s="12"/>
    </row>
    <row r="48424" spans="32:32" x14ac:dyDescent="0.2">
      <c r="AF48424" s="12"/>
    </row>
    <row r="48425" spans="32:32" x14ac:dyDescent="0.2">
      <c r="AF48425" s="12"/>
    </row>
    <row r="48426" spans="32:32" x14ac:dyDescent="0.2">
      <c r="AF48426" s="12"/>
    </row>
    <row r="48427" spans="32:32" x14ac:dyDescent="0.2">
      <c r="AF48427" s="12"/>
    </row>
    <row r="48428" spans="32:32" x14ac:dyDescent="0.2">
      <c r="AF48428" s="12"/>
    </row>
    <row r="48429" spans="32:32" x14ac:dyDescent="0.2">
      <c r="AF48429" s="12"/>
    </row>
    <row r="48430" spans="32:32" x14ac:dyDescent="0.2">
      <c r="AF48430" s="12"/>
    </row>
    <row r="48431" spans="32:32" x14ac:dyDescent="0.2">
      <c r="AF48431" s="12"/>
    </row>
    <row r="48432" spans="32:32" x14ac:dyDescent="0.2">
      <c r="AF48432" s="12"/>
    </row>
    <row r="48433" spans="32:32" x14ac:dyDescent="0.2">
      <c r="AF48433" s="12"/>
    </row>
    <row r="48434" spans="32:32" x14ac:dyDescent="0.2">
      <c r="AF48434" s="12"/>
    </row>
    <row r="48435" spans="32:32" x14ac:dyDescent="0.2">
      <c r="AF48435" s="12"/>
    </row>
    <row r="48436" spans="32:32" x14ac:dyDescent="0.2">
      <c r="AF48436" s="12"/>
    </row>
    <row r="48437" spans="32:32" x14ac:dyDescent="0.2">
      <c r="AF48437" s="12"/>
    </row>
    <row r="48438" spans="32:32" x14ac:dyDescent="0.2">
      <c r="AF48438" s="12"/>
    </row>
    <row r="48439" spans="32:32" x14ac:dyDescent="0.2">
      <c r="AF48439" s="12"/>
    </row>
    <row r="48440" spans="32:32" x14ac:dyDescent="0.2">
      <c r="AF48440" s="12"/>
    </row>
    <row r="48441" spans="32:32" x14ac:dyDescent="0.2">
      <c r="AF48441" s="12"/>
    </row>
    <row r="48442" spans="32:32" x14ac:dyDescent="0.2">
      <c r="AF48442" s="12"/>
    </row>
    <row r="48443" spans="32:32" x14ac:dyDescent="0.2">
      <c r="AF48443" s="12"/>
    </row>
    <row r="48444" spans="32:32" x14ac:dyDescent="0.2">
      <c r="AF48444" s="12"/>
    </row>
    <row r="48445" spans="32:32" x14ac:dyDescent="0.2">
      <c r="AF48445" s="12"/>
    </row>
    <row r="48446" spans="32:32" x14ac:dyDescent="0.2">
      <c r="AF48446" s="12"/>
    </row>
    <row r="48447" spans="32:32" x14ac:dyDescent="0.2">
      <c r="AF48447" s="12"/>
    </row>
    <row r="48448" spans="32:32" x14ac:dyDescent="0.2">
      <c r="AF48448" s="12"/>
    </row>
    <row r="48449" spans="32:32" x14ac:dyDescent="0.2">
      <c r="AF48449" s="12"/>
    </row>
    <row r="48450" spans="32:32" x14ac:dyDescent="0.2">
      <c r="AF48450" s="12"/>
    </row>
    <row r="48451" spans="32:32" x14ac:dyDescent="0.2">
      <c r="AF48451" s="12"/>
    </row>
    <row r="48452" spans="32:32" x14ac:dyDescent="0.2">
      <c r="AF48452" s="12"/>
    </row>
    <row r="48453" spans="32:32" x14ac:dyDescent="0.2">
      <c r="AF48453" s="12"/>
    </row>
    <row r="48454" spans="32:32" x14ac:dyDescent="0.2">
      <c r="AF48454" s="12"/>
    </row>
    <row r="48455" spans="32:32" x14ac:dyDescent="0.2">
      <c r="AF48455" s="12"/>
    </row>
    <row r="48456" spans="32:32" x14ac:dyDescent="0.2">
      <c r="AF48456" s="12"/>
    </row>
    <row r="48457" spans="32:32" x14ac:dyDescent="0.2">
      <c r="AF48457" s="12"/>
    </row>
    <row r="48458" spans="32:32" x14ac:dyDescent="0.2">
      <c r="AF48458" s="12"/>
    </row>
    <row r="48459" spans="32:32" x14ac:dyDescent="0.2">
      <c r="AF48459" s="12"/>
    </row>
    <row r="48460" spans="32:32" x14ac:dyDescent="0.2">
      <c r="AF48460" s="12"/>
    </row>
    <row r="48461" spans="32:32" x14ac:dyDescent="0.2">
      <c r="AF48461" s="12"/>
    </row>
    <row r="48462" spans="32:32" x14ac:dyDescent="0.2">
      <c r="AF48462" s="12"/>
    </row>
    <row r="48463" spans="32:32" x14ac:dyDescent="0.2">
      <c r="AF48463" s="12"/>
    </row>
    <row r="48464" spans="32:32" x14ac:dyDescent="0.2">
      <c r="AF48464" s="12"/>
    </row>
    <row r="48465" spans="32:32" x14ac:dyDescent="0.2">
      <c r="AF48465" s="12"/>
    </row>
    <row r="48466" spans="32:32" x14ac:dyDescent="0.2">
      <c r="AF48466" s="12"/>
    </row>
    <row r="48467" spans="32:32" x14ac:dyDescent="0.2">
      <c r="AF48467" s="12"/>
    </row>
    <row r="48468" spans="32:32" x14ac:dyDescent="0.2">
      <c r="AF48468" s="12"/>
    </row>
    <row r="48469" spans="32:32" x14ac:dyDescent="0.2">
      <c r="AF48469" s="12"/>
    </row>
    <row r="48470" spans="32:32" x14ac:dyDescent="0.2">
      <c r="AF48470" s="12"/>
    </row>
    <row r="48471" spans="32:32" x14ac:dyDescent="0.2">
      <c r="AF48471" s="12"/>
    </row>
    <row r="48472" spans="32:32" x14ac:dyDescent="0.2">
      <c r="AF48472" s="12"/>
    </row>
    <row r="48473" spans="32:32" x14ac:dyDescent="0.2">
      <c r="AF48473" s="12"/>
    </row>
    <row r="48474" spans="32:32" x14ac:dyDescent="0.2">
      <c r="AF48474" s="12"/>
    </row>
    <row r="48475" spans="32:32" x14ac:dyDescent="0.2">
      <c r="AF48475" s="12"/>
    </row>
    <row r="48476" spans="32:32" x14ac:dyDescent="0.2">
      <c r="AF48476" s="12"/>
    </row>
    <row r="48477" spans="32:32" x14ac:dyDescent="0.2">
      <c r="AF48477" s="12"/>
    </row>
    <row r="48478" spans="32:32" x14ac:dyDescent="0.2">
      <c r="AF48478" s="12"/>
    </row>
    <row r="48479" spans="32:32" x14ac:dyDescent="0.2">
      <c r="AF48479" s="12"/>
    </row>
    <row r="48480" spans="32:32" x14ac:dyDescent="0.2">
      <c r="AF48480" s="12"/>
    </row>
    <row r="48481" spans="32:32" x14ac:dyDescent="0.2">
      <c r="AF48481" s="12"/>
    </row>
    <row r="48482" spans="32:32" x14ac:dyDescent="0.2">
      <c r="AF48482" s="12"/>
    </row>
    <row r="48483" spans="32:32" x14ac:dyDescent="0.2">
      <c r="AF48483" s="12"/>
    </row>
    <row r="48484" spans="32:32" x14ac:dyDescent="0.2">
      <c r="AF48484" s="12"/>
    </row>
    <row r="48485" spans="32:32" x14ac:dyDescent="0.2">
      <c r="AF48485" s="12"/>
    </row>
    <row r="48486" spans="32:32" x14ac:dyDescent="0.2">
      <c r="AF48486" s="12"/>
    </row>
    <row r="48487" spans="32:32" x14ac:dyDescent="0.2">
      <c r="AF48487" s="12"/>
    </row>
    <row r="48488" spans="32:32" x14ac:dyDescent="0.2">
      <c r="AF48488" s="12"/>
    </row>
    <row r="48489" spans="32:32" x14ac:dyDescent="0.2">
      <c r="AF48489" s="12"/>
    </row>
    <row r="48490" spans="32:32" x14ac:dyDescent="0.2">
      <c r="AF48490" s="12"/>
    </row>
    <row r="48491" spans="32:32" x14ac:dyDescent="0.2">
      <c r="AF48491" s="12"/>
    </row>
    <row r="48492" spans="32:32" x14ac:dyDescent="0.2">
      <c r="AF48492" s="12"/>
    </row>
    <row r="48493" spans="32:32" x14ac:dyDescent="0.2">
      <c r="AF48493" s="12"/>
    </row>
    <row r="48494" spans="32:32" x14ac:dyDescent="0.2">
      <c r="AF48494" s="12"/>
    </row>
    <row r="48495" spans="32:32" x14ac:dyDescent="0.2">
      <c r="AF48495" s="12"/>
    </row>
    <row r="48496" spans="32:32" x14ac:dyDescent="0.2">
      <c r="AF48496" s="12"/>
    </row>
    <row r="48497" spans="32:32" x14ac:dyDescent="0.2">
      <c r="AF48497" s="12"/>
    </row>
    <row r="48498" spans="32:32" x14ac:dyDescent="0.2">
      <c r="AF48498" s="12"/>
    </row>
    <row r="48499" spans="32:32" x14ac:dyDescent="0.2">
      <c r="AF48499" s="12"/>
    </row>
    <row r="48500" spans="32:32" x14ac:dyDescent="0.2">
      <c r="AF48500" s="12"/>
    </row>
    <row r="48501" spans="32:32" x14ac:dyDescent="0.2">
      <c r="AF48501" s="12"/>
    </row>
    <row r="48502" spans="32:32" x14ac:dyDescent="0.2">
      <c r="AF48502" s="12"/>
    </row>
    <row r="48503" spans="32:32" x14ac:dyDescent="0.2">
      <c r="AF48503" s="12"/>
    </row>
    <row r="48504" spans="32:32" x14ac:dyDescent="0.2">
      <c r="AF48504" s="12"/>
    </row>
    <row r="48505" spans="32:32" x14ac:dyDescent="0.2">
      <c r="AF48505" s="12"/>
    </row>
    <row r="48506" spans="32:32" x14ac:dyDescent="0.2">
      <c r="AF48506" s="12"/>
    </row>
    <row r="48507" spans="32:32" x14ac:dyDescent="0.2">
      <c r="AF48507" s="12"/>
    </row>
    <row r="48508" spans="32:32" x14ac:dyDescent="0.2">
      <c r="AF48508" s="12"/>
    </row>
    <row r="48509" spans="32:32" x14ac:dyDescent="0.2">
      <c r="AF48509" s="12"/>
    </row>
    <row r="48510" spans="32:32" x14ac:dyDescent="0.2">
      <c r="AF48510" s="12"/>
    </row>
    <row r="48511" spans="32:32" x14ac:dyDescent="0.2">
      <c r="AF48511" s="12"/>
    </row>
    <row r="48512" spans="32:32" x14ac:dyDescent="0.2">
      <c r="AF48512" s="12"/>
    </row>
    <row r="48513" spans="32:32" x14ac:dyDescent="0.2">
      <c r="AF48513" s="12"/>
    </row>
    <row r="48514" spans="32:32" x14ac:dyDescent="0.2">
      <c r="AF48514" s="12"/>
    </row>
    <row r="48515" spans="32:32" x14ac:dyDescent="0.2">
      <c r="AF48515" s="12"/>
    </row>
    <row r="48516" spans="32:32" x14ac:dyDescent="0.2">
      <c r="AF48516" s="12"/>
    </row>
    <row r="48517" spans="32:32" x14ac:dyDescent="0.2">
      <c r="AF48517" s="12"/>
    </row>
    <row r="48518" spans="32:32" x14ac:dyDescent="0.2">
      <c r="AF48518" s="12"/>
    </row>
    <row r="48519" spans="32:32" x14ac:dyDescent="0.2">
      <c r="AF48519" s="12"/>
    </row>
    <row r="48520" spans="32:32" x14ac:dyDescent="0.2">
      <c r="AF48520" s="12"/>
    </row>
    <row r="48521" spans="32:32" x14ac:dyDescent="0.2">
      <c r="AF48521" s="12"/>
    </row>
    <row r="48522" spans="32:32" x14ac:dyDescent="0.2">
      <c r="AF48522" s="12"/>
    </row>
    <row r="48523" spans="32:32" x14ac:dyDescent="0.2">
      <c r="AF48523" s="12"/>
    </row>
    <row r="48524" spans="32:32" x14ac:dyDescent="0.2">
      <c r="AF48524" s="12"/>
    </row>
    <row r="48525" spans="32:32" x14ac:dyDescent="0.2">
      <c r="AF48525" s="12"/>
    </row>
    <row r="48526" spans="32:32" x14ac:dyDescent="0.2">
      <c r="AF48526" s="12"/>
    </row>
    <row r="48527" spans="32:32" x14ac:dyDescent="0.2">
      <c r="AF48527" s="12"/>
    </row>
    <row r="48528" spans="32:32" x14ac:dyDescent="0.2">
      <c r="AF48528" s="12"/>
    </row>
    <row r="48529" spans="32:32" x14ac:dyDescent="0.2">
      <c r="AF48529" s="12"/>
    </row>
    <row r="48530" spans="32:32" x14ac:dyDescent="0.2">
      <c r="AF48530" s="12"/>
    </row>
    <row r="48531" spans="32:32" x14ac:dyDescent="0.2">
      <c r="AF48531" s="12"/>
    </row>
    <row r="48532" spans="32:32" x14ac:dyDescent="0.2">
      <c r="AF48532" s="12"/>
    </row>
    <row r="48533" spans="32:32" x14ac:dyDescent="0.2">
      <c r="AF48533" s="12"/>
    </row>
    <row r="48534" spans="32:32" x14ac:dyDescent="0.2">
      <c r="AF48534" s="12"/>
    </row>
    <row r="48535" spans="32:32" x14ac:dyDescent="0.2">
      <c r="AF48535" s="12"/>
    </row>
    <row r="48536" spans="32:32" x14ac:dyDescent="0.2">
      <c r="AF48536" s="12"/>
    </row>
    <row r="48537" spans="32:32" x14ac:dyDescent="0.2">
      <c r="AF48537" s="12"/>
    </row>
    <row r="48538" spans="32:32" x14ac:dyDescent="0.2">
      <c r="AF48538" s="12"/>
    </row>
    <row r="48539" spans="32:32" x14ac:dyDescent="0.2">
      <c r="AF48539" s="12"/>
    </row>
    <row r="48540" spans="32:32" x14ac:dyDescent="0.2">
      <c r="AF48540" s="12"/>
    </row>
    <row r="48541" spans="32:32" x14ac:dyDescent="0.2">
      <c r="AF48541" s="12"/>
    </row>
    <row r="48542" spans="32:32" x14ac:dyDescent="0.2">
      <c r="AF48542" s="12"/>
    </row>
    <row r="48543" spans="32:32" x14ac:dyDescent="0.2">
      <c r="AF48543" s="12"/>
    </row>
    <row r="48544" spans="32:32" x14ac:dyDescent="0.2">
      <c r="AF48544" s="12"/>
    </row>
    <row r="48545" spans="32:32" x14ac:dyDescent="0.2">
      <c r="AF48545" s="12"/>
    </row>
    <row r="48546" spans="32:32" x14ac:dyDescent="0.2">
      <c r="AF48546" s="12"/>
    </row>
    <row r="48547" spans="32:32" x14ac:dyDescent="0.2">
      <c r="AF48547" s="12"/>
    </row>
    <row r="48548" spans="32:32" x14ac:dyDescent="0.2">
      <c r="AF48548" s="12"/>
    </row>
    <row r="48549" spans="32:32" x14ac:dyDescent="0.2">
      <c r="AF48549" s="12"/>
    </row>
    <row r="48550" spans="32:32" x14ac:dyDescent="0.2">
      <c r="AF48550" s="12"/>
    </row>
    <row r="48551" spans="32:32" x14ac:dyDescent="0.2">
      <c r="AF48551" s="12"/>
    </row>
    <row r="48552" spans="32:32" x14ac:dyDescent="0.2">
      <c r="AF48552" s="12"/>
    </row>
    <row r="48553" spans="32:32" x14ac:dyDescent="0.2">
      <c r="AF48553" s="12"/>
    </row>
    <row r="48554" spans="32:32" x14ac:dyDescent="0.2">
      <c r="AF48554" s="12"/>
    </row>
    <row r="48555" spans="32:32" x14ac:dyDescent="0.2">
      <c r="AF48555" s="12"/>
    </row>
    <row r="48556" spans="32:32" x14ac:dyDescent="0.2">
      <c r="AF48556" s="12"/>
    </row>
    <row r="48557" spans="32:32" x14ac:dyDescent="0.2">
      <c r="AF48557" s="12"/>
    </row>
    <row r="48558" spans="32:32" x14ac:dyDescent="0.2">
      <c r="AF48558" s="12"/>
    </row>
    <row r="48559" spans="32:32" x14ac:dyDescent="0.2">
      <c r="AF48559" s="12"/>
    </row>
    <row r="48560" spans="32:32" x14ac:dyDescent="0.2">
      <c r="AF48560" s="12"/>
    </row>
    <row r="48561" spans="32:32" x14ac:dyDescent="0.2">
      <c r="AF48561" s="12"/>
    </row>
    <row r="48562" spans="32:32" x14ac:dyDescent="0.2">
      <c r="AF48562" s="12"/>
    </row>
    <row r="48563" spans="32:32" x14ac:dyDescent="0.2">
      <c r="AF48563" s="12"/>
    </row>
    <row r="48564" spans="32:32" x14ac:dyDescent="0.2">
      <c r="AF48564" s="12"/>
    </row>
    <row r="48565" spans="32:32" x14ac:dyDescent="0.2">
      <c r="AF48565" s="12"/>
    </row>
    <row r="48566" spans="32:32" x14ac:dyDescent="0.2">
      <c r="AF48566" s="12"/>
    </row>
    <row r="48567" spans="32:32" x14ac:dyDescent="0.2">
      <c r="AF48567" s="12"/>
    </row>
    <row r="48568" spans="32:32" x14ac:dyDescent="0.2">
      <c r="AF48568" s="12"/>
    </row>
    <row r="48569" spans="32:32" x14ac:dyDescent="0.2">
      <c r="AF48569" s="12"/>
    </row>
    <row r="48570" spans="32:32" x14ac:dyDescent="0.2">
      <c r="AF48570" s="12"/>
    </row>
    <row r="48571" spans="32:32" x14ac:dyDescent="0.2">
      <c r="AF48571" s="12"/>
    </row>
    <row r="48572" spans="32:32" x14ac:dyDescent="0.2">
      <c r="AF48572" s="12"/>
    </row>
    <row r="48573" spans="32:32" x14ac:dyDescent="0.2">
      <c r="AF48573" s="12"/>
    </row>
    <row r="48574" spans="32:32" x14ac:dyDescent="0.2">
      <c r="AF48574" s="12"/>
    </row>
    <row r="48575" spans="32:32" x14ac:dyDescent="0.2">
      <c r="AF48575" s="12"/>
    </row>
    <row r="48576" spans="32:32" x14ac:dyDescent="0.2">
      <c r="AF48576" s="12"/>
    </row>
    <row r="48577" spans="32:32" x14ac:dyDescent="0.2">
      <c r="AF48577" s="12"/>
    </row>
    <row r="48578" spans="32:32" x14ac:dyDescent="0.2">
      <c r="AF48578" s="12"/>
    </row>
    <row r="48579" spans="32:32" x14ac:dyDescent="0.2">
      <c r="AF48579" s="12"/>
    </row>
    <row r="48580" spans="32:32" x14ac:dyDescent="0.2">
      <c r="AF48580" s="12"/>
    </row>
    <row r="48581" spans="32:32" x14ac:dyDescent="0.2">
      <c r="AF48581" s="12"/>
    </row>
    <row r="48582" spans="32:32" x14ac:dyDescent="0.2">
      <c r="AF48582" s="12"/>
    </row>
    <row r="48583" spans="32:32" x14ac:dyDescent="0.2">
      <c r="AF48583" s="12"/>
    </row>
    <row r="48584" spans="32:32" x14ac:dyDescent="0.2">
      <c r="AF48584" s="12"/>
    </row>
    <row r="48585" spans="32:32" x14ac:dyDescent="0.2">
      <c r="AF48585" s="12"/>
    </row>
    <row r="48586" spans="32:32" x14ac:dyDescent="0.2">
      <c r="AF48586" s="12"/>
    </row>
    <row r="48587" spans="32:32" x14ac:dyDescent="0.2">
      <c r="AF48587" s="12"/>
    </row>
    <row r="48588" spans="32:32" x14ac:dyDescent="0.2">
      <c r="AF48588" s="12"/>
    </row>
    <row r="48589" spans="32:32" x14ac:dyDescent="0.2">
      <c r="AF48589" s="12"/>
    </row>
    <row r="48590" spans="32:32" x14ac:dyDescent="0.2">
      <c r="AF48590" s="12"/>
    </row>
    <row r="48591" spans="32:32" x14ac:dyDescent="0.2">
      <c r="AF48591" s="12"/>
    </row>
    <row r="48592" spans="32:32" x14ac:dyDescent="0.2">
      <c r="AF48592" s="12"/>
    </row>
    <row r="48593" spans="32:32" x14ac:dyDescent="0.2">
      <c r="AF48593" s="12"/>
    </row>
    <row r="48594" spans="32:32" x14ac:dyDescent="0.2">
      <c r="AF48594" s="12"/>
    </row>
    <row r="48595" spans="32:32" x14ac:dyDescent="0.2">
      <c r="AF48595" s="12"/>
    </row>
    <row r="48596" spans="32:32" x14ac:dyDescent="0.2">
      <c r="AF48596" s="12"/>
    </row>
    <row r="48597" spans="32:32" x14ac:dyDescent="0.2">
      <c r="AF48597" s="12"/>
    </row>
    <row r="48598" spans="32:32" x14ac:dyDescent="0.2">
      <c r="AF48598" s="12"/>
    </row>
    <row r="48599" spans="32:32" x14ac:dyDescent="0.2">
      <c r="AF48599" s="12"/>
    </row>
    <row r="48600" spans="32:32" x14ac:dyDescent="0.2">
      <c r="AF48600" s="12"/>
    </row>
    <row r="48601" spans="32:32" x14ac:dyDescent="0.2">
      <c r="AF48601" s="12"/>
    </row>
    <row r="48602" spans="32:32" x14ac:dyDescent="0.2">
      <c r="AF48602" s="12"/>
    </row>
    <row r="48603" spans="32:32" x14ac:dyDescent="0.2">
      <c r="AF48603" s="12"/>
    </row>
    <row r="48604" spans="32:32" x14ac:dyDescent="0.2">
      <c r="AF48604" s="12"/>
    </row>
    <row r="48605" spans="32:32" x14ac:dyDescent="0.2">
      <c r="AF48605" s="12"/>
    </row>
    <row r="48606" spans="32:32" x14ac:dyDescent="0.2">
      <c r="AF48606" s="12"/>
    </row>
    <row r="48607" spans="32:32" x14ac:dyDescent="0.2">
      <c r="AF48607" s="12"/>
    </row>
    <row r="48608" spans="32:32" x14ac:dyDescent="0.2">
      <c r="AF48608" s="12"/>
    </row>
    <row r="48609" spans="32:32" x14ac:dyDescent="0.2">
      <c r="AF48609" s="12"/>
    </row>
    <row r="48610" spans="32:32" x14ac:dyDescent="0.2">
      <c r="AF48610" s="12"/>
    </row>
    <row r="48611" spans="32:32" x14ac:dyDescent="0.2">
      <c r="AF48611" s="12"/>
    </row>
    <row r="48612" spans="32:32" x14ac:dyDescent="0.2">
      <c r="AF48612" s="12"/>
    </row>
    <row r="48613" spans="32:32" x14ac:dyDescent="0.2">
      <c r="AF48613" s="12"/>
    </row>
    <row r="48614" spans="32:32" x14ac:dyDescent="0.2">
      <c r="AF48614" s="12"/>
    </row>
    <row r="48615" spans="32:32" x14ac:dyDescent="0.2">
      <c r="AF48615" s="12"/>
    </row>
    <row r="48616" spans="32:32" x14ac:dyDescent="0.2">
      <c r="AF48616" s="12"/>
    </row>
    <row r="48617" spans="32:32" x14ac:dyDescent="0.2">
      <c r="AF48617" s="12"/>
    </row>
    <row r="48618" spans="32:32" x14ac:dyDescent="0.2">
      <c r="AF48618" s="12"/>
    </row>
    <row r="48619" spans="32:32" x14ac:dyDescent="0.2">
      <c r="AF48619" s="12"/>
    </row>
    <row r="48620" spans="32:32" x14ac:dyDescent="0.2">
      <c r="AF48620" s="12"/>
    </row>
    <row r="48621" spans="32:32" x14ac:dyDescent="0.2">
      <c r="AF48621" s="12"/>
    </row>
    <row r="48622" spans="32:32" x14ac:dyDescent="0.2">
      <c r="AF48622" s="12"/>
    </row>
    <row r="48623" spans="32:32" x14ac:dyDescent="0.2">
      <c r="AF48623" s="12"/>
    </row>
    <row r="48624" spans="32:32" x14ac:dyDescent="0.2">
      <c r="AF48624" s="12"/>
    </row>
    <row r="48625" spans="32:32" x14ac:dyDescent="0.2">
      <c r="AF48625" s="12"/>
    </row>
    <row r="48626" spans="32:32" x14ac:dyDescent="0.2">
      <c r="AF48626" s="12"/>
    </row>
    <row r="48627" spans="32:32" x14ac:dyDescent="0.2">
      <c r="AF48627" s="12"/>
    </row>
    <row r="48628" spans="32:32" x14ac:dyDescent="0.2">
      <c r="AF48628" s="12"/>
    </row>
    <row r="48629" spans="32:32" x14ac:dyDescent="0.2">
      <c r="AF48629" s="12"/>
    </row>
    <row r="48630" spans="32:32" x14ac:dyDescent="0.2">
      <c r="AF48630" s="12"/>
    </row>
    <row r="48631" spans="32:32" x14ac:dyDescent="0.2">
      <c r="AF48631" s="12"/>
    </row>
    <row r="48632" spans="32:32" x14ac:dyDescent="0.2">
      <c r="AF48632" s="12"/>
    </row>
    <row r="48633" spans="32:32" x14ac:dyDescent="0.2">
      <c r="AF48633" s="12"/>
    </row>
    <row r="48634" spans="32:32" x14ac:dyDescent="0.2">
      <c r="AF48634" s="12"/>
    </row>
    <row r="48635" spans="32:32" x14ac:dyDescent="0.2">
      <c r="AF48635" s="12"/>
    </row>
    <row r="48636" spans="32:32" x14ac:dyDescent="0.2">
      <c r="AF48636" s="12"/>
    </row>
    <row r="48637" spans="32:32" x14ac:dyDescent="0.2">
      <c r="AF48637" s="12"/>
    </row>
    <row r="48638" spans="32:32" x14ac:dyDescent="0.2">
      <c r="AF48638" s="12"/>
    </row>
    <row r="48639" spans="32:32" x14ac:dyDescent="0.2">
      <c r="AF48639" s="12"/>
    </row>
    <row r="48640" spans="32:32" x14ac:dyDescent="0.2">
      <c r="AF48640" s="12"/>
    </row>
    <row r="48641" spans="32:32" x14ac:dyDescent="0.2">
      <c r="AF48641" s="12"/>
    </row>
    <row r="48642" spans="32:32" x14ac:dyDescent="0.2">
      <c r="AF48642" s="12"/>
    </row>
    <row r="48643" spans="32:32" x14ac:dyDescent="0.2">
      <c r="AF48643" s="12"/>
    </row>
    <row r="48644" spans="32:32" x14ac:dyDescent="0.2">
      <c r="AF48644" s="12"/>
    </row>
    <row r="48645" spans="32:32" x14ac:dyDescent="0.2">
      <c r="AF48645" s="12"/>
    </row>
    <row r="48646" spans="32:32" x14ac:dyDescent="0.2">
      <c r="AF48646" s="12"/>
    </row>
    <row r="48647" spans="32:32" x14ac:dyDescent="0.2">
      <c r="AF48647" s="12"/>
    </row>
    <row r="48648" spans="32:32" x14ac:dyDescent="0.2">
      <c r="AF48648" s="12"/>
    </row>
    <row r="48649" spans="32:32" x14ac:dyDescent="0.2">
      <c r="AF48649" s="12"/>
    </row>
    <row r="48650" spans="32:32" x14ac:dyDescent="0.2">
      <c r="AF48650" s="12"/>
    </row>
    <row r="48651" spans="32:32" x14ac:dyDescent="0.2">
      <c r="AF48651" s="12"/>
    </row>
    <row r="48652" spans="32:32" x14ac:dyDescent="0.2">
      <c r="AF48652" s="12"/>
    </row>
    <row r="48653" spans="32:32" x14ac:dyDescent="0.2">
      <c r="AF48653" s="12"/>
    </row>
    <row r="48654" spans="32:32" x14ac:dyDescent="0.2">
      <c r="AF48654" s="12"/>
    </row>
    <row r="48655" spans="32:32" x14ac:dyDescent="0.2">
      <c r="AF48655" s="12"/>
    </row>
    <row r="48656" spans="32:32" x14ac:dyDescent="0.2">
      <c r="AF48656" s="12"/>
    </row>
    <row r="48657" spans="32:32" x14ac:dyDescent="0.2">
      <c r="AF48657" s="12"/>
    </row>
    <row r="48658" spans="32:32" x14ac:dyDescent="0.2">
      <c r="AF48658" s="12"/>
    </row>
    <row r="48659" spans="32:32" x14ac:dyDescent="0.2">
      <c r="AF48659" s="12"/>
    </row>
    <row r="48660" spans="32:32" x14ac:dyDescent="0.2">
      <c r="AF48660" s="12"/>
    </row>
    <row r="48661" spans="32:32" x14ac:dyDescent="0.2">
      <c r="AF48661" s="12"/>
    </row>
    <row r="48662" spans="32:32" x14ac:dyDescent="0.2">
      <c r="AF48662" s="12"/>
    </row>
    <row r="48663" spans="32:32" x14ac:dyDescent="0.2">
      <c r="AF48663" s="12"/>
    </row>
    <row r="48664" spans="32:32" x14ac:dyDescent="0.2">
      <c r="AF48664" s="12"/>
    </row>
    <row r="48665" spans="32:32" x14ac:dyDescent="0.2">
      <c r="AF48665" s="12"/>
    </row>
    <row r="48666" spans="32:32" x14ac:dyDescent="0.2">
      <c r="AF48666" s="12"/>
    </row>
    <row r="48667" spans="32:32" x14ac:dyDescent="0.2">
      <c r="AF48667" s="12"/>
    </row>
    <row r="48668" spans="32:32" x14ac:dyDescent="0.2">
      <c r="AF48668" s="12"/>
    </row>
    <row r="48669" spans="32:32" x14ac:dyDescent="0.2">
      <c r="AF48669" s="12"/>
    </row>
    <row r="48670" spans="32:32" x14ac:dyDescent="0.2">
      <c r="AF48670" s="12"/>
    </row>
    <row r="48671" spans="32:32" x14ac:dyDescent="0.2">
      <c r="AF48671" s="12"/>
    </row>
    <row r="48672" spans="32:32" x14ac:dyDescent="0.2">
      <c r="AF48672" s="12"/>
    </row>
    <row r="48673" spans="32:32" x14ac:dyDescent="0.2">
      <c r="AF48673" s="12"/>
    </row>
    <row r="48674" spans="32:32" x14ac:dyDescent="0.2">
      <c r="AF48674" s="12"/>
    </row>
    <row r="48675" spans="32:32" x14ac:dyDescent="0.2">
      <c r="AF48675" s="12"/>
    </row>
    <row r="48676" spans="32:32" x14ac:dyDescent="0.2">
      <c r="AF48676" s="12"/>
    </row>
    <row r="48677" spans="32:32" x14ac:dyDescent="0.2">
      <c r="AF48677" s="12"/>
    </row>
    <row r="48678" spans="32:32" x14ac:dyDescent="0.2">
      <c r="AF48678" s="12"/>
    </row>
    <row r="48679" spans="32:32" x14ac:dyDescent="0.2">
      <c r="AF48679" s="12"/>
    </row>
    <row r="48680" spans="32:32" x14ac:dyDescent="0.2">
      <c r="AF48680" s="12"/>
    </row>
    <row r="48681" spans="32:32" x14ac:dyDescent="0.2">
      <c r="AF48681" s="12"/>
    </row>
    <row r="48682" spans="32:32" x14ac:dyDescent="0.2">
      <c r="AF48682" s="12"/>
    </row>
    <row r="48683" spans="32:32" x14ac:dyDescent="0.2">
      <c r="AF48683" s="12"/>
    </row>
    <row r="48684" spans="32:32" x14ac:dyDescent="0.2">
      <c r="AF48684" s="12"/>
    </row>
    <row r="48685" spans="32:32" x14ac:dyDescent="0.2">
      <c r="AF48685" s="12"/>
    </row>
    <row r="48686" spans="32:32" x14ac:dyDescent="0.2">
      <c r="AF48686" s="12"/>
    </row>
    <row r="48687" spans="32:32" x14ac:dyDescent="0.2">
      <c r="AF48687" s="12"/>
    </row>
    <row r="48688" spans="32:32" x14ac:dyDescent="0.2">
      <c r="AF48688" s="12"/>
    </row>
    <row r="48689" spans="32:32" x14ac:dyDescent="0.2">
      <c r="AF48689" s="12"/>
    </row>
    <row r="48690" spans="32:32" x14ac:dyDescent="0.2">
      <c r="AF48690" s="12"/>
    </row>
    <row r="48691" spans="32:32" x14ac:dyDescent="0.2">
      <c r="AF48691" s="12"/>
    </row>
    <row r="48692" spans="32:32" x14ac:dyDescent="0.2">
      <c r="AF48692" s="12"/>
    </row>
    <row r="48693" spans="32:32" x14ac:dyDescent="0.2">
      <c r="AF48693" s="12"/>
    </row>
    <row r="48694" spans="32:32" x14ac:dyDescent="0.2">
      <c r="AF48694" s="12"/>
    </row>
    <row r="48695" spans="32:32" x14ac:dyDescent="0.2">
      <c r="AF48695" s="12"/>
    </row>
    <row r="48696" spans="32:32" x14ac:dyDescent="0.2">
      <c r="AF48696" s="12"/>
    </row>
    <row r="48697" spans="32:32" x14ac:dyDescent="0.2">
      <c r="AF48697" s="12"/>
    </row>
    <row r="48698" spans="32:32" x14ac:dyDescent="0.2">
      <c r="AF48698" s="12"/>
    </row>
    <row r="48699" spans="32:32" x14ac:dyDescent="0.2">
      <c r="AF48699" s="12"/>
    </row>
    <row r="48700" spans="32:32" x14ac:dyDescent="0.2">
      <c r="AF48700" s="12"/>
    </row>
    <row r="48701" spans="32:32" x14ac:dyDescent="0.2">
      <c r="AF48701" s="12"/>
    </row>
    <row r="48702" spans="32:32" x14ac:dyDescent="0.2">
      <c r="AF48702" s="12"/>
    </row>
    <row r="48703" spans="32:32" x14ac:dyDescent="0.2">
      <c r="AF48703" s="12"/>
    </row>
    <row r="48704" spans="32:32" x14ac:dyDescent="0.2">
      <c r="AF48704" s="12"/>
    </row>
    <row r="48705" spans="32:32" x14ac:dyDescent="0.2">
      <c r="AF48705" s="12"/>
    </row>
    <row r="48706" spans="32:32" x14ac:dyDescent="0.2">
      <c r="AF48706" s="12"/>
    </row>
    <row r="48707" spans="32:32" x14ac:dyDescent="0.2">
      <c r="AF48707" s="12"/>
    </row>
    <row r="48708" spans="32:32" x14ac:dyDescent="0.2">
      <c r="AF48708" s="12"/>
    </row>
    <row r="48709" spans="32:32" x14ac:dyDescent="0.2">
      <c r="AF48709" s="12"/>
    </row>
    <row r="48710" spans="32:32" x14ac:dyDescent="0.2">
      <c r="AF48710" s="12"/>
    </row>
    <row r="48711" spans="32:32" x14ac:dyDescent="0.2">
      <c r="AF48711" s="12"/>
    </row>
    <row r="48712" spans="32:32" x14ac:dyDescent="0.2">
      <c r="AF48712" s="12"/>
    </row>
    <row r="48713" spans="32:32" x14ac:dyDescent="0.2">
      <c r="AF48713" s="12"/>
    </row>
    <row r="48714" spans="32:32" x14ac:dyDescent="0.2">
      <c r="AF48714" s="12"/>
    </row>
    <row r="48715" spans="32:32" x14ac:dyDescent="0.2">
      <c r="AF48715" s="12"/>
    </row>
    <row r="48716" spans="32:32" x14ac:dyDescent="0.2">
      <c r="AF48716" s="12"/>
    </row>
    <row r="48717" spans="32:32" x14ac:dyDescent="0.2">
      <c r="AF48717" s="12"/>
    </row>
    <row r="48718" spans="32:32" x14ac:dyDescent="0.2">
      <c r="AF48718" s="12"/>
    </row>
    <row r="48719" spans="32:32" x14ac:dyDescent="0.2">
      <c r="AF48719" s="12"/>
    </row>
    <row r="48720" spans="32:32" x14ac:dyDescent="0.2">
      <c r="AF48720" s="12"/>
    </row>
    <row r="48721" spans="32:32" x14ac:dyDescent="0.2">
      <c r="AF48721" s="12"/>
    </row>
    <row r="48722" spans="32:32" x14ac:dyDescent="0.2">
      <c r="AF48722" s="12"/>
    </row>
    <row r="48723" spans="32:32" x14ac:dyDescent="0.2">
      <c r="AF48723" s="12"/>
    </row>
    <row r="48724" spans="32:32" x14ac:dyDescent="0.2">
      <c r="AF48724" s="12"/>
    </row>
    <row r="48725" spans="32:32" x14ac:dyDescent="0.2">
      <c r="AF48725" s="12"/>
    </row>
    <row r="48726" spans="32:32" x14ac:dyDescent="0.2">
      <c r="AF48726" s="12"/>
    </row>
    <row r="48727" spans="32:32" x14ac:dyDescent="0.2">
      <c r="AF48727" s="12"/>
    </row>
    <row r="48728" spans="32:32" x14ac:dyDescent="0.2">
      <c r="AF48728" s="12"/>
    </row>
    <row r="48729" spans="32:32" x14ac:dyDescent="0.2">
      <c r="AF48729" s="12"/>
    </row>
    <row r="48730" spans="32:32" x14ac:dyDescent="0.2">
      <c r="AF48730" s="12"/>
    </row>
    <row r="48731" spans="32:32" x14ac:dyDescent="0.2">
      <c r="AF48731" s="12"/>
    </row>
    <row r="48732" spans="32:32" x14ac:dyDescent="0.2">
      <c r="AF48732" s="12"/>
    </row>
    <row r="48733" spans="32:32" x14ac:dyDescent="0.2">
      <c r="AF48733" s="12"/>
    </row>
    <row r="48734" spans="32:32" x14ac:dyDescent="0.2">
      <c r="AF48734" s="12"/>
    </row>
    <row r="48735" spans="32:32" x14ac:dyDescent="0.2">
      <c r="AF48735" s="12"/>
    </row>
    <row r="48736" spans="32:32" x14ac:dyDescent="0.2">
      <c r="AF48736" s="12"/>
    </row>
    <row r="48737" spans="32:32" x14ac:dyDescent="0.2">
      <c r="AF48737" s="12"/>
    </row>
    <row r="48738" spans="32:32" x14ac:dyDescent="0.2">
      <c r="AF48738" s="12"/>
    </row>
    <row r="48739" spans="32:32" x14ac:dyDescent="0.2">
      <c r="AF48739" s="12"/>
    </row>
    <row r="48740" spans="32:32" x14ac:dyDescent="0.2">
      <c r="AF48740" s="12"/>
    </row>
    <row r="48741" spans="32:32" x14ac:dyDescent="0.2">
      <c r="AF48741" s="12"/>
    </row>
    <row r="48742" spans="32:32" x14ac:dyDescent="0.2">
      <c r="AF48742" s="12"/>
    </row>
    <row r="48743" spans="32:32" x14ac:dyDescent="0.2">
      <c r="AF48743" s="12"/>
    </row>
    <row r="48744" spans="32:32" x14ac:dyDescent="0.2">
      <c r="AF48744" s="12"/>
    </row>
    <row r="48745" spans="32:32" x14ac:dyDescent="0.2">
      <c r="AF48745" s="12"/>
    </row>
    <row r="48746" spans="32:32" x14ac:dyDescent="0.2">
      <c r="AF48746" s="12"/>
    </row>
    <row r="48747" spans="32:32" x14ac:dyDescent="0.2">
      <c r="AF48747" s="12"/>
    </row>
    <row r="48748" spans="32:32" x14ac:dyDescent="0.2">
      <c r="AF48748" s="12"/>
    </row>
    <row r="48749" spans="32:32" x14ac:dyDescent="0.2">
      <c r="AF48749" s="12"/>
    </row>
    <row r="48750" spans="32:32" x14ac:dyDescent="0.2">
      <c r="AF48750" s="12"/>
    </row>
    <row r="48751" spans="32:32" x14ac:dyDescent="0.2">
      <c r="AF48751" s="12"/>
    </row>
    <row r="48752" spans="32:32" x14ac:dyDescent="0.2">
      <c r="AF48752" s="12"/>
    </row>
    <row r="48753" spans="32:32" x14ac:dyDescent="0.2">
      <c r="AF48753" s="12"/>
    </row>
    <row r="48754" spans="32:32" x14ac:dyDescent="0.2">
      <c r="AF48754" s="12"/>
    </row>
    <row r="48755" spans="32:32" x14ac:dyDescent="0.2">
      <c r="AF48755" s="12"/>
    </row>
    <row r="48756" spans="32:32" x14ac:dyDescent="0.2">
      <c r="AF48756" s="12"/>
    </row>
    <row r="48757" spans="32:32" x14ac:dyDescent="0.2">
      <c r="AF48757" s="12"/>
    </row>
    <row r="48758" spans="32:32" x14ac:dyDescent="0.2">
      <c r="AF48758" s="12"/>
    </row>
    <row r="48759" spans="32:32" x14ac:dyDescent="0.2">
      <c r="AF48759" s="12"/>
    </row>
    <row r="48760" spans="32:32" x14ac:dyDescent="0.2">
      <c r="AF48760" s="12"/>
    </row>
    <row r="48761" spans="32:32" x14ac:dyDescent="0.2">
      <c r="AF48761" s="12"/>
    </row>
    <row r="48762" spans="32:32" x14ac:dyDescent="0.2">
      <c r="AF48762" s="12"/>
    </row>
    <row r="48763" spans="32:32" x14ac:dyDescent="0.2">
      <c r="AF48763" s="12"/>
    </row>
    <row r="48764" spans="32:32" x14ac:dyDescent="0.2">
      <c r="AF48764" s="12"/>
    </row>
    <row r="48765" spans="32:32" x14ac:dyDescent="0.2">
      <c r="AF48765" s="12"/>
    </row>
    <row r="48766" spans="32:32" x14ac:dyDescent="0.2">
      <c r="AF48766" s="12"/>
    </row>
    <row r="48767" spans="32:32" x14ac:dyDescent="0.2">
      <c r="AF48767" s="12"/>
    </row>
    <row r="48768" spans="32:32" x14ac:dyDescent="0.2">
      <c r="AF48768" s="12"/>
    </row>
    <row r="48769" spans="32:32" x14ac:dyDescent="0.2">
      <c r="AF48769" s="12"/>
    </row>
    <row r="48770" spans="32:32" x14ac:dyDescent="0.2">
      <c r="AF48770" s="12"/>
    </row>
    <row r="48771" spans="32:32" x14ac:dyDescent="0.2">
      <c r="AF48771" s="12"/>
    </row>
    <row r="48772" spans="32:32" x14ac:dyDescent="0.2">
      <c r="AF48772" s="12"/>
    </row>
    <row r="48773" spans="32:32" x14ac:dyDescent="0.2">
      <c r="AF48773" s="12"/>
    </row>
    <row r="48774" spans="32:32" x14ac:dyDescent="0.2">
      <c r="AF48774" s="12"/>
    </row>
    <row r="48775" spans="32:32" x14ac:dyDescent="0.2">
      <c r="AF48775" s="12"/>
    </row>
    <row r="48776" spans="32:32" x14ac:dyDescent="0.2">
      <c r="AF48776" s="12"/>
    </row>
    <row r="48777" spans="32:32" x14ac:dyDescent="0.2">
      <c r="AF48777" s="12"/>
    </row>
    <row r="48778" spans="32:32" x14ac:dyDescent="0.2">
      <c r="AF48778" s="12"/>
    </row>
    <row r="48779" spans="32:32" x14ac:dyDescent="0.2">
      <c r="AF48779" s="12"/>
    </row>
    <row r="48780" spans="32:32" x14ac:dyDescent="0.2">
      <c r="AF48780" s="12"/>
    </row>
    <row r="48781" spans="32:32" x14ac:dyDescent="0.2">
      <c r="AF48781" s="12"/>
    </row>
    <row r="48782" spans="32:32" x14ac:dyDescent="0.2">
      <c r="AF48782" s="12"/>
    </row>
    <row r="48783" spans="32:32" x14ac:dyDescent="0.2">
      <c r="AF48783" s="12"/>
    </row>
    <row r="48784" spans="32:32" x14ac:dyDescent="0.2">
      <c r="AF48784" s="12"/>
    </row>
    <row r="48785" spans="32:32" x14ac:dyDescent="0.2">
      <c r="AF48785" s="12"/>
    </row>
    <row r="48786" spans="32:32" x14ac:dyDescent="0.2">
      <c r="AF48786" s="12"/>
    </row>
    <row r="48787" spans="32:32" x14ac:dyDescent="0.2">
      <c r="AF48787" s="12"/>
    </row>
    <row r="48788" spans="32:32" x14ac:dyDescent="0.2">
      <c r="AF48788" s="12"/>
    </row>
    <row r="48789" spans="32:32" x14ac:dyDescent="0.2">
      <c r="AF48789" s="12"/>
    </row>
    <row r="48790" spans="32:32" x14ac:dyDescent="0.2">
      <c r="AF48790" s="12"/>
    </row>
    <row r="48791" spans="32:32" x14ac:dyDescent="0.2">
      <c r="AF48791" s="12"/>
    </row>
    <row r="48792" spans="32:32" x14ac:dyDescent="0.2">
      <c r="AF48792" s="12"/>
    </row>
    <row r="48793" spans="32:32" x14ac:dyDescent="0.2">
      <c r="AF48793" s="12"/>
    </row>
    <row r="48794" spans="32:32" x14ac:dyDescent="0.2">
      <c r="AF48794" s="12"/>
    </row>
    <row r="48795" spans="32:32" x14ac:dyDescent="0.2">
      <c r="AF48795" s="12"/>
    </row>
    <row r="48796" spans="32:32" x14ac:dyDescent="0.2">
      <c r="AF48796" s="12"/>
    </row>
    <row r="48797" spans="32:32" x14ac:dyDescent="0.2">
      <c r="AF48797" s="12"/>
    </row>
    <row r="48798" spans="32:32" x14ac:dyDescent="0.2">
      <c r="AF48798" s="12"/>
    </row>
    <row r="48799" spans="32:32" x14ac:dyDescent="0.2">
      <c r="AF48799" s="12"/>
    </row>
    <row r="48800" spans="32:32" x14ac:dyDescent="0.2">
      <c r="AF48800" s="12"/>
    </row>
    <row r="48801" spans="32:32" x14ac:dyDescent="0.2">
      <c r="AF48801" s="12"/>
    </row>
    <row r="48802" spans="32:32" x14ac:dyDescent="0.2">
      <c r="AF48802" s="12"/>
    </row>
    <row r="48803" spans="32:32" x14ac:dyDescent="0.2">
      <c r="AF48803" s="12"/>
    </row>
    <row r="48804" spans="32:32" x14ac:dyDescent="0.2">
      <c r="AF48804" s="12"/>
    </row>
    <row r="48805" spans="32:32" x14ac:dyDescent="0.2">
      <c r="AF48805" s="12"/>
    </row>
    <row r="48806" spans="32:32" x14ac:dyDescent="0.2">
      <c r="AF48806" s="12"/>
    </row>
    <row r="48807" spans="32:32" x14ac:dyDescent="0.2">
      <c r="AF48807" s="12"/>
    </row>
    <row r="48808" spans="32:32" x14ac:dyDescent="0.2">
      <c r="AF48808" s="12"/>
    </row>
    <row r="48809" spans="32:32" x14ac:dyDescent="0.2">
      <c r="AF48809" s="12"/>
    </row>
    <row r="48810" spans="32:32" x14ac:dyDescent="0.2">
      <c r="AF48810" s="12"/>
    </row>
    <row r="48811" spans="32:32" x14ac:dyDescent="0.2">
      <c r="AF48811" s="12"/>
    </row>
    <row r="48812" spans="32:32" x14ac:dyDescent="0.2">
      <c r="AF48812" s="12"/>
    </row>
    <row r="48813" spans="32:32" x14ac:dyDescent="0.2">
      <c r="AF48813" s="12"/>
    </row>
    <row r="48814" spans="32:32" x14ac:dyDescent="0.2">
      <c r="AF48814" s="12"/>
    </row>
    <row r="48815" spans="32:32" x14ac:dyDescent="0.2">
      <c r="AF48815" s="12"/>
    </row>
    <row r="48816" spans="32:32" x14ac:dyDescent="0.2">
      <c r="AF48816" s="12"/>
    </row>
    <row r="48817" spans="32:32" x14ac:dyDescent="0.2">
      <c r="AF48817" s="12"/>
    </row>
    <row r="48818" spans="32:32" x14ac:dyDescent="0.2">
      <c r="AF48818" s="12"/>
    </row>
    <row r="48819" spans="32:32" x14ac:dyDescent="0.2">
      <c r="AF48819" s="12"/>
    </row>
    <row r="48820" spans="32:32" x14ac:dyDescent="0.2">
      <c r="AF48820" s="12"/>
    </row>
    <row r="48821" spans="32:32" x14ac:dyDescent="0.2">
      <c r="AF48821" s="12"/>
    </row>
    <row r="48822" spans="32:32" x14ac:dyDescent="0.2">
      <c r="AF48822" s="12"/>
    </row>
    <row r="48823" spans="32:32" x14ac:dyDescent="0.2">
      <c r="AF48823" s="12"/>
    </row>
    <row r="48824" spans="32:32" x14ac:dyDescent="0.2">
      <c r="AF48824" s="12"/>
    </row>
    <row r="48825" spans="32:32" x14ac:dyDescent="0.2">
      <c r="AF48825" s="12"/>
    </row>
    <row r="48826" spans="32:32" x14ac:dyDescent="0.2">
      <c r="AF48826" s="12"/>
    </row>
    <row r="48827" spans="32:32" x14ac:dyDescent="0.2">
      <c r="AF48827" s="12"/>
    </row>
    <row r="48828" spans="32:32" x14ac:dyDescent="0.2">
      <c r="AF48828" s="12"/>
    </row>
    <row r="48829" spans="32:32" x14ac:dyDescent="0.2">
      <c r="AF48829" s="12"/>
    </row>
    <row r="48830" spans="32:32" x14ac:dyDescent="0.2">
      <c r="AF48830" s="12"/>
    </row>
    <row r="48831" spans="32:32" x14ac:dyDescent="0.2">
      <c r="AF48831" s="12"/>
    </row>
    <row r="48832" spans="32:32" x14ac:dyDescent="0.2">
      <c r="AF48832" s="12"/>
    </row>
    <row r="48833" spans="32:32" x14ac:dyDescent="0.2">
      <c r="AF48833" s="12"/>
    </row>
    <row r="48834" spans="32:32" x14ac:dyDescent="0.2">
      <c r="AF48834" s="12"/>
    </row>
    <row r="48835" spans="32:32" x14ac:dyDescent="0.2">
      <c r="AF48835" s="12"/>
    </row>
    <row r="48836" spans="32:32" x14ac:dyDescent="0.2">
      <c r="AF48836" s="12"/>
    </row>
    <row r="48837" spans="32:32" x14ac:dyDescent="0.2">
      <c r="AF48837" s="12"/>
    </row>
    <row r="48838" spans="32:32" x14ac:dyDescent="0.2">
      <c r="AF48838" s="12"/>
    </row>
    <row r="48839" spans="32:32" x14ac:dyDescent="0.2">
      <c r="AF48839" s="12"/>
    </row>
    <row r="48840" spans="32:32" x14ac:dyDescent="0.2">
      <c r="AF48840" s="12"/>
    </row>
    <row r="48841" spans="32:32" x14ac:dyDescent="0.2">
      <c r="AF48841" s="12"/>
    </row>
    <row r="48842" spans="32:32" x14ac:dyDescent="0.2">
      <c r="AF48842" s="12"/>
    </row>
    <row r="48843" spans="32:32" x14ac:dyDescent="0.2">
      <c r="AF48843" s="12"/>
    </row>
    <row r="48844" spans="32:32" x14ac:dyDescent="0.2">
      <c r="AF48844" s="12"/>
    </row>
    <row r="48845" spans="32:32" x14ac:dyDescent="0.2">
      <c r="AF48845" s="12"/>
    </row>
    <row r="48846" spans="32:32" x14ac:dyDescent="0.2">
      <c r="AF48846" s="12"/>
    </row>
    <row r="48847" spans="32:32" x14ac:dyDescent="0.2">
      <c r="AF48847" s="12"/>
    </row>
    <row r="48848" spans="32:32" x14ac:dyDescent="0.2">
      <c r="AF48848" s="12"/>
    </row>
    <row r="48849" spans="32:32" x14ac:dyDescent="0.2">
      <c r="AF48849" s="12"/>
    </row>
    <row r="48850" spans="32:32" x14ac:dyDescent="0.2">
      <c r="AF48850" s="12"/>
    </row>
    <row r="48851" spans="32:32" x14ac:dyDescent="0.2">
      <c r="AF48851" s="12"/>
    </row>
    <row r="48852" spans="32:32" x14ac:dyDescent="0.2">
      <c r="AF48852" s="12"/>
    </row>
    <row r="48853" spans="32:32" x14ac:dyDescent="0.2">
      <c r="AF48853" s="12"/>
    </row>
    <row r="48854" spans="32:32" x14ac:dyDescent="0.2">
      <c r="AF48854" s="12"/>
    </row>
    <row r="48855" spans="32:32" x14ac:dyDescent="0.2">
      <c r="AF48855" s="12"/>
    </row>
    <row r="48856" spans="32:32" x14ac:dyDescent="0.2">
      <c r="AF48856" s="12"/>
    </row>
    <row r="48857" spans="32:32" x14ac:dyDescent="0.2">
      <c r="AF48857" s="12"/>
    </row>
    <row r="48858" spans="32:32" x14ac:dyDescent="0.2">
      <c r="AF48858" s="12"/>
    </row>
    <row r="48859" spans="32:32" x14ac:dyDescent="0.2">
      <c r="AF48859" s="12"/>
    </row>
    <row r="48860" spans="32:32" x14ac:dyDescent="0.2">
      <c r="AF48860" s="12"/>
    </row>
    <row r="48861" spans="32:32" x14ac:dyDescent="0.2">
      <c r="AF48861" s="12"/>
    </row>
    <row r="48862" spans="32:32" x14ac:dyDescent="0.2">
      <c r="AF48862" s="12"/>
    </row>
    <row r="48863" spans="32:32" x14ac:dyDescent="0.2">
      <c r="AF48863" s="12"/>
    </row>
    <row r="48864" spans="32:32" x14ac:dyDescent="0.2">
      <c r="AF48864" s="12"/>
    </row>
    <row r="48865" spans="32:32" x14ac:dyDescent="0.2">
      <c r="AF48865" s="12"/>
    </row>
    <row r="48866" spans="32:32" x14ac:dyDescent="0.2">
      <c r="AF48866" s="12"/>
    </row>
    <row r="48867" spans="32:32" x14ac:dyDescent="0.2">
      <c r="AF48867" s="12"/>
    </row>
    <row r="48868" spans="32:32" x14ac:dyDescent="0.2">
      <c r="AF48868" s="12"/>
    </row>
    <row r="48869" spans="32:32" x14ac:dyDescent="0.2">
      <c r="AF48869" s="12"/>
    </row>
    <row r="48870" spans="32:32" x14ac:dyDescent="0.2">
      <c r="AF48870" s="12"/>
    </row>
    <row r="48871" spans="32:32" x14ac:dyDescent="0.2">
      <c r="AF48871" s="12"/>
    </row>
    <row r="48872" spans="32:32" x14ac:dyDescent="0.2">
      <c r="AF48872" s="12"/>
    </row>
    <row r="48873" spans="32:32" x14ac:dyDescent="0.2">
      <c r="AF48873" s="12"/>
    </row>
    <row r="48874" spans="32:32" x14ac:dyDescent="0.2">
      <c r="AF48874" s="12"/>
    </row>
    <row r="48875" spans="32:32" x14ac:dyDescent="0.2">
      <c r="AF48875" s="12"/>
    </row>
    <row r="48876" spans="32:32" x14ac:dyDescent="0.2">
      <c r="AF48876" s="12"/>
    </row>
    <row r="48877" spans="32:32" x14ac:dyDescent="0.2">
      <c r="AF48877" s="12"/>
    </row>
    <row r="48878" spans="32:32" x14ac:dyDescent="0.2">
      <c r="AF48878" s="12"/>
    </row>
    <row r="48879" spans="32:32" x14ac:dyDescent="0.2">
      <c r="AF48879" s="12"/>
    </row>
    <row r="48880" spans="32:32" x14ac:dyDescent="0.2">
      <c r="AF48880" s="12"/>
    </row>
    <row r="48881" spans="32:32" x14ac:dyDescent="0.2">
      <c r="AF48881" s="12"/>
    </row>
    <row r="48882" spans="32:32" x14ac:dyDescent="0.2">
      <c r="AF48882" s="12"/>
    </row>
    <row r="48883" spans="32:32" x14ac:dyDescent="0.2">
      <c r="AF48883" s="12"/>
    </row>
    <row r="48884" spans="32:32" x14ac:dyDescent="0.2">
      <c r="AF48884" s="12"/>
    </row>
    <row r="48885" spans="32:32" x14ac:dyDescent="0.2">
      <c r="AF48885" s="12"/>
    </row>
    <row r="48886" spans="32:32" x14ac:dyDescent="0.2">
      <c r="AF48886" s="12"/>
    </row>
    <row r="48887" spans="32:32" x14ac:dyDescent="0.2">
      <c r="AF48887" s="12"/>
    </row>
    <row r="48888" spans="32:32" x14ac:dyDescent="0.2">
      <c r="AF48888" s="12"/>
    </row>
    <row r="48889" spans="32:32" x14ac:dyDescent="0.2">
      <c r="AF48889" s="12"/>
    </row>
    <row r="48890" spans="32:32" x14ac:dyDescent="0.2">
      <c r="AF48890" s="12"/>
    </row>
    <row r="48891" spans="32:32" x14ac:dyDescent="0.2">
      <c r="AF48891" s="12"/>
    </row>
    <row r="48892" spans="32:32" x14ac:dyDescent="0.2">
      <c r="AF48892" s="12"/>
    </row>
    <row r="48893" spans="32:32" x14ac:dyDescent="0.2">
      <c r="AF48893" s="12"/>
    </row>
    <row r="48894" spans="32:32" x14ac:dyDescent="0.2">
      <c r="AF48894" s="12"/>
    </row>
    <row r="48895" spans="32:32" x14ac:dyDescent="0.2">
      <c r="AF48895" s="12"/>
    </row>
    <row r="48896" spans="32:32" x14ac:dyDescent="0.2">
      <c r="AF48896" s="12"/>
    </row>
    <row r="48897" spans="32:32" x14ac:dyDescent="0.2">
      <c r="AF48897" s="12"/>
    </row>
    <row r="48898" spans="32:32" x14ac:dyDescent="0.2">
      <c r="AF48898" s="12"/>
    </row>
    <row r="48899" spans="32:32" x14ac:dyDescent="0.2">
      <c r="AF48899" s="12"/>
    </row>
    <row r="48900" spans="32:32" x14ac:dyDescent="0.2">
      <c r="AF48900" s="12"/>
    </row>
    <row r="48901" spans="32:32" x14ac:dyDescent="0.2">
      <c r="AF48901" s="12"/>
    </row>
    <row r="48902" spans="32:32" x14ac:dyDescent="0.2">
      <c r="AF48902" s="12"/>
    </row>
    <row r="48903" spans="32:32" x14ac:dyDescent="0.2">
      <c r="AF48903" s="12"/>
    </row>
    <row r="48904" spans="32:32" x14ac:dyDescent="0.2">
      <c r="AF48904" s="12"/>
    </row>
    <row r="48905" spans="32:32" x14ac:dyDescent="0.2">
      <c r="AF48905" s="12"/>
    </row>
    <row r="48906" spans="32:32" x14ac:dyDescent="0.2">
      <c r="AF48906" s="12"/>
    </row>
    <row r="48907" spans="32:32" x14ac:dyDescent="0.2">
      <c r="AF48907" s="12"/>
    </row>
    <row r="48908" spans="32:32" x14ac:dyDescent="0.2">
      <c r="AF48908" s="12"/>
    </row>
    <row r="48909" spans="32:32" x14ac:dyDescent="0.2">
      <c r="AF48909" s="12"/>
    </row>
    <row r="48910" spans="32:32" x14ac:dyDescent="0.2">
      <c r="AF48910" s="12"/>
    </row>
    <row r="48911" spans="32:32" x14ac:dyDescent="0.2">
      <c r="AF48911" s="12"/>
    </row>
    <row r="48912" spans="32:32" x14ac:dyDescent="0.2">
      <c r="AF48912" s="12"/>
    </row>
    <row r="48913" spans="32:32" x14ac:dyDescent="0.2">
      <c r="AF48913" s="12"/>
    </row>
    <row r="48914" spans="32:32" x14ac:dyDescent="0.2">
      <c r="AF48914" s="12"/>
    </row>
    <row r="48915" spans="32:32" x14ac:dyDescent="0.2">
      <c r="AF48915" s="12"/>
    </row>
    <row r="48916" spans="32:32" x14ac:dyDescent="0.2">
      <c r="AF48916" s="12"/>
    </row>
    <row r="48917" spans="32:32" x14ac:dyDescent="0.2">
      <c r="AF48917" s="12"/>
    </row>
    <row r="48918" spans="32:32" x14ac:dyDescent="0.2">
      <c r="AF48918" s="12"/>
    </row>
    <row r="48919" spans="32:32" x14ac:dyDescent="0.2">
      <c r="AF48919" s="12"/>
    </row>
    <row r="48920" spans="32:32" x14ac:dyDescent="0.2">
      <c r="AF48920" s="12"/>
    </row>
    <row r="48921" spans="32:32" x14ac:dyDescent="0.2">
      <c r="AF48921" s="12"/>
    </row>
    <row r="48922" spans="32:32" x14ac:dyDescent="0.2">
      <c r="AF48922" s="12"/>
    </row>
    <row r="48923" spans="32:32" x14ac:dyDescent="0.2">
      <c r="AF48923" s="12"/>
    </row>
    <row r="48924" spans="32:32" x14ac:dyDescent="0.2">
      <c r="AF48924" s="12"/>
    </row>
    <row r="48925" spans="32:32" x14ac:dyDescent="0.2">
      <c r="AF48925" s="12"/>
    </row>
    <row r="48926" spans="32:32" x14ac:dyDescent="0.2">
      <c r="AF48926" s="12"/>
    </row>
    <row r="48927" spans="32:32" x14ac:dyDescent="0.2">
      <c r="AF48927" s="12"/>
    </row>
    <row r="48928" spans="32:32" x14ac:dyDescent="0.2">
      <c r="AF48928" s="12"/>
    </row>
    <row r="48929" spans="32:32" x14ac:dyDescent="0.2">
      <c r="AF48929" s="12"/>
    </row>
    <row r="48930" spans="32:32" x14ac:dyDescent="0.2">
      <c r="AF48930" s="12"/>
    </row>
    <row r="48931" spans="32:32" x14ac:dyDescent="0.2">
      <c r="AF48931" s="12"/>
    </row>
    <row r="48932" spans="32:32" x14ac:dyDescent="0.2">
      <c r="AF48932" s="12"/>
    </row>
    <row r="48933" spans="32:32" x14ac:dyDescent="0.2">
      <c r="AF48933" s="12"/>
    </row>
    <row r="48934" spans="32:32" x14ac:dyDescent="0.2">
      <c r="AF48934" s="12"/>
    </row>
    <row r="48935" spans="32:32" x14ac:dyDescent="0.2">
      <c r="AF48935" s="12"/>
    </row>
    <row r="48936" spans="32:32" x14ac:dyDescent="0.2">
      <c r="AF48936" s="12"/>
    </row>
    <row r="48937" spans="32:32" x14ac:dyDescent="0.2">
      <c r="AF48937" s="12"/>
    </row>
    <row r="48938" spans="32:32" x14ac:dyDescent="0.2">
      <c r="AF48938" s="12"/>
    </row>
    <row r="48939" spans="32:32" x14ac:dyDescent="0.2">
      <c r="AF48939" s="12"/>
    </row>
    <row r="48940" spans="32:32" x14ac:dyDescent="0.2">
      <c r="AF48940" s="12"/>
    </row>
    <row r="48941" spans="32:32" x14ac:dyDescent="0.2">
      <c r="AF48941" s="12"/>
    </row>
    <row r="48942" spans="32:32" x14ac:dyDescent="0.2">
      <c r="AF48942" s="12"/>
    </row>
    <row r="48943" spans="32:32" x14ac:dyDescent="0.2">
      <c r="AF48943" s="12"/>
    </row>
    <row r="48944" spans="32:32" x14ac:dyDescent="0.2">
      <c r="AF48944" s="12"/>
    </row>
    <row r="48945" spans="32:32" x14ac:dyDescent="0.2">
      <c r="AF48945" s="12"/>
    </row>
    <row r="48946" spans="32:32" x14ac:dyDescent="0.2">
      <c r="AF48946" s="12"/>
    </row>
    <row r="48947" spans="32:32" x14ac:dyDescent="0.2">
      <c r="AF48947" s="12"/>
    </row>
    <row r="48948" spans="32:32" x14ac:dyDescent="0.2">
      <c r="AF48948" s="12"/>
    </row>
    <row r="48949" spans="32:32" x14ac:dyDescent="0.2">
      <c r="AF48949" s="12"/>
    </row>
    <row r="48950" spans="32:32" x14ac:dyDescent="0.2">
      <c r="AF48950" s="12"/>
    </row>
    <row r="48951" spans="32:32" x14ac:dyDescent="0.2">
      <c r="AF48951" s="12"/>
    </row>
    <row r="48952" spans="32:32" x14ac:dyDescent="0.2">
      <c r="AF48952" s="12"/>
    </row>
    <row r="48953" spans="32:32" x14ac:dyDescent="0.2">
      <c r="AF48953" s="12"/>
    </row>
    <row r="48954" spans="32:32" x14ac:dyDescent="0.2">
      <c r="AF48954" s="12"/>
    </row>
    <row r="48955" spans="32:32" x14ac:dyDescent="0.2">
      <c r="AF48955" s="12"/>
    </row>
    <row r="48956" spans="32:32" x14ac:dyDescent="0.2">
      <c r="AF48956" s="12"/>
    </row>
    <row r="48957" spans="32:32" x14ac:dyDescent="0.2">
      <c r="AF48957" s="12"/>
    </row>
    <row r="48958" spans="32:32" x14ac:dyDescent="0.2">
      <c r="AF48958" s="12"/>
    </row>
    <row r="48959" spans="32:32" x14ac:dyDescent="0.2">
      <c r="AF48959" s="12"/>
    </row>
    <row r="48960" spans="32:32" x14ac:dyDescent="0.2">
      <c r="AF48960" s="12"/>
    </row>
    <row r="48961" spans="32:32" x14ac:dyDescent="0.2">
      <c r="AF48961" s="12"/>
    </row>
    <row r="48962" spans="32:32" x14ac:dyDescent="0.2">
      <c r="AF48962" s="12"/>
    </row>
    <row r="48963" spans="32:32" x14ac:dyDescent="0.2">
      <c r="AF48963" s="12"/>
    </row>
    <row r="48964" spans="32:32" x14ac:dyDescent="0.2">
      <c r="AF48964" s="12"/>
    </row>
    <row r="48965" spans="32:32" x14ac:dyDescent="0.2">
      <c r="AF48965" s="12"/>
    </row>
    <row r="48966" spans="32:32" x14ac:dyDescent="0.2">
      <c r="AF48966" s="12"/>
    </row>
    <row r="48967" spans="32:32" x14ac:dyDescent="0.2">
      <c r="AF48967" s="12"/>
    </row>
    <row r="48968" spans="32:32" x14ac:dyDescent="0.2">
      <c r="AF48968" s="12"/>
    </row>
    <row r="48969" spans="32:32" x14ac:dyDescent="0.2">
      <c r="AF48969" s="12"/>
    </row>
    <row r="48970" spans="32:32" x14ac:dyDescent="0.2">
      <c r="AF48970" s="12"/>
    </row>
    <row r="48971" spans="32:32" x14ac:dyDescent="0.2">
      <c r="AF48971" s="12"/>
    </row>
    <row r="48972" spans="32:32" x14ac:dyDescent="0.2">
      <c r="AF48972" s="12"/>
    </row>
    <row r="48973" spans="32:32" x14ac:dyDescent="0.2">
      <c r="AF48973" s="12"/>
    </row>
    <row r="48974" spans="32:32" x14ac:dyDescent="0.2">
      <c r="AF48974" s="12"/>
    </row>
    <row r="48975" spans="32:32" x14ac:dyDescent="0.2">
      <c r="AF48975" s="12"/>
    </row>
    <row r="48976" spans="32:32" x14ac:dyDescent="0.2">
      <c r="AF48976" s="12"/>
    </row>
    <row r="48977" spans="32:32" x14ac:dyDescent="0.2">
      <c r="AF48977" s="12"/>
    </row>
    <row r="48978" spans="32:32" x14ac:dyDescent="0.2">
      <c r="AF48978" s="12"/>
    </row>
    <row r="48979" spans="32:32" x14ac:dyDescent="0.2">
      <c r="AF48979" s="12"/>
    </row>
    <row r="48980" spans="32:32" x14ac:dyDescent="0.2">
      <c r="AF48980" s="12"/>
    </row>
    <row r="48981" spans="32:32" x14ac:dyDescent="0.2">
      <c r="AF48981" s="12"/>
    </row>
    <row r="48982" spans="32:32" x14ac:dyDescent="0.2">
      <c r="AF48982" s="12"/>
    </row>
    <row r="48983" spans="32:32" x14ac:dyDescent="0.2">
      <c r="AF48983" s="12"/>
    </row>
    <row r="48984" spans="32:32" x14ac:dyDescent="0.2">
      <c r="AF48984" s="12"/>
    </row>
    <row r="48985" spans="32:32" x14ac:dyDescent="0.2">
      <c r="AF48985" s="12"/>
    </row>
    <row r="48986" spans="32:32" x14ac:dyDescent="0.2">
      <c r="AF48986" s="12"/>
    </row>
    <row r="48987" spans="32:32" x14ac:dyDescent="0.2">
      <c r="AF48987" s="12"/>
    </row>
    <row r="48988" spans="32:32" x14ac:dyDescent="0.2">
      <c r="AF48988" s="12"/>
    </row>
    <row r="48989" spans="32:32" x14ac:dyDescent="0.2">
      <c r="AF48989" s="12"/>
    </row>
    <row r="48990" spans="32:32" x14ac:dyDescent="0.2">
      <c r="AF48990" s="12"/>
    </row>
    <row r="48991" spans="32:32" x14ac:dyDescent="0.2">
      <c r="AF48991" s="12"/>
    </row>
    <row r="48992" spans="32:32" x14ac:dyDescent="0.2">
      <c r="AF48992" s="12"/>
    </row>
    <row r="48993" spans="32:32" x14ac:dyDescent="0.2">
      <c r="AF48993" s="12"/>
    </row>
    <row r="48994" spans="32:32" x14ac:dyDescent="0.2">
      <c r="AF48994" s="12"/>
    </row>
    <row r="48995" spans="32:32" x14ac:dyDescent="0.2">
      <c r="AF48995" s="12"/>
    </row>
    <row r="48996" spans="32:32" x14ac:dyDescent="0.2">
      <c r="AF48996" s="12"/>
    </row>
    <row r="48997" spans="32:32" x14ac:dyDescent="0.2">
      <c r="AF48997" s="12"/>
    </row>
    <row r="48998" spans="32:32" x14ac:dyDescent="0.2">
      <c r="AF48998" s="12"/>
    </row>
    <row r="48999" spans="32:32" x14ac:dyDescent="0.2">
      <c r="AF48999" s="12"/>
    </row>
    <row r="49000" spans="32:32" x14ac:dyDescent="0.2">
      <c r="AF49000" s="12"/>
    </row>
    <row r="49001" spans="32:32" x14ac:dyDescent="0.2">
      <c r="AF49001" s="12"/>
    </row>
    <row r="49002" spans="32:32" x14ac:dyDescent="0.2">
      <c r="AF49002" s="12"/>
    </row>
    <row r="49003" spans="32:32" x14ac:dyDescent="0.2">
      <c r="AF49003" s="12"/>
    </row>
    <row r="49004" spans="32:32" x14ac:dyDescent="0.2">
      <c r="AF49004" s="12"/>
    </row>
    <row r="49005" spans="32:32" x14ac:dyDescent="0.2">
      <c r="AF49005" s="12"/>
    </row>
    <row r="49006" spans="32:32" x14ac:dyDescent="0.2">
      <c r="AF49006" s="12"/>
    </row>
    <row r="49007" spans="32:32" x14ac:dyDescent="0.2">
      <c r="AF49007" s="12"/>
    </row>
    <row r="49008" spans="32:32" x14ac:dyDescent="0.2">
      <c r="AF49008" s="12"/>
    </row>
    <row r="49009" spans="32:32" x14ac:dyDescent="0.2">
      <c r="AF49009" s="12"/>
    </row>
    <row r="49010" spans="32:32" x14ac:dyDescent="0.2">
      <c r="AF49010" s="12"/>
    </row>
    <row r="49011" spans="32:32" x14ac:dyDescent="0.2">
      <c r="AF49011" s="12"/>
    </row>
    <row r="49012" spans="32:32" x14ac:dyDescent="0.2">
      <c r="AF49012" s="12"/>
    </row>
    <row r="49013" spans="32:32" x14ac:dyDescent="0.2">
      <c r="AF49013" s="12"/>
    </row>
    <row r="49014" spans="32:32" x14ac:dyDescent="0.2">
      <c r="AF49014" s="12"/>
    </row>
    <row r="49015" spans="32:32" x14ac:dyDescent="0.2">
      <c r="AF49015" s="12"/>
    </row>
    <row r="49016" spans="32:32" x14ac:dyDescent="0.2">
      <c r="AF49016" s="12"/>
    </row>
    <row r="49017" spans="32:32" x14ac:dyDescent="0.2">
      <c r="AF49017" s="12"/>
    </row>
    <row r="49018" spans="32:32" x14ac:dyDescent="0.2">
      <c r="AF49018" s="12"/>
    </row>
    <row r="49019" spans="32:32" x14ac:dyDescent="0.2">
      <c r="AF49019" s="12"/>
    </row>
    <row r="49020" spans="32:32" x14ac:dyDescent="0.2">
      <c r="AF49020" s="12"/>
    </row>
    <row r="49021" spans="32:32" x14ac:dyDescent="0.2">
      <c r="AF49021" s="12"/>
    </row>
    <row r="49022" spans="32:32" x14ac:dyDescent="0.2">
      <c r="AF49022" s="12"/>
    </row>
    <row r="49023" spans="32:32" x14ac:dyDescent="0.2">
      <c r="AF49023" s="12"/>
    </row>
    <row r="49024" spans="32:32" x14ac:dyDescent="0.2">
      <c r="AF49024" s="12"/>
    </row>
    <row r="49025" spans="32:32" x14ac:dyDescent="0.2">
      <c r="AF49025" s="12"/>
    </row>
    <row r="49026" spans="32:32" x14ac:dyDescent="0.2">
      <c r="AF49026" s="12"/>
    </row>
    <row r="49027" spans="32:32" x14ac:dyDescent="0.2">
      <c r="AF49027" s="12"/>
    </row>
    <row r="49028" spans="32:32" x14ac:dyDescent="0.2">
      <c r="AF49028" s="12"/>
    </row>
    <row r="49029" spans="32:32" x14ac:dyDescent="0.2">
      <c r="AF49029" s="12"/>
    </row>
    <row r="49030" spans="32:32" x14ac:dyDescent="0.2">
      <c r="AF49030" s="12"/>
    </row>
    <row r="49031" spans="32:32" x14ac:dyDescent="0.2">
      <c r="AF49031" s="12"/>
    </row>
    <row r="49032" spans="32:32" x14ac:dyDescent="0.2">
      <c r="AF49032" s="12"/>
    </row>
    <row r="49033" spans="32:32" x14ac:dyDescent="0.2">
      <c r="AF49033" s="12"/>
    </row>
    <row r="49034" spans="32:32" x14ac:dyDescent="0.2">
      <c r="AF49034" s="12"/>
    </row>
    <row r="49035" spans="32:32" x14ac:dyDescent="0.2">
      <c r="AF49035" s="12"/>
    </row>
    <row r="49036" spans="32:32" x14ac:dyDescent="0.2">
      <c r="AF49036" s="12"/>
    </row>
    <row r="49037" spans="32:32" x14ac:dyDescent="0.2">
      <c r="AF49037" s="12"/>
    </row>
    <row r="49038" spans="32:32" x14ac:dyDescent="0.2">
      <c r="AF49038" s="12"/>
    </row>
    <row r="49039" spans="32:32" x14ac:dyDescent="0.2">
      <c r="AF49039" s="12"/>
    </row>
    <row r="49040" spans="32:32" x14ac:dyDescent="0.2">
      <c r="AF49040" s="12"/>
    </row>
    <row r="49041" spans="32:32" x14ac:dyDescent="0.2">
      <c r="AF49041" s="12"/>
    </row>
    <row r="49042" spans="32:32" x14ac:dyDescent="0.2">
      <c r="AF49042" s="12"/>
    </row>
    <row r="49043" spans="32:32" x14ac:dyDescent="0.2">
      <c r="AF49043" s="12"/>
    </row>
    <row r="49044" spans="32:32" x14ac:dyDescent="0.2">
      <c r="AF49044" s="12"/>
    </row>
    <row r="49045" spans="32:32" x14ac:dyDescent="0.2">
      <c r="AF49045" s="12"/>
    </row>
    <row r="49046" spans="32:32" x14ac:dyDescent="0.2">
      <c r="AF49046" s="12"/>
    </row>
    <row r="49047" spans="32:32" x14ac:dyDescent="0.2">
      <c r="AF49047" s="12"/>
    </row>
    <row r="49048" spans="32:32" x14ac:dyDescent="0.2">
      <c r="AF49048" s="12"/>
    </row>
    <row r="49049" spans="32:32" x14ac:dyDescent="0.2">
      <c r="AF49049" s="12"/>
    </row>
    <row r="49050" spans="32:32" x14ac:dyDescent="0.2">
      <c r="AF49050" s="12"/>
    </row>
    <row r="49051" spans="32:32" x14ac:dyDescent="0.2">
      <c r="AF49051" s="12"/>
    </row>
    <row r="49052" spans="32:32" x14ac:dyDescent="0.2">
      <c r="AF49052" s="12"/>
    </row>
    <row r="49053" spans="32:32" x14ac:dyDescent="0.2">
      <c r="AF49053" s="12"/>
    </row>
    <row r="49054" spans="32:32" x14ac:dyDescent="0.2">
      <c r="AF49054" s="12"/>
    </row>
    <row r="49055" spans="32:32" x14ac:dyDescent="0.2">
      <c r="AF49055" s="12"/>
    </row>
    <row r="49056" spans="32:32" x14ac:dyDescent="0.2">
      <c r="AF49056" s="12"/>
    </row>
    <row r="49057" spans="32:32" x14ac:dyDescent="0.2">
      <c r="AF49057" s="12"/>
    </row>
    <row r="49058" spans="32:32" x14ac:dyDescent="0.2">
      <c r="AF49058" s="12"/>
    </row>
    <row r="49059" spans="32:32" x14ac:dyDescent="0.2">
      <c r="AF49059" s="12"/>
    </row>
    <row r="49060" spans="32:32" x14ac:dyDescent="0.2">
      <c r="AF49060" s="12"/>
    </row>
    <row r="49061" spans="32:32" x14ac:dyDescent="0.2">
      <c r="AF49061" s="12"/>
    </row>
    <row r="49062" spans="32:32" x14ac:dyDescent="0.2">
      <c r="AF49062" s="12"/>
    </row>
    <row r="49063" spans="32:32" x14ac:dyDescent="0.2">
      <c r="AF49063" s="12"/>
    </row>
    <row r="49064" spans="32:32" x14ac:dyDescent="0.2">
      <c r="AF49064" s="12"/>
    </row>
    <row r="49065" spans="32:32" x14ac:dyDescent="0.2">
      <c r="AF49065" s="12"/>
    </row>
    <row r="49066" spans="32:32" x14ac:dyDescent="0.2">
      <c r="AF49066" s="12"/>
    </row>
    <row r="49067" spans="32:32" x14ac:dyDescent="0.2">
      <c r="AF49067" s="12"/>
    </row>
    <row r="49068" spans="32:32" x14ac:dyDescent="0.2">
      <c r="AF49068" s="12"/>
    </row>
    <row r="49069" spans="32:32" x14ac:dyDescent="0.2">
      <c r="AF49069" s="12"/>
    </row>
    <row r="49070" spans="32:32" x14ac:dyDescent="0.2">
      <c r="AF49070" s="12"/>
    </row>
    <row r="49071" spans="32:32" x14ac:dyDescent="0.2">
      <c r="AF49071" s="12"/>
    </row>
    <row r="49072" spans="32:32" x14ac:dyDescent="0.2">
      <c r="AF49072" s="12"/>
    </row>
    <row r="49073" spans="32:32" x14ac:dyDescent="0.2">
      <c r="AF49073" s="12"/>
    </row>
    <row r="49074" spans="32:32" x14ac:dyDescent="0.2">
      <c r="AF49074" s="12"/>
    </row>
    <row r="49075" spans="32:32" x14ac:dyDescent="0.2">
      <c r="AF49075" s="12"/>
    </row>
    <row r="49076" spans="32:32" x14ac:dyDescent="0.2">
      <c r="AF49076" s="12"/>
    </row>
    <row r="49077" spans="32:32" x14ac:dyDescent="0.2">
      <c r="AF49077" s="12"/>
    </row>
    <row r="49078" spans="32:32" x14ac:dyDescent="0.2">
      <c r="AF49078" s="12"/>
    </row>
    <row r="49079" spans="32:32" x14ac:dyDescent="0.2">
      <c r="AF49079" s="12"/>
    </row>
    <row r="49080" spans="32:32" x14ac:dyDescent="0.2">
      <c r="AF49080" s="12"/>
    </row>
    <row r="49081" spans="32:32" x14ac:dyDescent="0.2">
      <c r="AF49081" s="12"/>
    </row>
    <row r="49082" spans="32:32" x14ac:dyDescent="0.2">
      <c r="AF49082" s="12"/>
    </row>
    <row r="49083" spans="32:32" x14ac:dyDescent="0.2">
      <c r="AF49083" s="12"/>
    </row>
    <row r="49084" spans="32:32" x14ac:dyDescent="0.2">
      <c r="AF49084" s="12"/>
    </row>
    <row r="49085" spans="32:32" x14ac:dyDescent="0.2">
      <c r="AF49085" s="12"/>
    </row>
    <row r="49086" spans="32:32" x14ac:dyDescent="0.2">
      <c r="AF49086" s="12"/>
    </row>
    <row r="49087" spans="32:32" x14ac:dyDescent="0.2">
      <c r="AF49087" s="12"/>
    </row>
    <row r="49088" spans="32:32" x14ac:dyDescent="0.2">
      <c r="AF49088" s="12"/>
    </row>
    <row r="49089" spans="32:32" x14ac:dyDescent="0.2">
      <c r="AF49089" s="12"/>
    </row>
    <row r="49090" spans="32:32" x14ac:dyDescent="0.2">
      <c r="AF49090" s="12"/>
    </row>
    <row r="49091" spans="32:32" x14ac:dyDescent="0.2">
      <c r="AF49091" s="12"/>
    </row>
    <row r="49092" spans="32:32" x14ac:dyDescent="0.2">
      <c r="AF49092" s="12"/>
    </row>
    <row r="49093" spans="32:32" x14ac:dyDescent="0.2">
      <c r="AF49093" s="12"/>
    </row>
    <row r="49094" spans="32:32" x14ac:dyDescent="0.2">
      <c r="AF49094" s="12"/>
    </row>
    <row r="49095" spans="32:32" x14ac:dyDescent="0.2">
      <c r="AF49095" s="12"/>
    </row>
    <row r="49096" spans="32:32" x14ac:dyDescent="0.2">
      <c r="AF49096" s="12"/>
    </row>
    <row r="49097" spans="32:32" x14ac:dyDescent="0.2">
      <c r="AF49097" s="12"/>
    </row>
    <row r="49098" spans="32:32" x14ac:dyDescent="0.2">
      <c r="AF49098" s="12"/>
    </row>
    <row r="49099" spans="32:32" x14ac:dyDescent="0.2">
      <c r="AF49099" s="12"/>
    </row>
    <row r="49100" spans="32:32" x14ac:dyDescent="0.2">
      <c r="AF49100" s="12"/>
    </row>
    <row r="49101" spans="32:32" x14ac:dyDescent="0.2">
      <c r="AF49101" s="12"/>
    </row>
    <row r="49102" spans="32:32" x14ac:dyDescent="0.2">
      <c r="AF49102" s="12"/>
    </row>
    <row r="49103" spans="32:32" x14ac:dyDescent="0.2">
      <c r="AF49103" s="12"/>
    </row>
    <row r="49104" spans="32:32" x14ac:dyDescent="0.2">
      <c r="AF49104" s="12"/>
    </row>
    <row r="49105" spans="32:32" x14ac:dyDescent="0.2">
      <c r="AF49105" s="12"/>
    </row>
    <row r="49106" spans="32:32" x14ac:dyDescent="0.2">
      <c r="AF49106" s="12"/>
    </row>
    <row r="49107" spans="32:32" x14ac:dyDescent="0.2">
      <c r="AF49107" s="12"/>
    </row>
    <row r="49108" spans="32:32" x14ac:dyDescent="0.2">
      <c r="AF49108" s="12"/>
    </row>
    <row r="49109" spans="32:32" x14ac:dyDescent="0.2">
      <c r="AF49109" s="12"/>
    </row>
    <row r="49110" spans="32:32" x14ac:dyDescent="0.2">
      <c r="AF49110" s="12"/>
    </row>
    <row r="49111" spans="32:32" x14ac:dyDescent="0.2">
      <c r="AF49111" s="12"/>
    </row>
    <row r="49112" spans="32:32" x14ac:dyDescent="0.2">
      <c r="AF49112" s="12"/>
    </row>
    <row r="49113" spans="32:32" x14ac:dyDescent="0.2">
      <c r="AF49113" s="12"/>
    </row>
    <row r="49114" spans="32:32" x14ac:dyDescent="0.2">
      <c r="AF49114" s="12"/>
    </row>
    <row r="49115" spans="32:32" x14ac:dyDescent="0.2">
      <c r="AF49115" s="12"/>
    </row>
    <row r="49116" spans="32:32" x14ac:dyDescent="0.2">
      <c r="AF49116" s="12"/>
    </row>
    <row r="49117" spans="32:32" x14ac:dyDescent="0.2">
      <c r="AF49117" s="12"/>
    </row>
    <row r="49118" spans="32:32" x14ac:dyDescent="0.2">
      <c r="AF49118" s="12"/>
    </row>
    <row r="49119" spans="32:32" x14ac:dyDescent="0.2">
      <c r="AF49119" s="12"/>
    </row>
    <row r="49120" spans="32:32" x14ac:dyDescent="0.2">
      <c r="AF49120" s="12"/>
    </row>
    <row r="49121" spans="32:32" x14ac:dyDescent="0.2">
      <c r="AF49121" s="12"/>
    </row>
    <row r="49122" spans="32:32" x14ac:dyDescent="0.2">
      <c r="AF49122" s="12"/>
    </row>
    <row r="49123" spans="32:32" x14ac:dyDescent="0.2">
      <c r="AF49123" s="12"/>
    </row>
    <row r="49124" spans="32:32" x14ac:dyDescent="0.2">
      <c r="AF49124" s="12"/>
    </row>
    <row r="49125" spans="32:32" x14ac:dyDescent="0.2">
      <c r="AF49125" s="12"/>
    </row>
    <row r="49126" spans="32:32" x14ac:dyDescent="0.2">
      <c r="AF49126" s="12"/>
    </row>
    <row r="49127" spans="32:32" x14ac:dyDescent="0.2">
      <c r="AF49127" s="12"/>
    </row>
    <row r="49128" spans="32:32" x14ac:dyDescent="0.2">
      <c r="AF49128" s="12"/>
    </row>
    <row r="49129" spans="32:32" x14ac:dyDescent="0.2">
      <c r="AF49129" s="12"/>
    </row>
    <row r="49130" spans="32:32" x14ac:dyDescent="0.2">
      <c r="AF49130" s="12"/>
    </row>
    <row r="49131" spans="32:32" x14ac:dyDescent="0.2">
      <c r="AF49131" s="12"/>
    </row>
    <row r="49132" spans="32:32" x14ac:dyDescent="0.2">
      <c r="AF49132" s="12"/>
    </row>
    <row r="49133" spans="32:32" x14ac:dyDescent="0.2">
      <c r="AF49133" s="12"/>
    </row>
    <row r="49134" spans="32:32" x14ac:dyDescent="0.2">
      <c r="AF49134" s="12"/>
    </row>
    <row r="49135" spans="32:32" x14ac:dyDescent="0.2">
      <c r="AF49135" s="12"/>
    </row>
    <row r="49136" spans="32:32" x14ac:dyDescent="0.2">
      <c r="AF49136" s="12"/>
    </row>
    <row r="49137" spans="32:32" x14ac:dyDescent="0.2">
      <c r="AF49137" s="12"/>
    </row>
    <row r="49138" spans="32:32" x14ac:dyDescent="0.2">
      <c r="AF49138" s="12"/>
    </row>
    <row r="49139" spans="32:32" x14ac:dyDescent="0.2">
      <c r="AF49139" s="12"/>
    </row>
    <row r="49140" spans="32:32" x14ac:dyDescent="0.2">
      <c r="AF49140" s="12"/>
    </row>
    <row r="49141" spans="32:32" x14ac:dyDescent="0.2">
      <c r="AF49141" s="12"/>
    </row>
    <row r="49142" spans="32:32" x14ac:dyDescent="0.2">
      <c r="AF49142" s="12"/>
    </row>
    <row r="49143" spans="32:32" x14ac:dyDescent="0.2">
      <c r="AF49143" s="12"/>
    </row>
    <row r="49144" spans="32:32" x14ac:dyDescent="0.2">
      <c r="AF49144" s="12"/>
    </row>
    <row r="49145" spans="32:32" x14ac:dyDescent="0.2">
      <c r="AF49145" s="12"/>
    </row>
    <row r="49146" spans="32:32" x14ac:dyDescent="0.2">
      <c r="AF49146" s="12"/>
    </row>
    <row r="49147" spans="32:32" x14ac:dyDescent="0.2">
      <c r="AF49147" s="12"/>
    </row>
    <row r="49148" spans="32:32" x14ac:dyDescent="0.2">
      <c r="AF49148" s="12"/>
    </row>
    <row r="49149" spans="32:32" x14ac:dyDescent="0.2">
      <c r="AF49149" s="12"/>
    </row>
    <row r="49150" spans="32:32" x14ac:dyDescent="0.2">
      <c r="AF49150" s="12"/>
    </row>
    <row r="49151" spans="32:32" x14ac:dyDescent="0.2">
      <c r="AF49151" s="12"/>
    </row>
    <row r="49152" spans="32:32" x14ac:dyDescent="0.2">
      <c r="AF49152" s="12"/>
    </row>
    <row r="49153" spans="32:32" x14ac:dyDescent="0.2">
      <c r="AF49153" s="12"/>
    </row>
    <row r="49154" spans="32:32" x14ac:dyDescent="0.2">
      <c r="AF49154" s="12"/>
    </row>
    <row r="49155" spans="32:32" x14ac:dyDescent="0.2">
      <c r="AF49155" s="12"/>
    </row>
    <row r="49156" spans="32:32" x14ac:dyDescent="0.2">
      <c r="AF49156" s="12"/>
    </row>
    <row r="49157" spans="32:32" x14ac:dyDescent="0.2">
      <c r="AF49157" s="12"/>
    </row>
    <row r="49158" spans="32:32" x14ac:dyDescent="0.2">
      <c r="AF49158" s="12"/>
    </row>
    <row r="49159" spans="32:32" x14ac:dyDescent="0.2">
      <c r="AF49159" s="12"/>
    </row>
    <row r="49160" spans="32:32" x14ac:dyDescent="0.2">
      <c r="AF49160" s="12"/>
    </row>
    <row r="49161" spans="32:32" x14ac:dyDescent="0.2">
      <c r="AF49161" s="12"/>
    </row>
    <row r="49162" spans="32:32" x14ac:dyDescent="0.2">
      <c r="AF49162" s="12"/>
    </row>
    <row r="49163" spans="32:32" x14ac:dyDescent="0.2">
      <c r="AF49163" s="12"/>
    </row>
    <row r="49164" spans="32:32" x14ac:dyDescent="0.2">
      <c r="AF49164" s="12"/>
    </row>
    <row r="49165" spans="32:32" x14ac:dyDescent="0.2">
      <c r="AF49165" s="12"/>
    </row>
    <row r="49166" spans="32:32" x14ac:dyDescent="0.2">
      <c r="AF49166" s="12"/>
    </row>
    <row r="49167" spans="32:32" x14ac:dyDescent="0.2">
      <c r="AF49167" s="12"/>
    </row>
    <row r="49168" spans="32:32" x14ac:dyDescent="0.2">
      <c r="AF49168" s="12"/>
    </row>
    <row r="49169" spans="32:32" x14ac:dyDescent="0.2">
      <c r="AF49169" s="12"/>
    </row>
    <row r="49170" spans="32:32" x14ac:dyDescent="0.2">
      <c r="AF49170" s="12"/>
    </row>
    <row r="49171" spans="32:32" x14ac:dyDescent="0.2">
      <c r="AF49171" s="12"/>
    </row>
    <row r="49172" spans="32:32" x14ac:dyDescent="0.2">
      <c r="AF49172" s="12"/>
    </row>
    <row r="49173" spans="32:32" x14ac:dyDescent="0.2">
      <c r="AF49173" s="12"/>
    </row>
    <row r="49174" spans="32:32" x14ac:dyDescent="0.2">
      <c r="AF49174" s="12"/>
    </row>
    <row r="49175" spans="32:32" x14ac:dyDescent="0.2">
      <c r="AF49175" s="12"/>
    </row>
    <row r="49176" spans="32:32" x14ac:dyDescent="0.2">
      <c r="AF49176" s="12"/>
    </row>
    <row r="49177" spans="32:32" x14ac:dyDescent="0.2">
      <c r="AF49177" s="12"/>
    </row>
    <row r="49178" spans="32:32" x14ac:dyDescent="0.2">
      <c r="AF49178" s="12"/>
    </row>
    <row r="49179" spans="32:32" x14ac:dyDescent="0.2">
      <c r="AF49179" s="12"/>
    </row>
    <row r="49180" spans="32:32" x14ac:dyDescent="0.2">
      <c r="AF49180" s="12"/>
    </row>
    <row r="49181" spans="32:32" x14ac:dyDescent="0.2">
      <c r="AF49181" s="12"/>
    </row>
    <row r="49182" spans="32:32" x14ac:dyDescent="0.2">
      <c r="AF49182" s="12"/>
    </row>
    <row r="49183" spans="32:32" x14ac:dyDescent="0.2">
      <c r="AF49183" s="12"/>
    </row>
    <row r="49184" spans="32:32" x14ac:dyDescent="0.2">
      <c r="AF49184" s="12"/>
    </row>
    <row r="49185" spans="32:32" x14ac:dyDescent="0.2">
      <c r="AF49185" s="12"/>
    </row>
    <row r="49186" spans="32:32" x14ac:dyDescent="0.2">
      <c r="AF49186" s="12"/>
    </row>
    <row r="49187" spans="32:32" x14ac:dyDescent="0.2">
      <c r="AF49187" s="12"/>
    </row>
    <row r="49188" spans="32:32" x14ac:dyDescent="0.2">
      <c r="AF49188" s="12"/>
    </row>
    <row r="49189" spans="32:32" x14ac:dyDescent="0.2">
      <c r="AF49189" s="12"/>
    </row>
    <row r="49190" spans="32:32" x14ac:dyDescent="0.2">
      <c r="AF49190" s="12"/>
    </row>
    <row r="49191" spans="32:32" x14ac:dyDescent="0.2">
      <c r="AF49191" s="12"/>
    </row>
    <row r="49192" spans="32:32" x14ac:dyDescent="0.2">
      <c r="AF49192" s="12"/>
    </row>
    <row r="49193" spans="32:32" x14ac:dyDescent="0.2">
      <c r="AF49193" s="12"/>
    </row>
    <row r="49194" spans="32:32" x14ac:dyDescent="0.2">
      <c r="AF49194" s="12"/>
    </row>
    <row r="49195" spans="32:32" x14ac:dyDescent="0.2">
      <c r="AF49195" s="12"/>
    </row>
    <row r="49196" spans="32:32" x14ac:dyDescent="0.2">
      <c r="AF49196" s="12"/>
    </row>
    <row r="49197" spans="32:32" x14ac:dyDescent="0.2">
      <c r="AF49197" s="12"/>
    </row>
    <row r="49198" spans="32:32" x14ac:dyDescent="0.2">
      <c r="AF49198" s="12"/>
    </row>
    <row r="49199" spans="32:32" x14ac:dyDescent="0.2">
      <c r="AF49199" s="12"/>
    </row>
    <row r="49200" spans="32:32" x14ac:dyDescent="0.2">
      <c r="AF49200" s="12"/>
    </row>
    <row r="49201" spans="32:32" x14ac:dyDescent="0.2">
      <c r="AF49201" s="12"/>
    </row>
    <row r="49202" spans="32:32" x14ac:dyDescent="0.2">
      <c r="AF49202" s="12"/>
    </row>
    <row r="49203" spans="32:32" x14ac:dyDescent="0.2">
      <c r="AF49203" s="12"/>
    </row>
    <row r="49204" spans="32:32" x14ac:dyDescent="0.2">
      <c r="AF49204" s="12"/>
    </row>
    <row r="49205" spans="32:32" x14ac:dyDescent="0.2">
      <c r="AF49205" s="12"/>
    </row>
    <row r="49206" spans="32:32" x14ac:dyDescent="0.2">
      <c r="AF49206" s="12"/>
    </row>
    <row r="49207" spans="32:32" x14ac:dyDescent="0.2">
      <c r="AF49207" s="12"/>
    </row>
    <row r="49208" spans="32:32" x14ac:dyDescent="0.2">
      <c r="AF49208" s="12"/>
    </row>
    <row r="49209" spans="32:32" x14ac:dyDescent="0.2">
      <c r="AF49209" s="12"/>
    </row>
    <row r="49210" spans="32:32" x14ac:dyDescent="0.2">
      <c r="AF49210" s="12"/>
    </row>
    <row r="49211" spans="32:32" x14ac:dyDescent="0.2">
      <c r="AF49211" s="12"/>
    </row>
    <row r="49212" spans="32:32" x14ac:dyDescent="0.2">
      <c r="AF49212" s="12"/>
    </row>
    <row r="49213" spans="32:32" x14ac:dyDescent="0.2">
      <c r="AF49213" s="12"/>
    </row>
    <row r="49214" spans="32:32" x14ac:dyDescent="0.2">
      <c r="AF49214" s="12"/>
    </row>
    <row r="49215" spans="32:32" x14ac:dyDescent="0.2">
      <c r="AF49215" s="12"/>
    </row>
    <row r="49216" spans="32:32" x14ac:dyDescent="0.2">
      <c r="AF49216" s="12"/>
    </row>
    <row r="49217" spans="32:32" x14ac:dyDescent="0.2">
      <c r="AF49217" s="12"/>
    </row>
    <row r="49218" spans="32:32" x14ac:dyDescent="0.2">
      <c r="AF49218" s="12"/>
    </row>
    <row r="49219" spans="32:32" x14ac:dyDescent="0.2">
      <c r="AF49219" s="12"/>
    </row>
    <row r="49220" spans="32:32" x14ac:dyDescent="0.2">
      <c r="AF49220" s="12"/>
    </row>
    <row r="49221" spans="32:32" x14ac:dyDescent="0.2">
      <c r="AF49221" s="12"/>
    </row>
    <row r="49222" spans="32:32" x14ac:dyDescent="0.2">
      <c r="AF49222" s="12"/>
    </row>
    <row r="49223" spans="32:32" x14ac:dyDescent="0.2">
      <c r="AF49223" s="12"/>
    </row>
    <row r="49224" spans="32:32" x14ac:dyDescent="0.2">
      <c r="AF49224" s="12"/>
    </row>
    <row r="49225" spans="32:32" x14ac:dyDescent="0.2">
      <c r="AF49225" s="12"/>
    </row>
    <row r="49226" spans="32:32" x14ac:dyDescent="0.2">
      <c r="AF49226" s="12"/>
    </row>
    <row r="49227" spans="32:32" x14ac:dyDescent="0.2">
      <c r="AF49227" s="12"/>
    </row>
    <row r="49228" spans="32:32" x14ac:dyDescent="0.2">
      <c r="AF49228" s="12"/>
    </row>
    <row r="49229" spans="32:32" x14ac:dyDescent="0.2">
      <c r="AF49229" s="12"/>
    </row>
    <row r="49230" spans="32:32" x14ac:dyDescent="0.2">
      <c r="AF49230" s="12"/>
    </row>
    <row r="49231" spans="32:32" x14ac:dyDescent="0.2">
      <c r="AF49231" s="12"/>
    </row>
    <row r="49232" spans="32:32" x14ac:dyDescent="0.2">
      <c r="AF49232" s="12"/>
    </row>
    <row r="49233" spans="32:32" x14ac:dyDescent="0.2">
      <c r="AF49233" s="12"/>
    </row>
    <row r="49234" spans="32:32" x14ac:dyDescent="0.2">
      <c r="AF49234" s="12"/>
    </row>
    <row r="49235" spans="32:32" x14ac:dyDescent="0.2">
      <c r="AF49235" s="12"/>
    </row>
    <row r="49236" spans="32:32" x14ac:dyDescent="0.2">
      <c r="AF49236" s="12"/>
    </row>
    <row r="49237" spans="32:32" x14ac:dyDescent="0.2">
      <c r="AF49237" s="12"/>
    </row>
    <row r="49238" spans="32:32" x14ac:dyDescent="0.2">
      <c r="AF49238" s="12"/>
    </row>
    <row r="49239" spans="32:32" x14ac:dyDescent="0.2">
      <c r="AF49239" s="12"/>
    </row>
    <row r="49240" spans="32:32" x14ac:dyDescent="0.2">
      <c r="AF49240" s="12"/>
    </row>
    <row r="49241" spans="32:32" x14ac:dyDescent="0.2">
      <c r="AF49241" s="12"/>
    </row>
    <row r="49242" spans="32:32" x14ac:dyDescent="0.2">
      <c r="AF49242" s="12"/>
    </row>
    <row r="49243" spans="32:32" x14ac:dyDescent="0.2">
      <c r="AF49243" s="12"/>
    </row>
    <row r="49244" spans="32:32" x14ac:dyDescent="0.2">
      <c r="AF49244" s="12"/>
    </row>
    <row r="49245" spans="32:32" x14ac:dyDescent="0.2">
      <c r="AF49245" s="12"/>
    </row>
    <row r="49246" spans="32:32" x14ac:dyDescent="0.2">
      <c r="AF49246" s="12"/>
    </row>
    <row r="49247" spans="32:32" x14ac:dyDescent="0.2">
      <c r="AF49247" s="12"/>
    </row>
    <row r="49248" spans="32:32" x14ac:dyDescent="0.2">
      <c r="AF49248" s="12"/>
    </row>
    <row r="49249" spans="32:32" x14ac:dyDescent="0.2">
      <c r="AF49249" s="12"/>
    </row>
    <row r="49250" spans="32:32" x14ac:dyDescent="0.2">
      <c r="AF49250" s="12"/>
    </row>
    <row r="49251" spans="32:32" x14ac:dyDescent="0.2">
      <c r="AF49251" s="12"/>
    </row>
    <row r="49252" spans="32:32" x14ac:dyDescent="0.2">
      <c r="AF49252" s="12"/>
    </row>
    <row r="49253" spans="32:32" x14ac:dyDescent="0.2">
      <c r="AF49253" s="12"/>
    </row>
    <row r="49254" spans="32:32" x14ac:dyDescent="0.2">
      <c r="AF49254" s="12"/>
    </row>
    <row r="49255" spans="32:32" x14ac:dyDescent="0.2">
      <c r="AF49255" s="12"/>
    </row>
    <row r="49256" spans="32:32" x14ac:dyDescent="0.2">
      <c r="AF49256" s="12"/>
    </row>
    <row r="49257" spans="32:32" x14ac:dyDescent="0.2">
      <c r="AF49257" s="12"/>
    </row>
    <row r="49258" spans="32:32" x14ac:dyDescent="0.2">
      <c r="AF49258" s="12"/>
    </row>
    <row r="49259" spans="32:32" x14ac:dyDescent="0.2">
      <c r="AF49259" s="12"/>
    </row>
    <row r="49260" spans="32:32" x14ac:dyDescent="0.2">
      <c r="AF49260" s="12"/>
    </row>
    <row r="49261" spans="32:32" x14ac:dyDescent="0.2">
      <c r="AF49261" s="12"/>
    </row>
    <row r="49262" spans="32:32" x14ac:dyDescent="0.2">
      <c r="AF49262" s="12"/>
    </row>
    <row r="49263" spans="32:32" x14ac:dyDescent="0.2">
      <c r="AF49263" s="12"/>
    </row>
    <row r="49264" spans="32:32" x14ac:dyDescent="0.2">
      <c r="AF49264" s="12"/>
    </row>
    <row r="49265" spans="32:32" x14ac:dyDescent="0.2">
      <c r="AF49265" s="12"/>
    </row>
    <row r="49266" spans="32:32" x14ac:dyDescent="0.2">
      <c r="AF49266" s="12"/>
    </row>
    <row r="49267" spans="32:32" x14ac:dyDescent="0.2">
      <c r="AF49267" s="12"/>
    </row>
    <row r="49268" spans="32:32" x14ac:dyDescent="0.2">
      <c r="AF49268" s="12"/>
    </row>
    <row r="49269" spans="32:32" x14ac:dyDescent="0.2">
      <c r="AF49269" s="12"/>
    </row>
    <row r="49270" spans="32:32" x14ac:dyDescent="0.2">
      <c r="AF49270" s="12"/>
    </row>
    <row r="49271" spans="32:32" x14ac:dyDescent="0.2">
      <c r="AF49271" s="12"/>
    </row>
    <row r="49272" spans="32:32" x14ac:dyDescent="0.2">
      <c r="AF49272" s="12"/>
    </row>
    <row r="49273" spans="32:32" x14ac:dyDescent="0.2">
      <c r="AF49273" s="12"/>
    </row>
    <row r="49274" spans="32:32" x14ac:dyDescent="0.2">
      <c r="AF49274" s="12"/>
    </row>
    <row r="49275" spans="32:32" x14ac:dyDescent="0.2">
      <c r="AF49275" s="12"/>
    </row>
    <row r="49276" spans="32:32" x14ac:dyDescent="0.2">
      <c r="AF49276" s="12"/>
    </row>
    <row r="49277" spans="32:32" x14ac:dyDescent="0.2">
      <c r="AF49277" s="12"/>
    </row>
    <row r="49278" spans="32:32" x14ac:dyDescent="0.2">
      <c r="AF49278" s="12"/>
    </row>
    <row r="49279" spans="32:32" x14ac:dyDescent="0.2">
      <c r="AF49279" s="12"/>
    </row>
    <row r="49280" spans="32:32" x14ac:dyDescent="0.2">
      <c r="AF49280" s="12"/>
    </row>
    <row r="49281" spans="32:32" x14ac:dyDescent="0.2">
      <c r="AF49281" s="12"/>
    </row>
    <row r="49282" spans="32:32" x14ac:dyDescent="0.2">
      <c r="AF49282" s="12"/>
    </row>
    <row r="49283" spans="32:32" x14ac:dyDescent="0.2">
      <c r="AF49283" s="12"/>
    </row>
    <row r="49284" spans="32:32" x14ac:dyDescent="0.2">
      <c r="AF49284" s="12"/>
    </row>
    <row r="49285" spans="32:32" x14ac:dyDescent="0.2">
      <c r="AF49285" s="12"/>
    </row>
    <row r="49286" spans="32:32" x14ac:dyDescent="0.2">
      <c r="AF49286" s="12"/>
    </row>
    <row r="49287" spans="32:32" x14ac:dyDescent="0.2">
      <c r="AF49287" s="12"/>
    </row>
    <row r="49288" spans="32:32" x14ac:dyDescent="0.2">
      <c r="AF49288" s="12"/>
    </row>
    <row r="49289" spans="32:32" x14ac:dyDescent="0.2">
      <c r="AF49289" s="12"/>
    </row>
    <row r="49290" spans="32:32" x14ac:dyDescent="0.2">
      <c r="AF49290" s="12"/>
    </row>
    <row r="49291" spans="32:32" x14ac:dyDescent="0.2">
      <c r="AF49291" s="12"/>
    </row>
    <row r="49292" spans="32:32" x14ac:dyDescent="0.2">
      <c r="AF49292" s="12"/>
    </row>
    <row r="49293" spans="32:32" x14ac:dyDescent="0.2">
      <c r="AF49293" s="12"/>
    </row>
    <row r="49294" spans="32:32" x14ac:dyDescent="0.2">
      <c r="AF49294" s="12"/>
    </row>
    <row r="49295" spans="32:32" x14ac:dyDescent="0.2">
      <c r="AF49295" s="12"/>
    </row>
    <row r="49296" spans="32:32" x14ac:dyDescent="0.2">
      <c r="AF49296" s="12"/>
    </row>
    <row r="49297" spans="32:32" x14ac:dyDescent="0.2">
      <c r="AF49297" s="12"/>
    </row>
    <row r="49298" spans="32:32" x14ac:dyDescent="0.2">
      <c r="AF49298" s="12"/>
    </row>
    <row r="49299" spans="32:32" x14ac:dyDescent="0.2">
      <c r="AF49299" s="12"/>
    </row>
    <row r="49300" spans="32:32" x14ac:dyDescent="0.2">
      <c r="AF49300" s="12"/>
    </row>
    <row r="49301" spans="32:32" x14ac:dyDescent="0.2">
      <c r="AF49301" s="12"/>
    </row>
    <row r="49302" spans="32:32" x14ac:dyDescent="0.2">
      <c r="AF49302" s="12"/>
    </row>
    <row r="49303" spans="32:32" x14ac:dyDescent="0.2">
      <c r="AF49303" s="12"/>
    </row>
    <row r="49304" spans="32:32" x14ac:dyDescent="0.2">
      <c r="AF49304" s="12"/>
    </row>
    <row r="49305" spans="32:32" x14ac:dyDescent="0.2">
      <c r="AF49305" s="12"/>
    </row>
    <row r="49306" spans="32:32" x14ac:dyDescent="0.2">
      <c r="AF49306" s="12"/>
    </row>
    <row r="49307" spans="32:32" x14ac:dyDescent="0.2">
      <c r="AF49307" s="12"/>
    </row>
    <row r="49308" spans="32:32" x14ac:dyDescent="0.2">
      <c r="AF49308" s="12"/>
    </row>
    <row r="49309" spans="32:32" x14ac:dyDescent="0.2">
      <c r="AF49309" s="12"/>
    </row>
    <row r="49310" spans="32:32" x14ac:dyDescent="0.2">
      <c r="AF49310" s="12"/>
    </row>
    <row r="49311" spans="32:32" x14ac:dyDescent="0.2">
      <c r="AF49311" s="12"/>
    </row>
    <row r="49312" spans="32:32" x14ac:dyDescent="0.2">
      <c r="AF49312" s="12"/>
    </row>
    <row r="49313" spans="32:32" x14ac:dyDescent="0.2">
      <c r="AF49313" s="12"/>
    </row>
    <row r="49314" spans="32:32" x14ac:dyDescent="0.2">
      <c r="AF49314" s="12"/>
    </row>
    <row r="49315" spans="32:32" x14ac:dyDescent="0.2">
      <c r="AF49315" s="12"/>
    </row>
    <row r="49316" spans="32:32" x14ac:dyDescent="0.2">
      <c r="AF49316" s="12"/>
    </row>
    <row r="49317" spans="32:32" x14ac:dyDescent="0.2">
      <c r="AF49317" s="12"/>
    </row>
    <row r="49318" spans="32:32" x14ac:dyDescent="0.2">
      <c r="AF49318" s="12"/>
    </row>
    <row r="49319" spans="32:32" x14ac:dyDescent="0.2">
      <c r="AF49319" s="12"/>
    </row>
    <row r="49320" spans="32:32" x14ac:dyDescent="0.2">
      <c r="AF49320" s="12"/>
    </row>
    <row r="49321" spans="32:32" x14ac:dyDescent="0.2">
      <c r="AF49321" s="12"/>
    </row>
    <row r="49322" spans="32:32" x14ac:dyDescent="0.2">
      <c r="AF49322" s="12"/>
    </row>
    <row r="49323" spans="32:32" x14ac:dyDescent="0.2">
      <c r="AF49323" s="12"/>
    </row>
    <row r="49324" spans="32:32" x14ac:dyDescent="0.2">
      <c r="AF49324" s="12"/>
    </row>
    <row r="49325" spans="32:32" x14ac:dyDescent="0.2">
      <c r="AF49325" s="12"/>
    </row>
    <row r="49326" spans="32:32" x14ac:dyDescent="0.2">
      <c r="AF49326" s="12"/>
    </row>
    <row r="49327" spans="32:32" x14ac:dyDescent="0.2">
      <c r="AF49327" s="12"/>
    </row>
    <row r="49328" spans="32:32" x14ac:dyDescent="0.2">
      <c r="AF49328" s="12"/>
    </row>
    <row r="49329" spans="32:32" x14ac:dyDescent="0.2">
      <c r="AF49329" s="12"/>
    </row>
    <row r="49330" spans="32:32" x14ac:dyDescent="0.2">
      <c r="AF49330" s="12"/>
    </row>
    <row r="49331" spans="32:32" x14ac:dyDescent="0.2">
      <c r="AF49331" s="12"/>
    </row>
    <row r="49332" spans="32:32" x14ac:dyDescent="0.2">
      <c r="AF49332" s="12"/>
    </row>
    <row r="49333" spans="32:32" x14ac:dyDescent="0.2">
      <c r="AF49333" s="12"/>
    </row>
    <row r="49334" spans="32:32" x14ac:dyDescent="0.2">
      <c r="AF49334" s="12"/>
    </row>
    <row r="49335" spans="32:32" x14ac:dyDescent="0.2">
      <c r="AF49335" s="12"/>
    </row>
    <row r="49336" spans="32:32" x14ac:dyDescent="0.2">
      <c r="AF49336" s="12"/>
    </row>
    <row r="49337" spans="32:32" x14ac:dyDescent="0.2">
      <c r="AF49337" s="12"/>
    </row>
    <row r="49338" spans="32:32" x14ac:dyDescent="0.2">
      <c r="AF49338" s="12"/>
    </row>
    <row r="49339" spans="32:32" x14ac:dyDescent="0.2">
      <c r="AF49339" s="12"/>
    </row>
    <row r="49340" spans="32:32" x14ac:dyDescent="0.2">
      <c r="AF49340" s="12"/>
    </row>
    <row r="49341" spans="32:32" x14ac:dyDescent="0.2">
      <c r="AF49341" s="12"/>
    </row>
    <row r="49342" spans="32:32" x14ac:dyDescent="0.2">
      <c r="AF49342" s="12"/>
    </row>
    <row r="49343" spans="32:32" x14ac:dyDescent="0.2">
      <c r="AF49343" s="12"/>
    </row>
    <row r="49344" spans="32:32" x14ac:dyDescent="0.2">
      <c r="AF49344" s="12"/>
    </row>
    <row r="49345" spans="32:32" x14ac:dyDescent="0.2">
      <c r="AF49345" s="12"/>
    </row>
    <row r="49346" spans="32:32" x14ac:dyDescent="0.2">
      <c r="AF49346" s="12"/>
    </row>
    <row r="49347" spans="32:32" x14ac:dyDescent="0.2">
      <c r="AF49347" s="12"/>
    </row>
    <row r="49348" spans="32:32" x14ac:dyDescent="0.2">
      <c r="AF49348" s="12"/>
    </row>
    <row r="49349" spans="32:32" x14ac:dyDescent="0.2">
      <c r="AF49349" s="12"/>
    </row>
    <row r="49350" spans="32:32" x14ac:dyDescent="0.2">
      <c r="AF49350" s="12"/>
    </row>
    <row r="49351" spans="32:32" x14ac:dyDescent="0.2">
      <c r="AF49351" s="12"/>
    </row>
    <row r="49352" spans="32:32" x14ac:dyDescent="0.2">
      <c r="AF49352" s="12"/>
    </row>
    <row r="49353" spans="32:32" x14ac:dyDescent="0.2">
      <c r="AF49353" s="12"/>
    </row>
    <row r="49354" spans="32:32" x14ac:dyDescent="0.2">
      <c r="AF49354" s="12"/>
    </row>
    <row r="49355" spans="32:32" x14ac:dyDescent="0.2">
      <c r="AF49355" s="12"/>
    </row>
    <row r="49356" spans="32:32" x14ac:dyDescent="0.2">
      <c r="AF49356" s="12"/>
    </row>
    <row r="49357" spans="32:32" x14ac:dyDescent="0.2">
      <c r="AF49357" s="12"/>
    </row>
    <row r="49358" spans="32:32" x14ac:dyDescent="0.2">
      <c r="AF49358" s="12"/>
    </row>
    <row r="49359" spans="32:32" x14ac:dyDescent="0.2">
      <c r="AF49359" s="12"/>
    </row>
    <row r="49360" spans="32:32" x14ac:dyDescent="0.2">
      <c r="AF49360" s="12"/>
    </row>
    <row r="49361" spans="32:32" x14ac:dyDescent="0.2">
      <c r="AF49361" s="12"/>
    </row>
    <row r="49362" spans="32:32" x14ac:dyDescent="0.2">
      <c r="AF49362" s="12"/>
    </row>
    <row r="49363" spans="32:32" x14ac:dyDescent="0.2">
      <c r="AF49363" s="12"/>
    </row>
    <row r="49364" spans="32:32" x14ac:dyDescent="0.2">
      <c r="AF49364" s="12"/>
    </row>
    <row r="49365" spans="32:32" x14ac:dyDescent="0.2">
      <c r="AF49365" s="12"/>
    </row>
    <row r="49366" spans="32:32" x14ac:dyDescent="0.2">
      <c r="AF49366" s="12"/>
    </row>
    <row r="49367" spans="32:32" x14ac:dyDescent="0.2">
      <c r="AF49367" s="12"/>
    </row>
    <row r="49368" spans="32:32" x14ac:dyDescent="0.2">
      <c r="AF49368" s="12"/>
    </row>
    <row r="49369" spans="32:32" x14ac:dyDescent="0.2">
      <c r="AF49369" s="12"/>
    </row>
    <row r="49370" spans="32:32" x14ac:dyDescent="0.2">
      <c r="AF49370" s="12"/>
    </row>
    <row r="49371" spans="32:32" x14ac:dyDescent="0.2">
      <c r="AF49371" s="12"/>
    </row>
    <row r="49372" spans="32:32" x14ac:dyDescent="0.2">
      <c r="AF49372" s="12"/>
    </row>
    <row r="49373" spans="32:32" x14ac:dyDescent="0.2">
      <c r="AF49373" s="12"/>
    </row>
    <row r="49374" spans="32:32" x14ac:dyDescent="0.2">
      <c r="AF49374" s="12"/>
    </row>
    <row r="49375" spans="32:32" x14ac:dyDescent="0.2">
      <c r="AF49375" s="12"/>
    </row>
    <row r="49376" spans="32:32" x14ac:dyDescent="0.2">
      <c r="AF49376" s="12"/>
    </row>
    <row r="49377" spans="32:32" x14ac:dyDescent="0.2">
      <c r="AF49377" s="12"/>
    </row>
    <row r="49378" spans="32:32" x14ac:dyDescent="0.2">
      <c r="AF49378" s="12"/>
    </row>
    <row r="49379" spans="32:32" x14ac:dyDescent="0.2">
      <c r="AF49379" s="12"/>
    </row>
    <row r="49380" spans="32:32" x14ac:dyDescent="0.2">
      <c r="AF49380" s="12"/>
    </row>
    <row r="49381" spans="32:32" x14ac:dyDescent="0.2">
      <c r="AF49381" s="12"/>
    </row>
    <row r="49382" spans="32:32" x14ac:dyDescent="0.2">
      <c r="AF49382" s="12"/>
    </row>
    <row r="49383" spans="32:32" x14ac:dyDescent="0.2">
      <c r="AF49383" s="12"/>
    </row>
    <row r="49384" spans="32:32" x14ac:dyDescent="0.2">
      <c r="AF49384" s="12"/>
    </row>
    <row r="49385" spans="32:32" x14ac:dyDescent="0.2">
      <c r="AF49385" s="12"/>
    </row>
    <row r="49386" spans="32:32" x14ac:dyDescent="0.2">
      <c r="AF49386" s="12"/>
    </row>
    <row r="49387" spans="32:32" x14ac:dyDescent="0.2">
      <c r="AF49387" s="12"/>
    </row>
    <row r="49388" spans="32:32" x14ac:dyDescent="0.2">
      <c r="AF49388" s="12"/>
    </row>
    <row r="49389" spans="32:32" x14ac:dyDescent="0.2">
      <c r="AF49389" s="12"/>
    </row>
    <row r="49390" spans="32:32" x14ac:dyDescent="0.2">
      <c r="AF49390" s="12"/>
    </row>
    <row r="49391" spans="32:32" x14ac:dyDescent="0.2">
      <c r="AF49391" s="12"/>
    </row>
    <row r="49392" spans="32:32" x14ac:dyDescent="0.2">
      <c r="AF49392" s="12"/>
    </row>
    <row r="49393" spans="32:32" x14ac:dyDescent="0.2">
      <c r="AF49393" s="12"/>
    </row>
    <row r="49394" spans="32:32" x14ac:dyDescent="0.2">
      <c r="AF49394" s="12"/>
    </row>
    <row r="49395" spans="32:32" x14ac:dyDescent="0.2">
      <c r="AF49395" s="12"/>
    </row>
    <row r="49396" spans="32:32" x14ac:dyDescent="0.2">
      <c r="AF49396" s="12"/>
    </row>
    <row r="49397" spans="32:32" x14ac:dyDescent="0.2">
      <c r="AF49397" s="12"/>
    </row>
    <row r="49398" spans="32:32" x14ac:dyDescent="0.2">
      <c r="AF49398" s="12"/>
    </row>
    <row r="49399" spans="32:32" x14ac:dyDescent="0.2">
      <c r="AF49399" s="12"/>
    </row>
    <row r="49400" spans="32:32" x14ac:dyDescent="0.2">
      <c r="AF49400" s="12"/>
    </row>
    <row r="49401" spans="32:32" x14ac:dyDescent="0.2">
      <c r="AF49401" s="12"/>
    </row>
    <row r="49402" spans="32:32" x14ac:dyDescent="0.2">
      <c r="AF49402" s="12"/>
    </row>
    <row r="49403" spans="32:32" x14ac:dyDescent="0.2">
      <c r="AF49403" s="12"/>
    </row>
    <row r="49404" spans="32:32" x14ac:dyDescent="0.2">
      <c r="AF49404" s="12"/>
    </row>
    <row r="49405" spans="32:32" x14ac:dyDescent="0.2">
      <c r="AF49405" s="12"/>
    </row>
    <row r="49406" spans="32:32" x14ac:dyDescent="0.2">
      <c r="AF49406" s="12"/>
    </row>
    <row r="49407" spans="32:32" x14ac:dyDescent="0.2">
      <c r="AF49407" s="12"/>
    </row>
    <row r="49408" spans="32:32" x14ac:dyDescent="0.2">
      <c r="AF49408" s="12"/>
    </row>
    <row r="49409" spans="32:32" x14ac:dyDescent="0.2">
      <c r="AF49409" s="12"/>
    </row>
    <row r="49410" spans="32:32" x14ac:dyDescent="0.2">
      <c r="AF49410" s="12"/>
    </row>
    <row r="49411" spans="32:32" x14ac:dyDescent="0.2">
      <c r="AF49411" s="12"/>
    </row>
    <row r="49412" spans="32:32" x14ac:dyDescent="0.2">
      <c r="AF49412" s="12"/>
    </row>
    <row r="49413" spans="32:32" x14ac:dyDescent="0.2">
      <c r="AF49413" s="12"/>
    </row>
    <row r="49414" spans="32:32" x14ac:dyDescent="0.2">
      <c r="AF49414" s="12"/>
    </row>
    <row r="49415" spans="32:32" x14ac:dyDescent="0.2">
      <c r="AF49415" s="12"/>
    </row>
    <row r="49416" spans="32:32" x14ac:dyDescent="0.2">
      <c r="AF49416" s="12"/>
    </row>
    <row r="49417" spans="32:32" x14ac:dyDescent="0.2">
      <c r="AF49417" s="12"/>
    </row>
    <row r="49418" spans="32:32" x14ac:dyDescent="0.2">
      <c r="AF49418" s="12"/>
    </row>
    <row r="49419" spans="32:32" x14ac:dyDescent="0.2">
      <c r="AF49419" s="12"/>
    </row>
    <row r="49420" spans="32:32" x14ac:dyDescent="0.2">
      <c r="AF49420" s="12"/>
    </row>
    <row r="49421" spans="32:32" x14ac:dyDescent="0.2">
      <c r="AF49421" s="12"/>
    </row>
    <row r="49422" spans="32:32" x14ac:dyDescent="0.2">
      <c r="AF49422" s="12"/>
    </row>
    <row r="49423" spans="32:32" x14ac:dyDescent="0.2">
      <c r="AF49423" s="12"/>
    </row>
    <row r="49424" spans="32:32" x14ac:dyDescent="0.2">
      <c r="AF49424" s="12"/>
    </row>
    <row r="49425" spans="32:32" x14ac:dyDescent="0.2">
      <c r="AF49425" s="12"/>
    </row>
    <row r="49426" spans="32:32" x14ac:dyDescent="0.2">
      <c r="AF49426" s="12"/>
    </row>
    <row r="49427" spans="32:32" x14ac:dyDescent="0.2">
      <c r="AF49427" s="12"/>
    </row>
    <row r="49428" spans="32:32" x14ac:dyDescent="0.2">
      <c r="AF49428" s="12"/>
    </row>
    <row r="49429" spans="32:32" x14ac:dyDescent="0.2">
      <c r="AF49429" s="12"/>
    </row>
    <row r="49430" spans="32:32" x14ac:dyDescent="0.2">
      <c r="AF49430" s="12"/>
    </row>
    <row r="49431" spans="32:32" x14ac:dyDescent="0.2">
      <c r="AF49431" s="12"/>
    </row>
    <row r="49432" spans="32:32" x14ac:dyDescent="0.2">
      <c r="AF49432" s="12"/>
    </row>
    <row r="49433" spans="32:32" x14ac:dyDescent="0.2">
      <c r="AF49433" s="12"/>
    </row>
    <row r="49434" spans="32:32" x14ac:dyDescent="0.2">
      <c r="AF49434" s="12"/>
    </row>
    <row r="49435" spans="32:32" x14ac:dyDescent="0.2">
      <c r="AF49435" s="12"/>
    </row>
    <row r="49436" spans="32:32" x14ac:dyDescent="0.2">
      <c r="AF49436" s="12"/>
    </row>
    <row r="49437" spans="32:32" x14ac:dyDescent="0.2">
      <c r="AF49437" s="12"/>
    </row>
    <row r="49438" spans="32:32" x14ac:dyDescent="0.2">
      <c r="AF49438" s="12"/>
    </row>
    <row r="49439" spans="32:32" x14ac:dyDescent="0.2">
      <c r="AF49439" s="12"/>
    </row>
    <row r="49440" spans="32:32" x14ac:dyDescent="0.2">
      <c r="AF49440" s="12"/>
    </row>
    <row r="49441" spans="32:32" x14ac:dyDescent="0.2">
      <c r="AF49441" s="12"/>
    </row>
    <row r="49442" spans="32:32" x14ac:dyDescent="0.2">
      <c r="AF49442" s="12"/>
    </row>
    <row r="49443" spans="32:32" x14ac:dyDescent="0.2">
      <c r="AF49443" s="12"/>
    </row>
    <row r="49444" spans="32:32" x14ac:dyDescent="0.2">
      <c r="AF49444" s="12"/>
    </row>
    <row r="49445" spans="32:32" x14ac:dyDescent="0.2">
      <c r="AF49445" s="12"/>
    </row>
    <row r="49446" spans="32:32" x14ac:dyDescent="0.2">
      <c r="AF49446" s="12"/>
    </row>
    <row r="49447" spans="32:32" x14ac:dyDescent="0.2">
      <c r="AF49447" s="12"/>
    </row>
    <row r="49448" spans="32:32" x14ac:dyDescent="0.2">
      <c r="AF49448" s="12"/>
    </row>
    <row r="49449" spans="32:32" x14ac:dyDescent="0.2">
      <c r="AF49449" s="12"/>
    </row>
    <row r="49450" spans="32:32" x14ac:dyDescent="0.2">
      <c r="AF49450" s="12"/>
    </row>
    <row r="49451" spans="32:32" x14ac:dyDescent="0.2">
      <c r="AF49451" s="12"/>
    </row>
    <row r="49452" spans="32:32" x14ac:dyDescent="0.2">
      <c r="AF49452" s="12"/>
    </row>
    <row r="49453" spans="32:32" x14ac:dyDescent="0.2">
      <c r="AF49453" s="12"/>
    </row>
    <row r="49454" spans="32:32" x14ac:dyDescent="0.2">
      <c r="AF49454" s="12"/>
    </row>
    <row r="49455" spans="32:32" x14ac:dyDescent="0.2">
      <c r="AF49455" s="12"/>
    </row>
    <row r="49456" spans="32:32" x14ac:dyDescent="0.2">
      <c r="AF49456" s="12"/>
    </row>
    <row r="49457" spans="32:32" x14ac:dyDescent="0.2">
      <c r="AF49457" s="12"/>
    </row>
    <row r="49458" spans="32:32" x14ac:dyDescent="0.2">
      <c r="AF49458" s="12"/>
    </row>
    <row r="49459" spans="32:32" x14ac:dyDescent="0.2">
      <c r="AF49459" s="12"/>
    </row>
    <row r="49460" spans="32:32" x14ac:dyDescent="0.2">
      <c r="AF49460" s="12"/>
    </row>
    <row r="49461" spans="32:32" x14ac:dyDescent="0.2">
      <c r="AF49461" s="12"/>
    </row>
    <row r="49462" spans="32:32" x14ac:dyDescent="0.2">
      <c r="AF49462" s="12"/>
    </row>
    <row r="49463" spans="32:32" x14ac:dyDescent="0.2">
      <c r="AF49463" s="12"/>
    </row>
    <row r="49464" spans="32:32" x14ac:dyDescent="0.2">
      <c r="AF49464" s="12"/>
    </row>
    <row r="49465" spans="32:32" x14ac:dyDescent="0.2">
      <c r="AF49465" s="12"/>
    </row>
    <row r="49466" spans="32:32" x14ac:dyDescent="0.2">
      <c r="AF49466" s="12"/>
    </row>
    <row r="49467" spans="32:32" x14ac:dyDescent="0.2">
      <c r="AF49467" s="12"/>
    </row>
    <row r="49468" spans="32:32" x14ac:dyDescent="0.2">
      <c r="AF49468" s="12"/>
    </row>
    <row r="49469" spans="32:32" x14ac:dyDescent="0.2">
      <c r="AF49469" s="12"/>
    </row>
    <row r="49470" spans="32:32" x14ac:dyDescent="0.2">
      <c r="AF49470" s="12"/>
    </row>
    <row r="49471" spans="32:32" x14ac:dyDescent="0.2">
      <c r="AF49471" s="12"/>
    </row>
    <row r="49472" spans="32:32" x14ac:dyDescent="0.2">
      <c r="AF49472" s="12"/>
    </row>
    <row r="49473" spans="32:32" x14ac:dyDescent="0.2">
      <c r="AF49473" s="12"/>
    </row>
    <row r="49474" spans="32:32" x14ac:dyDescent="0.2">
      <c r="AF49474" s="12"/>
    </row>
    <row r="49475" spans="32:32" x14ac:dyDescent="0.2">
      <c r="AF49475" s="12"/>
    </row>
    <row r="49476" spans="32:32" x14ac:dyDescent="0.2">
      <c r="AF49476" s="12"/>
    </row>
    <row r="49477" spans="32:32" x14ac:dyDescent="0.2">
      <c r="AF49477" s="12"/>
    </row>
    <row r="49478" spans="32:32" x14ac:dyDescent="0.2">
      <c r="AF49478" s="12"/>
    </row>
    <row r="49479" spans="32:32" x14ac:dyDescent="0.2">
      <c r="AF49479" s="12"/>
    </row>
    <row r="49480" spans="32:32" x14ac:dyDescent="0.2">
      <c r="AF49480" s="12"/>
    </row>
    <row r="49481" spans="32:32" x14ac:dyDescent="0.2">
      <c r="AF49481" s="12"/>
    </row>
    <row r="49482" spans="32:32" x14ac:dyDescent="0.2">
      <c r="AF49482" s="12"/>
    </row>
    <row r="49483" spans="32:32" x14ac:dyDescent="0.2">
      <c r="AF49483" s="12"/>
    </row>
    <row r="49484" spans="32:32" x14ac:dyDescent="0.2">
      <c r="AF49484" s="12"/>
    </row>
    <row r="49485" spans="32:32" x14ac:dyDescent="0.2">
      <c r="AF49485" s="12"/>
    </row>
    <row r="49486" spans="32:32" x14ac:dyDescent="0.2">
      <c r="AF49486" s="12"/>
    </row>
    <row r="49487" spans="32:32" x14ac:dyDescent="0.2">
      <c r="AF49487" s="12"/>
    </row>
    <row r="49488" spans="32:32" x14ac:dyDescent="0.2">
      <c r="AF49488" s="12"/>
    </row>
    <row r="49489" spans="32:32" x14ac:dyDescent="0.2">
      <c r="AF49489" s="12"/>
    </row>
    <row r="49490" spans="32:32" x14ac:dyDescent="0.2">
      <c r="AF49490" s="12"/>
    </row>
    <row r="49491" spans="32:32" x14ac:dyDescent="0.2">
      <c r="AF49491" s="12"/>
    </row>
    <row r="49492" spans="32:32" x14ac:dyDescent="0.2">
      <c r="AF49492" s="12"/>
    </row>
    <row r="49493" spans="32:32" x14ac:dyDescent="0.2">
      <c r="AF49493" s="12"/>
    </row>
    <row r="49494" spans="32:32" x14ac:dyDescent="0.2">
      <c r="AF49494" s="12"/>
    </row>
    <row r="49495" spans="32:32" x14ac:dyDescent="0.2">
      <c r="AF49495" s="12"/>
    </row>
    <row r="49496" spans="32:32" x14ac:dyDescent="0.2">
      <c r="AF49496" s="12"/>
    </row>
    <row r="49497" spans="32:32" x14ac:dyDescent="0.2">
      <c r="AF49497" s="12"/>
    </row>
    <row r="49498" spans="32:32" x14ac:dyDescent="0.2">
      <c r="AF49498" s="12"/>
    </row>
    <row r="49499" spans="32:32" x14ac:dyDescent="0.2">
      <c r="AF49499" s="12"/>
    </row>
    <row r="49500" spans="32:32" x14ac:dyDescent="0.2">
      <c r="AF49500" s="12"/>
    </row>
    <row r="49501" spans="32:32" x14ac:dyDescent="0.2">
      <c r="AF49501" s="12"/>
    </row>
    <row r="49502" spans="32:32" x14ac:dyDescent="0.2">
      <c r="AF49502" s="12"/>
    </row>
    <row r="49503" spans="32:32" x14ac:dyDescent="0.2">
      <c r="AF49503" s="12"/>
    </row>
    <row r="49504" spans="32:32" x14ac:dyDescent="0.2">
      <c r="AF49504" s="12"/>
    </row>
    <row r="49505" spans="32:32" x14ac:dyDescent="0.2">
      <c r="AF49505" s="12"/>
    </row>
    <row r="49506" spans="32:32" x14ac:dyDescent="0.2">
      <c r="AF49506" s="12"/>
    </row>
    <row r="49507" spans="32:32" x14ac:dyDescent="0.2">
      <c r="AF49507" s="12"/>
    </row>
    <row r="49508" spans="32:32" x14ac:dyDescent="0.2">
      <c r="AF49508" s="12"/>
    </row>
    <row r="49509" spans="32:32" x14ac:dyDescent="0.2">
      <c r="AF49509" s="12"/>
    </row>
    <row r="49510" spans="32:32" x14ac:dyDescent="0.2">
      <c r="AF49510" s="12"/>
    </row>
    <row r="49511" spans="32:32" x14ac:dyDescent="0.2">
      <c r="AF49511" s="12"/>
    </row>
    <row r="49512" spans="32:32" x14ac:dyDescent="0.2">
      <c r="AF49512" s="12"/>
    </row>
    <row r="49513" spans="32:32" x14ac:dyDescent="0.2">
      <c r="AF49513" s="12"/>
    </row>
    <row r="49514" spans="32:32" x14ac:dyDescent="0.2">
      <c r="AF49514" s="12"/>
    </row>
    <row r="49515" spans="32:32" x14ac:dyDescent="0.2">
      <c r="AF49515" s="12"/>
    </row>
    <row r="49516" spans="32:32" x14ac:dyDescent="0.2">
      <c r="AF49516" s="12"/>
    </row>
    <row r="49517" spans="32:32" x14ac:dyDescent="0.2">
      <c r="AF49517" s="12"/>
    </row>
    <row r="49518" spans="32:32" x14ac:dyDescent="0.2">
      <c r="AF49518" s="12"/>
    </row>
    <row r="49519" spans="32:32" x14ac:dyDescent="0.2">
      <c r="AF49519" s="12"/>
    </row>
    <row r="49520" spans="32:32" x14ac:dyDescent="0.2">
      <c r="AF49520" s="12"/>
    </row>
    <row r="49521" spans="32:32" x14ac:dyDescent="0.2">
      <c r="AF49521" s="12"/>
    </row>
    <row r="49522" spans="32:32" x14ac:dyDescent="0.2">
      <c r="AF49522" s="12"/>
    </row>
    <row r="49523" spans="32:32" x14ac:dyDescent="0.2">
      <c r="AF49523" s="12"/>
    </row>
    <row r="49524" spans="32:32" x14ac:dyDescent="0.2">
      <c r="AF49524" s="12"/>
    </row>
    <row r="49525" spans="32:32" x14ac:dyDescent="0.2">
      <c r="AF49525" s="12"/>
    </row>
    <row r="49526" spans="32:32" x14ac:dyDescent="0.2">
      <c r="AF49526" s="12"/>
    </row>
    <row r="49527" spans="32:32" x14ac:dyDescent="0.2">
      <c r="AF49527" s="12"/>
    </row>
    <row r="49528" spans="32:32" x14ac:dyDescent="0.2">
      <c r="AF49528" s="12"/>
    </row>
    <row r="49529" spans="32:32" x14ac:dyDescent="0.2">
      <c r="AF49529" s="12"/>
    </row>
    <row r="49530" spans="32:32" x14ac:dyDescent="0.2">
      <c r="AF49530" s="12"/>
    </row>
    <row r="49531" spans="32:32" x14ac:dyDescent="0.2">
      <c r="AF49531" s="12"/>
    </row>
    <row r="49532" spans="32:32" x14ac:dyDescent="0.2">
      <c r="AF49532" s="12"/>
    </row>
    <row r="49533" spans="32:32" x14ac:dyDescent="0.2">
      <c r="AF49533" s="12"/>
    </row>
    <row r="49534" spans="32:32" x14ac:dyDescent="0.2">
      <c r="AF49534" s="12"/>
    </row>
    <row r="49535" spans="32:32" x14ac:dyDescent="0.2">
      <c r="AF49535" s="12"/>
    </row>
    <row r="49536" spans="32:32" x14ac:dyDescent="0.2">
      <c r="AF49536" s="12"/>
    </row>
    <row r="49537" spans="32:32" x14ac:dyDescent="0.2">
      <c r="AF49537" s="12"/>
    </row>
    <row r="49538" spans="32:32" x14ac:dyDescent="0.2">
      <c r="AF49538" s="12"/>
    </row>
    <row r="49539" spans="32:32" x14ac:dyDescent="0.2">
      <c r="AF49539" s="12"/>
    </row>
    <row r="49540" spans="32:32" x14ac:dyDescent="0.2">
      <c r="AF49540" s="12"/>
    </row>
    <row r="49541" spans="32:32" x14ac:dyDescent="0.2">
      <c r="AF49541" s="12"/>
    </row>
    <row r="49542" spans="32:32" x14ac:dyDescent="0.2">
      <c r="AF49542" s="12"/>
    </row>
    <row r="49543" spans="32:32" x14ac:dyDescent="0.2">
      <c r="AF49543" s="12"/>
    </row>
    <row r="49544" spans="32:32" x14ac:dyDescent="0.2">
      <c r="AF49544" s="12"/>
    </row>
    <row r="49545" spans="32:32" x14ac:dyDescent="0.2">
      <c r="AF49545" s="12"/>
    </row>
    <row r="49546" spans="32:32" x14ac:dyDescent="0.2">
      <c r="AF49546" s="12"/>
    </row>
    <row r="49547" spans="32:32" x14ac:dyDescent="0.2">
      <c r="AF49547" s="12"/>
    </row>
    <row r="49548" spans="32:32" x14ac:dyDescent="0.2">
      <c r="AF49548" s="12"/>
    </row>
    <row r="49549" spans="32:32" x14ac:dyDescent="0.2">
      <c r="AF49549" s="12"/>
    </row>
    <row r="49550" spans="32:32" x14ac:dyDescent="0.2">
      <c r="AF49550" s="12"/>
    </row>
    <row r="49551" spans="32:32" x14ac:dyDescent="0.2">
      <c r="AF49551" s="12"/>
    </row>
    <row r="49552" spans="32:32" x14ac:dyDescent="0.2">
      <c r="AF49552" s="12"/>
    </row>
    <row r="49553" spans="32:32" x14ac:dyDescent="0.2">
      <c r="AF49553" s="12"/>
    </row>
    <row r="49554" spans="32:32" x14ac:dyDescent="0.2">
      <c r="AF49554" s="12"/>
    </row>
    <row r="49555" spans="32:32" x14ac:dyDescent="0.2">
      <c r="AF49555" s="12"/>
    </row>
    <row r="49556" spans="32:32" x14ac:dyDescent="0.2">
      <c r="AF49556" s="12"/>
    </row>
    <row r="49557" spans="32:32" x14ac:dyDescent="0.2">
      <c r="AF49557" s="12"/>
    </row>
    <row r="49558" spans="32:32" x14ac:dyDescent="0.2">
      <c r="AF49558" s="12"/>
    </row>
    <row r="49559" spans="32:32" x14ac:dyDescent="0.2">
      <c r="AF49559" s="12"/>
    </row>
    <row r="49560" spans="32:32" x14ac:dyDescent="0.2">
      <c r="AF49560" s="12"/>
    </row>
    <row r="49561" spans="32:32" x14ac:dyDescent="0.2">
      <c r="AF49561" s="12"/>
    </row>
    <row r="49562" spans="32:32" x14ac:dyDescent="0.2">
      <c r="AF49562" s="12"/>
    </row>
    <row r="49563" spans="32:32" x14ac:dyDescent="0.2">
      <c r="AF49563" s="12"/>
    </row>
    <row r="49564" spans="32:32" x14ac:dyDescent="0.2">
      <c r="AF49564" s="12"/>
    </row>
    <row r="49565" spans="32:32" x14ac:dyDescent="0.2">
      <c r="AF49565" s="12"/>
    </row>
    <row r="49566" spans="32:32" x14ac:dyDescent="0.2">
      <c r="AF49566" s="12"/>
    </row>
    <row r="49567" spans="32:32" x14ac:dyDescent="0.2">
      <c r="AF49567" s="12"/>
    </row>
    <row r="49568" spans="32:32" x14ac:dyDescent="0.2">
      <c r="AF49568" s="12"/>
    </row>
    <row r="49569" spans="32:32" x14ac:dyDescent="0.2">
      <c r="AF49569" s="12"/>
    </row>
    <row r="49570" spans="32:32" x14ac:dyDescent="0.2">
      <c r="AF49570" s="12"/>
    </row>
    <row r="49571" spans="32:32" x14ac:dyDescent="0.2">
      <c r="AF49571" s="12"/>
    </row>
    <row r="49572" spans="32:32" x14ac:dyDescent="0.2">
      <c r="AF49572" s="12"/>
    </row>
    <row r="49573" spans="32:32" x14ac:dyDescent="0.2">
      <c r="AF49573" s="12"/>
    </row>
    <row r="49574" spans="32:32" x14ac:dyDescent="0.2">
      <c r="AF49574" s="12"/>
    </row>
    <row r="49575" spans="32:32" x14ac:dyDescent="0.2">
      <c r="AF49575" s="12"/>
    </row>
    <row r="49576" spans="32:32" x14ac:dyDescent="0.2">
      <c r="AF49576" s="12"/>
    </row>
    <row r="49577" spans="32:32" x14ac:dyDescent="0.2">
      <c r="AF49577" s="12"/>
    </row>
    <row r="49578" spans="32:32" x14ac:dyDescent="0.2">
      <c r="AF49578" s="12"/>
    </row>
    <row r="49579" spans="32:32" x14ac:dyDescent="0.2">
      <c r="AF49579" s="12"/>
    </row>
    <row r="49580" spans="32:32" x14ac:dyDescent="0.2">
      <c r="AF49580" s="12"/>
    </row>
    <row r="49581" spans="32:32" x14ac:dyDescent="0.2">
      <c r="AF49581" s="12"/>
    </row>
    <row r="49582" spans="32:32" x14ac:dyDescent="0.2">
      <c r="AF49582" s="12"/>
    </row>
    <row r="49583" spans="32:32" x14ac:dyDescent="0.2">
      <c r="AF49583" s="12"/>
    </row>
    <row r="49584" spans="32:32" x14ac:dyDescent="0.2">
      <c r="AF49584" s="12"/>
    </row>
    <row r="49585" spans="32:32" x14ac:dyDescent="0.2">
      <c r="AF49585" s="12"/>
    </row>
    <row r="49586" spans="32:32" x14ac:dyDescent="0.2">
      <c r="AF49586" s="12"/>
    </row>
    <row r="49587" spans="32:32" x14ac:dyDescent="0.2">
      <c r="AF49587" s="12"/>
    </row>
    <row r="49588" spans="32:32" x14ac:dyDescent="0.2">
      <c r="AF49588" s="12"/>
    </row>
    <row r="49589" spans="32:32" x14ac:dyDescent="0.2">
      <c r="AF49589" s="12"/>
    </row>
    <row r="49590" spans="32:32" x14ac:dyDescent="0.2">
      <c r="AF49590" s="12"/>
    </row>
    <row r="49591" spans="32:32" x14ac:dyDescent="0.2">
      <c r="AF49591" s="12"/>
    </row>
    <row r="49592" spans="32:32" x14ac:dyDescent="0.2">
      <c r="AF49592" s="12"/>
    </row>
    <row r="49593" spans="32:32" x14ac:dyDescent="0.2">
      <c r="AF49593" s="12"/>
    </row>
    <row r="49594" spans="32:32" x14ac:dyDescent="0.2">
      <c r="AF49594" s="12"/>
    </row>
    <row r="49595" spans="32:32" x14ac:dyDescent="0.2">
      <c r="AF49595" s="12"/>
    </row>
    <row r="49596" spans="32:32" x14ac:dyDescent="0.2">
      <c r="AF49596" s="12"/>
    </row>
    <row r="49597" spans="32:32" x14ac:dyDescent="0.2">
      <c r="AF49597" s="12"/>
    </row>
    <row r="49598" spans="32:32" x14ac:dyDescent="0.2">
      <c r="AF49598" s="12"/>
    </row>
    <row r="49599" spans="32:32" x14ac:dyDescent="0.2">
      <c r="AF49599" s="12"/>
    </row>
    <row r="49600" spans="32:32" x14ac:dyDescent="0.2">
      <c r="AF49600" s="12"/>
    </row>
    <row r="49601" spans="32:32" x14ac:dyDescent="0.2">
      <c r="AF49601" s="12"/>
    </row>
    <row r="49602" spans="32:32" x14ac:dyDescent="0.2">
      <c r="AF49602" s="12"/>
    </row>
    <row r="49603" spans="32:32" x14ac:dyDescent="0.2">
      <c r="AF49603" s="12"/>
    </row>
    <row r="49604" spans="32:32" x14ac:dyDescent="0.2">
      <c r="AF49604" s="12"/>
    </row>
    <row r="49605" spans="32:32" x14ac:dyDescent="0.2">
      <c r="AF49605" s="12"/>
    </row>
    <row r="49606" spans="32:32" x14ac:dyDescent="0.2">
      <c r="AF49606" s="12"/>
    </row>
    <row r="49607" spans="32:32" x14ac:dyDescent="0.2">
      <c r="AF49607" s="12"/>
    </row>
    <row r="49608" spans="32:32" x14ac:dyDescent="0.2">
      <c r="AF49608" s="12"/>
    </row>
    <row r="49609" spans="32:32" x14ac:dyDescent="0.2">
      <c r="AF49609" s="12"/>
    </row>
    <row r="49610" spans="32:32" x14ac:dyDescent="0.2">
      <c r="AF49610" s="12"/>
    </row>
    <row r="49611" spans="32:32" x14ac:dyDescent="0.2">
      <c r="AF49611" s="12"/>
    </row>
    <row r="49612" spans="32:32" x14ac:dyDescent="0.2">
      <c r="AF49612" s="12"/>
    </row>
    <row r="49613" spans="32:32" x14ac:dyDescent="0.2">
      <c r="AF49613" s="12"/>
    </row>
    <row r="49614" spans="32:32" x14ac:dyDescent="0.2">
      <c r="AF49614" s="12"/>
    </row>
    <row r="49615" spans="32:32" x14ac:dyDescent="0.2">
      <c r="AF49615" s="12"/>
    </row>
    <row r="49616" spans="32:32" x14ac:dyDescent="0.2">
      <c r="AF49616" s="12"/>
    </row>
    <row r="49617" spans="32:32" x14ac:dyDescent="0.2">
      <c r="AF49617" s="12"/>
    </row>
    <row r="49618" spans="32:32" x14ac:dyDescent="0.2">
      <c r="AF49618" s="12"/>
    </row>
    <row r="49619" spans="32:32" x14ac:dyDescent="0.2">
      <c r="AF49619" s="12"/>
    </row>
    <row r="49620" spans="32:32" x14ac:dyDescent="0.2">
      <c r="AF49620" s="12"/>
    </row>
    <row r="49621" spans="32:32" x14ac:dyDescent="0.2">
      <c r="AF49621" s="12"/>
    </row>
    <row r="49622" spans="32:32" x14ac:dyDescent="0.2">
      <c r="AF49622" s="12"/>
    </row>
    <row r="49623" spans="32:32" x14ac:dyDescent="0.2">
      <c r="AF49623" s="12"/>
    </row>
    <row r="49624" spans="32:32" x14ac:dyDescent="0.2">
      <c r="AF49624" s="12"/>
    </row>
    <row r="49625" spans="32:32" x14ac:dyDescent="0.2">
      <c r="AF49625" s="12"/>
    </row>
    <row r="49626" spans="32:32" x14ac:dyDescent="0.2">
      <c r="AF49626" s="12"/>
    </row>
    <row r="49627" spans="32:32" x14ac:dyDescent="0.2">
      <c r="AF49627" s="12"/>
    </row>
    <row r="49628" spans="32:32" x14ac:dyDescent="0.2">
      <c r="AF49628" s="12"/>
    </row>
    <row r="49629" spans="32:32" x14ac:dyDescent="0.2">
      <c r="AF49629" s="12"/>
    </row>
    <row r="49630" spans="32:32" x14ac:dyDescent="0.2">
      <c r="AF49630" s="12"/>
    </row>
    <row r="49631" spans="32:32" x14ac:dyDescent="0.2">
      <c r="AF49631" s="12"/>
    </row>
    <row r="49632" spans="32:32" x14ac:dyDescent="0.2">
      <c r="AF49632" s="12"/>
    </row>
    <row r="49633" spans="32:32" x14ac:dyDescent="0.2">
      <c r="AF49633" s="12"/>
    </row>
    <row r="49634" spans="32:32" x14ac:dyDescent="0.2">
      <c r="AF49634" s="12"/>
    </row>
    <row r="49635" spans="32:32" x14ac:dyDescent="0.2">
      <c r="AF49635" s="12"/>
    </row>
    <row r="49636" spans="32:32" x14ac:dyDescent="0.2">
      <c r="AF49636" s="12"/>
    </row>
    <row r="49637" spans="32:32" x14ac:dyDescent="0.2">
      <c r="AF49637" s="12"/>
    </row>
    <row r="49638" spans="32:32" x14ac:dyDescent="0.2">
      <c r="AF49638" s="12"/>
    </row>
    <row r="49639" spans="32:32" x14ac:dyDescent="0.2">
      <c r="AF49639" s="12"/>
    </row>
    <row r="49640" spans="32:32" x14ac:dyDescent="0.2">
      <c r="AF49640" s="12"/>
    </row>
    <row r="49641" spans="32:32" x14ac:dyDescent="0.2">
      <c r="AF49641" s="12"/>
    </row>
    <row r="49642" spans="32:32" x14ac:dyDescent="0.2">
      <c r="AF49642" s="12"/>
    </row>
    <row r="49643" spans="32:32" x14ac:dyDescent="0.2">
      <c r="AF49643" s="12"/>
    </row>
    <row r="49644" spans="32:32" x14ac:dyDescent="0.2">
      <c r="AF49644" s="12"/>
    </row>
    <row r="49645" spans="32:32" x14ac:dyDescent="0.2">
      <c r="AF49645" s="12"/>
    </row>
    <row r="49646" spans="32:32" x14ac:dyDescent="0.2">
      <c r="AF49646" s="12"/>
    </row>
    <row r="49647" spans="32:32" x14ac:dyDescent="0.2">
      <c r="AF49647" s="12"/>
    </row>
    <row r="49648" spans="32:32" x14ac:dyDescent="0.2">
      <c r="AF49648" s="12"/>
    </row>
    <row r="49649" spans="32:32" x14ac:dyDescent="0.2">
      <c r="AF49649" s="12"/>
    </row>
    <row r="49650" spans="32:32" x14ac:dyDescent="0.2">
      <c r="AF49650" s="12"/>
    </row>
    <row r="49651" spans="32:32" x14ac:dyDescent="0.2">
      <c r="AF49651" s="12"/>
    </row>
    <row r="49652" spans="32:32" x14ac:dyDescent="0.2">
      <c r="AF49652" s="12"/>
    </row>
    <row r="49653" spans="32:32" x14ac:dyDescent="0.2">
      <c r="AF49653" s="12"/>
    </row>
    <row r="49654" spans="32:32" x14ac:dyDescent="0.2">
      <c r="AF49654" s="12"/>
    </row>
    <row r="49655" spans="32:32" x14ac:dyDescent="0.2">
      <c r="AF49655" s="12"/>
    </row>
    <row r="49656" spans="32:32" x14ac:dyDescent="0.2">
      <c r="AF49656" s="12"/>
    </row>
    <row r="49657" spans="32:32" x14ac:dyDescent="0.2">
      <c r="AF49657" s="12"/>
    </row>
    <row r="49658" spans="32:32" x14ac:dyDescent="0.2">
      <c r="AF49658" s="12"/>
    </row>
    <row r="49659" spans="32:32" x14ac:dyDescent="0.2">
      <c r="AF49659" s="12"/>
    </row>
    <row r="49660" spans="32:32" x14ac:dyDescent="0.2">
      <c r="AF49660" s="12"/>
    </row>
    <row r="49661" spans="32:32" x14ac:dyDescent="0.2">
      <c r="AF49661" s="12"/>
    </row>
    <row r="49662" spans="32:32" x14ac:dyDescent="0.2">
      <c r="AF49662" s="12"/>
    </row>
    <row r="49663" spans="32:32" x14ac:dyDescent="0.2">
      <c r="AF49663" s="12"/>
    </row>
    <row r="49664" spans="32:32" x14ac:dyDescent="0.2">
      <c r="AF49664" s="12"/>
    </row>
    <row r="49665" spans="32:32" x14ac:dyDescent="0.2">
      <c r="AF49665" s="12"/>
    </row>
    <row r="49666" spans="32:32" x14ac:dyDescent="0.2">
      <c r="AF49666" s="12"/>
    </row>
    <row r="49667" spans="32:32" x14ac:dyDescent="0.2">
      <c r="AF49667" s="12"/>
    </row>
    <row r="49668" spans="32:32" x14ac:dyDescent="0.2">
      <c r="AF49668" s="12"/>
    </row>
    <row r="49669" spans="32:32" x14ac:dyDescent="0.2">
      <c r="AF49669" s="12"/>
    </row>
    <row r="49670" spans="32:32" x14ac:dyDescent="0.2">
      <c r="AF49670" s="12"/>
    </row>
    <row r="49671" spans="32:32" x14ac:dyDescent="0.2">
      <c r="AF49671" s="12"/>
    </row>
    <row r="49672" spans="32:32" x14ac:dyDescent="0.2">
      <c r="AF49672" s="12"/>
    </row>
    <row r="49673" spans="32:32" x14ac:dyDescent="0.2">
      <c r="AF49673" s="12"/>
    </row>
    <row r="49674" spans="32:32" x14ac:dyDescent="0.2">
      <c r="AF49674" s="12"/>
    </row>
    <row r="49675" spans="32:32" x14ac:dyDescent="0.2">
      <c r="AF49675" s="12"/>
    </row>
    <row r="49676" spans="32:32" x14ac:dyDescent="0.2">
      <c r="AF49676" s="12"/>
    </row>
    <row r="49677" spans="32:32" x14ac:dyDescent="0.2">
      <c r="AF49677" s="12"/>
    </row>
    <row r="49678" spans="32:32" x14ac:dyDescent="0.2">
      <c r="AF49678" s="12"/>
    </row>
    <row r="49679" spans="32:32" x14ac:dyDescent="0.2">
      <c r="AF49679" s="12"/>
    </row>
    <row r="49680" spans="32:32" x14ac:dyDescent="0.2">
      <c r="AF49680" s="12"/>
    </row>
    <row r="49681" spans="32:32" x14ac:dyDescent="0.2">
      <c r="AF49681" s="12"/>
    </row>
    <row r="49682" spans="32:32" x14ac:dyDescent="0.2">
      <c r="AF49682" s="12"/>
    </row>
    <row r="49683" spans="32:32" x14ac:dyDescent="0.2">
      <c r="AF49683" s="12"/>
    </row>
    <row r="49684" spans="32:32" x14ac:dyDescent="0.2">
      <c r="AF49684" s="12"/>
    </row>
    <row r="49685" spans="32:32" x14ac:dyDescent="0.2">
      <c r="AF49685" s="12"/>
    </row>
    <row r="49686" spans="32:32" x14ac:dyDescent="0.2">
      <c r="AF49686" s="12"/>
    </row>
    <row r="49687" spans="32:32" x14ac:dyDescent="0.2">
      <c r="AF49687" s="12"/>
    </row>
    <row r="49688" spans="32:32" x14ac:dyDescent="0.2">
      <c r="AF49688" s="12"/>
    </row>
    <row r="49689" spans="32:32" x14ac:dyDescent="0.2">
      <c r="AF49689" s="12"/>
    </row>
    <row r="49690" spans="32:32" x14ac:dyDescent="0.2">
      <c r="AF49690" s="12"/>
    </row>
    <row r="49691" spans="32:32" x14ac:dyDescent="0.2">
      <c r="AF49691" s="12"/>
    </row>
    <row r="49692" spans="32:32" x14ac:dyDescent="0.2">
      <c r="AF49692" s="12"/>
    </row>
    <row r="49693" spans="32:32" x14ac:dyDescent="0.2">
      <c r="AF49693" s="12"/>
    </row>
    <row r="49694" spans="32:32" x14ac:dyDescent="0.2">
      <c r="AF49694" s="12"/>
    </row>
    <row r="49695" spans="32:32" x14ac:dyDescent="0.2">
      <c r="AF49695" s="12"/>
    </row>
    <row r="49696" spans="32:32" x14ac:dyDescent="0.2">
      <c r="AF49696" s="12"/>
    </row>
    <row r="49697" spans="32:32" x14ac:dyDescent="0.2">
      <c r="AF49697" s="12"/>
    </row>
    <row r="49698" spans="32:32" x14ac:dyDescent="0.2">
      <c r="AF49698" s="12"/>
    </row>
    <row r="49699" spans="32:32" x14ac:dyDescent="0.2">
      <c r="AF49699" s="12"/>
    </row>
    <row r="49700" spans="32:32" x14ac:dyDescent="0.2">
      <c r="AF49700" s="12"/>
    </row>
    <row r="49701" spans="32:32" x14ac:dyDescent="0.2">
      <c r="AF49701" s="12"/>
    </row>
    <row r="49702" spans="32:32" x14ac:dyDescent="0.2">
      <c r="AF49702" s="12"/>
    </row>
    <row r="49703" spans="32:32" x14ac:dyDescent="0.2">
      <c r="AF49703" s="12"/>
    </row>
    <row r="49704" spans="32:32" x14ac:dyDescent="0.2">
      <c r="AF49704" s="12"/>
    </row>
    <row r="49705" spans="32:32" x14ac:dyDescent="0.2">
      <c r="AF49705" s="12"/>
    </row>
    <row r="49706" spans="32:32" x14ac:dyDescent="0.2">
      <c r="AF49706" s="12"/>
    </row>
    <row r="49707" spans="32:32" x14ac:dyDescent="0.2">
      <c r="AF49707" s="12"/>
    </row>
    <row r="49708" spans="32:32" x14ac:dyDescent="0.2">
      <c r="AF49708" s="12"/>
    </row>
    <row r="49709" spans="32:32" x14ac:dyDescent="0.2">
      <c r="AF49709" s="12"/>
    </row>
    <row r="49710" spans="32:32" x14ac:dyDescent="0.2">
      <c r="AF49710" s="12"/>
    </row>
    <row r="49711" spans="32:32" x14ac:dyDescent="0.2">
      <c r="AF49711" s="12"/>
    </row>
    <row r="49712" spans="32:32" x14ac:dyDescent="0.2">
      <c r="AF49712" s="12"/>
    </row>
    <row r="49713" spans="32:32" x14ac:dyDescent="0.2">
      <c r="AF49713" s="12"/>
    </row>
    <row r="49714" spans="32:32" x14ac:dyDescent="0.2">
      <c r="AF49714" s="12"/>
    </row>
    <row r="49715" spans="32:32" x14ac:dyDescent="0.2">
      <c r="AF49715" s="12"/>
    </row>
    <row r="49716" spans="32:32" x14ac:dyDescent="0.2">
      <c r="AF49716" s="12"/>
    </row>
    <row r="49717" spans="32:32" x14ac:dyDescent="0.2">
      <c r="AF49717" s="12"/>
    </row>
    <row r="49718" spans="32:32" x14ac:dyDescent="0.2">
      <c r="AF49718" s="12"/>
    </row>
    <row r="49719" spans="32:32" x14ac:dyDescent="0.2">
      <c r="AF49719" s="12"/>
    </row>
    <row r="49720" spans="32:32" x14ac:dyDescent="0.2">
      <c r="AF49720" s="12"/>
    </row>
    <row r="49721" spans="32:32" x14ac:dyDescent="0.2">
      <c r="AF49721" s="12"/>
    </row>
    <row r="49722" spans="32:32" x14ac:dyDescent="0.2">
      <c r="AF49722" s="12"/>
    </row>
    <row r="49723" spans="32:32" x14ac:dyDescent="0.2">
      <c r="AF49723" s="12"/>
    </row>
    <row r="49724" spans="32:32" x14ac:dyDescent="0.2">
      <c r="AF49724" s="12"/>
    </row>
    <row r="49725" spans="32:32" x14ac:dyDescent="0.2">
      <c r="AF49725" s="12"/>
    </row>
    <row r="49726" spans="32:32" x14ac:dyDescent="0.2">
      <c r="AF49726" s="12"/>
    </row>
    <row r="49727" spans="32:32" x14ac:dyDescent="0.2">
      <c r="AF49727" s="12"/>
    </row>
    <row r="49728" spans="32:32" x14ac:dyDescent="0.2">
      <c r="AF49728" s="12"/>
    </row>
    <row r="49729" spans="32:32" x14ac:dyDescent="0.2">
      <c r="AF49729" s="12"/>
    </row>
    <row r="49730" spans="32:32" x14ac:dyDescent="0.2">
      <c r="AF49730" s="12"/>
    </row>
    <row r="49731" spans="32:32" x14ac:dyDescent="0.2">
      <c r="AF49731" s="12"/>
    </row>
    <row r="49732" spans="32:32" x14ac:dyDescent="0.2">
      <c r="AF49732" s="12"/>
    </row>
    <row r="49733" spans="32:32" x14ac:dyDescent="0.2">
      <c r="AF49733" s="12"/>
    </row>
    <row r="49734" spans="32:32" x14ac:dyDescent="0.2">
      <c r="AF49734" s="12"/>
    </row>
    <row r="49735" spans="32:32" x14ac:dyDescent="0.2">
      <c r="AF49735" s="12"/>
    </row>
    <row r="49736" spans="32:32" x14ac:dyDescent="0.2">
      <c r="AF49736" s="12"/>
    </row>
    <row r="49737" spans="32:32" x14ac:dyDescent="0.2">
      <c r="AF49737" s="12"/>
    </row>
    <row r="49738" spans="32:32" x14ac:dyDescent="0.2">
      <c r="AF49738" s="12"/>
    </row>
    <row r="49739" spans="32:32" x14ac:dyDescent="0.2">
      <c r="AF49739" s="12"/>
    </row>
    <row r="49740" spans="32:32" x14ac:dyDescent="0.2">
      <c r="AF49740" s="12"/>
    </row>
    <row r="49741" spans="32:32" x14ac:dyDescent="0.2">
      <c r="AF49741" s="12"/>
    </row>
    <row r="49742" spans="32:32" x14ac:dyDescent="0.2">
      <c r="AF49742" s="12"/>
    </row>
    <row r="49743" spans="32:32" x14ac:dyDescent="0.2">
      <c r="AF49743" s="12"/>
    </row>
    <row r="49744" spans="32:32" x14ac:dyDescent="0.2">
      <c r="AF49744" s="12"/>
    </row>
    <row r="49745" spans="32:32" x14ac:dyDescent="0.2">
      <c r="AF49745" s="12"/>
    </row>
    <row r="49746" spans="32:32" x14ac:dyDescent="0.2">
      <c r="AF49746" s="12"/>
    </row>
    <row r="49747" spans="32:32" x14ac:dyDescent="0.2">
      <c r="AF49747" s="12"/>
    </row>
    <row r="49748" spans="32:32" x14ac:dyDescent="0.2">
      <c r="AF49748" s="12"/>
    </row>
    <row r="49749" spans="32:32" x14ac:dyDescent="0.2">
      <c r="AF49749" s="12"/>
    </row>
    <row r="49750" spans="32:32" x14ac:dyDescent="0.2">
      <c r="AF49750" s="12"/>
    </row>
    <row r="49751" spans="32:32" x14ac:dyDescent="0.2">
      <c r="AF49751" s="12"/>
    </row>
    <row r="49752" spans="32:32" x14ac:dyDescent="0.2">
      <c r="AF49752" s="12"/>
    </row>
    <row r="49753" spans="32:32" x14ac:dyDescent="0.2">
      <c r="AF49753" s="12"/>
    </row>
    <row r="49754" spans="32:32" x14ac:dyDescent="0.2">
      <c r="AF49754" s="12"/>
    </row>
    <row r="49755" spans="32:32" x14ac:dyDescent="0.2">
      <c r="AF49755" s="12"/>
    </row>
    <row r="49756" spans="32:32" x14ac:dyDescent="0.2">
      <c r="AF49756" s="12"/>
    </row>
    <row r="49757" spans="32:32" x14ac:dyDescent="0.2">
      <c r="AF49757" s="12"/>
    </row>
    <row r="49758" spans="32:32" x14ac:dyDescent="0.2">
      <c r="AF49758" s="12"/>
    </row>
    <row r="49759" spans="32:32" x14ac:dyDescent="0.2">
      <c r="AF49759" s="12"/>
    </row>
    <row r="49760" spans="32:32" x14ac:dyDescent="0.2">
      <c r="AF49760" s="12"/>
    </row>
    <row r="49761" spans="32:32" x14ac:dyDescent="0.2">
      <c r="AF49761" s="12"/>
    </row>
    <row r="49762" spans="32:32" x14ac:dyDescent="0.2">
      <c r="AF49762" s="12"/>
    </row>
    <row r="49763" spans="32:32" x14ac:dyDescent="0.2">
      <c r="AF49763" s="12"/>
    </row>
    <row r="49764" spans="32:32" x14ac:dyDescent="0.2">
      <c r="AF49764" s="12"/>
    </row>
    <row r="49765" spans="32:32" x14ac:dyDescent="0.2">
      <c r="AF49765" s="12"/>
    </row>
    <row r="49766" spans="32:32" x14ac:dyDescent="0.2">
      <c r="AF49766" s="12"/>
    </row>
    <row r="49767" spans="32:32" x14ac:dyDescent="0.2">
      <c r="AF49767" s="12"/>
    </row>
    <row r="49768" spans="32:32" x14ac:dyDescent="0.2">
      <c r="AF49768" s="12"/>
    </row>
    <row r="49769" spans="32:32" x14ac:dyDescent="0.2">
      <c r="AF49769" s="12"/>
    </row>
    <row r="49770" spans="32:32" x14ac:dyDescent="0.2">
      <c r="AF49770" s="12"/>
    </row>
    <row r="49771" spans="32:32" x14ac:dyDescent="0.2">
      <c r="AF49771" s="12"/>
    </row>
    <row r="49772" spans="32:32" x14ac:dyDescent="0.2">
      <c r="AF49772" s="12"/>
    </row>
    <row r="49773" spans="32:32" x14ac:dyDescent="0.2">
      <c r="AF49773" s="12"/>
    </row>
    <row r="49774" spans="32:32" x14ac:dyDescent="0.2">
      <c r="AF49774" s="12"/>
    </row>
    <row r="49775" spans="32:32" x14ac:dyDescent="0.2">
      <c r="AF49775" s="12"/>
    </row>
    <row r="49776" spans="32:32" x14ac:dyDescent="0.2">
      <c r="AF49776" s="12"/>
    </row>
    <row r="49777" spans="32:32" x14ac:dyDescent="0.2">
      <c r="AF49777" s="12"/>
    </row>
    <row r="49778" spans="32:32" x14ac:dyDescent="0.2">
      <c r="AF49778" s="12"/>
    </row>
    <row r="49779" spans="32:32" x14ac:dyDescent="0.2">
      <c r="AF49779" s="12"/>
    </row>
    <row r="49780" spans="32:32" x14ac:dyDescent="0.2">
      <c r="AF49780" s="12"/>
    </row>
    <row r="49781" spans="32:32" x14ac:dyDescent="0.2">
      <c r="AF49781" s="12"/>
    </row>
    <row r="49782" spans="32:32" x14ac:dyDescent="0.2">
      <c r="AF49782" s="12"/>
    </row>
    <row r="49783" spans="32:32" x14ac:dyDescent="0.2">
      <c r="AF49783" s="12"/>
    </row>
    <row r="49784" spans="32:32" x14ac:dyDescent="0.2">
      <c r="AF49784" s="12"/>
    </row>
    <row r="49785" spans="32:32" x14ac:dyDescent="0.2">
      <c r="AF49785" s="12"/>
    </row>
    <row r="49786" spans="32:32" x14ac:dyDescent="0.2">
      <c r="AF49786" s="12"/>
    </row>
    <row r="49787" spans="32:32" x14ac:dyDescent="0.2">
      <c r="AF49787" s="12"/>
    </row>
    <row r="49788" spans="32:32" x14ac:dyDescent="0.2">
      <c r="AF49788" s="12"/>
    </row>
    <row r="49789" spans="32:32" x14ac:dyDescent="0.2">
      <c r="AF49789" s="12"/>
    </row>
    <row r="49790" spans="32:32" x14ac:dyDescent="0.2">
      <c r="AF49790" s="12"/>
    </row>
    <row r="49791" spans="32:32" x14ac:dyDescent="0.2">
      <c r="AF49791" s="12"/>
    </row>
    <row r="49792" spans="32:32" x14ac:dyDescent="0.2">
      <c r="AF49792" s="12"/>
    </row>
    <row r="49793" spans="32:32" x14ac:dyDescent="0.2">
      <c r="AF49793" s="12"/>
    </row>
    <row r="49794" spans="32:32" x14ac:dyDescent="0.2">
      <c r="AF49794" s="12"/>
    </row>
    <row r="49795" spans="32:32" x14ac:dyDescent="0.2">
      <c r="AF49795" s="12"/>
    </row>
    <row r="49796" spans="32:32" x14ac:dyDescent="0.2">
      <c r="AF49796" s="12"/>
    </row>
    <row r="49797" spans="32:32" x14ac:dyDescent="0.2">
      <c r="AF49797" s="12"/>
    </row>
    <row r="49798" spans="32:32" x14ac:dyDescent="0.2">
      <c r="AF49798" s="12"/>
    </row>
    <row r="49799" spans="32:32" x14ac:dyDescent="0.2">
      <c r="AF49799" s="12"/>
    </row>
    <row r="49800" spans="32:32" x14ac:dyDescent="0.2">
      <c r="AF49800" s="12"/>
    </row>
    <row r="49801" spans="32:32" x14ac:dyDescent="0.2">
      <c r="AF49801" s="12"/>
    </row>
    <row r="49802" spans="32:32" x14ac:dyDescent="0.2">
      <c r="AF49802" s="12"/>
    </row>
    <row r="49803" spans="32:32" x14ac:dyDescent="0.2">
      <c r="AF49803" s="12"/>
    </row>
    <row r="49804" spans="32:32" x14ac:dyDescent="0.2">
      <c r="AF49804" s="12"/>
    </row>
    <row r="49805" spans="32:32" x14ac:dyDescent="0.2">
      <c r="AF49805" s="12"/>
    </row>
    <row r="49806" spans="32:32" x14ac:dyDescent="0.2">
      <c r="AF49806" s="12"/>
    </row>
    <row r="49807" spans="32:32" x14ac:dyDescent="0.2">
      <c r="AF49807" s="12"/>
    </row>
    <row r="49808" spans="32:32" x14ac:dyDescent="0.2">
      <c r="AF49808" s="12"/>
    </row>
    <row r="49809" spans="32:32" x14ac:dyDescent="0.2">
      <c r="AF49809" s="12"/>
    </row>
    <row r="49810" spans="32:32" x14ac:dyDescent="0.2">
      <c r="AF49810" s="12"/>
    </row>
    <row r="49811" spans="32:32" x14ac:dyDescent="0.2">
      <c r="AF49811" s="12"/>
    </row>
    <row r="49812" spans="32:32" x14ac:dyDescent="0.2">
      <c r="AF49812" s="12"/>
    </row>
    <row r="49813" spans="32:32" x14ac:dyDescent="0.2">
      <c r="AF49813" s="12"/>
    </row>
    <row r="49814" spans="32:32" x14ac:dyDescent="0.2">
      <c r="AF49814" s="12"/>
    </row>
    <row r="49815" spans="32:32" x14ac:dyDescent="0.2">
      <c r="AF49815" s="12"/>
    </row>
    <row r="49816" spans="32:32" x14ac:dyDescent="0.2">
      <c r="AF49816" s="12"/>
    </row>
    <row r="49817" spans="32:32" x14ac:dyDescent="0.2">
      <c r="AF49817" s="12"/>
    </row>
    <row r="49818" spans="32:32" x14ac:dyDescent="0.2">
      <c r="AF49818" s="12"/>
    </row>
    <row r="49819" spans="32:32" x14ac:dyDescent="0.2">
      <c r="AF49819" s="12"/>
    </row>
    <row r="49820" spans="32:32" x14ac:dyDescent="0.2">
      <c r="AF49820" s="12"/>
    </row>
    <row r="49821" spans="32:32" x14ac:dyDescent="0.2">
      <c r="AF49821" s="12"/>
    </row>
    <row r="49822" spans="32:32" x14ac:dyDescent="0.2">
      <c r="AF49822" s="12"/>
    </row>
    <row r="49823" spans="32:32" x14ac:dyDescent="0.2">
      <c r="AF49823" s="12"/>
    </row>
    <row r="49824" spans="32:32" x14ac:dyDescent="0.2">
      <c r="AF49824" s="12"/>
    </row>
    <row r="49825" spans="32:32" x14ac:dyDescent="0.2">
      <c r="AF49825" s="12"/>
    </row>
    <row r="49826" spans="32:32" x14ac:dyDescent="0.2">
      <c r="AF49826" s="12"/>
    </row>
    <row r="49827" spans="32:32" x14ac:dyDescent="0.2">
      <c r="AF49827" s="12"/>
    </row>
    <row r="49828" spans="32:32" x14ac:dyDescent="0.2">
      <c r="AF49828" s="12"/>
    </row>
    <row r="49829" spans="32:32" x14ac:dyDescent="0.2">
      <c r="AF49829" s="12"/>
    </row>
    <row r="49830" spans="32:32" x14ac:dyDescent="0.2">
      <c r="AF49830" s="12"/>
    </row>
    <row r="49831" spans="32:32" x14ac:dyDescent="0.2">
      <c r="AF49831" s="12"/>
    </row>
    <row r="49832" spans="32:32" x14ac:dyDescent="0.2">
      <c r="AF49832" s="12"/>
    </row>
    <row r="49833" spans="32:32" x14ac:dyDescent="0.2">
      <c r="AF49833" s="12"/>
    </row>
    <row r="49834" spans="32:32" x14ac:dyDescent="0.2">
      <c r="AF49834" s="12"/>
    </row>
    <row r="49835" spans="32:32" x14ac:dyDescent="0.2">
      <c r="AF49835" s="12"/>
    </row>
    <row r="49836" spans="32:32" x14ac:dyDescent="0.2">
      <c r="AF49836" s="12"/>
    </row>
    <row r="49837" spans="32:32" x14ac:dyDescent="0.2">
      <c r="AF49837" s="12"/>
    </row>
    <row r="49838" spans="32:32" x14ac:dyDescent="0.2">
      <c r="AF49838" s="12"/>
    </row>
    <row r="49839" spans="32:32" x14ac:dyDescent="0.2">
      <c r="AF49839" s="12"/>
    </row>
    <row r="49840" spans="32:32" x14ac:dyDescent="0.2">
      <c r="AF49840" s="12"/>
    </row>
    <row r="49841" spans="32:32" x14ac:dyDescent="0.2">
      <c r="AF49841" s="12"/>
    </row>
    <row r="49842" spans="32:32" x14ac:dyDescent="0.2">
      <c r="AF49842" s="12"/>
    </row>
    <row r="49843" spans="32:32" x14ac:dyDescent="0.2">
      <c r="AF49843" s="12"/>
    </row>
    <row r="49844" spans="32:32" x14ac:dyDescent="0.2">
      <c r="AF49844" s="12"/>
    </row>
    <row r="49845" spans="32:32" x14ac:dyDescent="0.2">
      <c r="AF49845" s="12"/>
    </row>
    <row r="49846" spans="32:32" x14ac:dyDescent="0.2">
      <c r="AF49846" s="12"/>
    </row>
    <row r="49847" spans="32:32" x14ac:dyDescent="0.2">
      <c r="AF49847" s="12"/>
    </row>
    <row r="49848" spans="32:32" x14ac:dyDescent="0.2">
      <c r="AF49848" s="12"/>
    </row>
    <row r="49849" spans="32:32" x14ac:dyDescent="0.2">
      <c r="AF49849" s="12"/>
    </row>
    <row r="49850" spans="32:32" x14ac:dyDescent="0.2">
      <c r="AF49850" s="12"/>
    </row>
    <row r="49851" spans="32:32" x14ac:dyDescent="0.2">
      <c r="AF49851" s="12"/>
    </row>
    <row r="49852" spans="32:32" x14ac:dyDescent="0.2">
      <c r="AF49852" s="12"/>
    </row>
    <row r="49853" spans="32:32" x14ac:dyDescent="0.2">
      <c r="AF49853" s="12"/>
    </row>
    <row r="49854" spans="32:32" x14ac:dyDescent="0.2">
      <c r="AF49854" s="12"/>
    </row>
    <row r="49855" spans="32:32" x14ac:dyDescent="0.2">
      <c r="AF49855" s="12"/>
    </row>
    <row r="49856" spans="32:32" x14ac:dyDescent="0.2">
      <c r="AF49856" s="12"/>
    </row>
    <row r="49857" spans="32:32" x14ac:dyDescent="0.2">
      <c r="AF49857" s="12"/>
    </row>
    <row r="49858" spans="32:32" x14ac:dyDescent="0.2">
      <c r="AF49858" s="12"/>
    </row>
    <row r="49859" spans="32:32" x14ac:dyDescent="0.2">
      <c r="AF49859" s="12"/>
    </row>
    <row r="49860" spans="32:32" x14ac:dyDescent="0.2">
      <c r="AF49860" s="12"/>
    </row>
    <row r="49861" spans="32:32" x14ac:dyDescent="0.2">
      <c r="AF49861" s="12"/>
    </row>
    <row r="49862" spans="32:32" x14ac:dyDescent="0.2">
      <c r="AF49862" s="12"/>
    </row>
    <row r="49863" spans="32:32" x14ac:dyDescent="0.2">
      <c r="AF49863" s="12"/>
    </row>
    <row r="49864" spans="32:32" x14ac:dyDescent="0.2">
      <c r="AF49864" s="12"/>
    </row>
    <row r="49865" spans="32:32" x14ac:dyDescent="0.2">
      <c r="AF49865" s="12"/>
    </row>
    <row r="49866" spans="32:32" x14ac:dyDescent="0.2">
      <c r="AF49866" s="12"/>
    </row>
    <row r="49867" spans="32:32" x14ac:dyDescent="0.2">
      <c r="AF49867" s="12"/>
    </row>
    <row r="49868" spans="32:32" x14ac:dyDescent="0.2">
      <c r="AF49868" s="12"/>
    </row>
    <row r="49869" spans="32:32" x14ac:dyDescent="0.2">
      <c r="AF49869" s="12"/>
    </row>
    <row r="49870" spans="32:32" x14ac:dyDescent="0.2">
      <c r="AF49870" s="12"/>
    </row>
    <row r="49871" spans="32:32" x14ac:dyDescent="0.2">
      <c r="AF49871" s="12"/>
    </row>
    <row r="49872" spans="32:32" x14ac:dyDescent="0.2">
      <c r="AF49872" s="12"/>
    </row>
    <row r="49873" spans="32:32" x14ac:dyDescent="0.2">
      <c r="AF49873" s="12"/>
    </row>
    <row r="49874" spans="32:32" x14ac:dyDescent="0.2">
      <c r="AF49874" s="12"/>
    </row>
    <row r="49875" spans="32:32" x14ac:dyDescent="0.2">
      <c r="AF49875" s="12"/>
    </row>
    <row r="49876" spans="32:32" x14ac:dyDescent="0.2">
      <c r="AF49876" s="12"/>
    </row>
    <row r="49877" spans="32:32" x14ac:dyDescent="0.2">
      <c r="AF49877" s="12"/>
    </row>
    <row r="49878" spans="32:32" x14ac:dyDescent="0.2">
      <c r="AF49878" s="12"/>
    </row>
    <row r="49879" spans="32:32" x14ac:dyDescent="0.2">
      <c r="AF49879" s="12"/>
    </row>
    <row r="49880" spans="32:32" x14ac:dyDescent="0.2">
      <c r="AF49880" s="12"/>
    </row>
    <row r="49881" spans="32:32" x14ac:dyDescent="0.2">
      <c r="AF49881" s="12"/>
    </row>
    <row r="49882" spans="32:32" x14ac:dyDescent="0.2">
      <c r="AF49882" s="12"/>
    </row>
    <row r="49883" spans="32:32" x14ac:dyDescent="0.2">
      <c r="AF49883" s="12"/>
    </row>
    <row r="49884" spans="32:32" x14ac:dyDescent="0.2">
      <c r="AF49884" s="12"/>
    </row>
    <row r="49885" spans="32:32" x14ac:dyDescent="0.2">
      <c r="AF49885" s="12"/>
    </row>
    <row r="49886" spans="32:32" x14ac:dyDescent="0.2">
      <c r="AF49886" s="12"/>
    </row>
    <row r="49887" spans="32:32" x14ac:dyDescent="0.2">
      <c r="AF49887" s="12"/>
    </row>
    <row r="49888" spans="32:32" x14ac:dyDescent="0.2">
      <c r="AF49888" s="12"/>
    </row>
    <row r="49889" spans="32:32" x14ac:dyDescent="0.2">
      <c r="AF49889" s="12"/>
    </row>
    <row r="49890" spans="32:32" x14ac:dyDescent="0.2">
      <c r="AF49890" s="12"/>
    </row>
    <row r="49891" spans="32:32" x14ac:dyDescent="0.2">
      <c r="AF49891" s="12"/>
    </row>
    <row r="49892" spans="32:32" x14ac:dyDescent="0.2">
      <c r="AF49892" s="12"/>
    </row>
    <row r="49893" spans="32:32" x14ac:dyDescent="0.2">
      <c r="AF49893" s="12"/>
    </row>
    <row r="49894" spans="32:32" x14ac:dyDescent="0.2">
      <c r="AF49894" s="12"/>
    </row>
    <row r="49895" spans="32:32" x14ac:dyDescent="0.2">
      <c r="AF49895" s="12"/>
    </row>
    <row r="49896" spans="32:32" x14ac:dyDescent="0.2">
      <c r="AF49896" s="12"/>
    </row>
    <row r="49897" spans="32:32" x14ac:dyDescent="0.2">
      <c r="AF49897" s="12"/>
    </row>
    <row r="49898" spans="32:32" x14ac:dyDescent="0.2">
      <c r="AF49898" s="12"/>
    </row>
    <row r="49899" spans="32:32" x14ac:dyDescent="0.2">
      <c r="AF49899" s="12"/>
    </row>
    <row r="49900" spans="32:32" x14ac:dyDescent="0.2">
      <c r="AF49900" s="12"/>
    </row>
    <row r="49901" spans="32:32" x14ac:dyDescent="0.2">
      <c r="AF49901" s="12"/>
    </row>
    <row r="49902" spans="32:32" x14ac:dyDescent="0.2">
      <c r="AF49902" s="12"/>
    </row>
    <row r="49903" spans="32:32" x14ac:dyDescent="0.2">
      <c r="AF49903" s="12"/>
    </row>
    <row r="49904" spans="32:32" x14ac:dyDescent="0.2">
      <c r="AF49904" s="12"/>
    </row>
    <row r="49905" spans="32:32" x14ac:dyDescent="0.2">
      <c r="AF49905" s="12"/>
    </row>
    <row r="49906" spans="32:32" x14ac:dyDescent="0.2">
      <c r="AF49906" s="12"/>
    </row>
    <row r="49907" spans="32:32" x14ac:dyDescent="0.2">
      <c r="AF49907" s="12"/>
    </row>
    <row r="49908" spans="32:32" x14ac:dyDescent="0.2">
      <c r="AF49908" s="12"/>
    </row>
    <row r="49909" spans="32:32" x14ac:dyDescent="0.2">
      <c r="AF49909" s="12"/>
    </row>
    <row r="49910" spans="32:32" x14ac:dyDescent="0.2">
      <c r="AF49910" s="12"/>
    </row>
    <row r="49911" spans="32:32" x14ac:dyDescent="0.2">
      <c r="AF49911" s="12"/>
    </row>
    <row r="49912" spans="32:32" x14ac:dyDescent="0.2">
      <c r="AF49912" s="12"/>
    </row>
    <row r="49913" spans="32:32" x14ac:dyDescent="0.2">
      <c r="AF49913" s="12"/>
    </row>
    <row r="49914" spans="32:32" x14ac:dyDescent="0.2">
      <c r="AF49914" s="12"/>
    </row>
    <row r="49915" spans="32:32" x14ac:dyDescent="0.2">
      <c r="AF49915" s="12"/>
    </row>
    <row r="49916" spans="32:32" x14ac:dyDescent="0.2">
      <c r="AF49916" s="12"/>
    </row>
    <row r="49917" spans="32:32" x14ac:dyDescent="0.2">
      <c r="AF49917" s="12"/>
    </row>
    <row r="49918" spans="32:32" x14ac:dyDescent="0.2">
      <c r="AF49918" s="12"/>
    </row>
    <row r="49919" spans="32:32" x14ac:dyDescent="0.2">
      <c r="AF49919" s="12"/>
    </row>
    <row r="49920" spans="32:32" x14ac:dyDescent="0.2">
      <c r="AF49920" s="12"/>
    </row>
    <row r="49921" spans="32:32" x14ac:dyDescent="0.2">
      <c r="AF49921" s="12"/>
    </row>
    <row r="49922" spans="32:32" x14ac:dyDescent="0.2">
      <c r="AF49922" s="12"/>
    </row>
    <row r="49923" spans="32:32" x14ac:dyDescent="0.2">
      <c r="AF49923" s="12"/>
    </row>
    <row r="49924" spans="32:32" x14ac:dyDescent="0.2">
      <c r="AF49924" s="12"/>
    </row>
    <row r="49925" spans="32:32" x14ac:dyDescent="0.2">
      <c r="AF49925" s="12"/>
    </row>
    <row r="49926" spans="32:32" x14ac:dyDescent="0.2">
      <c r="AF49926" s="12"/>
    </row>
    <row r="49927" spans="32:32" x14ac:dyDescent="0.2">
      <c r="AF49927" s="12"/>
    </row>
    <row r="49928" spans="32:32" x14ac:dyDescent="0.2">
      <c r="AF49928" s="12"/>
    </row>
    <row r="49929" spans="32:32" x14ac:dyDescent="0.2">
      <c r="AF49929" s="12"/>
    </row>
    <row r="49930" spans="32:32" x14ac:dyDescent="0.2">
      <c r="AF49930" s="12"/>
    </row>
    <row r="49931" spans="32:32" x14ac:dyDescent="0.2">
      <c r="AF49931" s="12"/>
    </row>
    <row r="49932" spans="32:32" x14ac:dyDescent="0.2">
      <c r="AF49932" s="12"/>
    </row>
    <row r="49933" spans="32:32" x14ac:dyDescent="0.2">
      <c r="AF49933" s="12"/>
    </row>
    <row r="49934" spans="32:32" x14ac:dyDescent="0.2">
      <c r="AF49934" s="12"/>
    </row>
    <row r="49935" spans="32:32" x14ac:dyDescent="0.2">
      <c r="AF49935" s="12"/>
    </row>
    <row r="49936" spans="32:32" x14ac:dyDescent="0.2">
      <c r="AF49936" s="12"/>
    </row>
    <row r="49937" spans="32:32" x14ac:dyDescent="0.2">
      <c r="AF49937" s="12"/>
    </row>
    <row r="49938" spans="32:32" x14ac:dyDescent="0.2">
      <c r="AF49938" s="12"/>
    </row>
    <row r="49939" spans="32:32" x14ac:dyDescent="0.2">
      <c r="AF49939" s="12"/>
    </row>
    <row r="49940" spans="32:32" x14ac:dyDescent="0.2">
      <c r="AF49940" s="12"/>
    </row>
    <row r="49941" spans="32:32" x14ac:dyDescent="0.2">
      <c r="AF49941" s="12"/>
    </row>
    <row r="49942" spans="32:32" x14ac:dyDescent="0.2">
      <c r="AF49942" s="12"/>
    </row>
    <row r="49943" spans="32:32" x14ac:dyDescent="0.2">
      <c r="AF49943" s="12"/>
    </row>
    <row r="49944" spans="32:32" x14ac:dyDescent="0.2">
      <c r="AF49944" s="12"/>
    </row>
    <row r="49945" spans="32:32" x14ac:dyDescent="0.2">
      <c r="AF49945" s="12"/>
    </row>
    <row r="49946" spans="32:32" x14ac:dyDescent="0.2">
      <c r="AF49946" s="12"/>
    </row>
    <row r="49947" spans="32:32" x14ac:dyDescent="0.2">
      <c r="AF49947" s="12"/>
    </row>
    <row r="49948" spans="32:32" x14ac:dyDescent="0.2">
      <c r="AF49948" s="12"/>
    </row>
    <row r="49949" spans="32:32" x14ac:dyDescent="0.2">
      <c r="AF49949" s="12"/>
    </row>
    <row r="49950" spans="32:32" x14ac:dyDescent="0.2">
      <c r="AF49950" s="12"/>
    </row>
    <row r="49951" spans="32:32" x14ac:dyDescent="0.2">
      <c r="AF49951" s="12"/>
    </row>
    <row r="49952" spans="32:32" x14ac:dyDescent="0.2">
      <c r="AF49952" s="12"/>
    </row>
    <row r="49953" spans="32:32" x14ac:dyDescent="0.2">
      <c r="AF49953" s="12"/>
    </row>
    <row r="49954" spans="32:32" x14ac:dyDescent="0.2">
      <c r="AF49954" s="12"/>
    </row>
    <row r="49955" spans="32:32" x14ac:dyDescent="0.2">
      <c r="AF49955" s="12"/>
    </row>
    <row r="49956" spans="32:32" x14ac:dyDescent="0.2">
      <c r="AF49956" s="12"/>
    </row>
    <row r="49957" spans="32:32" x14ac:dyDescent="0.2">
      <c r="AF49957" s="12"/>
    </row>
    <row r="49958" spans="32:32" x14ac:dyDescent="0.2">
      <c r="AF49958" s="12"/>
    </row>
    <row r="49959" spans="32:32" x14ac:dyDescent="0.2">
      <c r="AF49959" s="12"/>
    </row>
    <row r="49960" spans="32:32" x14ac:dyDescent="0.2">
      <c r="AF49960" s="12"/>
    </row>
    <row r="49961" spans="32:32" x14ac:dyDescent="0.2">
      <c r="AF49961" s="12"/>
    </row>
    <row r="49962" spans="32:32" x14ac:dyDescent="0.2">
      <c r="AF49962" s="12"/>
    </row>
    <row r="49963" spans="32:32" x14ac:dyDescent="0.2">
      <c r="AF49963" s="12"/>
    </row>
    <row r="49964" spans="32:32" x14ac:dyDescent="0.2">
      <c r="AF49964" s="12"/>
    </row>
    <row r="49965" spans="32:32" x14ac:dyDescent="0.2">
      <c r="AF49965" s="12"/>
    </row>
    <row r="49966" spans="32:32" x14ac:dyDescent="0.2">
      <c r="AF49966" s="12"/>
    </row>
    <row r="49967" spans="32:32" x14ac:dyDescent="0.2">
      <c r="AF49967" s="12"/>
    </row>
    <row r="49968" spans="32:32" x14ac:dyDescent="0.2">
      <c r="AF49968" s="12"/>
    </row>
    <row r="49969" spans="32:32" x14ac:dyDescent="0.2">
      <c r="AF49969" s="12"/>
    </row>
    <row r="49970" spans="32:32" x14ac:dyDescent="0.2">
      <c r="AF49970" s="12"/>
    </row>
    <row r="49971" spans="32:32" x14ac:dyDescent="0.2">
      <c r="AF49971" s="12"/>
    </row>
    <row r="49972" spans="32:32" x14ac:dyDescent="0.2">
      <c r="AF49972" s="12"/>
    </row>
    <row r="49973" spans="32:32" x14ac:dyDescent="0.2">
      <c r="AF49973" s="12"/>
    </row>
    <row r="49974" spans="32:32" x14ac:dyDescent="0.2">
      <c r="AF49974" s="12"/>
    </row>
    <row r="49975" spans="32:32" x14ac:dyDescent="0.2">
      <c r="AF49975" s="12"/>
    </row>
    <row r="49976" spans="32:32" x14ac:dyDescent="0.2">
      <c r="AF49976" s="12"/>
    </row>
    <row r="49977" spans="32:32" x14ac:dyDescent="0.2">
      <c r="AF49977" s="12"/>
    </row>
    <row r="49978" spans="32:32" x14ac:dyDescent="0.2">
      <c r="AF49978" s="12"/>
    </row>
    <row r="49979" spans="32:32" x14ac:dyDescent="0.2">
      <c r="AF49979" s="12"/>
    </row>
    <row r="49980" spans="32:32" x14ac:dyDescent="0.2">
      <c r="AF49980" s="12"/>
    </row>
    <row r="49981" spans="32:32" x14ac:dyDescent="0.2">
      <c r="AF49981" s="12"/>
    </row>
    <row r="49982" spans="32:32" x14ac:dyDescent="0.2">
      <c r="AF49982" s="12"/>
    </row>
    <row r="49983" spans="32:32" x14ac:dyDescent="0.2">
      <c r="AF49983" s="12"/>
    </row>
    <row r="49984" spans="32:32" x14ac:dyDescent="0.2">
      <c r="AF49984" s="12"/>
    </row>
    <row r="49985" spans="32:32" x14ac:dyDescent="0.2">
      <c r="AF49985" s="12"/>
    </row>
    <row r="49986" spans="32:32" x14ac:dyDescent="0.2">
      <c r="AF49986" s="12"/>
    </row>
    <row r="49987" spans="32:32" x14ac:dyDescent="0.2">
      <c r="AF49987" s="12"/>
    </row>
    <row r="49988" spans="32:32" x14ac:dyDescent="0.2">
      <c r="AF49988" s="12"/>
    </row>
    <row r="49989" spans="32:32" x14ac:dyDescent="0.2">
      <c r="AF49989" s="12"/>
    </row>
    <row r="49990" spans="32:32" x14ac:dyDescent="0.2">
      <c r="AF49990" s="12"/>
    </row>
    <row r="49991" spans="32:32" x14ac:dyDescent="0.2">
      <c r="AF49991" s="12"/>
    </row>
    <row r="49992" spans="32:32" x14ac:dyDescent="0.2">
      <c r="AF49992" s="12"/>
    </row>
    <row r="49993" spans="32:32" x14ac:dyDescent="0.2">
      <c r="AF49993" s="12"/>
    </row>
    <row r="49994" spans="32:32" x14ac:dyDescent="0.2">
      <c r="AF49994" s="12"/>
    </row>
    <row r="49995" spans="32:32" x14ac:dyDescent="0.2">
      <c r="AF49995" s="12"/>
    </row>
    <row r="49996" spans="32:32" x14ac:dyDescent="0.2">
      <c r="AF49996" s="12"/>
    </row>
    <row r="49997" spans="32:32" x14ac:dyDescent="0.2">
      <c r="AF49997" s="12"/>
    </row>
    <row r="49998" spans="32:32" x14ac:dyDescent="0.2">
      <c r="AF49998" s="12"/>
    </row>
    <row r="49999" spans="32:32" x14ac:dyDescent="0.2">
      <c r="AF49999" s="12"/>
    </row>
    <row r="50000" spans="32:32" x14ac:dyDescent="0.2">
      <c r="AF50000" s="12"/>
    </row>
    <row r="50001" spans="32:32" x14ac:dyDescent="0.2">
      <c r="AF50001" s="12"/>
    </row>
    <row r="50002" spans="32:32" x14ac:dyDescent="0.2">
      <c r="AF50002" s="12"/>
    </row>
    <row r="50003" spans="32:32" x14ac:dyDescent="0.2">
      <c r="AF50003" s="12"/>
    </row>
    <row r="50004" spans="32:32" x14ac:dyDescent="0.2">
      <c r="AF50004" s="12"/>
    </row>
    <row r="50005" spans="32:32" x14ac:dyDescent="0.2">
      <c r="AF50005" s="12"/>
    </row>
    <row r="50006" spans="32:32" x14ac:dyDescent="0.2">
      <c r="AF50006" s="12"/>
    </row>
    <row r="50007" spans="32:32" x14ac:dyDescent="0.2">
      <c r="AF50007" s="12"/>
    </row>
    <row r="50008" spans="32:32" x14ac:dyDescent="0.2">
      <c r="AF50008" s="12"/>
    </row>
    <row r="50009" spans="32:32" x14ac:dyDescent="0.2">
      <c r="AF50009" s="12"/>
    </row>
    <row r="50010" spans="32:32" x14ac:dyDescent="0.2">
      <c r="AF50010" s="12"/>
    </row>
    <row r="50011" spans="32:32" x14ac:dyDescent="0.2">
      <c r="AF50011" s="12"/>
    </row>
    <row r="50012" spans="32:32" x14ac:dyDescent="0.2">
      <c r="AF50012" s="12"/>
    </row>
    <row r="50013" spans="32:32" x14ac:dyDescent="0.2">
      <c r="AF50013" s="12"/>
    </row>
    <row r="50014" spans="32:32" x14ac:dyDescent="0.2">
      <c r="AF50014" s="12"/>
    </row>
    <row r="50015" spans="32:32" x14ac:dyDescent="0.2">
      <c r="AF50015" s="12"/>
    </row>
    <row r="50016" spans="32:32" x14ac:dyDescent="0.2">
      <c r="AF50016" s="12"/>
    </row>
    <row r="50017" spans="32:32" x14ac:dyDescent="0.2">
      <c r="AF50017" s="12"/>
    </row>
    <row r="50018" spans="32:32" x14ac:dyDescent="0.2">
      <c r="AF50018" s="12"/>
    </row>
    <row r="50019" spans="32:32" x14ac:dyDescent="0.2">
      <c r="AF50019" s="12"/>
    </row>
    <row r="50020" spans="32:32" x14ac:dyDescent="0.2">
      <c r="AF50020" s="12"/>
    </row>
    <row r="50021" spans="32:32" x14ac:dyDescent="0.2">
      <c r="AF50021" s="12"/>
    </row>
    <row r="50022" spans="32:32" x14ac:dyDescent="0.2">
      <c r="AF50022" s="12"/>
    </row>
    <row r="50023" spans="32:32" x14ac:dyDescent="0.2">
      <c r="AF50023" s="12"/>
    </row>
    <row r="50024" spans="32:32" x14ac:dyDescent="0.2">
      <c r="AF50024" s="12"/>
    </row>
    <row r="50025" spans="32:32" x14ac:dyDescent="0.2">
      <c r="AF50025" s="12"/>
    </row>
    <row r="50026" spans="32:32" x14ac:dyDescent="0.2">
      <c r="AF50026" s="12"/>
    </row>
    <row r="50027" spans="32:32" x14ac:dyDescent="0.2">
      <c r="AF50027" s="12"/>
    </row>
    <row r="50028" spans="32:32" x14ac:dyDescent="0.2">
      <c r="AF50028" s="12"/>
    </row>
    <row r="50029" spans="32:32" x14ac:dyDescent="0.2">
      <c r="AF50029" s="12"/>
    </row>
    <row r="50030" spans="32:32" x14ac:dyDescent="0.2">
      <c r="AF50030" s="12"/>
    </row>
    <row r="50031" spans="32:32" x14ac:dyDescent="0.2">
      <c r="AF50031" s="12"/>
    </row>
    <row r="50032" spans="32:32" x14ac:dyDescent="0.2">
      <c r="AF50032" s="12"/>
    </row>
    <row r="50033" spans="32:32" x14ac:dyDescent="0.2">
      <c r="AF50033" s="12"/>
    </row>
    <row r="50034" spans="32:32" x14ac:dyDescent="0.2">
      <c r="AF50034" s="12"/>
    </row>
    <row r="50035" spans="32:32" x14ac:dyDescent="0.2">
      <c r="AF50035" s="12"/>
    </row>
    <row r="50036" spans="32:32" x14ac:dyDescent="0.2">
      <c r="AF50036" s="12"/>
    </row>
    <row r="50037" spans="32:32" x14ac:dyDescent="0.2">
      <c r="AF50037" s="12"/>
    </row>
    <row r="50038" spans="32:32" x14ac:dyDescent="0.2">
      <c r="AF50038" s="12"/>
    </row>
    <row r="50039" spans="32:32" x14ac:dyDescent="0.2">
      <c r="AF50039" s="12"/>
    </row>
    <row r="50040" spans="32:32" x14ac:dyDescent="0.2">
      <c r="AF50040" s="12"/>
    </row>
    <row r="50041" spans="32:32" x14ac:dyDescent="0.2">
      <c r="AF50041" s="12"/>
    </row>
    <row r="50042" spans="32:32" x14ac:dyDescent="0.2">
      <c r="AF50042" s="12"/>
    </row>
    <row r="50043" spans="32:32" x14ac:dyDescent="0.2">
      <c r="AF50043" s="12"/>
    </row>
    <row r="50044" spans="32:32" x14ac:dyDescent="0.2">
      <c r="AF50044" s="12"/>
    </row>
    <row r="50045" spans="32:32" x14ac:dyDescent="0.2">
      <c r="AF50045" s="12"/>
    </row>
    <row r="50046" spans="32:32" x14ac:dyDescent="0.2">
      <c r="AF50046" s="12"/>
    </row>
    <row r="50047" spans="32:32" x14ac:dyDescent="0.2">
      <c r="AF50047" s="12"/>
    </row>
    <row r="50048" spans="32:32" x14ac:dyDescent="0.2">
      <c r="AF50048" s="12"/>
    </row>
    <row r="50049" spans="32:32" x14ac:dyDescent="0.2">
      <c r="AF50049" s="12"/>
    </row>
    <row r="50050" spans="32:32" x14ac:dyDescent="0.2">
      <c r="AF50050" s="12"/>
    </row>
    <row r="50051" spans="32:32" x14ac:dyDescent="0.2">
      <c r="AF50051" s="12"/>
    </row>
    <row r="50052" spans="32:32" x14ac:dyDescent="0.2">
      <c r="AF50052" s="12"/>
    </row>
    <row r="50053" spans="32:32" x14ac:dyDescent="0.2">
      <c r="AF50053" s="12"/>
    </row>
    <row r="50054" spans="32:32" x14ac:dyDescent="0.2">
      <c r="AF50054" s="12"/>
    </row>
    <row r="50055" spans="32:32" x14ac:dyDescent="0.2">
      <c r="AF50055" s="12"/>
    </row>
    <row r="50056" spans="32:32" x14ac:dyDescent="0.2">
      <c r="AF50056" s="12"/>
    </row>
    <row r="50057" spans="32:32" x14ac:dyDescent="0.2">
      <c r="AF50057" s="12"/>
    </row>
    <row r="50058" spans="32:32" x14ac:dyDescent="0.2">
      <c r="AF50058" s="12"/>
    </row>
    <row r="50059" spans="32:32" x14ac:dyDescent="0.2">
      <c r="AF50059" s="12"/>
    </row>
    <row r="50060" spans="32:32" x14ac:dyDescent="0.2">
      <c r="AF50060" s="12"/>
    </row>
    <row r="50061" spans="32:32" x14ac:dyDescent="0.2">
      <c r="AF50061" s="12"/>
    </row>
    <row r="50062" spans="32:32" x14ac:dyDescent="0.2">
      <c r="AF50062" s="12"/>
    </row>
    <row r="50063" spans="32:32" x14ac:dyDescent="0.2">
      <c r="AF50063" s="12"/>
    </row>
    <row r="50064" spans="32:32" x14ac:dyDescent="0.2">
      <c r="AF50064" s="12"/>
    </row>
    <row r="50065" spans="32:32" x14ac:dyDescent="0.2">
      <c r="AF50065" s="12"/>
    </row>
    <row r="50066" spans="32:32" x14ac:dyDescent="0.2">
      <c r="AF50066" s="12"/>
    </row>
    <row r="50067" spans="32:32" x14ac:dyDescent="0.2">
      <c r="AF50067" s="12"/>
    </row>
    <row r="50068" spans="32:32" x14ac:dyDescent="0.2">
      <c r="AF50068" s="12"/>
    </row>
    <row r="50069" spans="32:32" x14ac:dyDescent="0.2">
      <c r="AF50069" s="12"/>
    </row>
    <row r="50070" spans="32:32" x14ac:dyDescent="0.2">
      <c r="AF50070" s="12"/>
    </row>
    <row r="50071" spans="32:32" x14ac:dyDescent="0.2">
      <c r="AF50071" s="12"/>
    </row>
    <row r="50072" spans="32:32" x14ac:dyDescent="0.2">
      <c r="AF50072" s="12"/>
    </row>
    <row r="50073" spans="32:32" x14ac:dyDescent="0.2">
      <c r="AF50073" s="12"/>
    </row>
    <row r="50074" spans="32:32" x14ac:dyDescent="0.2">
      <c r="AF50074" s="12"/>
    </row>
    <row r="50075" spans="32:32" x14ac:dyDescent="0.2">
      <c r="AF50075" s="12"/>
    </row>
    <row r="50076" spans="32:32" x14ac:dyDescent="0.2">
      <c r="AF50076" s="12"/>
    </row>
    <row r="50077" spans="32:32" x14ac:dyDescent="0.2">
      <c r="AF50077" s="12"/>
    </row>
    <row r="50078" spans="32:32" x14ac:dyDescent="0.2">
      <c r="AF50078" s="12"/>
    </row>
    <row r="50079" spans="32:32" x14ac:dyDescent="0.2">
      <c r="AF50079" s="12"/>
    </row>
    <row r="50080" spans="32:32" x14ac:dyDescent="0.2">
      <c r="AF50080" s="12"/>
    </row>
    <row r="50081" spans="32:32" x14ac:dyDescent="0.2">
      <c r="AF50081" s="12"/>
    </row>
    <row r="50082" spans="32:32" x14ac:dyDescent="0.2">
      <c r="AF50082" s="12"/>
    </row>
    <row r="50083" spans="32:32" x14ac:dyDescent="0.2">
      <c r="AF50083" s="12"/>
    </row>
    <row r="50084" spans="32:32" x14ac:dyDescent="0.2">
      <c r="AF50084" s="12"/>
    </row>
    <row r="50085" spans="32:32" x14ac:dyDescent="0.2">
      <c r="AF50085" s="12"/>
    </row>
    <row r="50086" spans="32:32" x14ac:dyDescent="0.2">
      <c r="AF50086" s="12"/>
    </row>
    <row r="50087" spans="32:32" x14ac:dyDescent="0.2">
      <c r="AF50087" s="12"/>
    </row>
    <row r="50088" spans="32:32" x14ac:dyDescent="0.2">
      <c r="AF50088" s="12"/>
    </row>
    <row r="50089" spans="32:32" x14ac:dyDescent="0.2">
      <c r="AF50089" s="12"/>
    </row>
    <row r="50090" spans="32:32" x14ac:dyDescent="0.2">
      <c r="AF50090" s="12"/>
    </row>
    <row r="50091" spans="32:32" x14ac:dyDescent="0.2">
      <c r="AF50091" s="12"/>
    </row>
    <row r="50092" spans="32:32" x14ac:dyDescent="0.2">
      <c r="AF50092" s="12"/>
    </row>
    <row r="50093" spans="32:32" x14ac:dyDescent="0.2">
      <c r="AF50093" s="12"/>
    </row>
    <row r="50094" spans="32:32" x14ac:dyDescent="0.2">
      <c r="AF50094" s="12"/>
    </row>
    <row r="50095" spans="32:32" x14ac:dyDescent="0.2">
      <c r="AF50095" s="12"/>
    </row>
    <row r="50096" spans="32:32" x14ac:dyDescent="0.2">
      <c r="AF50096" s="12"/>
    </row>
    <row r="50097" spans="32:32" x14ac:dyDescent="0.2">
      <c r="AF50097" s="12"/>
    </row>
    <row r="50098" spans="32:32" x14ac:dyDescent="0.2">
      <c r="AF50098" s="12"/>
    </row>
    <row r="50099" spans="32:32" x14ac:dyDescent="0.2">
      <c r="AF50099" s="12"/>
    </row>
    <row r="50100" spans="32:32" x14ac:dyDescent="0.2">
      <c r="AF50100" s="12"/>
    </row>
    <row r="50101" spans="32:32" x14ac:dyDescent="0.2">
      <c r="AF50101" s="12"/>
    </row>
    <row r="50102" spans="32:32" x14ac:dyDescent="0.2">
      <c r="AF50102" s="12"/>
    </row>
    <row r="50103" spans="32:32" x14ac:dyDescent="0.2">
      <c r="AF50103" s="12"/>
    </row>
    <row r="50104" spans="32:32" x14ac:dyDescent="0.2">
      <c r="AF50104" s="12"/>
    </row>
    <row r="50105" spans="32:32" x14ac:dyDescent="0.2">
      <c r="AF50105" s="12"/>
    </row>
    <row r="50106" spans="32:32" x14ac:dyDescent="0.2">
      <c r="AF50106" s="12"/>
    </row>
    <row r="50107" spans="32:32" x14ac:dyDescent="0.2">
      <c r="AF50107" s="12"/>
    </row>
    <row r="50108" spans="32:32" x14ac:dyDescent="0.2">
      <c r="AF50108" s="12"/>
    </row>
    <row r="50109" spans="32:32" x14ac:dyDescent="0.2">
      <c r="AF50109" s="12"/>
    </row>
    <row r="50110" spans="32:32" x14ac:dyDescent="0.2">
      <c r="AF50110" s="12"/>
    </row>
    <row r="50111" spans="32:32" x14ac:dyDescent="0.2">
      <c r="AF50111" s="12"/>
    </row>
    <row r="50112" spans="32:32" x14ac:dyDescent="0.2">
      <c r="AF50112" s="12"/>
    </row>
    <row r="50113" spans="32:32" x14ac:dyDescent="0.2">
      <c r="AF50113" s="12"/>
    </row>
    <row r="50114" spans="32:32" x14ac:dyDescent="0.2">
      <c r="AF50114" s="12"/>
    </row>
    <row r="50115" spans="32:32" x14ac:dyDescent="0.2">
      <c r="AF50115" s="12"/>
    </row>
    <row r="50116" spans="32:32" x14ac:dyDescent="0.2">
      <c r="AF50116" s="12"/>
    </row>
    <row r="50117" spans="32:32" x14ac:dyDescent="0.2">
      <c r="AF50117" s="12"/>
    </row>
    <row r="50118" spans="32:32" x14ac:dyDescent="0.2">
      <c r="AF50118" s="12"/>
    </row>
    <row r="50119" spans="32:32" x14ac:dyDescent="0.2">
      <c r="AF50119" s="12"/>
    </row>
    <row r="50120" spans="32:32" x14ac:dyDescent="0.2">
      <c r="AF50120" s="12"/>
    </row>
    <row r="50121" spans="32:32" x14ac:dyDescent="0.2">
      <c r="AF50121" s="12"/>
    </row>
    <row r="50122" spans="32:32" x14ac:dyDescent="0.2">
      <c r="AF50122" s="12"/>
    </row>
    <row r="50123" spans="32:32" x14ac:dyDescent="0.2">
      <c r="AF50123" s="12"/>
    </row>
    <row r="50124" spans="32:32" x14ac:dyDescent="0.2">
      <c r="AF50124" s="12"/>
    </row>
    <row r="50125" spans="32:32" x14ac:dyDescent="0.2">
      <c r="AF50125" s="12"/>
    </row>
    <row r="50126" spans="32:32" x14ac:dyDescent="0.2">
      <c r="AF50126" s="12"/>
    </row>
    <row r="50127" spans="32:32" x14ac:dyDescent="0.2">
      <c r="AF50127" s="12"/>
    </row>
    <row r="50128" spans="32:32" x14ac:dyDescent="0.2">
      <c r="AF50128" s="12"/>
    </row>
    <row r="50129" spans="32:32" x14ac:dyDescent="0.2">
      <c r="AF50129" s="12"/>
    </row>
    <row r="50130" spans="32:32" x14ac:dyDescent="0.2">
      <c r="AF50130" s="12"/>
    </row>
    <row r="50131" spans="32:32" x14ac:dyDescent="0.2">
      <c r="AF50131" s="12"/>
    </row>
    <row r="50132" spans="32:32" x14ac:dyDescent="0.2">
      <c r="AF50132" s="12"/>
    </row>
    <row r="50133" spans="32:32" x14ac:dyDescent="0.2">
      <c r="AF50133" s="12"/>
    </row>
    <row r="50134" spans="32:32" x14ac:dyDescent="0.2">
      <c r="AF50134" s="12"/>
    </row>
    <row r="50135" spans="32:32" x14ac:dyDescent="0.2">
      <c r="AF50135" s="12"/>
    </row>
    <row r="50136" spans="32:32" x14ac:dyDescent="0.2">
      <c r="AF50136" s="12"/>
    </row>
    <row r="50137" spans="32:32" x14ac:dyDescent="0.2">
      <c r="AF50137" s="12"/>
    </row>
    <row r="50138" spans="32:32" x14ac:dyDescent="0.2">
      <c r="AF50138" s="12"/>
    </row>
    <row r="50139" spans="32:32" x14ac:dyDescent="0.2">
      <c r="AF50139" s="12"/>
    </row>
    <row r="50140" spans="32:32" x14ac:dyDescent="0.2">
      <c r="AF50140" s="12"/>
    </row>
    <row r="50141" spans="32:32" x14ac:dyDescent="0.2">
      <c r="AF50141" s="12"/>
    </row>
    <row r="50142" spans="32:32" x14ac:dyDescent="0.2">
      <c r="AF50142" s="12"/>
    </row>
    <row r="50143" spans="32:32" x14ac:dyDescent="0.2">
      <c r="AF50143" s="12"/>
    </row>
    <row r="50144" spans="32:32" x14ac:dyDescent="0.2">
      <c r="AF50144" s="12"/>
    </row>
    <row r="50145" spans="32:32" x14ac:dyDescent="0.2">
      <c r="AF50145" s="12"/>
    </row>
    <row r="50146" spans="32:32" x14ac:dyDescent="0.2">
      <c r="AF50146" s="12"/>
    </row>
    <row r="50147" spans="32:32" x14ac:dyDescent="0.2">
      <c r="AF50147" s="12"/>
    </row>
    <row r="50148" spans="32:32" x14ac:dyDescent="0.2">
      <c r="AF50148" s="12"/>
    </row>
    <row r="50149" spans="32:32" x14ac:dyDescent="0.2">
      <c r="AF50149" s="12"/>
    </row>
    <row r="50150" spans="32:32" x14ac:dyDescent="0.2">
      <c r="AF50150" s="12"/>
    </row>
    <row r="50151" spans="32:32" x14ac:dyDescent="0.2">
      <c r="AF50151" s="12"/>
    </row>
    <row r="50152" spans="32:32" x14ac:dyDescent="0.2">
      <c r="AF50152" s="12"/>
    </row>
    <row r="50153" spans="32:32" x14ac:dyDescent="0.2">
      <c r="AF50153" s="12"/>
    </row>
    <row r="50154" spans="32:32" x14ac:dyDescent="0.2">
      <c r="AF50154" s="12"/>
    </row>
    <row r="50155" spans="32:32" x14ac:dyDescent="0.2">
      <c r="AF50155" s="12"/>
    </row>
    <row r="50156" spans="32:32" x14ac:dyDescent="0.2">
      <c r="AF50156" s="12"/>
    </row>
    <row r="50157" spans="32:32" x14ac:dyDescent="0.2">
      <c r="AF50157" s="12"/>
    </row>
    <row r="50158" spans="32:32" x14ac:dyDescent="0.2">
      <c r="AF50158" s="12"/>
    </row>
    <row r="50159" spans="32:32" x14ac:dyDescent="0.2">
      <c r="AF50159" s="12"/>
    </row>
    <row r="50160" spans="32:32" x14ac:dyDescent="0.2">
      <c r="AF50160" s="12"/>
    </row>
    <row r="50161" spans="32:32" x14ac:dyDescent="0.2">
      <c r="AF50161" s="12"/>
    </row>
    <row r="50162" spans="32:32" x14ac:dyDescent="0.2">
      <c r="AF50162" s="12"/>
    </row>
    <row r="50163" spans="32:32" x14ac:dyDescent="0.2">
      <c r="AF50163" s="12"/>
    </row>
    <row r="50164" spans="32:32" x14ac:dyDescent="0.2">
      <c r="AF50164" s="12"/>
    </row>
    <row r="50165" spans="32:32" x14ac:dyDescent="0.2">
      <c r="AF50165" s="12"/>
    </row>
    <row r="50166" spans="32:32" x14ac:dyDescent="0.2">
      <c r="AF50166" s="12"/>
    </row>
    <row r="50167" spans="32:32" x14ac:dyDescent="0.2">
      <c r="AF50167" s="12"/>
    </row>
    <row r="50168" spans="32:32" x14ac:dyDescent="0.2">
      <c r="AF50168" s="12"/>
    </row>
    <row r="50169" spans="32:32" x14ac:dyDescent="0.2">
      <c r="AF50169" s="12"/>
    </row>
    <row r="50170" spans="32:32" x14ac:dyDescent="0.2">
      <c r="AF50170" s="12"/>
    </row>
    <row r="50171" spans="32:32" x14ac:dyDescent="0.2">
      <c r="AF50171" s="12"/>
    </row>
    <row r="50172" spans="32:32" x14ac:dyDescent="0.2">
      <c r="AF50172" s="12"/>
    </row>
    <row r="50173" spans="32:32" x14ac:dyDescent="0.2">
      <c r="AF50173" s="12"/>
    </row>
    <row r="50174" spans="32:32" x14ac:dyDescent="0.2">
      <c r="AF50174" s="12"/>
    </row>
    <row r="50175" spans="32:32" x14ac:dyDescent="0.2">
      <c r="AF50175" s="12"/>
    </row>
    <row r="50176" spans="32:32" x14ac:dyDescent="0.2">
      <c r="AF50176" s="12"/>
    </row>
    <row r="50177" spans="32:32" x14ac:dyDescent="0.2">
      <c r="AF50177" s="12"/>
    </row>
    <row r="50178" spans="32:32" x14ac:dyDescent="0.2">
      <c r="AF50178" s="12"/>
    </row>
    <row r="50179" spans="32:32" x14ac:dyDescent="0.2">
      <c r="AF50179" s="12"/>
    </row>
    <row r="50180" spans="32:32" x14ac:dyDescent="0.2">
      <c r="AF50180" s="12"/>
    </row>
    <row r="50181" spans="32:32" x14ac:dyDescent="0.2">
      <c r="AF50181" s="12"/>
    </row>
    <row r="50182" spans="32:32" x14ac:dyDescent="0.2">
      <c r="AF50182" s="12"/>
    </row>
    <row r="50183" spans="32:32" x14ac:dyDescent="0.2">
      <c r="AF50183" s="12"/>
    </row>
    <row r="50184" spans="32:32" x14ac:dyDescent="0.2">
      <c r="AF50184" s="12"/>
    </row>
    <row r="50185" spans="32:32" x14ac:dyDescent="0.2">
      <c r="AF50185" s="12"/>
    </row>
    <row r="50186" spans="32:32" x14ac:dyDescent="0.2">
      <c r="AF50186" s="12"/>
    </row>
    <row r="50187" spans="32:32" x14ac:dyDescent="0.2">
      <c r="AF50187" s="12"/>
    </row>
    <row r="50188" spans="32:32" x14ac:dyDescent="0.2">
      <c r="AF50188" s="12"/>
    </row>
    <row r="50189" spans="32:32" x14ac:dyDescent="0.2">
      <c r="AF50189" s="12"/>
    </row>
    <row r="50190" spans="32:32" x14ac:dyDescent="0.2">
      <c r="AF50190" s="12"/>
    </row>
    <row r="50191" spans="32:32" x14ac:dyDescent="0.2">
      <c r="AF50191" s="12"/>
    </row>
    <row r="50192" spans="32:32" x14ac:dyDescent="0.2">
      <c r="AF50192" s="12"/>
    </row>
    <row r="50193" spans="32:32" x14ac:dyDescent="0.2">
      <c r="AF50193" s="12"/>
    </row>
    <row r="50194" spans="32:32" x14ac:dyDescent="0.2">
      <c r="AF50194" s="12"/>
    </row>
    <row r="50195" spans="32:32" x14ac:dyDescent="0.2">
      <c r="AF50195" s="12"/>
    </row>
    <row r="50196" spans="32:32" x14ac:dyDescent="0.2">
      <c r="AF50196" s="12"/>
    </row>
    <row r="50197" spans="32:32" x14ac:dyDescent="0.2">
      <c r="AF50197" s="12"/>
    </row>
    <row r="50198" spans="32:32" x14ac:dyDescent="0.2">
      <c r="AF50198" s="12"/>
    </row>
    <row r="50199" spans="32:32" x14ac:dyDescent="0.2">
      <c r="AF50199" s="12"/>
    </row>
    <row r="50200" spans="32:32" x14ac:dyDescent="0.2">
      <c r="AF50200" s="12"/>
    </row>
    <row r="50201" spans="32:32" x14ac:dyDescent="0.2">
      <c r="AF50201" s="12"/>
    </row>
    <row r="50202" spans="32:32" x14ac:dyDescent="0.2">
      <c r="AF50202" s="12"/>
    </row>
    <row r="50203" spans="32:32" x14ac:dyDescent="0.2">
      <c r="AF50203" s="12"/>
    </row>
    <row r="50204" spans="32:32" x14ac:dyDescent="0.2">
      <c r="AF50204" s="12"/>
    </row>
    <row r="50205" spans="32:32" x14ac:dyDescent="0.2">
      <c r="AF50205" s="12"/>
    </row>
    <row r="50206" spans="32:32" x14ac:dyDescent="0.2">
      <c r="AF50206" s="12"/>
    </row>
    <row r="50207" spans="32:32" x14ac:dyDescent="0.2">
      <c r="AF50207" s="12"/>
    </row>
    <row r="50208" spans="32:32" x14ac:dyDescent="0.2">
      <c r="AF50208" s="12"/>
    </row>
    <row r="50209" spans="32:32" x14ac:dyDescent="0.2">
      <c r="AF50209" s="12"/>
    </row>
    <row r="50210" spans="32:32" x14ac:dyDescent="0.2">
      <c r="AF50210" s="12"/>
    </row>
    <row r="50211" spans="32:32" x14ac:dyDescent="0.2">
      <c r="AF50211" s="12"/>
    </row>
    <row r="50212" spans="32:32" x14ac:dyDescent="0.2">
      <c r="AF50212" s="12"/>
    </row>
    <row r="50213" spans="32:32" x14ac:dyDescent="0.2">
      <c r="AF50213" s="12"/>
    </row>
    <row r="50214" spans="32:32" x14ac:dyDescent="0.2">
      <c r="AF50214" s="12"/>
    </row>
    <row r="50215" spans="32:32" x14ac:dyDescent="0.2">
      <c r="AF50215" s="12"/>
    </row>
    <row r="50216" spans="32:32" x14ac:dyDescent="0.2">
      <c r="AF50216" s="12"/>
    </row>
    <row r="50217" spans="32:32" x14ac:dyDescent="0.2">
      <c r="AF50217" s="12"/>
    </row>
    <row r="50218" spans="32:32" x14ac:dyDescent="0.2">
      <c r="AF50218" s="12"/>
    </row>
    <row r="50219" spans="32:32" x14ac:dyDescent="0.2">
      <c r="AF50219" s="12"/>
    </row>
    <row r="50220" spans="32:32" x14ac:dyDescent="0.2">
      <c r="AF50220" s="12"/>
    </row>
    <row r="50221" spans="32:32" x14ac:dyDescent="0.2">
      <c r="AF50221" s="12"/>
    </row>
    <row r="50222" spans="32:32" x14ac:dyDescent="0.2">
      <c r="AF50222" s="12"/>
    </row>
    <row r="50223" spans="32:32" x14ac:dyDescent="0.2">
      <c r="AF50223" s="12"/>
    </row>
    <row r="50224" spans="32:32" x14ac:dyDescent="0.2">
      <c r="AF50224" s="12"/>
    </row>
    <row r="50225" spans="32:32" x14ac:dyDescent="0.2">
      <c r="AF50225" s="12"/>
    </row>
    <row r="50226" spans="32:32" x14ac:dyDescent="0.2">
      <c r="AF50226" s="12"/>
    </row>
    <row r="50227" spans="32:32" x14ac:dyDescent="0.2">
      <c r="AF50227" s="12"/>
    </row>
    <row r="50228" spans="32:32" x14ac:dyDescent="0.2">
      <c r="AF50228" s="12"/>
    </row>
    <row r="50229" spans="32:32" x14ac:dyDescent="0.2">
      <c r="AF50229" s="12"/>
    </row>
    <row r="50230" spans="32:32" x14ac:dyDescent="0.2">
      <c r="AF50230" s="12"/>
    </row>
    <row r="50231" spans="32:32" x14ac:dyDescent="0.2">
      <c r="AF50231" s="12"/>
    </row>
    <row r="50232" spans="32:32" x14ac:dyDescent="0.2">
      <c r="AF50232" s="12"/>
    </row>
    <row r="50233" spans="32:32" x14ac:dyDescent="0.2">
      <c r="AF50233" s="12"/>
    </row>
    <row r="50234" spans="32:32" x14ac:dyDescent="0.2">
      <c r="AF50234" s="12"/>
    </row>
    <row r="50235" spans="32:32" x14ac:dyDescent="0.2">
      <c r="AF50235" s="12"/>
    </row>
    <row r="50236" spans="32:32" x14ac:dyDescent="0.2">
      <c r="AF50236" s="12"/>
    </row>
    <row r="50237" spans="32:32" x14ac:dyDescent="0.2">
      <c r="AF50237" s="12"/>
    </row>
    <row r="50238" spans="32:32" x14ac:dyDescent="0.2">
      <c r="AF50238" s="12"/>
    </row>
    <row r="50239" spans="32:32" x14ac:dyDescent="0.2">
      <c r="AF50239" s="12"/>
    </row>
    <row r="50240" spans="32:32" x14ac:dyDescent="0.2">
      <c r="AF50240" s="12"/>
    </row>
    <row r="50241" spans="32:32" x14ac:dyDescent="0.2">
      <c r="AF50241" s="12"/>
    </row>
    <row r="50242" spans="32:32" x14ac:dyDescent="0.2">
      <c r="AF50242" s="12"/>
    </row>
    <row r="50243" spans="32:32" x14ac:dyDescent="0.2">
      <c r="AF50243" s="12"/>
    </row>
    <row r="50244" spans="32:32" x14ac:dyDescent="0.2">
      <c r="AF50244" s="12"/>
    </row>
    <row r="50245" spans="32:32" x14ac:dyDescent="0.2">
      <c r="AF50245" s="12"/>
    </row>
    <row r="50246" spans="32:32" x14ac:dyDescent="0.2">
      <c r="AF50246" s="12"/>
    </row>
    <row r="50247" spans="32:32" x14ac:dyDescent="0.2">
      <c r="AF50247" s="12"/>
    </row>
    <row r="50248" spans="32:32" x14ac:dyDescent="0.2">
      <c r="AF50248" s="12"/>
    </row>
    <row r="50249" spans="32:32" x14ac:dyDescent="0.2">
      <c r="AF50249" s="12"/>
    </row>
    <row r="50250" spans="32:32" x14ac:dyDescent="0.2">
      <c r="AF50250" s="12"/>
    </row>
    <row r="50251" spans="32:32" x14ac:dyDescent="0.2">
      <c r="AF50251" s="12"/>
    </row>
    <row r="50252" spans="32:32" x14ac:dyDescent="0.2">
      <c r="AF50252" s="12"/>
    </row>
    <row r="50253" spans="32:32" x14ac:dyDescent="0.2">
      <c r="AF50253" s="12"/>
    </row>
    <row r="50254" spans="32:32" x14ac:dyDescent="0.2">
      <c r="AF50254" s="12"/>
    </row>
    <row r="50255" spans="32:32" x14ac:dyDescent="0.2">
      <c r="AF50255" s="12"/>
    </row>
    <row r="50256" spans="32:32" x14ac:dyDescent="0.2">
      <c r="AF50256" s="12"/>
    </row>
    <row r="50257" spans="32:32" x14ac:dyDescent="0.2">
      <c r="AF50257" s="12"/>
    </row>
    <row r="50258" spans="32:32" x14ac:dyDescent="0.2">
      <c r="AF50258" s="12"/>
    </row>
    <row r="50259" spans="32:32" x14ac:dyDescent="0.2">
      <c r="AF50259" s="12"/>
    </row>
    <row r="50260" spans="32:32" x14ac:dyDescent="0.2">
      <c r="AF50260" s="12"/>
    </row>
    <row r="50261" spans="32:32" x14ac:dyDescent="0.2">
      <c r="AF50261" s="12"/>
    </row>
    <row r="50262" spans="32:32" x14ac:dyDescent="0.2">
      <c r="AF50262" s="12"/>
    </row>
    <row r="50263" spans="32:32" x14ac:dyDescent="0.2">
      <c r="AF50263" s="12"/>
    </row>
    <row r="50264" spans="32:32" x14ac:dyDescent="0.2">
      <c r="AF50264" s="12"/>
    </row>
    <row r="50265" spans="32:32" x14ac:dyDescent="0.2">
      <c r="AF50265" s="12"/>
    </row>
    <row r="50266" spans="32:32" x14ac:dyDescent="0.2">
      <c r="AF50266" s="12"/>
    </row>
    <row r="50267" spans="32:32" x14ac:dyDescent="0.2">
      <c r="AF50267" s="12"/>
    </row>
    <row r="50268" spans="32:32" x14ac:dyDescent="0.2">
      <c r="AF50268" s="12"/>
    </row>
    <row r="50269" spans="32:32" x14ac:dyDescent="0.2">
      <c r="AF50269" s="12"/>
    </row>
    <row r="50270" spans="32:32" x14ac:dyDescent="0.2">
      <c r="AF50270" s="12"/>
    </row>
    <row r="50271" spans="32:32" x14ac:dyDescent="0.2">
      <c r="AF50271" s="12"/>
    </row>
    <row r="50272" spans="32:32" x14ac:dyDescent="0.2">
      <c r="AF50272" s="12"/>
    </row>
    <row r="50273" spans="32:32" x14ac:dyDescent="0.2">
      <c r="AF50273" s="12"/>
    </row>
    <row r="50274" spans="32:32" x14ac:dyDescent="0.2">
      <c r="AF50274" s="12"/>
    </row>
    <row r="50275" spans="32:32" x14ac:dyDescent="0.2">
      <c r="AF50275" s="12"/>
    </row>
    <row r="50276" spans="32:32" x14ac:dyDescent="0.2">
      <c r="AF50276" s="12"/>
    </row>
    <row r="50277" spans="32:32" x14ac:dyDescent="0.2">
      <c r="AF50277" s="12"/>
    </row>
    <row r="50278" spans="32:32" x14ac:dyDescent="0.2">
      <c r="AF50278" s="12"/>
    </row>
    <row r="50279" spans="32:32" x14ac:dyDescent="0.2">
      <c r="AF50279" s="12"/>
    </row>
    <row r="50280" spans="32:32" x14ac:dyDescent="0.2">
      <c r="AF50280" s="12"/>
    </row>
    <row r="50281" spans="32:32" x14ac:dyDescent="0.2">
      <c r="AF50281" s="12"/>
    </row>
    <row r="50282" spans="32:32" x14ac:dyDescent="0.2">
      <c r="AF50282" s="12"/>
    </row>
    <row r="50283" spans="32:32" x14ac:dyDescent="0.2">
      <c r="AF50283" s="12"/>
    </row>
    <row r="50284" spans="32:32" x14ac:dyDescent="0.2">
      <c r="AF50284" s="12"/>
    </row>
    <row r="50285" spans="32:32" x14ac:dyDescent="0.2">
      <c r="AF50285" s="12"/>
    </row>
    <row r="50286" spans="32:32" x14ac:dyDescent="0.2">
      <c r="AF50286" s="12"/>
    </row>
    <row r="50287" spans="32:32" x14ac:dyDescent="0.2">
      <c r="AF50287" s="12"/>
    </row>
    <row r="50288" spans="32:32" x14ac:dyDescent="0.2">
      <c r="AF50288" s="12"/>
    </row>
    <row r="50289" spans="32:32" x14ac:dyDescent="0.2">
      <c r="AF50289" s="12"/>
    </row>
    <row r="50290" spans="32:32" x14ac:dyDescent="0.2">
      <c r="AF50290" s="12"/>
    </row>
    <row r="50291" spans="32:32" x14ac:dyDescent="0.2">
      <c r="AF50291" s="12"/>
    </row>
    <row r="50292" spans="32:32" x14ac:dyDescent="0.2">
      <c r="AF50292" s="12"/>
    </row>
    <row r="50293" spans="32:32" x14ac:dyDescent="0.2">
      <c r="AF50293" s="12"/>
    </row>
    <row r="50294" spans="32:32" x14ac:dyDescent="0.2">
      <c r="AF50294" s="12"/>
    </row>
    <row r="50295" spans="32:32" x14ac:dyDescent="0.2">
      <c r="AF50295" s="12"/>
    </row>
    <row r="50296" spans="32:32" x14ac:dyDescent="0.2">
      <c r="AF50296" s="12"/>
    </row>
    <row r="50297" spans="32:32" x14ac:dyDescent="0.2">
      <c r="AF50297" s="12"/>
    </row>
    <row r="50298" spans="32:32" x14ac:dyDescent="0.2">
      <c r="AF50298" s="12"/>
    </row>
    <row r="50299" spans="32:32" x14ac:dyDescent="0.2">
      <c r="AF50299" s="12"/>
    </row>
    <row r="50300" spans="32:32" x14ac:dyDescent="0.2">
      <c r="AF50300" s="12"/>
    </row>
    <row r="50301" spans="32:32" x14ac:dyDescent="0.2">
      <c r="AF50301" s="12"/>
    </row>
    <row r="50302" spans="32:32" x14ac:dyDescent="0.2">
      <c r="AF50302" s="12"/>
    </row>
    <row r="50303" spans="32:32" x14ac:dyDescent="0.2">
      <c r="AF50303" s="12"/>
    </row>
    <row r="50304" spans="32:32" x14ac:dyDescent="0.2">
      <c r="AF50304" s="12"/>
    </row>
    <row r="50305" spans="32:32" x14ac:dyDescent="0.2">
      <c r="AF50305" s="12"/>
    </row>
    <row r="50306" spans="32:32" x14ac:dyDescent="0.2">
      <c r="AF50306" s="12"/>
    </row>
    <row r="50307" spans="32:32" x14ac:dyDescent="0.2">
      <c r="AF50307" s="12"/>
    </row>
    <row r="50308" spans="32:32" x14ac:dyDescent="0.2">
      <c r="AF50308" s="12"/>
    </row>
    <row r="50309" spans="32:32" x14ac:dyDescent="0.2">
      <c r="AF50309" s="12"/>
    </row>
    <row r="50310" spans="32:32" x14ac:dyDescent="0.2">
      <c r="AF50310" s="12"/>
    </row>
    <row r="50311" spans="32:32" x14ac:dyDescent="0.2">
      <c r="AF50311" s="12"/>
    </row>
    <row r="50312" spans="32:32" x14ac:dyDescent="0.2">
      <c r="AF50312" s="12"/>
    </row>
    <row r="50313" spans="32:32" x14ac:dyDescent="0.2">
      <c r="AF50313" s="12"/>
    </row>
    <row r="50314" spans="32:32" x14ac:dyDescent="0.2">
      <c r="AF50314" s="12"/>
    </row>
    <row r="50315" spans="32:32" x14ac:dyDescent="0.2">
      <c r="AF50315" s="12"/>
    </row>
    <row r="50316" spans="32:32" x14ac:dyDescent="0.2">
      <c r="AF50316" s="12"/>
    </row>
    <row r="50317" spans="32:32" x14ac:dyDescent="0.2">
      <c r="AF50317" s="12"/>
    </row>
    <row r="50318" spans="32:32" x14ac:dyDescent="0.2">
      <c r="AF50318" s="12"/>
    </row>
    <row r="50319" spans="32:32" x14ac:dyDescent="0.2">
      <c r="AF50319" s="12"/>
    </row>
    <row r="50320" spans="32:32" x14ac:dyDescent="0.2">
      <c r="AF50320" s="12"/>
    </row>
    <row r="50321" spans="32:32" x14ac:dyDescent="0.2">
      <c r="AF50321" s="12"/>
    </row>
    <row r="50322" spans="32:32" x14ac:dyDescent="0.2">
      <c r="AF50322" s="12"/>
    </row>
    <row r="50323" spans="32:32" x14ac:dyDescent="0.2">
      <c r="AF50323" s="12"/>
    </row>
    <row r="50324" spans="32:32" x14ac:dyDescent="0.2">
      <c r="AF50324" s="12"/>
    </row>
    <row r="50325" spans="32:32" x14ac:dyDescent="0.2">
      <c r="AF50325" s="12"/>
    </row>
    <row r="50326" spans="32:32" x14ac:dyDescent="0.2">
      <c r="AF50326" s="12"/>
    </row>
    <row r="50327" spans="32:32" x14ac:dyDescent="0.2">
      <c r="AF50327" s="12"/>
    </row>
    <row r="50328" spans="32:32" x14ac:dyDescent="0.2">
      <c r="AF50328" s="12"/>
    </row>
    <row r="50329" spans="32:32" x14ac:dyDescent="0.2">
      <c r="AF50329" s="12"/>
    </row>
    <row r="50330" spans="32:32" x14ac:dyDescent="0.2">
      <c r="AF50330" s="12"/>
    </row>
    <row r="50331" spans="32:32" x14ac:dyDescent="0.2">
      <c r="AF50331" s="12"/>
    </row>
    <row r="50332" spans="32:32" x14ac:dyDescent="0.2">
      <c r="AF50332" s="12"/>
    </row>
    <row r="50333" spans="32:32" x14ac:dyDescent="0.2">
      <c r="AF50333" s="12"/>
    </row>
    <row r="50334" spans="32:32" x14ac:dyDescent="0.2">
      <c r="AF50334" s="12"/>
    </row>
    <row r="50335" spans="32:32" x14ac:dyDescent="0.2">
      <c r="AF50335" s="12"/>
    </row>
    <row r="50336" spans="32:32" x14ac:dyDescent="0.2">
      <c r="AF50336" s="12"/>
    </row>
    <row r="50337" spans="32:32" x14ac:dyDescent="0.2">
      <c r="AF50337" s="12"/>
    </row>
    <row r="50338" spans="32:32" x14ac:dyDescent="0.2">
      <c r="AF50338" s="12"/>
    </row>
    <row r="50339" spans="32:32" x14ac:dyDescent="0.2">
      <c r="AF50339" s="12"/>
    </row>
    <row r="50340" spans="32:32" x14ac:dyDescent="0.2">
      <c r="AF50340" s="12"/>
    </row>
    <row r="50341" spans="32:32" x14ac:dyDescent="0.2">
      <c r="AF50341" s="12"/>
    </row>
    <row r="50342" spans="32:32" x14ac:dyDescent="0.2">
      <c r="AF50342" s="12"/>
    </row>
    <row r="50343" spans="32:32" x14ac:dyDescent="0.2">
      <c r="AF50343" s="12"/>
    </row>
    <row r="50344" spans="32:32" x14ac:dyDescent="0.2">
      <c r="AF50344" s="12"/>
    </row>
    <row r="50345" spans="32:32" x14ac:dyDescent="0.2">
      <c r="AF50345" s="12"/>
    </row>
    <row r="50346" spans="32:32" x14ac:dyDescent="0.2">
      <c r="AF50346" s="12"/>
    </row>
    <row r="50347" spans="32:32" x14ac:dyDescent="0.2">
      <c r="AF50347" s="12"/>
    </row>
    <row r="50348" spans="32:32" x14ac:dyDescent="0.2">
      <c r="AF50348" s="12"/>
    </row>
    <row r="50349" spans="32:32" x14ac:dyDescent="0.2">
      <c r="AF50349" s="12"/>
    </row>
    <row r="50350" spans="32:32" x14ac:dyDescent="0.2">
      <c r="AF50350" s="12"/>
    </row>
    <row r="50351" spans="32:32" x14ac:dyDescent="0.2">
      <c r="AF50351" s="12"/>
    </row>
    <row r="50352" spans="32:32" x14ac:dyDescent="0.2">
      <c r="AF50352" s="12"/>
    </row>
    <row r="50353" spans="32:32" x14ac:dyDescent="0.2">
      <c r="AF50353" s="12"/>
    </row>
    <row r="50354" spans="32:32" x14ac:dyDescent="0.2">
      <c r="AF50354" s="12"/>
    </row>
    <row r="50355" spans="32:32" x14ac:dyDescent="0.2">
      <c r="AF50355" s="12"/>
    </row>
    <row r="50356" spans="32:32" x14ac:dyDescent="0.2">
      <c r="AF50356" s="12"/>
    </row>
    <row r="50357" spans="32:32" x14ac:dyDescent="0.2">
      <c r="AF50357" s="12"/>
    </row>
    <row r="50358" spans="32:32" x14ac:dyDescent="0.2">
      <c r="AF50358" s="12"/>
    </row>
    <row r="50359" spans="32:32" x14ac:dyDescent="0.2">
      <c r="AF50359" s="12"/>
    </row>
    <row r="50360" spans="32:32" x14ac:dyDescent="0.2">
      <c r="AF50360" s="12"/>
    </row>
    <row r="50361" spans="32:32" x14ac:dyDescent="0.2">
      <c r="AF50361" s="12"/>
    </row>
    <row r="50362" spans="32:32" x14ac:dyDescent="0.2">
      <c r="AF50362" s="12"/>
    </row>
    <row r="50363" spans="32:32" x14ac:dyDescent="0.2">
      <c r="AF50363" s="12"/>
    </row>
    <row r="50364" spans="32:32" x14ac:dyDescent="0.2">
      <c r="AF50364" s="12"/>
    </row>
    <row r="50365" spans="32:32" x14ac:dyDescent="0.2">
      <c r="AF50365" s="12"/>
    </row>
    <row r="50366" spans="32:32" x14ac:dyDescent="0.2">
      <c r="AF50366" s="12"/>
    </row>
    <row r="50367" spans="32:32" x14ac:dyDescent="0.2">
      <c r="AF50367" s="12"/>
    </row>
    <row r="50368" spans="32:32" x14ac:dyDescent="0.2">
      <c r="AF50368" s="12"/>
    </row>
    <row r="50369" spans="32:32" x14ac:dyDescent="0.2">
      <c r="AF50369" s="12"/>
    </row>
    <row r="50370" spans="32:32" x14ac:dyDescent="0.2">
      <c r="AF50370" s="12"/>
    </row>
    <row r="50371" spans="32:32" x14ac:dyDescent="0.2">
      <c r="AF50371" s="12"/>
    </row>
    <row r="50372" spans="32:32" x14ac:dyDescent="0.2">
      <c r="AF50372" s="12"/>
    </row>
    <row r="50373" spans="32:32" x14ac:dyDescent="0.2">
      <c r="AF50373" s="12"/>
    </row>
    <row r="50374" spans="32:32" x14ac:dyDescent="0.2">
      <c r="AF50374" s="12"/>
    </row>
    <row r="50375" spans="32:32" x14ac:dyDescent="0.2">
      <c r="AF50375" s="12"/>
    </row>
    <row r="50376" spans="32:32" x14ac:dyDescent="0.2">
      <c r="AF50376" s="12"/>
    </row>
    <row r="50377" spans="32:32" x14ac:dyDescent="0.2">
      <c r="AF50377" s="12"/>
    </row>
    <row r="50378" spans="32:32" x14ac:dyDescent="0.2">
      <c r="AF50378" s="12"/>
    </row>
    <row r="50379" spans="32:32" x14ac:dyDescent="0.2">
      <c r="AF50379" s="12"/>
    </row>
    <row r="50380" spans="32:32" x14ac:dyDescent="0.2">
      <c r="AF50380" s="12"/>
    </row>
    <row r="50381" spans="32:32" x14ac:dyDescent="0.2">
      <c r="AF50381" s="12"/>
    </row>
    <row r="50382" spans="32:32" x14ac:dyDescent="0.2">
      <c r="AF50382" s="12"/>
    </row>
    <row r="50383" spans="32:32" x14ac:dyDescent="0.2">
      <c r="AF50383" s="12"/>
    </row>
    <row r="50384" spans="32:32" x14ac:dyDescent="0.2">
      <c r="AF50384" s="12"/>
    </row>
    <row r="50385" spans="32:32" x14ac:dyDescent="0.2">
      <c r="AF50385" s="12"/>
    </row>
    <row r="50386" spans="32:32" x14ac:dyDescent="0.2">
      <c r="AF50386" s="12"/>
    </row>
    <row r="50387" spans="32:32" x14ac:dyDescent="0.2">
      <c r="AF50387" s="12"/>
    </row>
    <row r="50388" spans="32:32" x14ac:dyDescent="0.2">
      <c r="AF50388" s="12"/>
    </row>
    <row r="50389" spans="32:32" x14ac:dyDescent="0.2">
      <c r="AF50389" s="12"/>
    </row>
    <row r="50390" spans="32:32" x14ac:dyDescent="0.2">
      <c r="AF50390" s="12"/>
    </row>
    <row r="50391" spans="32:32" x14ac:dyDescent="0.2">
      <c r="AF50391" s="12"/>
    </row>
    <row r="50392" spans="32:32" x14ac:dyDescent="0.2">
      <c r="AF50392" s="12"/>
    </row>
    <row r="50393" spans="32:32" x14ac:dyDescent="0.2">
      <c r="AF50393" s="12"/>
    </row>
    <row r="50394" spans="32:32" x14ac:dyDescent="0.2">
      <c r="AF50394" s="12"/>
    </row>
    <row r="50395" spans="32:32" x14ac:dyDescent="0.2">
      <c r="AF50395" s="12"/>
    </row>
    <row r="50396" spans="32:32" x14ac:dyDescent="0.2">
      <c r="AF50396" s="12"/>
    </row>
    <row r="50397" spans="32:32" x14ac:dyDescent="0.2">
      <c r="AF50397" s="12"/>
    </row>
    <row r="50398" spans="32:32" x14ac:dyDescent="0.2">
      <c r="AF50398" s="12"/>
    </row>
    <row r="50399" spans="32:32" x14ac:dyDescent="0.2">
      <c r="AF50399" s="12"/>
    </row>
    <row r="50400" spans="32:32" x14ac:dyDescent="0.2">
      <c r="AF50400" s="12"/>
    </row>
    <row r="50401" spans="32:32" x14ac:dyDescent="0.2">
      <c r="AF50401" s="12"/>
    </row>
    <row r="50402" spans="32:32" x14ac:dyDescent="0.2">
      <c r="AF50402" s="12"/>
    </row>
    <row r="50403" spans="32:32" x14ac:dyDescent="0.2">
      <c r="AF50403" s="12"/>
    </row>
    <row r="50404" spans="32:32" x14ac:dyDescent="0.2">
      <c r="AF50404" s="12"/>
    </row>
    <row r="50405" spans="32:32" x14ac:dyDescent="0.2">
      <c r="AF50405" s="12"/>
    </row>
    <row r="50406" spans="32:32" x14ac:dyDescent="0.2">
      <c r="AF50406" s="12"/>
    </row>
    <row r="50407" spans="32:32" x14ac:dyDescent="0.2">
      <c r="AF50407" s="12"/>
    </row>
    <row r="50408" spans="32:32" x14ac:dyDescent="0.2">
      <c r="AF50408" s="12"/>
    </row>
    <row r="50409" spans="32:32" x14ac:dyDescent="0.2">
      <c r="AF50409" s="12"/>
    </row>
    <row r="50410" spans="32:32" x14ac:dyDescent="0.2">
      <c r="AF50410" s="12"/>
    </row>
    <row r="50411" spans="32:32" x14ac:dyDescent="0.2">
      <c r="AF50411" s="12"/>
    </row>
    <row r="50412" spans="32:32" x14ac:dyDescent="0.2">
      <c r="AF50412" s="12"/>
    </row>
    <row r="50413" spans="32:32" x14ac:dyDescent="0.2">
      <c r="AF50413" s="12"/>
    </row>
    <row r="50414" spans="32:32" x14ac:dyDescent="0.2">
      <c r="AF50414" s="12"/>
    </row>
    <row r="50415" spans="32:32" x14ac:dyDescent="0.2">
      <c r="AF50415" s="12"/>
    </row>
    <row r="50416" spans="32:32" x14ac:dyDescent="0.2">
      <c r="AF50416" s="12"/>
    </row>
    <row r="50417" spans="32:32" x14ac:dyDescent="0.2">
      <c r="AF50417" s="12"/>
    </row>
    <row r="50418" spans="32:32" x14ac:dyDescent="0.2">
      <c r="AF50418" s="12"/>
    </row>
    <row r="50419" spans="32:32" x14ac:dyDescent="0.2">
      <c r="AF50419" s="12"/>
    </row>
    <row r="50420" spans="32:32" x14ac:dyDescent="0.2">
      <c r="AF50420" s="12"/>
    </row>
    <row r="50421" spans="32:32" x14ac:dyDescent="0.2">
      <c r="AF50421" s="12"/>
    </row>
    <row r="50422" spans="32:32" x14ac:dyDescent="0.2">
      <c r="AF50422" s="12"/>
    </row>
    <row r="50423" spans="32:32" x14ac:dyDescent="0.2">
      <c r="AF50423" s="12"/>
    </row>
    <row r="50424" spans="32:32" x14ac:dyDescent="0.2">
      <c r="AF50424" s="12"/>
    </row>
    <row r="50425" spans="32:32" x14ac:dyDescent="0.2">
      <c r="AF50425" s="12"/>
    </row>
    <row r="50426" spans="32:32" x14ac:dyDescent="0.2">
      <c r="AF50426" s="12"/>
    </row>
    <row r="50427" spans="32:32" x14ac:dyDescent="0.2">
      <c r="AF50427" s="12"/>
    </row>
    <row r="50428" spans="32:32" x14ac:dyDescent="0.2">
      <c r="AF50428" s="12"/>
    </row>
    <row r="50429" spans="32:32" x14ac:dyDescent="0.2">
      <c r="AF50429" s="12"/>
    </row>
    <row r="50430" spans="32:32" x14ac:dyDescent="0.2">
      <c r="AF50430" s="12"/>
    </row>
    <row r="50431" spans="32:32" x14ac:dyDescent="0.2">
      <c r="AF50431" s="12"/>
    </row>
    <row r="50432" spans="32:32" x14ac:dyDescent="0.2">
      <c r="AF50432" s="12"/>
    </row>
    <row r="50433" spans="32:32" x14ac:dyDescent="0.2">
      <c r="AF50433" s="12"/>
    </row>
    <row r="50434" spans="32:32" x14ac:dyDescent="0.2">
      <c r="AF50434" s="12"/>
    </row>
    <row r="50435" spans="32:32" x14ac:dyDescent="0.2">
      <c r="AF50435" s="12"/>
    </row>
    <row r="50436" spans="32:32" x14ac:dyDescent="0.2">
      <c r="AF50436" s="12"/>
    </row>
    <row r="50437" spans="32:32" x14ac:dyDescent="0.2">
      <c r="AF50437" s="12"/>
    </row>
    <row r="50438" spans="32:32" x14ac:dyDescent="0.2">
      <c r="AF50438" s="12"/>
    </row>
    <row r="50439" spans="32:32" x14ac:dyDescent="0.2">
      <c r="AF50439" s="12"/>
    </row>
    <row r="50440" spans="32:32" x14ac:dyDescent="0.2">
      <c r="AF50440" s="12"/>
    </row>
    <row r="50441" spans="32:32" x14ac:dyDescent="0.2">
      <c r="AF50441" s="12"/>
    </row>
    <row r="50442" spans="32:32" x14ac:dyDescent="0.2">
      <c r="AF50442" s="12"/>
    </row>
    <row r="50443" spans="32:32" x14ac:dyDescent="0.2">
      <c r="AF50443" s="12"/>
    </row>
    <row r="50444" spans="32:32" x14ac:dyDescent="0.2">
      <c r="AF50444" s="12"/>
    </row>
    <row r="50445" spans="32:32" x14ac:dyDescent="0.2">
      <c r="AF50445" s="12"/>
    </row>
    <row r="50446" spans="32:32" x14ac:dyDescent="0.2">
      <c r="AF50446" s="12"/>
    </row>
    <row r="50447" spans="32:32" x14ac:dyDescent="0.2">
      <c r="AF50447" s="12"/>
    </row>
    <row r="50448" spans="32:32" x14ac:dyDescent="0.2">
      <c r="AF50448" s="12"/>
    </row>
    <row r="50449" spans="32:32" x14ac:dyDescent="0.2">
      <c r="AF50449" s="12"/>
    </row>
    <row r="50450" spans="32:32" x14ac:dyDescent="0.2">
      <c r="AF50450" s="12"/>
    </row>
    <row r="50451" spans="32:32" x14ac:dyDescent="0.2">
      <c r="AF50451" s="12"/>
    </row>
    <row r="50452" spans="32:32" x14ac:dyDescent="0.2">
      <c r="AF50452" s="12"/>
    </row>
    <row r="50453" spans="32:32" x14ac:dyDescent="0.2">
      <c r="AF50453" s="12"/>
    </row>
    <row r="50454" spans="32:32" x14ac:dyDescent="0.2">
      <c r="AF50454" s="12"/>
    </row>
    <row r="50455" spans="32:32" x14ac:dyDescent="0.2">
      <c r="AF50455" s="12"/>
    </row>
    <row r="50456" spans="32:32" x14ac:dyDescent="0.2">
      <c r="AF50456" s="12"/>
    </row>
    <row r="50457" spans="32:32" x14ac:dyDescent="0.2">
      <c r="AF50457" s="12"/>
    </row>
    <row r="50458" spans="32:32" x14ac:dyDescent="0.2">
      <c r="AF50458" s="12"/>
    </row>
    <row r="50459" spans="32:32" x14ac:dyDescent="0.2">
      <c r="AF50459" s="12"/>
    </row>
    <row r="50460" spans="32:32" x14ac:dyDescent="0.2">
      <c r="AF50460" s="12"/>
    </row>
    <row r="50461" spans="32:32" x14ac:dyDescent="0.2">
      <c r="AF50461" s="12"/>
    </row>
    <row r="50462" spans="32:32" x14ac:dyDescent="0.2">
      <c r="AF50462" s="12"/>
    </row>
    <row r="50463" spans="32:32" x14ac:dyDescent="0.2">
      <c r="AF50463" s="12"/>
    </row>
    <row r="50464" spans="32:32" x14ac:dyDescent="0.2">
      <c r="AF50464" s="12"/>
    </row>
    <row r="50465" spans="32:32" x14ac:dyDescent="0.2">
      <c r="AF50465" s="12"/>
    </row>
    <row r="50466" spans="32:32" x14ac:dyDescent="0.2">
      <c r="AF50466" s="12"/>
    </row>
    <row r="50467" spans="32:32" x14ac:dyDescent="0.2">
      <c r="AF50467" s="12"/>
    </row>
    <row r="50468" spans="32:32" x14ac:dyDescent="0.2">
      <c r="AF50468" s="12"/>
    </row>
    <row r="50469" spans="32:32" x14ac:dyDescent="0.2">
      <c r="AF50469" s="12"/>
    </row>
    <row r="50470" spans="32:32" x14ac:dyDescent="0.2">
      <c r="AF50470" s="12"/>
    </row>
    <row r="50471" spans="32:32" x14ac:dyDescent="0.2">
      <c r="AF50471" s="12"/>
    </row>
    <row r="50472" spans="32:32" x14ac:dyDescent="0.2">
      <c r="AF50472" s="12"/>
    </row>
    <row r="50473" spans="32:32" x14ac:dyDescent="0.2">
      <c r="AF50473" s="12"/>
    </row>
    <row r="50474" spans="32:32" x14ac:dyDescent="0.2">
      <c r="AF50474" s="12"/>
    </row>
    <row r="50475" spans="32:32" x14ac:dyDescent="0.2">
      <c r="AF50475" s="12"/>
    </row>
    <row r="50476" spans="32:32" x14ac:dyDescent="0.2">
      <c r="AF50476" s="12"/>
    </row>
    <row r="50477" spans="32:32" x14ac:dyDescent="0.2">
      <c r="AF50477" s="12"/>
    </row>
    <row r="50478" spans="32:32" x14ac:dyDescent="0.2">
      <c r="AF50478" s="12"/>
    </row>
    <row r="50479" spans="32:32" x14ac:dyDescent="0.2">
      <c r="AF50479" s="12"/>
    </row>
    <row r="50480" spans="32:32" x14ac:dyDescent="0.2">
      <c r="AF50480" s="12"/>
    </row>
    <row r="50481" spans="32:32" x14ac:dyDescent="0.2">
      <c r="AF50481" s="12"/>
    </row>
    <row r="50482" spans="32:32" x14ac:dyDescent="0.2">
      <c r="AF50482" s="12"/>
    </row>
    <row r="50483" spans="32:32" x14ac:dyDescent="0.2">
      <c r="AF50483" s="12"/>
    </row>
    <row r="50484" spans="32:32" x14ac:dyDescent="0.2">
      <c r="AF50484" s="12"/>
    </row>
    <row r="50485" spans="32:32" x14ac:dyDescent="0.2">
      <c r="AF50485" s="12"/>
    </row>
    <row r="50486" spans="32:32" x14ac:dyDescent="0.2">
      <c r="AF50486" s="12"/>
    </row>
    <row r="50487" spans="32:32" x14ac:dyDescent="0.2">
      <c r="AF50487" s="12"/>
    </row>
    <row r="50488" spans="32:32" x14ac:dyDescent="0.2">
      <c r="AF50488" s="12"/>
    </row>
    <row r="50489" spans="32:32" x14ac:dyDescent="0.2">
      <c r="AF50489" s="12"/>
    </row>
    <row r="50490" spans="32:32" x14ac:dyDescent="0.2">
      <c r="AF50490" s="12"/>
    </row>
    <row r="50491" spans="32:32" x14ac:dyDescent="0.2">
      <c r="AF50491" s="12"/>
    </row>
    <row r="50492" spans="32:32" x14ac:dyDescent="0.2">
      <c r="AF50492" s="12"/>
    </row>
    <row r="50493" spans="32:32" x14ac:dyDescent="0.2">
      <c r="AF50493" s="12"/>
    </row>
    <row r="50494" spans="32:32" x14ac:dyDescent="0.2">
      <c r="AF50494" s="12"/>
    </row>
    <row r="50495" spans="32:32" x14ac:dyDescent="0.2">
      <c r="AF50495" s="12"/>
    </row>
    <row r="50496" spans="32:32" x14ac:dyDescent="0.2">
      <c r="AF50496" s="12"/>
    </row>
    <row r="50497" spans="32:32" x14ac:dyDescent="0.2">
      <c r="AF50497" s="12"/>
    </row>
    <row r="50498" spans="32:32" x14ac:dyDescent="0.2">
      <c r="AF50498" s="12"/>
    </row>
    <row r="50499" spans="32:32" x14ac:dyDescent="0.2">
      <c r="AF50499" s="12"/>
    </row>
    <row r="50500" spans="32:32" x14ac:dyDescent="0.2">
      <c r="AF50500" s="12"/>
    </row>
    <row r="50501" spans="32:32" x14ac:dyDescent="0.2">
      <c r="AF50501" s="12"/>
    </row>
    <row r="50502" spans="32:32" x14ac:dyDescent="0.2">
      <c r="AF50502" s="12"/>
    </row>
    <row r="50503" spans="32:32" x14ac:dyDescent="0.2">
      <c r="AF50503" s="12"/>
    </row>
    <row r="50504" spans="32:32" x14ac:dyDescent="0.2">
      <c r="AF50504" s="12"/>
    </row>
    <row r="50505" spans="32:32" x14ac:dyDescent="0.2">
      <c r="AF50505" s="12"/>
    </row>
    <row r="50506" spans="32:32" x14ac:dyDescent="0.2">
      <c r="AF50506" s="12"/>
    </row>
    <row r="50507" spans="32:32" x14ac:dyDescent="0.2">
      <c r="AF50507" s="12"/>
    </row>
    <row r="50508" spans="32:32" x14ac:dyDescent="0.2">
      <c r="AF50508" s="12"/>
    </row>
    <row r="50509" spans="32:32" x14ac:dyDescent="0.2">
      <c r="AF50509" s="12"/>
    </row>
    <row r="50510" spans="32:32" x14ac:dyDescent="0.2">
      <c r="AF50510" s="12"/>
    </row>
    <row r="50511" spans="32:32" x14ac:dyDescent="0.2">
      <c r="AF50511" s="12"/>
    </row>
    <row r="50512" spans="32:32" x14ac:dyDescent="0.2">
      <c r="AF50512" s="12"/>
    </row>
    <row r="50513" spans="32:32" x14ac:dyDescent="0.2">
      <c r="AF50513" s="12"/>
    </row>
    <row r="50514" spans="32:32" x14ac:dyDescent="0.2">
      <c r="AF50514" s="12"/>
    </row>
    <row r="50515" spans="32:32" x14ac:dyDescent="0.2">
      <c r="AF50515" s="12"/>
    </row>
    <row r="50516" spans="32:32" x14ac:dyDescent="0.2">
      <c r="AF50516" s="12"/>
    </row>
    <row r="50517" spans="32:32" x14ac:dyDescent="0.2">
      <c r="AF50517" s="12"/>
    </row>
    <row r="50518" spans="32:32" x14ac:dyDescent="0.2">
      <c r="AF50518" s="12"/>
    </row>
    <row r="50519" spans="32:32" x14ac:dyDescent="0.2">
      <c r="AF50519" s="12"/>
    </row>
    <row r="50520" spans="32:32" x14ac:dyDescent="0.2">
      <c r="AF50520" s="12"/>
    </row>
    <row r="50521" spans="32:32" x14ac:dyDescent="0.2">
      <c r="AF50521" s="12"/>
    </row>
    <row r="50522" spans="32:32" x14ac:dyDescent="0.2">
      <c r="AF50522" s="12"/>
    </row>
    <row r="50523" spans="32:32" x14ac:dyDescent="0.2">
      <c r="AF50523" s="12"/>
    </row>
    <row r="50524" spans="32:32" x14ac:dyDescent="0.2">
      <c r="AF50524" s="12"/>
    </row>
    <row r="50525" spans="32:32" x14ac:dyDescent="0.2">
      <c r="AF50525" s="12"/>
    </row>
    <row r="50526" spans="32:32" x14ac:dyDescent="0.2">
      <c r="AF50526" s="12"/>
    </row>
    <row r="50527" spans="32:32" x14ac:dyDescent="0.2">
      <c r="AF50527" s="12"/>
    </row>
    <row r="50528" spans="32:32" x14ac:dyDescent="0.2">
      <c r="AF50528" s="12"/>
    </row>
    <row r="50529" spans="32:32" x14ac:dyDescent="0.2">
      <c r="AF50529" s="12"/>
    </row>
    <row r="50530" spans="32:32" x14ac:dyDescent="0.2">
      <c r="AF50530" s="12"/>
    </row>
    <row r="50531" spans="32:32" x14ac:dyDescent="0.2">
      <c r="AF50531" s="12"/>
    </row>
    <row r="50532" spans="32:32" x14ac:dyDescent="0.2">
      <c r="AF50532" s="12"/>
    </row>
    <row r="50533" spans="32:32" x14ac:dyDescent="0.2">
      <c r="AF50533" s="12"/>
    </row>
    <row r="50534" spans="32:32" x14ac:dyDescent="0.2">
      <c r="AF50534" s="12"/>
    </row>
    <row r="50535" spans="32:32" x14ac:dyDescent="0.2">
      <c r="AF50535" s="12"/>
    </row>
    <row r="50536" spans="32:32" x14ac:dyDescent="0.2">
      <c r="AF50536" s="12"/>
    </row>
    <row r="50537" spans="32:32" x14ac:dyDescent="0.2">
      <c r="AF50537" s="12"/>
    </row>
    <row r="50538" spans="32:32" x14ac:dyDescent="0.2">
      <c r="AF50538" s="12"/>
    </row>
    <row r="50539" spans="32:32" x14ac:dyDescent="0.2">
      <c r="AF50539" s="12"/>
    </row>
    <row r="50540" spans="32:32" x14ac:dyDescent="0.2">
      <c r="AF50540" s="12"/>
    </row>
    <row r="50541" spans="32:32" x14ac:dyDescent="0.2">
      <c r="AF50541" s="12"/>
    </row>
    <row r="50542" spans="32:32" x14ac:dyDescent="0.2">
      <c r="AF50542" s="12"/>
    </row>
    <row r="50543" spans="32:32" x14ac:dyDescent="0.2">
      <c r="AF50543" s="12"/>
    </row>
    <row r="50544" spans="32:32" x14ac:dyDescent="0.2">
      <c r="AF50544" s="12"/>
    </row>
    <row r="50545" spans="32:32" x14ac:dyDescent="0.2">
      <c r="AF50545" s="12"/>
    </row>
    <row r="50546" spans="32:32" x14ac:dyDescent="0.2">
      <c r="AF50546" s="12"/>
    </row>
    <row r="50547" spans="32:32" x14ac:dyDescent="0.2">
      <c r="AF50547" s="12"/>
    </row>
    <row r="50548" spans="32:32" x14ac:dyDescent="0.2">
      <c r="AF50548" s="12"/>
    </row>
    <row r="50549" spans="32:32" x14ac:dyDescent="0.2">
      <c r="AF50549" s="12"/>
    </row>
    <row r="50550" spans="32:32" x14ac:dyDescent="0.2">
      <c r="AF50550" s="12"/>
    </row>
    <row r="50551" spans="32:32" x14ac:dyDescent="0.2">
      <c r="AF50551" s="12"/>
    </row>
    <row r="50552" spans="32:32" x14ac:dyDescent="0.2">
      <c r="AF50552" s="12"/>
    </row>
    <row r="50553" spans="32:32" x14ac:dyDescent="0.2">
      <c r="AF50553" s="12"/>
    </row>
    <row r="50554" spans="32:32" x14ac:dyDescent="0.2">
      <c r="AF50554" s="12"/>
    </row>
    <row r="50555" spans="32:32" x14ac:dyDescent="0.2">
      <c r="AF50555" s="12"/>
    </row>
    <row r="50556" spans="32:32" x14ac:dyDescent="0.2">
      <c r="AF50556" s="12"/>
    </row>
    <row r="50557" spans="32:32" x14ac:dyDescent="0.2">
      <c r="AF50557" s="12"/>
    </row>
    <row r="50558" spans="32:32" x14ac:dyDescent="0.2">
      <c r="AF50558" s="12"/>
    </row>
    <row r="50559" spans="32:32" x14ac:dyDescent="0.2">
      <c r="AF50559" s="12"/>
    </row>
    <row r="50560" spans="32:32" x14ac:dyDescent="0.2">
      <c r="AF50560" s="12"/>
    </row>
    <row r="50561" spans="32:32" x14ac:dyDescent="0.2">
      <c r="AF50561" s="12"/>
    </row>
    <row r="50562" spans="32:32" x14ac:dyDescent="0.2">
      <c r="AF50562" s="12"/>
    </row>
    <row r="50563" spans="32:32" x14ac:dyDescent="0.2">
      <c r="AF50563" s="12"/>
    </row>
    <row r="50564" spans="32:32" x14ac:dyDescent="0.2">
      <c r="AF50564" s="12"/>
    </row>
    <row r="50565" spans="32:32" x14ac:dyDescent="0.2">
      <c r="AF50565" s="12"/>
    </row>
    <row r="50566" spans="32:32" x14ac:dyDescent="0.2">
      <c r="AF50566" s="12"/>
    </row>
    <row r="50567" spans="32:32" x14ac:dyDescent="0.2">
      <c r="AF50567" s="12"/>
    </row>
    <row r="50568" spans="32:32" x14ac:dyDescent="0.2">
      <c r="AF50568" s="12"/>
    </row>
    <row r="50569" spans="32:32" x14ac:dyDescent="0.2">
      <c r="AF50569" s="12"/>
    </row>
    <row r="50570" spans="32:32" x14ac:dyDescent="0.2">
      <c r="AF50570" s="12"/>
    </row>
    <row r="50571" spans="32:32" x14ac:dyDescent="0.2">
      <c r="AF50571" s="12"/>
    </row>
    <row r="50572" spans="32:32" x14ac:dyDescent="0.2">
      <c r="AF50572" s="12"/>
    </row>
    <row r="50573" spans="32:32" x14ac:dyDescent="0.2">
      <c r="AF50573" s="12"/>
    </row>
    <row r="50574" spans="32:32" x14ac:dyDescent="0.2">
      <c r="AF50574" s="12"/>
    </row>
    <row r="50575" spans="32:32" x14ac:dyDescent="0.2">
      <c r="AF50575" s="12"/>
    </row>
    <row r="50576" spans="32:32" x14ac:dyDescent="0.2">
      <c r="AF50576" s="12"/>
    </row>
    <row r="50577" spans="32:32" x14ac:dyDescent="0.2">
      <c r="AF50577" s="12"/>
    </row>
    <row r="50578" spans="32:32" x14ac:dyDescent="0.2">
      <c r="AF50578" s="12"/>
    </row>
    <row r="50579" spans="32:32" x14ac:dyDescent="0.2">
      <c r="AF50579" s="12"/>
    </row>
    <row r="50580" spans="32:32" x14ac:dyDescent="0.2">
      <c r="AF50580" s="12"/>
    </row>
    <row r="50581" spans="32:32" x14ac:dyDescent="0.2">
      <c r="AF50581" s="12"/>
    </row>
    <row r="50582" spans="32:32" x14ac:dyDescent="0.2">
      <c r="AF50582" s="12"/>
    </row>
    <row r="50583" spans="32:32" x14ac:dyDescent="0.2">
      <c r="AF50583" s="12"/>
    </row>
    <row r="50584" spans="32:32" x14ac:dyDescent="0.2">
      <c r="AF50584" s="12"/>
    </row>
    <row r="50585" spans="32:32" x14ac:dyDescent="0.2">
      <c r="AF50585" s="12"/>
    </row>
    <row r="50586" spans="32:32" x14ac:dyDescent="0.2">
      <c r="AF50586" s="12"/>
    </row>
    <row r="50587" spans="32:32" x14ac:dyDescent="0.2">
      <c r="AF50587" s="12"/>
    </row>
    <row r="50588" spans="32:32" x14ac:dyDescent="0.2">
      <c r="AF50588" s="12"/>
    </row>
    <row r="50589" spans="32:32" x14ac:dyDescent="0.2">
      <c r="AF50589" s="12"/>
    </row>
    <row r="50590" spans="32:32" x14ac:dyDescent="0.2">
      <c r="AF50590" s="12"/>
    </row>
    <row r="50591" spans="32:32" x14ac:dyDescent="0.2">
      <c r="AF50591" s="12"/>
    </row>
    <row r="50592" spans="32:32" x14ac:dyDescent="0.2">
      <c r="AF50592" s="12"/>
    </row>
    <row r="50593" spans="32:32" x14ac:dyDescent="0.2">
      <c r="AF50593" s="12"/>
    </row>
    <row r="50594" spans="32:32" x14ac:dyDescent="0.2">
      <c r="AF50594" s="12"/>
    </row>
    <row r="50595" spans="32:32" x14ac:dyDescent="0.2">
      <c r="AF50595" s="12"/>
    </row>
    <row r="50596" spans="32:32" x14ac:dyDescent="0.2">
      <c r="AF50596" s="12"/>
    </row>
    <row r="50597" spans="32:32" x14ac:dyDescent="0.2">
      <c r="AF50597" s="12"/>
    </row>
    <row r="50598" spans="32:32" x14ac:dyDescent="0.2">
      <c r="AF50598" s="12"/>
    </row>
    <row r="50599" spans="32:32" x14ac:dyDescent="0.2">
      <c r="AF50599" s="12"/>
    </row>
    <row r="50600" spans="32:32" x14ac:dyDescent="0.2">
      <c r="AF50600" s="12"/>
    </row>
    <row r="50601" spans="32:32" x14ac:dyDescent="0.2">
      <c r="AF50601" s="12"/>
    </row>
    <row r="50602" spans="32:32" x14ac:dyDescent="0.2">
      <c r="AF50602" s="12"/>
    </row>
    <row r="50603" spans="32:32" x14ac:dyDescent="0.2">
      <c r="AF50603" s="12"/>
    </row>
    <row r="50604" spans="32:32" x14ac:dyDescent="0.2">
      <c r="AF50604" s="12"/>
    </row>
    <row r="50605" spans="32:32" x14ac:dyDescent="0.2">
      <c r="AF50605" s="12"/>
    </row>
    <row r="50606" spans="32:32" x14ac:dyDescent="0.2">
      <c r="AF50606" s="12"/>
    </row>
    <row r="50607" spans="32:32" x14ac:dyDescent="0.2">
      <c r="AF50607" s="12"/>
    </row>
    <row r="50608" spans="32:32" x14ac:dyDescent="0.2">
      <c r="AF50608" s="12"/>
    </row>
    <row r="50609" spans="32:32" x14ac:dyDescent="0.2">
      <c r="AF50609" s="12"/>
    </row>
    <row r="50610" spans="32:32" x14ac:dyDescent="0.2">
      <c r="AF50610" s="12"/>
    </row>
    <row r="50611" spans="32:32" x14ac:dyDescent="0.2">
      <c r="AF50611" s="12"/>
    </row>
    <row r="50612" spans="32:32" x14ac:dyDescent="0.2">
      <c r="AF50612" s="12"/>
    </row>
    <row r="50613" spans="32:32" x14ac:dyDescent="0.2">
      <c r="AF50613" s="12"/>
    </row>
    <row r="50614" spans="32:32" x14ac:dyDescent="0.2">
      <c r="AF50614" s="12"/>
    </row>
    <row r="50615" spans="32:32" x14ac:dyDescent="0.2">
      <c r="AF50615" s="12"/>
    </row>
    <row r="50616" spans="32:32" x14ac:dyDescent="0.2">
      <c r="AF50616" s="12"/>
    </row>
    <row r="50617" spans="32:32" x14ac:dyDescent="0.2">
      <c r="AF50617" s="12"/>
    </row>
    <row r="50618" spans="32:32" x14ac:dyDescent="0.2">
      <c r="AF50618" s="12"/>
    </row>
    <row r="50619" spans="32:32" x14ac:dyDescent="0.2">
      <c r="AF50619" s="12"/>
    </row>
    <row r="50620" spans="32:32" x14ac:dyDescent="0.2">
      <c r="AF50620" s="12"/>
    </row>
    <row r="50621" spans="32:32" x14ac:dyDescent="0.2">
      <c r="AF50621" s="12"/>
    </row>
    <row r="50622" spans="32:32" x14ac:dyDescent="0.2">
      <c r="AF50622" s="12"/>
    </row>
    <row r="50623" spans="32:32" x14ac:dyDescent="0.2">
      <c r="AF50623" s="12"/>
    </row>
    <row r="50624" spans="32:32" x14ac:dyDescent="0.2">
      <c r="AF50624" s="12"/>
    </row>
    <row r="50625" spans="32:32" x14ac:dyDescent="0.2">
      <c r="AF50625" s="12"/>
    </row>
    <row r="50626" spans="32:32" x14ac:dyDescent="0.2">
      <c r="AF50626" s="12"/>
    </row>
    <row r="50627" spans="32:32" x14ac:dyDescent="0.2">
      <c r="AF50627" s="12"/>
    </row>
    <row r="50628" spans="32:32" x14ac:dyDescent="0.2">
      <c r="AF50628" s="12"/>
    </row>
    <row r="50629" spans="32:32" x14ac:dyDescent="0.2">
      <c r="AF50629" s="12"/>
    </row>
    <row r="50630" spans="32:32" x14ac:dyDescent="0.2">
      <c r="AF50630" s="12"/>
    </row>
    <row r="50631" spans="32:32" x14ac:dyDescent="0.2">
      <c r="AF50631" s="12"/>
    </row>
    <row r="50632" spans="32:32" x14ac:dyDescent="0.2">
      <c r="AF50632" s="12"/>
    </row>
    <row r="50633" spans="32:32" x14ac:dyDescent="0.2">
      <c r="AF50633" s="12"/>
    </row>
    <row r="50634" spans="32:32" x14ac:dyDescent="0.2">
      <c r="AF50634" s="12"/>
    </row>
    <row r="50635" spans="32:32" x14ac:dyDescent="0.2">
      <c r="AF50635" s="12"/>
    </row>
    <row r="50636" spans="32:32" x14ac:dyDescent="0.2">
      <c r="AF50636" s="12"/>
    </row>
    <row r="50637" spans="32:32" x14ac:dyDescent="0.2">
      <c r="AF50637" s="12"/>
    </row>
    <row r="50638" spans="32:32" x14ac:dyDescent="0.2">
      <c r="AF50638" s="12"/>
    </row>
    <row r="50639" spans="32:32" x14ac:dyDescent="0.2">
      <c r="AF50639" s="12"/>
    </row>
    <row r="50640" spans="32:32" x14ac:dyDescent="0.2">
      <c r="AF50640" s="12"/>
    </row>
    <row r="50641" spans="32:32" x14ac:dyDescent="0.2">
      <c r="AF50641" s="12"/>
    </row>
    <row r="50642" spans="32:32" x14ac:dyDescent="0.2">
      <c r="AF50642" s="12"/>
    </row>
    <row r="50643" spans="32:32" x14ac:dyDescent="0.2">
      <c r="AF50643" s="12"/>
    </row>
    <row r="50644" spans="32:32" x14ac:dyDescent="0.2">
      <c r="AF50644" s="12"/>
    </row>
    <row r="50645" spans="32:32" x14ac:dyDescent="0.2">
      <c r="AF50645" s="12"/>
    </row>
    <row r="50646" spans="32:32" x14ac:dyDescent="0.2">
      <c r="AF50646" s="12"/>
    </row>
    <row r="50647" spans="32:32" x14ac:dyDescent="0.2">
      <c r="AF50647" s="12"/>
    </row>
    <row r="50648" spans="32:32" x14ac:dyDescent="0.2">
      <c r="AF50648" s="12"/>
    </row>
    <row r="50649" spans="32:32" x14ac:dyDescent="0.2">
      <c r="AF50649" s="12"/>
    </row>
    <row r="50650" spans="32:32" x14ac:dyDescent="0.2">
      <c r="AF50650" s="12"/>
    </row>
    <row r="50651" spans="32:32" x14ac:dyDescent="0.2">
      <c r="AF50651" s="12"/>
    </row>
    <row r="50652" spans="32:32" x14ac:dyDescent="0.2">
      <c r="AF50652" s="12"/>
    </row>
    <row r="50653" spans="32:32" x14ac:dyDescent="0.2">
      <c r="AF50653" s="12"/>
    </row>
    <row r="50654" spans="32:32" x14ac:dyDescent="0.2">
      <c r="AF50654" s="12"/>
    </row>
    <row r="50655" spans="32:32" x14ac:dyDescent="0.2">
      <c r="AF50655" s="12"/>
    </row>
    <row r="50656" spans="32:32" x14ac:dyDescent="0.2">
      <c r="AF50656" s="12"/>
    </row>
    <row r="50657" spans="32:32" x14ac:dyDescent="0.2">
      <c r="AF50657" s="12"/>
    </row>
    <row r="50658" spans="32:32" x14ac:dyDescent="0.2">
      <c r="AF50658" s="12"/>
    </row>
    <row r="50659" spans="32:32" x14ac:dyDescent="0.2">
      <c r="AF50659" s="12"/>
    </row>
    <row r="50660" spans="32:32" x14ac:dyDescent="0.2">
      <c r="AF50660" s="12"/>
    </row>
    <row r="50661" spans="32:32" x14ac:dyDescent="0.2">
      <c r="AF50661" s="12"/>
    </row>
    <row r="50662" spans="32:32" x14ac:dyDescent="0.2">
      <c r="AF50662" s="12"/>
    </row>
    <row r="50663" spans="32:32" x14ac:dyDescent="0.2">
      <c r="AF50663" s="12"/>
    </row>
    <row r="50664" spans="32:32" x14ac:dyDescent="0.2">
      <c r="AF50664" s="12"/>
    </row>
    <row r="50665" spans="32:32" x14ac:dyDescent="0.2">
      <c r="AF50665" s="12"/>
    </row>
    <row r="50666" spans="32:32" x14ac:dyDescent="0.2">
      <c r="AF50666" s="12"/>
    </row>
    <row r="50667" spans="32:32" x14ac:dyDescent="0.2">
      <c r="AF50667" s="12"/>
    </row>
    <row r="50668" spans="32:32" x14ac:dyDescent="0.2">
      <c r="AF50668" s="12"/>
    </row>
    <row r="50669" spans="32:32" x14ac:dyDescent="0.2">
      <c r="AF50669" s="12"/>
    </row>
    <row r="50670" spans="32:32" x14ac:dyDescent="0.2">
      <c r="AF50670" s="12"/>
    </row>
    <row r="50671" spans="32:32" x14ac:dyDescent="0.2">
      <c r="AF50671" s="12"/>
    </row>
    <row r="50672" spans="32:32" x14ac:dyDescent="0.2">
      <c r="AF50672" s="12"/>
    </row>
    <row r="50673" spans="32:32" x14ac:dyDescent="0.2">
      <c r="AF50673" s="12"/>
    </row>
    <row r="50674" spans="32:32" x14ac:dyDescent="0.2">
      <c r="AF50674" s="12"/>
    </row>
    <row r="50675" spans="32:32" x14ac:dyDescent="0.2">
      <c r="AF50675" s="12"/>
    </row>
    <row r="50676" spans="32:32" x14ac:dyDescent="0.2">
      <c r="AF50676" s="12"/>
    </row>
    <row r="50677" spans="32:32" x14ac:dyDescent="0.2">
      <c r="AF50677" s="12"/>
    </row>
    <row r="50678" spans="32:32" x14ac:dyDescent="0.2">
      <c r="AF50678" s="12"/>
    </row>
    <row r="50679" spans="32:32" x14ac:dyDescent="0.2">
      <c r="AF50679" s="12"/>
    </row>
    <row r="50680" spans="32:32" x14ac:dyDescent="0.2">
      <c r="AF50680" s="12"/>
    </row>
    <row r="50681" spans="32:32" x14ac:dyDescent="0.2">
      <c r="AF50681" s="12"/>
    </row>
    <row r="50682" spans="32:32" x14ac:dyDescent="0.2">
      <c r="AF50682" s="12"/>
    </row>
    <row r="50683" spans="32:32" x14ac:dyDescent="0.2">
      <c r="AF50683" s="12"/>
    </row>
    <row r="50684" spans="32:32" x14ac:dyDescent="0.2">
      <c r="AF50684" s="12"/>
    </row>
    <row r="50685" spans="32:32" x14ac:dyDescent="0.2">
      <c r="AF50685" s="12"/>
    </row>
    <row r="50686" spans="32:32" x14ac:dyDescent="0.2">
      <c r="AF50686" s="12"/>
    </row>
    <row r="50687" spans="32:32" x14ac:dyDescent="0.2">
      <c r="AF50687" s="12"/>
    </row>
    <row r="50688" spans="32:32" x14ac:dyDescent="0.2">
      <c r="AF50688" s="12"/>
    </row>
    <row r="50689" spans="32:32" x14ac:dyDescent="0.2">
      <c r="AF50689" s="12"/>
    </row>
    <row r="50690" spans="32:32" x14ac:dyDescent="0.2">
      <c r="AF50690" s="12"/>
    </row>
    <row r="50691" spans="32:32" x14ac:dyDescent="0.2">
      <c r="AF50691" s="12"/>
    </row>
    <row r="50692" spans="32:32" x14ac:dyDescent="0.2">
      <c r="AF50692" s="12"/>
    </row>
    <row r="50693" spans="32:32" x14ac:dyDescent="0.2">
      <c r="AF50693" s="12"/>
    </row>
    <row r="50694" spans="32:32" x14ac:dyDescent="0.2">
      <c r="AF50694" s="12"/>
    </row>
    <row r="50695" spans="32:32" x14ac:dyDescent="0.2">
      <c r="AF50695" s="12"/>
    </row>
    <row r="50696" spans="32:32" x14ac:dyDescent="0.2">
      <c r="AF50696" s="12"/>
    </row>
    <row r="50697" spans="32:32" x14ac:dyDescent="0.2">
      <c r="AF50697" s="12"/>
    </row>
    <row r="50698" spans="32:32" x14ac:dyDescent="0.2">
      <c r="AF50698" s="12"/>
    </row>
    <row r="50699" spans="32:32" x14ac:dyDescent="0.2">
      <c r="AF50699" s="12"/>
    </row>
    <row r="50700" spans="32:32" x14ac:dyDescent="0.2">
      <c r="AF50700" s="12"/>
    </row>
    <row r="50701" spans="32:32" x14ac:dyDescent="0.2">
      <c r="AF50701" s="12"/>
    </row>
    <row r="50702" spans="32:32" x14ac:dyDescent="0.2">
      <c r="AF50702" s="12"/>
    </row>
    <row r="50703" spans="32:32" x14ac:dyDescent="0.2">
      <c r="AF50703" s="12"/>
    </row>
    <row r="50704" spans="32:32" x14ac:dyDescent="0.2">
      <c r="AF50704" s="12"/>
    </row>
    <row r="50705" spans="32:32" x14ac:dyDescent="0.2">
      <c r="AF50705" s="12"/>
    </row>
    <row r="50706" spans="32:32" x14ac:dyDescent="0.2">
      <c r="AF50706" s="12"/>
    </row>
    <row r="50707" spans="32:32" x14ac:dyDescent="0.2">
      <c r="AF50707" s="12"/>
    </row>
    <row r="50708" spans="32:32" x14ac:dyDescent="0.2">
      <c r="AF50708" s="12"/>
    </row>
    <row r="50709" spans="32:32" x14ac:dyDescent="0.2">
      <c r="AF50709" s="12"/>
    </row>
    <row r="50710" spans="32:32" x14ac:dyDescent="0.2">
      <c r="AF50710" s="12"/>
    </row>
    <row r="50711" spans="32:32" x14ac:dyDescent="0.2">
      <c r="AF50711" s="12"/>
    </row>
    <row r="50712" spans="32:32" x14ac:dyDescent="0.2">
      <c r="AF50712" s="12"/>
    </row>
    <row r="50713" spans="32:32" x14ac:dyDescent="0.2">
      <c r="AF50713" s="12"/>
    </row>
    <row r="50714" spans="32:32" x14ac:dyDescent="0.2">
      <c r="AF50714" s="12"/>
    </row>
    <row r="50715" spans="32:32" x14ac:dyDescent="0.2">
      <c r="AF50715" s="12"/>
    </row>
    <row r="50716" spans="32:32" x14ac:dyDescent="0.2">
      <c r="AF50716" s="12"/>
    </row>
    <row r="50717" spans="32:32" x14ac:dyDescent="0.2">
      <c r="AF50717" s="12"/>
    </row>
    <row r="50718" spans="32:32" x14ac:dyDescent="0.2">
      <c r="AF50718" s="12"/>
    </row>
    <row r="50719" spans="32:32" x14ac:dyDescent="0.2">
      <c r="AF50719" s="12"/>
    </row>
    <row r="50720" spans="32:32" x14ac:dyDescent="0.2">
      <c r="AF50720" s="12"/>
    </row>
    <row r="50721" spans="32:32" x14ac:dyDescent="0.2">
      <c r="AF50721" s="12"/>
    </row>
    <row r="50722" spans="32:32" x14ac:dyDescent="0.2">
      <c r="AF50722" s="12"/>
    </row>
    <row r="50723" spans="32:32" x14ac:dyDescent="0.2">
      <c r="AF50723" s="12"/>
    </row>
    <row r="50724" spans="32:32" x14ac:dyDescent="0.2">
      <c r="AF50724" s="12"/>
    </row>
    <row r="50725" spans="32:32" x14ac:dyDescent="0.2">
      <c r="AF50725" s="12"/>
    </row>
    <row r="50726" spans="32:32" x14ac:dyDescent="0.2">
      <c r="AF50726" s="12"/>
    </row>
    <row r="50727" spans="32:32" x14ac:dyDescent="0.2">
      <c r="AF50727" s="12"/>
    </row>
    <row r="50728" spans="32:32" x14ac:dyDescent="0.2">
      <c r="AF50728" s="12"/>
    </row>
    <row r="50729" spans="32:32" x14ac:dyDescent="0.2">
      <c r="AF50729" s="12"/>
    </row>
    <row r="50730" spans="32:32" x14ac:dyDescent="0.2">
      <c r="AF50730" s="12"/>
    </row>
    <row r="50731" spans="32:32" x14ac:dyDescent="0.2">
      <c r="AF50731" s="12"/>
    </row>
    <row r="50732" spans="32:32" x14ac:dyDescent="0.2">
      <c r="AF50732" s="12"/>
    </row>
    <row r="50733" spans="32:32" x14ac:dyDescent="0.2">
      <c r="AF50733" s="12"/>
    </row>
    <row r="50734" spans="32:32" x14ac:dyDescent="0.2">
      <c r="AF50734" s="12"/>
    </row>
    <row r="50735" spans="32:32" x14ac:dyDescent="0.2">
      <c r="AF50735" s="12"/>
    </row>
    <row r="50736" spans="32:32" x14ac:dyDescent="0.2">
      <c r="AF50736" s="12"/>
    </row>
    <row r="50737" spans="32:32" x14ac:dyDescent="0.2">
      <c r="AF50737" s="12"/>
    </row>
    <row r="50738" spans="32:32" x14ac:dyDescent="0.2">
      <c r="AF50738" s="12"/>
    </row>
    <row r="50739" spans="32:32" x14ac:dyDescent="0.2">
      <c r="AF50739" s="12"/>
    </row>
    <row r="50740" spans="32:32" x14ac:dyDescent="0.2">
      <c r="AF50740" s="12"/>
    </row>
    <row r="50741" spans="32:32" x14ac:dyDescent="0.2">
      <c r="AF50741" s="12"/>
    </row>
    <row r="50742" spans="32:32" x14ac:dyDescent="0.2">
      <c r="AF50742" s="12"/>
    </row>
    <row r="50743" spans="32:32" x14ac:dyDescent="0.2">
      <c r="AF50743" s="12"/>
    </row>
    <row r="50744" spans="32:32" x14ac:dyDescent="0.2">
      <c r="AF50744" s="12"/>
    </row>
    <row r="50745" spans="32:32" x14ac:dyDescent="0.2">
      <c r="AF50745" s="12"/>
    </row>
    <row r="50746" spans="32:32" x14ac:dyDescent="0.2">
      <c r="AF50746" s="12"/>
    </row>
    <row r="50747" spans="32:32" x14ac:dyDescent="0.2">
      <c r="AF50747" s="12"/>
    </row>
    <row r="50748" spans="32:32" x14ac:dyDescent="0.2">
      <c r="AF50748" s="12"/>
    </row>
    <row r="50749" spans="32:32" x14ac:dyDescent="0.2">
      <c r="AF50749" s="12"/>
    </row>
    <row r="50750" spans="32:32" x14ac:dyDescent="0.2">
      <c r="AF50750" s="12"/>
    </row>
    <row r="50751" spans="32:32" x14ac:dyDescent="0.2">
      <c r="AF50751" s="12"/>
    </row>
    <row r="50752" spans="32:32" x14ac:dyDescent="0.2">
      <c r="AF50752" s="12"/>
    </row>
    <row r="50753" spans="32:32" x14ac:dyDescent="0.2">
      <c r="AF50753" s="12"/>
    </row>
    <row r="50754" spans="32:32" x14ac:dyDescent="0.2">
      <c r="AF50754" s="12"/>
    </row>
    <row r="50755" spans="32:32" x14ac:dyDescent="0.2">
      <c r="AF50755" s="12"/>
    </row>
    <row r="50756" spans="32:32" x14ac:dyDescent="0.2">
      <c r="AF50756" s="12"/>
    </row>
    <row r="50757" spans="32:32" x14ac:dyDescent="0.2">
      <c r="AF50757" s="12"/>
    </row>
    <row r="50758" spans="32:32" x14ac:dyDescent="0.2">
      <c r="AF50758" s="12"/>
    </row>
    <row r="50759" spans="32:32" x14ac:dyDescent="0.2">
      <c r="AF50759" s="12"/>
    </row>
    <row r="50760" spans="32:32" x14ac:dyDescent="0.2">
      <c r="AF50760" s="12"/>
    </row>
    <row r="50761" spans="32:32" x14ac:dyDescent="0.2">
      <c r="AF50761" s="12"/>
    </row>
    <row r="50762" spans="32:32" x14ac:dyDescent="0.2">
      <c r="AF50762" s="12"/>
    </row>
    <row r="50763" spans="32:32" x14ac:dyDescent="0.2">
      <c r="AF50763" s="12"/>
    </row>
    <row r="50764" spans="32:32" x14ac:dyDescent="0.2">
      <c r="AF50764" s="12"/>
    </row>
    <row r="50765" spans="32:32" x14ac:dyDescent="0.2">
      <c r="AF50765" s="12"/>
    </row>
    <row r="50766" spans="32:32" x14ac:dyDescent="0.2">
      <c r="AF50766" s="12"/>
    </row>
    <row r="50767" spans="32:32" x14ac:dyDescent="0.2">
      <c r="AF50767" s="12"/>
    </row>
    <row r="50768" spans="32:32" x14ac:dyDescent="0.2">
      <c r="AF50768" s="12"/>
    </row>
    <row r="50769" spans="32:32" x14ac:dyDescent="0.2">
      <c r="AF50769" s="12"/>
    </row>
    <row r="50770" spans="32:32" x14ac:dyDescent="0.2">
      <c r="AF50770" s="12"/>
    </row>
    <row r="50771" spans="32:32" x14ac:dyDescent="0.2">
      <c r="AF50771" s="12"/>
    </row>
    <row r="50772" spans="32:32" x14ac:dyDescent="0.2">
      <c r="AF50772" s="12"/>
    </row>
    <row r="50773" spans="32:32" x14ac:dyDescent="0.2">
      <c r="AF50773" s="12"/>
    </row>
    <row r="50774" spans="32:32" x14ac:dyDescent="0.2">
      <c r="AF50774" s="12"/>
    </row>
    <row r="50775" spans="32:32" x14ac:dyDescent="0.2">
      <c r="AF50775" s="12"/>
    </row>
    <row r="50776" spans="32:32" x14ac:dyDescent="0.2">
      <c r="AF50776" s="12"/>
    </row>
    <row r="50777" spans="32:32" x14ac:dyDescent="0.2">
      <c r="AF50777" s="12"/>
    </row>
    <row r="50778" spans="32:32" x14ac:dyDescent="0.2">
      <c r="AF50778" s="12"/>
    </row>
    <row r="50779" spans="32:32" x14ac:dyDescent="0.2">
      <c r="AF50779" s="12"/>
    </row>
    <row r="50780" spans="32:32" x14ac:dyDescent="0.2">
      <c r="AF50780" s="12"/>
    </row>
    <row r="50781" spans="32:32" x14ac:dyDescent="0.2">
      <c r="AF50781" s="12"/>
    </row>
    <row r="50782" spans="32:32" x14ac:dyDescent="0.2">
      <c r="AF50782" s="12"/>
    </row>
    <row r="50783" spans="32:32" x14ac:dyDescent="0.2">
      <c r="AF50783" s="12"/>
    </row>
    <row r="50784" spans="32:32" x14ac:dyDescent="0.2">
      <c r="AF50784" s="12"/>
    </row>
    <row r="50785" spans="32:32" x14ac:dyDescent="0.2">
      <c r="AF50785" s="12"/>
    </row>
    <row r="50786" spans="32:32" x14ac:dyDescent="0.2">
      <c r="AF50786" s="12"/>
    </row>
    <row r="50787" spans="32:32" x14ac:dyDescent="0.2">
      <c r="AF50787" s="12"/>
    </row>
    <row r="50788" spans="32:32" x14ac:dyDescent="0.2">
      <c r="AF50788" s="12"/>
    </row>
    <row r="50789" spans="32:32" x14ac:dyDescent="0.2">
      <c r="AF50789" s="12"/>
    </row>
    <row r="50790" spans="32:32" x14ac:dyDescent="0.2">
      <c r="AF50790" s="12"/>
    </row>
    <row r="50791" spans="32:32" x14ac:dyDescent="0.2">
      <c r="AF50791" s="12"/>
    </row>
    <row r="50792" spans="32:32" x14ac:dyDescent="0.2">
      <c r="AF50792" s="12"/>
    </row>
    <row r="50793" spans="32:32" x14ac:dyDescent="0.2">
      <c r="AF50793" s="12"/>
    </row>
    <row r="50794" spans="32:32" x14ac:dyDescent="0.2">
      <c r="AF50794" s="12"/>
    </row>
    <row r="50795" spans="32:32" x14ac:dyDescent="0.2">
      <c r="AF50795" s="12"/>
    </row>
    <row r="50796" spans="32:32" x14ac:dyDescent="0.2">
      <c r="AF50796" s="12"/>
    </row>
    <row r="50797" spans="32:32" x14ac:dyDescent="0.2">
      <c r="AF50797" s="12"/>
    </row>
    <row r="50798" spans="32:32" x14ac:dyDescent="0.2">
      <c r="AF50798" s="12"/>
    </row>
    <row r="50799" spans="32:32" x14ac:dyDescent="0.2">
      <c r="AF50799" s="12"/>
    </row>
    <row r="50800" spans="32:32" x14ac:dyDescent="0.2">
      <c r="AF50800" s="12"/>
    </row>
    <row r="50801" spans="32:32" x14ac:dyDescent="0.2">
      <c r="AF50801" s="12"/>
    </row>
    <row r="50802" spans="32:32" x14ac:dyDescent="0.2">
      <c r="AF50802" s="12"/>
    </row>
    <row r="50803" spans="32:32" x14ac:dyDescent="0.2">
      <c r="AF50803" s="12"/>
    </row>
    <row r="50804" spans="32:32" x14ac:dyDescent="0.2">
      <c r="AF50804" s="12"/>
    </row>
    <row r="50805" spans="32:32" x14ac:dyDescent="0.2">
      <c r="AF50805" s="12"/>
    </row>
    <row r="50806" spans="32:32" x14ac:dyDescent="0.2">
      <c r="AF50806" s="12"/>
    </row>
    <row r="50807" spans="32:32" x14ac:dyDescent="0.2">
      <c r="AF50807" s="12"/>
    </row>
    <row r="50808" spans="32:32" x14ac:dyDescent="0.2">
      <c r="AF50808" s="12"/>
    </row>
    <row r="50809" spans="32:32" x14ac:dyDescent="0.2">
      <c r="AF50809" s="12"/>
    </row>
    <row r="50810" spans="32:32" x14ac:dyDescent="0.2">
      <c r="AF50810" s="12"/>
    </row>
    <row r="50811" spans="32:32" x14ac:dyDescent="0.2">
      <c r="AF50811" s="12"/>
    </row>
    <row r="50812" spans="32:32" x14ac:dyDescent="0.2">
      <c r="AF50812" s="12"/>
    </row>
    <row r="50813" spans="32:32" x14ac:dyDescent="0.2">
      <c r="AF50813" s="12"/>
    </row>
    <row r="50814" spans="32:32" x14ac:dyDescent="0.2">
      <c r="AF50814" s="12"/>
    </row>
    <row r="50815" spans="32:32" x14ac:dyDescent="0.2">
      <c r="AF50815" s="12"/>
    </row>
    <row r="50816" spans="32:32" x14ac:dyDescent="0.2">
      <c r="AF50816" s="12"/>
    </row>
    <row r="50817" spans="32:32" x14ac:dyDescent="0.2">
      <c r="AF50817" s="12"/>
    </row>
    <row r="50818" spans="32:32" x14ac:dyDescent="0.2">
      <c r="AF50818" s="12"/>
    </row>
    <row r="50819" spans="32:32" x14ac:dyDescent="0.2">
      <c r="AF50819" s="12"/>
    </row>
    <row r="50820" spans="32:32" x14ac:dyDescent="0.2">
      <c r="AF50820" s="12"/>
    </row>
    <row r="50821" spans="32:32" x14ac:dyDescent="0.2">
      <c r="AF50821" s="12"/>
    </row>
    <row r="50822" spans="32:32" x14ac:dyDescent="0.2">
      <c r="AF50822" s="12"/>
    </row>
    <row r="50823" spans="32:32" x14ac:dyDescent="0.2">
      <c r="AF50823" s="12"/>
    </row>
    <row r="50824" spans="32:32" x14ac:dyDescent="0.2">
      <c r="AF50824" s="12"/>
    </row>
    <row r="50825" spans="32:32" x14ac:dyDescent="0.2">
      <c r="AF50825" s="12"/>
    </row>
    <row r="50826" spans="32:32" x14ac:dyDescent="0.2">
      <c r="AF50826" s="12"/>
    </row>
    <row r="50827" spans="32:32" x14ac:dyDescent="0.2">
      <c r="AF50827" s="12"/>
    </row>
    <row r="50828" spans="32:32" x14ac:dyDescent="0.2">
      <c r="AF50828" s="12"/>
    </row>
    <row r="50829" spans="32:32" x14ac:dyDescent="0.2">
      <c r="AF50829" s="12"/>
    </row>
    <row r="50830" spans="32:32" x14ac:dyDescent="0.2">
      <c r="AF50830" s="12"/>
    </row>
    <row r="50831" spans="32:32" x14ac:dyDescent="0.2">
      <c r="AF50831" s="12"/>
    </row>
    <row r="50832" spans="32:32" x14ac:dyDescent="0.2">
      <c r="AF50832" s="12"/>
    </row>
    <row r="50833" spans="32:32" x14ac:dyDescent="0.2">
      <c r="AF50833" s="12"/>
    </row>
    <row r="50834" spans="32:32" x14ac:dyDescent="0.2">
      <c r="AF50834" s="12"/>
    </row>
    <row r="50835" spans="32:32" x14ac:dyDescent="0.2">
      <c r="AF50835" s="12"/>
    </row>
    <row r="50836" spans="32:32" x14ac:dyDescent="0.2">
      <c r="AF50836" s="12"/>
    </row>
    <row r="50837" spans="32:32" x14ac:dyDescent="0.2">
      <c r="AF50837" s="12"/>
    </row>
    <row r="50838" spans="32:32" x14ac:dyDescent="0.2">
      <c r="AF50838" s="12"/>
    </row>
    <row r="50839" spans="32:32" x14ac:dyDescent="0.2">
      <c r="AF50839" s="12"/>
    </row>
    <row r="50840" spans="32:32" x14ac:dyDescent="0.2">
      <c r="AF50840" s="12"/>
    </row>
    <row r="50841" spans="32:32" x14ac:dyDescent="0.2">
      <c r="AF50841" s="12"/>
    </row>
    <row r="50842" spans="32:32" x14ac:dyDescent="0.2">
      <c r="AF50842" s="12"/>
    </row>
    <row r="50843" spans="32:32" x14ac:dyDescent="0.2">
      <c r="AF50843" s="12"/>
    </row>
    <row r="50844" spans="32:32" x14ac:dyDescent="0.2">
      <c r="AF50844" s="12"/>
    </row>
    <row r="50845" spans="32:32" x14ac:dyDescent="0.2">
      <c r="AF50845" s="12"/>
    </row>
    <row r="50846" spans="32:32" x14ac:dyDescent="0.2">
      <c r="AF50846" s="12"/>
    </row>
    <row r="50847" spans="32:32" x14ac:dyDescent="0.2">
      <c r="AF50847" s="12"/>
    </row>
    <row r="50848" spans="32:32" x14ac:dyDescent="0.2">
      <c r="AF50848" s="12"/>
    </row>
    <row r="50849" spans="32:32" x14ac:dyDescent="0.2">
      <c r="AF50849" s="12"/>
    </row>
    <row r="50850" spans="32:32" x14ac:dyDescent="0.2">
      <c r="AF50850" s="12"/>
    </row>
    <row r="50851" spans="32:32" x14ac:dyDescent="0.2">
      <c r="AF50851" s="12"/>
    </row>
    <row r="50852" spans="32:32" x14ac:dyDescent="0.2">
      <c r="AF50852" s="12"/>
    </row>
    <row r="50853" spans="32:32" x14ac:dyDescent="0.2">
      <c r="AF50853" s="12"/>
    </row>
    <row r="50854" spans="32:32" x14ac:dyDescent="0.2">
      <c r="AF50854" s="12"/>
    </row>
    <row r="50855" spans="32:32" x14ac:dyDescent="0.2">
      <c r="AF50855" s="12"/>
    </row>
    <row r="50856" spans="32:32" x14ac:dyDescent="0.2">
      <c r="AF50856" s="12"/>
    </row>
    <row r="50857" spans="32:32" x14ac:dyDescent="0.2">
      <c r="AF50857" s="12"/>
    </row>
    <row r="50858" spans="32:32" x14ac:dyDescent="0.2">
      <c r="AF50858" s="12"/>
    </row>
    <row r="50859" spans="32:32" x14ac:dyDescent="0.2">
      <c r="AF50859" s="12"/>
    </row>
    <row r="50860" spans="32:32" x14ac:dyDescent="0.2">
      <c r="AF50860" s="12"/>
    </row>
    <row r="50861" spans="32:32" x14ac:dyDescent="0.2">
      <c r="AF50861" s="12"/>
    </row>
    <row r="50862" spans="32:32" x14ac:dyDescent="0.2">
      <c r="AF50862" s="12"/>
    </row>
    <row r="50863" spans="32:32" x14ac:dyDescent="0.2">
      <c r="AF50863" s="12"/>
    </row>
    <row r="50864" spans="32:32" x14ac:dyDescent="0.2">
      <c r="AF50864" s="12"/>
    </row>
    <row r="50865" spans="32:32" x14ac:dyDescent="0.2">
      <c r="AF50865" s="12"/>
    </row>
    <row r="50866" spans="32:32" x14ac:dyDescent="0.2">
      <c r="AF50866" s="12"/>
    </row>
    <row r="50867" spans="32:32" x14ac:dyDescent="0.2">
      <c r="AF50867" s="12"/>
    </row>
    <row r="50868" spans="32:32" x14ac:dyDescent="0.2">
      <c r="AF50868" s="12"/>
    </row>
    <row r="50869" spans="32:32" x14ac:dyDescent="0.2">
      <c r="AF50869" s="12"/>
    </row>
    <row r="50870" spans="32:32" x14ac:dyDescent="0.2">
      <c r="AF50870" s="12"/>
    </row>
    <row r="50871" spans="32:32" x14ac:dyDescent="0.2">
      <c r="AF50871" s="12"/>
    </row>
    <row r="50872" spans="32:32" x14ac:dyDescent="0.2">
      <c r="AF50872" s="12"/>
    </row>
    <row r="50873" spans="32:32" x14ac:dyDescent="0.2">
      <c r="AF50873" s="12"/>
    </row>
    <row r="50874" spans="32:32" x14ac:dyDescent="0.2">
      <c r="AF50874" s="12"/>
    </row>
    <row r="50875" spans="32:32" x14ac:dyDescent="0.2">
      <c r="AF50875" s="12"/>
    </row>
    <row r="50876" spans="32:32" x14ac:dyDescent="0.2">
      <c r="AF50876" s="12"/>
    </row>
    <row r="50877" spans="32:32" x14ac:dyDescent="0.2">
      <c r="AF50877" s="12"/>
    </row>
    <row r="50878" spans="32:32" x14ac:dyDescent="0.2">
      <c r="AF50878" s="12"/>
    </row>
    <row r="50879" spans="32:32" x14ac:dyDescent="0.2">
      <c r="AF50879" s="12"/>
    </row>
    <row r="50880" spans="32:32" x14ac:dyDescent="0.2">
      <c r="AF50880" s="12"/>
    </row>
    <row r="50881" spans="32:32" x14ac:dyDescent="0.2">
      <c r="AF50881" s="12"/>
    </row>
    <row r="50882" spans="32:32" x14ac:dyDescent="0.2">
      <c r="AF50882" s="12"/>
    </row>
    <row r="50883" spans="32:32" x14ac:dyDescent="0.2">
      <c r="AF50883" s="12"/>
    </row>
    <row r="50884" spans="32:32" x14ac:dyDescent="0.2">
      <c r="AF50884" s="12"/>
    </row>
    <row r="50885" spans="32:32" x14ac:dyDescent="0.2">
      <c r="AF50885" s="12"/>
    </row>
    <row r="50886" spans="32:32" x14ac:dyDescent="0.2">
      <c r="AF50886" s="12"/>
    </row>
    <row r="50887" spans="32:32" x14ac:dyDescent="0.2">
      <c r="AF50887" s="12"/>
    </row>
    <row r="50888" spans="32:32" x14ac:dyDescent="0.2">
      <c r="AF50888" s="12"/>
    </row>
    <row r="50889" spans="32:32" x14ac:dyDescent="0.2">
      <c r="AF50889" s="12"/>
    </row>
    <row r="50890" spans="32:32" x14ac:dyDescent="0.2">
      <c r="AF50890" s="12"/>
    </row>
    <row r="50891" spans="32:32" x14ac:dyDescent="0.2">
      <c r="AF50891" s="12"/>
    </row>
    <row r="50892" spans="32:32" x14ac:dyDescent="0.2">
      <c r="AF50892" s="12"/>
    </row>
    <row r="50893" spans="32:32" x14ac:dyDescent="0.2">
      <c r="AF50893" s="12"/>
    </row>
    <row r="50894" spans="32:32" x14ac:dyDescent="0.2">
      <c r="AF50894" s="12"/>
    </row>
    <row r="50895" spans="32:32" x14ac:dyDescent="0.2">
      <c r="AF50895" s="12"/>
    </row>
    <row r="50896" spans="32:32" x14ac:dyDescent="0.2">
      <c r="AF50896" s="12"/>
    </row>
    <row r="50897" spans="32:32" x14ac:dyDescent="0.2">
      <c r="AF50897" s="12"/>
    </row>
    <row r="50898" spans="32:32" x14ac:dyDescent="0.2">
      <c r="AF50898" s="12"/>
    </row>
    <row r="50899" spans="32:32" x14ac:dyDescent="0.2">
      <c r="AF50899" s="12"/>
    </row>
    <row r="50900" spans="32:32" x14ac:dyDescent="0.2">
      <c r="AF50900" s="12"/>
    </row>
    <row r="50901" spans="32:32" x14ac:dyDescent="0.2">
      <c r="AF50901" s="12"/>
    </row>
    <row r="50902" spans="32:32" x14ac:dyDescent="0.2">
      <c r="AF50902" s="12"/>
    </row>
    <row r="50903" spans="32:32" x14ac:dyDescent="0.2">
      <c r="AF50903" s="12"/>
    </row>
    <row r="50904" spans="32:32" x14ac:dyDescent="0.2">
      <c r="AF50904" s="12"/>
    </row>
    <row r="50905" spans="32:32" x14ac:dyDescent="0.2">
      <c r="AF50905" s="12"/>
    </row>
    <row r="50906" spans="32:32" x14ac:dyDescent="0.2">
      <c r="AF50906" s="12"/>
    </row>
    <row r="50907" spans="32:32" x14ac:dyDescent="0.2">
      <c r="AF50907" s="12"/>
    </row>
    <row r="50908" spans="32:32" x14ac:dyDescent="0.2">
      <c r="AF50908" s="12"/>
    </row>
    <row r="50909" spans="32:32" x14ac:dyDescent="0.2">
      <c r="AF50909" s="12"/>
    </row>
    <row r="50910" spans="32:32" x14ac:dyDescent="0.2">
      <c r="AF50910" s="12"/>
    </row>
    <row r="50911" spans="32:32" x14ac:dyDescent="0.2">
      <c r="AF50911" s="12"/>
    </row>
    <row r="50912" spans="32:32" x14ac:dyDescent="0.2">
      <c r="AF50912" s="12"/>
    </row>
    <row r="50913" spans="32:32" x14ac:dyDescent="0.2">
      <c r="AF50913" s="12"/>
    </row>
    <row r="50914" spans="32:32" x14ac:dyDescent="0.2">
      <c r="AF50914" s="12"/>
    </row>
    <row r="50915" spans="32:32" x14ac:dyDescent="0.2">
      <c r="AF50915" s="12"/>
    </row>
    <row r="50916" spans="32:32" x14ac:dyDescent="0.2">
      <c r="AF50916" s="12"/>
    </row>
    <row r="50917" spans="32:32" x14ac:dyDescent="0.2">
      <c r="AF50917" s="12"/>
    </row>
    <row r="50918" spans="32:32" x14ac:dyDescent="0.2">
      <c r="AF50918" s="12"/>
    </row>
    <row r="50919" spans="32:32" x14ac:dyDescent="0.2">
      <c r="AF50919" s="12"/>
    </row>
    <row r="50920" spans="32:32" x14ac:dyDescent="0.2">
      <c r="AF50920" s="12"/>
    </row>
    <row r="50921" spans="32:32" x14ac:dyDescent="0.2">
      <c r="AF50921" s="12"/>
    </row>
    <row r="50922" spans="32:32" x14ac:dyDescent="0.2">
      <c r="AF50922" s="12"/>
    </row>
    <row r="50923" spans="32:32" x14ac:dyDescent="0.2">
      <c r="AF50923" s="12"/>
    </row>
    <row r="50924" spans="32:32" x14ac:dyDescent="0.2">
      <c r="AF50924" s="12"/>
    </row>
    <row r="50925" spans="32:32" x14ac:dyDescent="0.2">
      <c r="AF50925" s="12"/>
    </row>
    <row r="50926" spans="32:32" x14ac:dyDescent="0.2">
      <c r="AF50926" s="12"/>
    </row>
    <row r="50927" spans="32:32" x14ac:dyDescent="0.2">
      <c r="AF50927" s="12"/>
    </row>
    <row r="50928" spans="32:32" x14ac:dyDescent="0.2">
      <c r="AF50928" s="12"/>
    </row>
    <row r="50929" spans="32:32" x14ac:dyDescent="0.2">
      <c r="AF50929" s="12"/>
    </row>
    <row r="50930" spans="32:32" x14ac:dyDescent="0.2">
      <c r="AF50930" s="12"/>
    </row>
    <row r="50931" spans="32:32" x14ac:dyDescent="0.2">
      <c r="AF50931" s="12"/>
    </row>
    <row r="50932" spans="32:32" x14ac:dyDescent="0.2">
      <c r="AF50932" s="12"/>
    </row>
    <row r="50933" spans="32:32" x14ac:dyDescent="0.2">
      <c r="AF50933" s="12"/>
    </row>
    <row r="50934" spans="32:32" x14ac:dyDescent="0.2">
      <c r="AF50934" s="12"/>
    </row>
    <row r="50935" spans="32:32" x14ac:dyDescent="0.2">
      <c r="AF50935" s="12"/>
    </row>
    <row r="50936" spans="32:32" x14ac:dyDescent="0.2">
      <c r="AF50936" s="12"/>
    </row>
    <row r="50937" spans="32:32" x14ac:dyDescent="0.2">
      <c r="AF50937" s="12"/>
    </row>
    <row r="50938" spans="32:32" x14ac:dyDescent="0.2">
      <c r="AF50938" s="12"/>
    </row>
    <row r="50939" spans="32:32" x14ac:dyDescent="0.2">
      <c r="AF50939" s="12"/>
    </row>
    <row r="50940" spans="32:32" x14ac:dyDescent="0.2">
      <c r="AF50940" s="12"/>
    </row>
    <row r="50941" spans="32:32" x14ac:dyDescent="0.2">
      <c r="AF50941" s="12"/>
    </row>
    <row r="50942" spans="32:32" x14ac:dyDescent="0.2">
      <c r="AF50942" s="12"/>
    </row>
    <row r="50943" spans="32:32" x14ac:dyDescent="0.2">
      <c r="AF50943" s="12"/>
    </row>
    <row r="50944" spans="32:32" x14ac:dyDescent="0.2">
      <c r="AF50944" s="12"/>
    </row>
    <row r="50945" spans="32:32" x14ac:dyDescent="0.2">
      <c r="AF50945" s="12"/>
    </row>
    <row r="50946" spans="32:32" x14ac:dyDescent="0.2">
      <c r="AF50946" s="12"/>
    </row>
    <row r="50947" spans="32:32" x14ac:dyDescent="0.2">
      <c r="AF50947" s="12"/>
    </row>
    <row r="50948" spans="32:32" x14ac:dyDescent="0.2">
      <c r="AF50948" s="12"/>
    </row>
    <row r="50949" spans="32:32" x14ac:dyDescent="0.2">
      <c r="AF50949" s="12"/>
    </row>
    <row r="50950" spans="32:32" x14ac:dyDescent="0.2">
      <c r="AF50950" s="12"/>
    </row>
    <row r="50951" spans="32:32" x14ac:dyDescent="0.2">
      <c r="AF50951" s="12"/>
    </row>
    <row r="50952" spans="32:32" x14ac:dyDescent="0.2">
      <c r="AF50952" s="12"/>
    </row>
    <row r="50953" spans="32:32" x14ac:dyDescent="0.2">
      <c r="AF50953" s="12"/>
    </row>
    <row r="50954" spans="32:32" x14ac:dyDescent="0.2">
      <c r="AF50954" s="12"/>
    </row>
    <row r="50955" spans="32:32" x14ac:dyDescent="0.2">
      <c r="AF50955" s="12"/>
    </row>
    <row r="50956" spans="32:32" x14ac:dyDescent="0.2">
      <c r="AF50956" s="12"/>
    </row>
    <row r="50957" spans="32:32" x14ac:dyDescent="0.2">
      <c r="AF50957" s="12"/>
    </row>
    <row r="50958" spans="32:32" x14ac:dyDescent="0.2">
      <c r="AF50958" s="12"/>
    </row>
    <row r="50959" spans="32:32" x14ac:dyDescent="0.2">
      <c r="AF50959" s="12"/>
    </row>
    <row r="50960" spans="32:32" x14ac:dyDescent="0.2">
      <c r="AF50960" s="12"/>
    </row>
    <row r="50961" spans="32:32" x14ac:dyDescent="0.2">
      <c r="AF50961" s="12"/>
    </row>
    <row r="50962" spans="32:32" x14ac:dyDescent="0.2">
      <c r="AF50962" s="12"/>
    </row>
    <row r="50963" spans="32:32" x14ac:dyDescent="0.2">
      <c r="AF50963" s="12"/>
    </row>
    <row r="50964" spans="32:32" x14ac:dyDescent="0.2">
      <c r="AF50964" s="12"/>
    </row>
    <row r="50965" spans="32:32" x14ac:dyDescent="0.2">
      <c r="AF50965" s="12"/>
    </row>
    <row r="50966" spans="32:32" x14ac:dyDescent="0.2">
      <c r="AF50966" s="12"/>
    </row>
    <row r="50967" spans="32:32" x14ac:dyDescent="0.2">
      <c r="AF50967" s="12"/>
    </row>
    <row r="50968" spans="32:32" x14ac:dyDescent="0.2">
      <c r="AF50968" s="12"/>
    </row>
    <row r="50969" spans="32:32" x14ac:dyDescent="0.2">
      <c r="AF50969" s="12"/>
    </row>
    <row r="50970" spans="32:32" x14ac:dyDescent="0.2">
      <c r="AF50970" s="12"/>
    </row>
    <row r="50971" spans="32:32" x14ac:dyDescent="0.2">
      <c r="AF50971" s="12"/>
    </row>
    <row r="50972" spans="32:32" x14ac:dyDescent="0.2">
      <c r="AF50972" s="12"/>
    </row>
    <row r="50973" spans="32:32" x14ac:dyDescent="0.2">
      <c r="AF50973" s="12"/>
    </row>
    <row r="50974" spans="32:32" x14ac:dyDescent="0.2">
      <c r="AF50974" s="12"/>
    </row>
    <row r="50975" spans="32:32" x14ac:dyDescent="0.2">
      <c r="AF50975" s="12"/>
    </row>
    <row r="50976" spans="32:32" x14ac:dyDescent="0.2">
      <c r="AF50976" s="12"/>
    </row>
    <row r="50977" spans="32:32" x14ac:dyDescent="0.2">
      <c r="AF50977" s="12"/>
    </row>
    <row r="50978" spans="32:32" x14ac:dyDescent="0.2">
      <c r="AF50978" s="12"/>
    </row>
    <row r="50979" spans="32:32" x14ac:dyDescent="0.2">
      <c r="AF50979" s="12"/>
    </row>
    <row r="50980" spans="32:32" x14ac:dyDescent="0.2">
      <c r="AF50980" s="12"/>
    </row>
    <row r="50981" spans="32:32" x14ac:dyDescent="0.2">
      <c r="AF50981" s="12"/>
    </row>
    <row r="50982" spans="32:32" x14ac:dyDescent="0.2">
      <c r="AF50982" s="12"/>
    </row>
    <row r="50983" spans="32:32" x14ac:dyDescent="0.2">
      <c r="AF50983" s="12"/>
    </row>
    <row r="50984" spans="32:32" x14ac:dyDescent="0.2">
      <c r="AF50984" s="12"/>
    </row>
    <row r="50985" spans="32:32" x14ac:dyDescent="0.2">
      <c r="AF50985" s="12"/>
    </row>
    <row r="50986" spans="32:32" x14ac:dyDescent="0.2">
      <c r="AF50986" s="12"/>
    </row>
    <row r="50987" spans="32:32" x14ac:dyDescent="0.2">
      <c r="AF50987" s="12"/>
    </row>
    <row r="50988" spans="32:32" x14ac:dyDescent="0.2">
      <c r="AF50988" s="12"/>
    </row>
    <row r="50989" spans="32:32" x14ac:dyDescent="0.2">
      <c r="AF50989" s="12"/>
    </row>
    <row r="50990" spans="32:32" x14ac:dyDescent="0.2">
      <c r="AF50990" s="12"/>
    </row>
    <row r="50991" spans="32:32" x14ac:dyDescent="0.2">
      <c r="AF50991" s="12"/>
    </row>
    <row r="50992" spans="32:32" x14ac:dyDescent="0.2">
      <c r="AF50992" s="12"/>
    </row>
    <row r="50993" spans="32:32" x14ac:dyDescent="0.2">
      <c r="AF50993" s="12"/>
    </row>
    <row r="50994" spans="32:32" x14ac:dyDescent="0.2">
      <c r="AF50994" s="12"/>
    </row>
    <row r="50995" spans="32:32" x14ac:dyDescent="0.2">
      <c r="AF50995" s="12"/>
    </row>
    <row r="50996" spans="32:32" x14ac:dyDescent="0.2">
      <c r="AF50996" s="12"/>
    </row>
    <row r="50997" spans="32:32" x14ac:dyDescent="0.2">
      <c r="AF50997" s="12"/>
    </row>
    <row r="50998" spans="32:32" x14ac:dyDescent="0.2">
      <c r="AF50998" s="12"/>
    </row>
    <row r="50999" spans="32:32" x14ac:dyDescent="0.2">
      <c r="AF50999" s="12"/>
    </row>
    <row r="51000" spans="32:32" x14ac:dyDescent="0.2">
      <c r="AF51000" s="12"/>
    </row>
    <row r="51001" spans="32:32" x14ac:dyDescent="0.2">
      <c r="AF51001" s="12"/>
    </row>
    <row r="51002" spans="32:32" x14ac:dyDescent="0.2">
      <c r="AF51002" s="12"/>
    </row>
    <row r="51003" spans="32:32" x14ac:dyDescent="0.2">
      <c r="AF51003" s="12"/>
    </row>
    <row r="51004" spans="32:32" x14ac:dyDescent="0.2">
      <c r="AF51004" s="12"/>
    </row>
    <row r="51005" spans="32:32" x14ac:dyDescent="0.2">
      <c r="AF51005" s="12"/>
    </row>
    <row r="51006" spans="32:32" x14ac:dyDescent="0.2">
      <c r="AF51006" s="12"/>
    </row>
    <row r="51007" spans="32:32" x14ac:dyDescent="0.2">
      <c r="AF51007" s="12"/>
    </row>
    <row r="51008" spans="32:32" x14ac:dyDescent="0.2">
      <c r="AF51008" s="12"/>
    </row>
    <row r="51009" spans="32:32" x14ac:dyDescent="0.2">
      <c r="AF51009" s="12"/>
    </row>
    <row r="51010" spans="32:32" x14ac:dyDescent="0.2">
      <c r="AF51010" s="12"/>
    </row>
    <row r="51011" spans="32:32" x14ac:dyDescent="0.2">
      <c r="AF51011" s="12"/>
    </row>
    <row r="51012" spans="32:32" x14ac:dyDescent="0.2">
      <c r="AF51012" s="12"/>
    </row>
    <row r="51013" spans="32:32" x14ac:dyDescent="0.2">
      <c r="AF51013" s="12"/>
    </row>
    <row r="51014" spans="32:32" x14ac:dyDescent="0.2">
      <c r="AF51014" s="12"/>
    </row>
    <row r="51015" spans="32:32" x14ac:dyDescent="0.2">
      <c r="AF51015" s="12"/>
    </row>
    <row r="51016" spans="32:32" x14ac:dyDescent="0.2">
      <c r="AF51016" s="12"/>
    </row>
    <row r="51017" spans="32:32" x14ac:dyDescent="0.2">
      <c r="AF51017" s="12"/>
    </row>
    <row r="51018" spans="32:32" x14ac:dyDescent="0.2">
      <c r="AF51018" s="12"/>
    </row>
    <row r="51019" spans="32:32" x14ac:dyDescent="0.2">
      <c r="AF51019" s="12"/>
    </row>
    <row r="51020" spans="32:32" x14ac:dyDescent="0.2">
      <c r="AF51020" s="12"/>
    </row>
    <row r="51021" spans="32:32" x14ac:dyDescent="0.2">
      <c r="AF51021" s="12"/>
    </row>
    <row r="51022" spans="32:32" x14ac:dyDescent="0.2">
      <c r="AF51022" s="12"/>
    </row>
    <row r="51023" spans="32:32" x14ac:dyDescent="0.2">
      <c r="AF51023" s="12"/>
    </row>
    <row r="51024" spans="32:32" x14ac:dyDescent="0.2">
      <c r="AF51024" s="12"/>
    </row>
    <row r="51025" spans="32:32" x14ac:dyDescent="0.2">
      <c r="AF51025" s="12"/>
    </row>
    <row r="51026" spans="32:32" x14ac:dyDescent="0.2">
      <c r="AF51026" s="12"/>
    </row>
    <row r="51027" spans="32:32" x14ac:dyDescent="0.2">
      <c r="AF51027" s="12"/>
    </row>
    <row r="51028" spans="32:32" x14ac:dyDescent="0.2">
      <c r="AF51028" s="12"/>
    </row>
    <row r="51029" spans="32:32" x14ac:dyDescent="0.2">
      <c r="AF51029" s="12"/>
    </row>
    <row r="51030" spans="32:32" x14ac:dyDescent="0.2">
      <c r="AF51030" s="12"/>
    </row>
    <row r="51031" spans="32:32" x14ac:dyDescent="0.2">
      <c r="AF51031" s="12"/>
    </row>
    <row r="51032" spans="32:32" x14ac:dyDescent="0.2">
      <c r="AF51032" s="12"/>
    </row>
    <row r="51033" spans="32:32" x14ac:dyDescent="0.2">
      <c r="AF51033" s="12"/>
    </row>
    <row r="51034" spans="32:32" x14ac:dyDescent="0.2">
      <c r="AF51034" s="12"/>
    </row>
    <row r="51035" spans="32:32" x14ac:dyDescent="0.2">
      <c r="AF51035" s="12"/>
    </row>
    <row r="51036" spans="32:32" x14ac:dyDescent="0.2">
      <c r="AF51036" s="12"/>
    </row>
    <row r="51037" spans="32:32" x14ac:dyDescent="0.2">
      <c r="AF51037" s="12"/>
    </row>
    <row r="51038" spans="32:32" x14ac:dyDescent="0.2">
      <c r="AF51038" s="12"/>
    </row>
    <row r="51039" spans="32:32" x14ac:dyDescent="0.2">
      <c r="AF51039" s="12"/>
    </row>
    <row r="51040" spans="32:32" x14ac:dyDescent="0.2">
      <c r="AF51040" s="12"/>
    </row>
    <row r="51041" spans="32:32" x14ac:dyDescent="0.2">
      <c r="AF51041" s="12"/>
    </row>
    <row r="51042" spans="32:32" x14ac:dyDescent="0.2">
      <c r="AF51042" s="12"/>
    </row>
    <row r="51043" spans="32:32" x14ac:dyDescent="0.2">
      <c r="AF51043" s="12"/>
    </row>
    <row r="51044" spans="32:32" x14ac:dyDescent="0.2">
      <c r="AF51044" s="12"/>
    </row>
    <row r="51045" spans="32:32" x14ac:dyDescent="0.2">
      <c r="AF51045" s="12"/>
    </row>
    <row r="51046" spans="32:32" x14ac:dyDescent="0.2">
      <c r="AF51046" s="12"/>
    </row>
    <row r="51047" spans="32:32" x14ac:dyDescent="0.2">
      <c r="AF51047" s="12"/>
    </row>
    <row r="51048" spans="32:32" x14ac:dyDescent="0.2">
      <c r="AF51048" s="12"/>
    </row>
    <row r="51049" spans="32:32" x14ac:dyDescent="0.2">
      <c r="AF51049" s="12"/>
    </row>
    <row r="51050" spans="32:32" x14ac:dyDescent="0.2">
      <c r="AF51050" s="12"/>
    </row>
    <row r="51051" spans="32:32" x14ac:dyDescent="0.2">
      <c r="AF51051" s="12"/>
    </row>
    <row r="51052" spans="32:32" x14ac:dyDescent="0.2">
      <c r="AF51052" s="12"/>
    </row>
    <row r="51053" spans="32:32" x14ac:dyDescent="0.2">
      <c r="AF51053" s="12"/>
    </row>
    <row r="51054" spans="32:32" x14ac:dyDescent="0.2">
      <c r="AF51054" s="12"/>
    </row>
    <row r="51055" spans="32:32" x14ac:dyDescent="0.2">
      <c r="AF51055" s="12"/>
    </row>
    <row r="51056" spans="32:32" x14ac:dyDescent="0.2">
      <c r="AF51056" s="12"/>
    </row>
    <row r="51057" spans="32:32" x14ac:dyDescent="0.2">
      <c r="AF51057" s="12"/>
    </row>
    <row r="51058" spans="32:32" x14ac:dyDescent="0.2">
      <c r="AF51058" s="12"/>
    </row>
    <row r="51059" spans="32:32" x14ac:dyDescent="0.2">
      <c r="AF51059" s="12"/>
    </row>
    <row r="51060" spans="32:32" x14ac:dyDescent="0.2">
      <c r="AF51060" s="12"/>
    </row>
    <row r="51061" spans="32:32" x14ac:dyDescent="0.2">
      <c r="AF51061" s="12"/>
    </row>
    <row r="51062" spans="32:32" x14ac:dyDescent="0.2">
      <c r="AF51062" s="12"/>
    </row>
    <row r="51063" spans="32:32" x14ac:dyDescent="0.2">
      <c r="AF51063" s="12"/>
    </row>
    <row r="51064" spans="32:32" x14ac:dyDescent="0.2">
      <c r="AF51064" s="12"/>
    </row>
    <row r="51065" spans="32:32" x14ac:dyDescent="0.2">
      <c r="AF51065" s="12"/>
    </row>
    <row r="51066" spans="32:32" x14ac:dyDescent="0.2">
      <c r="AF51066" s="12"/>
    </row>
    <row r="51067" spans="32:32" x14ac:dyDescent="0.2">
      <c r="AF51067" s="12"/>
    </row>
    <row r="51068" spans="32:32" x14ac:dyDescent="0.2">
      <c r="AF51068" s="12"/>
    </row>
    <row r="51069" spans="32:32" x14ac:dyDescent="0.2">
      <c r="AF51069" s="12"/>
    </row>
    <row r="51070" spans="32:32" x14ac:dyDescent="0.2">
      <c r="AF51070" s="12"/>
    </row>
    <row r="51071" spans="32:32" x14ac:dyDescent="0.2">
      <c r="AF51071" s="12"/>
    </row>
    <row r="51072" spans="32:32" x14ac:dyDescent="0.2">
      <c r="AF51072" s="12"/>
    </row>
    <row r="51073" spans="32:32" x14ac:dyDescent="0.2">
      <c r="AF51073" s="12"/>
    </row>
    <row r="51074" spans="32:32" x14ac:dyDescent="0.2">
      <c r="AF51074" s="12"/>
    </row>
    <row r="51075" spans="32:32" x14ac:dyDescent="0.2">
      <c r="AF51075" s="12"/>
    </row>
    <row r="51076" spans="32:32" x14ac:dyDescent="0.2">
      <c r="AF51076" s="12"/>
    </row>
    <row r="51077" spans="32:32" x14ac:dyDescent="0.2">
      <c r="AF51077" s="12"/>
    </row>
    <row r="51078" spans="32:32" x14ac:dyDescent="0.2">
      <c r="AF51078" s="12"/>
    </row>
    <row r="51079" spans="32:32" x14ac:dyDescent="0.2">
      <c r="AF51079" s="12"/>
    </row>
    <row r="51080" spans="32:32" x14ac:dyDescent="0.2">
      <c r="AF51080" s="12"/>
    </row>
    <row r="51081" spans="32:32" x14ac:dyDescent="0.2">
      <c r="AF51081" s="12"/>
    </row>
    <row r="51082" spans="32:32" x14ac:dyDescent="0.2">
      <c r="AF51082" s="12"/>
    </row>
    <row r="51083" spans="32:32" x14ac:dyDescent="0.2">
      <c r="AF51083" s="12"/>
    </row>
    <row r="51084" spans="32:32" x14ac:dyDescent="0.2">
      <c r="AF51084" s="12"/>
    </row>
    <row r="51085" spans="32:32" x14ac:dyDescent="0.2">
      <c r="AF51085" s="12"/>
    </row>
    <row r="51086" spans="32:32" x14ac:dyDescent="0.2">
      <c r="AF51086" s="12"/>
    </row>
    <row r="51087" spans="32:32" x14ac:dyDescent="0.2">
      <c r="AF51087" s="12"/>
    </row>
    <row r="51088" spans="32:32" x14ac:dyDescent="0.2">
      <c r="AF51088" s="12"/>
    </row>
    <row r="51089" spans="32:32" x14ac:dyDescent="0.2">
      <c r="AF51089" s="12"/>
    </row>
    <row r="51090" spans="32:32" x14ac:dyDescent="0.2">
      <c r="AF51090" s="12"/>
    </row>
    <row r="51091" spans="32:32" x14ac:dyDescent="0.2">
      <c r="AF51091" s="12"/>
    </row>
    <row r="51092" spans="32:32" x14ac:dyDescent="0.2">
      <c r="AF51092" s="12"/>
    </row>
    <row r="51093" spans="32:32" x14ac:dyDescent="0.2">
      <c r="AF51093" s="12"/>
    </row>
    <row r="51094" spans="32:32" x14ac:dyDescent="0.2">
      <c r="AF51094" s="12"/>
    </row>
    <row r="51095" spans="32:32" x14ac:dyDescent="0.2">
      <c r="AF51095" s="12"/>
    </row>
    <row r="51096" spans="32:32" x14ac:dyDescent="0.2">
      <c r="AF51096" s="12"/>
    </row>
    <row r="51097" spans="32:32" x14ac:dyDescent="0.2">
      <c r="AF51097" s="12"/>
    </row>
    <row r="51098" spans="32:32" x14ac:dyDescent="0.2">
      <c r="AF51098" s="12"/>
    </row>
    <row r="51099" spans="32:32" x14ac:dyDescent="0.2">
      <c r="AF51099" s="12"/>
    </row>
    <row r="51100" spans="32:32" x14ac:dyDescent="0.2">
      <c r="AF51100" s="12"/>
    </row>
    <row r="51101" spans="32:32" x14ac:dyDescent="0.2">
      <c r="AF51101" s="12"/>
    </row>
    <row r="51102" spans="32:32" x14ac:dyDescent="0.2">
      <c r="AF51102" s="12"/>
    </row>
    <row r="51103" spans="32:32" x14ac:dyDescent="0.2">
      <c r="AF51103" s="12"/>
    </row>
    <row r="51104" spans="32:32" x14ac:dyDescent="0.2">
      <c r="AF51104" s="12"/>
    </row>
    <row r="51105" spans="32:32" x14ac:dyDescent="0.2">
      <c r="AF51105" s="12"/>
    </row>
    <row r="51106" spans="32:32" x14ac:dyDescent="0.2">
      <c r="AF51106" s="12"/>
    </row>
    <row r="51107" spans="32:32" x14ac:dyDescent="0.2">
      <c r="AF51107" s="12"/>
    </row>
    <row r="51108" spans="32:32" x14ac:dyDescent="0.2">
      <c r="AF51108" s="12"/>
    </row>
    <row r="51109" spans="32:32" x14ac:dyDescent="0.2">
      <c r="AF51109" s="12"/>
    </row>
    <row r="51110" spans="32:32" x14ac:dyDescent="0.2">
      <c r="AF51110" s="12"/>
    </row>
    <row r="51111" spans="32:32" x14ac:dyDescent="0.2">
      <c r="AF51111" s="12"/>
    </row>
    <row r="51112" spans="32:32" x14ac:dyDescent="0.2">
      <c r="AF51112" s="12"/>
    </row>
    <row r="51113" spans="32:32" x14ac:dyDescent="0.2">
      <c r="AF51113" s="12"/>
    </row>
    <row r="51114" spans="32:32" x14ac:dyDescent="0.2">
      <c r="AF51114" s="12"/>
    </row>
    <row r="51115" spans="32:32" x14ac:dyDescent="0.2">
      <c r="AF51115" s="12"/>
    </row>
    <row r="51116" spans="32:32" x14ac:dyDescent="0.2">
      <c r="AF51116" s="12"/>
    </row>
    <row r="51117" spans="32:32" x14ac:dyDescent="0.2">
      <c r="AF51117" s="12"/>
    </row>
    <row r="51118" spans="32:32" x14ac:dyDescent="0.2">
      <c r="AF51118" s="12"/>
    </row>
    <row r="51119" spans="32:32" x14ac:dyDescent="0.2">
      <c r="AF51119" s="12"/>
    </row>
    <row r="51120" spans="32:32" x14ac:dyDescent="0.2">
      <c r="AF51120" s="12"/>
    </row>
    <row r="51121" spans="32:32" x14ac:dyDescent="0.2">
      <c r="AF51121" s="12"/>
    </row>
    <row r="51122" spans="32:32" x14ac:dyDescent="0.2">
      <c r="AF51122" s="12"/>
    </row>
    <row r="51123" spans="32:32" x14ac:dyDescent="0.2">
      <c r="AF51123" s="12"/>
    </row>
    <row r="51124" spans="32:32" x14ac:dyDescent="0.2">
      <c r="AF51124" s="12"/>
    </row>
    <row r="51125" spans="32:32" x14ac:dyDescent="0.2">
      <c r="AF51125" s="12"/>
    </row>
    <row r="51126" spans="32:32" x14ac:dyDescent="0.2">
      <c r="AF51126" s="12"/>
    </row>
    <row r="51127" spans="32:32" x14ac:dyDescent="0.2">
      <c r="AF51127" s="12"/>
    </row>
    <row r="51128" spans="32:32" x14ac:dyDescent="0.2">
      <c r="AF51128" s="12"/>
    </row>
    <row r="51129" spans="32:32" x14ac:dyDescent="0.2">
      <c r="AF51129" s="12"/>
    </row>
    <row r="51130" spans="32:32" x14ac:dyDescent="0.2">
      <c r="AF51130" s="12"/>
    </row>
    <row r="51131" spans="32:32" x14ac:dyDescent="0.2">
      <c r="AF51131" s="12"/>
    </row>
    <row r="51132" spans="32:32" x14ac:dyDescent="0.2">
      <c r="AF51132" s="12"/>
    </row>
    <row r="51133" spans="32:32" x14ac:dyDescent="0.2">
      <c r="AF51133" s="12"/>
    </row>
    <row r="51134" spans="32:32" x14ac:dyDescent="0.2">
      <c r="AF51134" s="12"/>
    </row>
    <row r="51135" spans="32:32" x14ac:dyDescent="0.2">
      <c r="AF51135" s="12"/>
    </row>
    <row r="51136" spans="32:32" x14ac:dyDescent="0.2">
      <c r="AF51136" s="12"/>
    </row>
    <row r="51137" spans="32:32" x14ac:dyDescent="0.2">
      <c r="AF51137" s="12"/>
    </row>
    <row r="51138" spans="32:32" x14ac:dyDescent="0.2">
      <c r="AF51138" s="12"/>
    </row>
    <row r="51139" spans="32:32" x14ac:dyDescent="0.2">
      <c r="AF51139" s="12"/>
    </row>
    <row r="51140" spans="32:32" x14ac:dyDescent="0.2">
      <c r="AF51140" s="12"/>
    </row>
    <row r="51141" spans="32:32" x14ac:dyDescent="0.2">
      <c r="AF51141" s="12"/>
    </row>
    <row r="51142" spans="32:32" x14ac:dyDescent="0.2">
      <c r="AF51142" s="12"/>
    </row>
    <row r="51143" spans="32:32" x14ac:dyDescent="0.2">
      <c r="AF51143" s="12"/>
    </row>
    <row r="51144" spans="32:32" x14ac:dyDescent="0.2">
      <c r="AF51144" s="12"/>
    </row>
    <row r="51145" spans="32:32" x14ac:dyDescent="0.2">
      <c r="AF51145" s="12"/>
    </row>
    <row r="51146" spans="32:32" x14ac:dyDescent="0.2">
      <c r="AF51146" s="12"/>
    </row>
    <row r="51147" spans="32:32" x14ac:dyDescent="0.2">
      <c r="AF51147" s="12"/>
    </row>
    <row r="51148" spans="32:32" x14ac:dyDescent="0.2">
      <c r="AF51148" s="12"/>
    </row>
    <row r="51149" spans="32:32" x14ac:dyDescent="0.2">
      <c r="AF51149" s="12"/>
    </row>
    <row r="51150" spans="32:32" x14ac:dyDescent="0.2">
      <c r="AF51150" s="12"/>
    </row>
    <row r="51151" spans="32:32" x14ac:dyDescent="0.2">
      <c r="AF51151" s="12"/>
    </row>
    <row r="51152" spans="32:32" x14ac:dyDescent="0.2">
      <c r="AF51152" s="12"/>
    </row>
    <row r="51153" spans="32:32" x14ac:dyDescent="0.2">
      <c r="AF51153" s="12"/>
    </row>
    <row r="51154" spans="32:32" x14ac:dyDescent="0.2">
      <c r="AF51154" s="12"/>
    </row>
    <row r="51155" spans="32:32" x14ac:dyDescent="0.2">
      <c r="AF51155" s="12"/>
    </row>
    <row r="51156" spans="32:32" x14ac:dyDescent="0.2">
      <c r="AF51156" s="12"/>
    </row>
    <row r="51157" spans="32:32" x14ac:dyDescent="0.2">
      <c r="AF51157" s="12"/>
    </row>
    <row r="51158" spans="32:32" x14ac:dyDescent="0.2">
      <c r="AF51158" s="12"/>
    </row>
    <row r="51159" spans="32:32" x14ac:dyDescent="0.2">
      <c r="AF51159" s="12"/>
    </row>
    <row r="51160" spans="32:32" x14ac:dyDescent="0.2">
      <c r="AF51160" s="12"/>
    </row>
    <row r="51161" spans="32:32" x14ac:dyDescent="0.2">
      <c r="AF51161" s="12"/>
    </row>
    <row r="51162" spans="32:32" x14ac:dyDescent="0.2">
      <c r="AF51162" s="12"/>
    </row>
    <row r="51163" spans="32:32" x14ac:dyDescent="0.2">
      <c r="AF51163" s="12"/>
    </row>
    <row r="51164" spans="32:32" x14ac:dyDescent="0.2">
      <c r="AF51164" s="12"/>
    </row>
    <row r="51165" spans="32:32" x14ac:dyDescent="0.2">
      <c r="AF51165" s="12"/>
    </row>
    <row r="51166" spans="32:32" x14ac:dyDescent="0.2">
      <c r="AF51166" s="12"/>
    </row>
    <row r="51167" spans="32:32" x14ac:dyDescent="0.2">
      <c r="AF51167" s="12"/>
    </row>
    <row r="51168" spans="32:32" x14ac:dyDescent="0.2">
      <c r="AF51168" s="12"/>
    </row>
    <row r="51169" spans="32:32" x14ac:dyDescent="0.2">
      <c r="AF51169" s="12"/>
    </row>
    <row r="51170" spans="32:32" x14ac:dyDescent="0.2">
      <c r="AF51170" s="12"/>
    </row>
    <row r="51171" spans="32:32" x14ac:dyDescent="0.2">
      <c r="AF51171" s="12"/>
    </row>
    <row r="51172" spans="32:32" x14ac:dyDescent="0.2">
      <c r="AF51172" s="12"/>
    </row>
    <row r="51173" spans="32:32" x14ac:dyDescent="0.2">
      <c r="AF51173" s="12"/>
    </row>
    <row r="51174" spans="32:32" x14ac:dyDescent="0.2">
      <c r="AF51174" s="12"/>
    </row>
    <row r="51175" spans="32:32" x14ac:dyDescent="0.2">
      <c r="AF51175" s="12"/>
    </row>
    <row r="51176" spans="32:32" x14ac:dyDescent="0.2">
      <c r="AF51176" s="12"/>
    </row>
    <row r="51177" spans="32:32" x14ac:dyDescent="0.2">
      <c r="AF51177" s="12"/>
    </row>
    <row r="51178" spans="32:32" x14ac:dyDescent="0.2">
      <c r="AF51178" s="12"/>
    </row>
    <row r="51179" spans="32:32" x14ac:dyDescent="0.2">
      <c r="AF51179" s="12"/>
    </row>
    <row r="51180" spans="32:32" x14ac:dyDescent="0.2">
      <c r="AF51180" s="12"/>
    </row>
    <row r="51181" spans="32:32" x14ac:dyDescent="0.2">
      <c r="AF51181" s="12"/>
    </row>
    <row r="51182" spans="32:32" x14ac:dyDescent="0.2">
      <c r="AF51182" s="12"/>
    </row>
    <row r="51183" spans="32:32" x14ac:dyDescent="0.2">
      <c r="AF51183" s="12"/>
    </row>
    <row r="51184" spans="32:32" x14ac:dyDescent="0.2">
      <c r="AF51184" s="12"/>
    </row>
    <row r="51185" spans="32:32" x14ac:dyDescent="0.2">
      <c r="AF51185" s="12"/>
    </row>
    <row r="51186" spans="32:32" x14ac:dyDescent="0.2">
      <c r="AF51186" s="12"/>
    </row>
    <row r="51187" spans="32:32" x14ac:dyDescent="0.2">
      <c r="AF51187" s="12"/>
    </row>
    <row r="51188" spans="32:32" x14ac:dyDescent="0.2">
      <c r="AF51188" s="12"/>
    </row>
    <row r="51189" spans="32:32" x14ac:dyDescent="0.2">
      <c r="AF51189" s="12"/>
    </row>
    <row r="51190" spans="32:32" x14ac:dyDescent="0.2">
      <c r="AF51190" s="12"/>
    </row>
    <row r="51191" spans="32:32" x14ac:dyDescent="0.2">
      <c r="AF51191" s="12"/>
    </row>
    <row r="51192" spans="32:32" x14ac:dyDescent="0.2">
      <c r="AF51192" s="12"/>
    </row>
    <row r="51193" spans="32:32" x14ac:dyDescent="0.2">
      <c r="AF51193" s="12"/>
    </row>
    <row r="51194" spans="32:32" x14ac:dyDescent="0.2">
      <c r="AF51194" s="12"/>
    </row>
    <row r="51195" spans="32:32" x14ac:dyDescent="0.2">
      <c r="AF51195" s="12"/>
    </row>
    <row r="51196" spans="32:32" x14ac:dyDescent="0.2">
      <c r="AF51196" s="12"/>
    </row>
    <row r="51197" spans="32:32" x14ac:dyDescent="0.2">
      <c r="AF51197" s="12"/>
    </row>
    <row r="51198" spans="32:32" x14ac:dyDescent="0.2">
      <c r="AF51198" s="12"/>
    </row>
    <row r="51199" spans="32:32" x14ac:dyDescent="0.2">
      <c r="AF51199" s="12"/>
    </row>
    <row r="51200" spans="32:32" x14ac:dyDescent="0.2">
      <c r="AF51200" s="12"/>
    </row>
    <row r="51201" spans="32:32" x14ac:dyDescent="0.2">
      <c r="AF51201" s="12"/>
    </row>
    <row r="51202" spans="32:32" x14ac:dyDescent="0.2">
      <c r="AF51202" s="12"/>
    </row>
    <row r="51203" spans="32:32" x14ac:dyDescent="0.2">
      <c r="AF51203" s="12"/>
    </row>
    <row r="51204" spans="32:32" x14ac:dyDescent="0.2">
      <c r="AF51204" s="12"/>
    </row>
    <row r="51205" spans="32:32" x14ac:dyDescent="0.2">
      <c r="AF51205" s="12"/>
    </row>
    <row r="51206" spans="32:32" x14ac:dyDescent="0.2">
      <c r="AF51206" s="12"/>
    </row>
    <row r="51207" spans="32:32" x14ac:dyDescent="0.2">
      <c r="AF51207" s="12"/>
    </row>
    <row r="51208" spans="32:32" x14ac:dyDescent="0.2">
      <c r="AF51208" s="12"/>
    </row>
    <row r="51209" spans="32:32" x14ac:dyDescent="0.2">
      <c r="AF51209" s="12"/>
    </row>
    <row r="51210" spans="32:32" x14ac:dyDescent="0.2">
      <c r="AF51210" s="12"/>
    </row>
    <row r="51211" spans="32:32" x14ac:dyDescent="0.2">
      <c r="AF51211" s="12"/>
    </row>
    <row r="51212" spans="32:32" x14ac:dyDescent="0.2">
      <c r="AF51212" s="12"/>
    </row>
    <row r="51213" spans="32:32" x14ac:dyDescent="0.2">
      <c r="AF51213" s="12"/>
    </row>
    <row r="51214" spans="32:32" x14ac:dyDescent="0.2">
      <c r="AF51214" s="12"/>
    </row>
    <row r="51215" spans="32:32" x14ac:dyDescent="0.2">
      <c r="AF51215" s="12"/>
    </row>
    <row r="51216" spans="32:32" x14ac:dyDescent="0.2">
      <c r="AF51216" s="12"/>
    </row>
    <row r="51217" spans="32:32" x14ac:dyDescent="0.2">
      <c r="AF51217" s="12"/>
    </row>
    <row r="51218" spans="32:32" x14ac:dyDescent="0.2">
      <c r="AF51218" s="12"/>
    </row>
    <row r="51219" spans="32:32" x14ac:dyDescent="0.2">
      <c r="AF51219" s="12"/>
    </row>
    <row r="51220" spans="32:32" x14ac:dyDescent="0.2">
      <c r="AF51220" s="12"/>
    </row>
    <row r="51221" spans="32:32" x14ac:dyDescent="0.2">
      <c r="AF51221" s="12"/>
    </row>
    <row r="51222" spans="32:32" x14ac:dyDescent="0.2">
      <c r="AF51222" s="12"/>
    </row>
    <row r="51223" spans="32:32" x14ac:dyDescent="0.2">
      <c r="AF51223" s="12"/>
    </row>
    <row r="51224" spans="32:32" x14ac:dyDescent="0.2">
      <c r="AF51224" s="12"/>
    </row>
    <row r="51225" spans="32:32" x14ac:dyDescent="0.2">
      <c r="AF51225" s="12"/>
    </row>
    <row r="51226" spans="32:32" x14ac:dyDescent="0.2">
      <c r="AF51226" s="12"/>
    </row>
    <row r="51227" spans="32:32" x14ac:dyDescent="0.2">
      <c r="AF51227" s="12"/>
    </row>
    <row r="51228" spans="32:32" x14ac:dyDescent="0.2">
      <c r="AF51228" s="12"/>
    </row>
    <row r="51229" spans="32:32" x14ac:dyDescent="0.2">
      <c r="AF51229" s="12"/>
    </row>
    <row r="51230" spans="32:32" x14ac:dyDescent="0.2">
      <c r="AF51230" s="12"/>
    </row>
    <row r="51231" spans="32:32" x14ac:dyDescent="0.2">
      <c r="AF51231" s="12"/>
    </row>
    <row r="51232" spans="32:32" x14ac:dyDescent="0.2">
      <c r="AF51232" s="12"/>
    </row>
    <row r="51233" spans="32:32" x14ac:dyDescent="0.2">
      <c r="AF51233" s="12"/>
    </row>
    <row r="51234" spans="32:32" x14ac:dyDescent="0.2">
      <c r="AF51234" s="12"/>
    </row>
    <row r="51235" spans="32:32" x14ac:dyDescent="0.2">
      <c r="AF51235" s="12"/>
    </row>
    <row r="51236" spans="32:32" x14ac:dyDescent="0.2">
      <c r="AF51236" s="12"/>
    </row>
    <row r="51237" spans="32:32" x14ac:dyDescent="0.2">
      <c r="AF51237" s="12"/>
    </row>
    <row r="51238" spans="32:32" x14ac:dyDescent="0.2">
      <c r="AF51238" s="12"/>
    </row>
    <row r="51239" spans="32:32" x14ac:dyDescent="0.2">
      <c r="AF51239" s="12"/>
    </row>
    <row r="51240" spans="32:32" x14ac:dyDescent="0.2">
      <c r="AF51240" s="12"/>
    </row>
    <row r="51241" spans="32:32" x14ac:dyDescent="0.2">
      <c r="AF51241" s="12"/>
    </row>
    <row r="51242" spans="32:32" x14ac:dyDescent="0.2">
      <c r="AF51242" s="12"/>
    </row>
    <row r="51243" spans="32:32" x14ac:dyDescent="0.2">
      <c r="AF51243" s="12"/>
    </row>
    <row r="51244" spans="32:32" x14ac:dyDescent="0.2">
      <c r="AF51244" s="12"/>
    </row>
    <row r="51245" spans="32:32" x14ac:dyDescent="0.2">
      <c r="AF51245" s="12"/>
    </row>
    <row r="51246" spans="32:32" x14ac:dyDescent="0.2">
      <c r="AF51246" s="12"/>
    </row>
    <row r="51247" spans="32:32" x14ac:dyDescent="0.2">
      <c r="AF51247" s="12"/>
    </row>
    <row r="51248" spans="32:32" x14ac:dyDescent="0.2">
      <c r="AF51248" s="12"/>
    </row>
    <row r="51249" spans="32:32" x14ac:dyDescent="0.2">
      <c r="AF51249" s="12"/>
    </row>
    <row r="51250" spans="32:32" x14ac:dyDescent="0.2">
      <c r="AF51250" s="12"/>
    </row>
    <row r="51251" spans="32:32" x14ac:dyDescent="0.2">
      <c r="AF51251" s="12"/>
    </row>
    <row r="51252" spans="32:32" x14ac:dyDescent="0.2">
      <c r="AF51252" s="12"/>
    </row>
    <row r="51253" spans="32:32" x14ac:dyDescent="0.2">
      <c r="AF51253" s="12"/>
    </row>
    <row r="51254" spans="32:32" x14ac:dyDescent="0.2">
      <c r="AF51254" s="12"/>
    </row>
    <row r="51255" spans="32:32" x14ac:dyDescent="0.2">
      <c r="AF51255" s="12"/>
    </row>
    <row r="51256" spans="32:32" x14ac:dyDescent="0.2">
      <c r="AF51256" s="12"/>
    </row>
    <row r="51257" spans="32:32" x14ac:dyDescent="0.2">
      <c r="AF51257" s="12"/>
    </row>
    <row r="51258" spans="32:32" x14ac:dyDescent="0.2">
      <c r="AF51258" s="12"/>
    </row>
    <row r="51259" spans="32:32" x14ac:dyDescent="0.2">
      <c r="AF51259" s="12"/>
    </row>
    <row r="51260" spans="32:32" x14ac:dyDescent="0.2">
      <c r="AF51260" s="12"/>
    </row>
    <row r="51261" spans="32:32" x14ac:dyDescent="0.2">
      <c r="AF51261" s="12"/>
    </row>
    <row r="51262" spans="32:32" x14ac:dyDescent="0.2">
      <c r="AF51262" s="12"/>
    </row>
    <row r="51263" spans="32:32" x14ac:dyDescent="0.2">
      <c r="AF51263" s="12"/>
    </row>
    <row r="51264" spans="32:32" x14ac:dyDescent="0.2">
      <c r="AF51264" s="12"/>
    </row>
    <row r="51265" spans="32:32" x14ac:dyDescent="0.2">
      <c r="AF51265" s="12"/>
    </row>
    <row r="51266" spans="32:32" x14ac:dyDescent="0.2">
      <c r="AF51266" s="12"/>
    </row>
    <row r="51267" spans="32:32" x14ac:dyDescent="0.2">
      <c r="AF51267" s="12"/>
    </row>
    <row r="51268" spans="32:32" x14ac:dyDescent="0.2">
      <c r="AF51268" s="12"/>
    </row>
    <row r="51269" spans="32:32" x14ac:dyDescent="0.2">
      <c r="AF51269" s="12"/>
    </row>
    <row r="51270" spans="32:32" x14ac:dyDescent="0.2">
      <c r="AF51270" s="12"/>
    </row>
    <row r="51271" spans="32:32" x14ac:dyDescent="0.2">
      <c r="AF51271" s="12"/>
    </row>
    <row r="51272" spans="32:32" x14ac:dyDescent="0.2">
      <c r="AF51272" s="12"/>
    </row>
    <row r="51273" spans="32:32" x14ac:dyDescent="0.2">
      <c r="AF51273" s="12"/>
    </row>
    <row r="51274" spans="32:32" x14ac:dyDescent="0.2">
      <c r="AF51274" s="12"/>
    </row>
    <row r="51275" spans="32:32" x14ac:dyDescent="0.2">
      <c r="AF51275" s="12"/>
    </row>
    <row r="51276" spans="32:32" x14ac:dyDescent="0.2">
      <c r="AF51276" s="12"/>
    </row>
    <row r="51277" spans="32:32" x14ac:dyDescent="0.2">
      <c r="AF51277" s="12"/>
    </row>
    <row r="51278" spans="32:32" x14ac:dyDescent="0.2">
      <c r="AF51278" s="12"/>
    </row>
    <row r="51279" spans="32:32" x14ac:dyDescent="0.2">
      <c r="AF51279" s="12"/>
    </row>
    <row r="51280" spans="32:32" x14ac:dyDescent="0.2">
      <c r="AF51280" s="12"/>
    </row>
    <row r="51281" spans="32:32" x14ac:dyDescent="0.2">
      <c r="AF51281" s="12"/>
    </row>
    <row r="51282" spans="32:32" x14ac:dyDescent="0.2">
      <c r="AF51282" s="12"/>
    </row>
    <row r="51283" spans="32:32" x14ac:dyDescent="0.2">
      <c r="AF51283" s="12"/>
    </row>
    <row r="51284" spans="32:32" x14ac:dyDescent="0.2">
      <c r="AF51284" s="12"/>
    </row>
    <row r="51285" spans="32:32" x14ac:dyDescent="0.2">
      <c r="AF51285" s="12"/>
    </row>
    <row r="51286" spans="32:32" x14ac:dyDescent="0.2">
      <c r="AF51286" s="12"/>
    </row>
    <row r="51287" spans="32:32" x14ac:dyDescent="0.2">
      <c r="AF51287" s="12"/>
    </row>
    <row r="51288" spans="32:32" x14ac:dyDescent="0.2">
      <c r="AF51288" s="12"/>
    </row>
    <row r="51289" spans="32:32" x14ac:dyDescent="0.2">
      <c r="AF51289" s="12"/>
    </row>
    <row r="51290" spans="32:32" x14ac:dyDescent="0.2">
      <c r="AF51290" s="12"/>
    </row>
    <row r="51291" spans="32:32" x14ac:dyDescent="0.2">
      <c r="AF51291" s="12"/>
    </row>
    <row r="51292" spans="32:32" x14ac:dyDescent="0.2">
      <c r="AF51292" s="12"/>
    </row>
    <row r="51293" spans="32:32" x14ac:dyDescent="0.2">
      <c r="AF51293" s="12"/>
    </row>
    <row r="51294" spans="32:32" x14ac:dyDescent="0.2">
      <c r="AF51294" s="12"/>
    </row>
    <row r="51295" spans="32:32" x14ac:dyDescent="0.2">
      <c r="AF51295" s="12"/>
    </row>
    <row r="51296" spans="32:32" x14ac:dyDescent="0.2">
      <c r="AF51296" s="12"/>
    </row>
    <row r="51297" spans="32:32" x14ac:dyDescent="0.2">
      <c r="AF51297" s="12"/>
    </row>
    <row r="51298" spans="32:32" x14ac:dyDescent="0.2">
      <c r="AF51298" s="12"/>
    </row>
    <row r="51299" spans="32:32" x14ac:dyDescent="0.2">
      <c r="AF51299" s="12"/>
    </row>
    <row r="51300" spans="32:32" x14ac:dyDescent="0.2">
      <c r="AF51300" s="12"/>
    </row>
    <row r="51301" spans="32:32" x14ac:dyDescent="0.2">
      <c r="AF51301" s="12"/>
    </row>
    <row r="51302" spans="32:32" x14ac:dyDescent="0.2">
      <c r="AF51302" s="12"/>
    </row>
    <row r="51303" spans="32:32" x14ac:dyDescent="0.2">
      <c r="AF51303" s="12"/>
    </row>
    <row r="51304" spans="32:32" x14ac:dyDescent="0.2">
      <c r="AF51304" s="12"/>
    </row>
    <row r="51305" spans="32:32" x14ac:dyDescent="0.2">
      <c r="AF51305" s="12"/>
    </row>
    <row r="51306" spans="32:32" x14ac:dyDescent="0.2">
      <c r="AF51306" s="12"/>
    </row>
    <row r="51307" spans="32:32" x14ac:dyDescent="0.2">
      <c r="AF51307" s="12"/>
    </row>
    <row r="51308" spans="32:32" x14ac:dyDescent="0.2">
      <c r="AF51308" s="12"/>
    </row>
    <row r="51309" spans="32:32" x14ac:dyDescent="0.2">
      <c r="AF51309" s="12"/>
    </row>
    <row r="51310" spans="32:32" x14ac:dyDescent="0.2">
      <c r="AF51310" s="12"/>
    </row>
    <row r="51311" spans="32:32" x14ac:dyDescent="0.2">
      <c r="AF51311" s="12"/>
    </row>
    <row r="51312" spans="32:32" x14ac:dyDescent="0.2">
      <c r="AF51312" s="12"/>
    </row>
    <row r="51313" spans="32:32" x14ac:dyDescent="0.2">
      <c r="AF51313" s="12"/>
    </row>
    <row r="51314" spans="32:32" x14ac:dyDescent="0.2">
      <c r="AF51314" s="12"/>
    </row>
    <row r="51315" spans="32:32" x14ac:dyDescent="0.2">
      <c r="AF51315" s="12"/>
    </row>
    <row r="51316" spans="32:32" x14ac:dyDescent="0.2">
      <c r="AF51316" s="12"/>
    </row>
    <row r="51317" spans="32:32" x14ac:dyDescent="0.2">
      <c r="AF51317" s="12"/>
    </row>
    <row r="51318" spans="32:32" x14ac:dyDescent="0.2">
      <c r="AF51318" s="12"/>
    </row>
    <row r="51319" spans="32:32" x14ac:dyDescent="0.2">
      <c r="AF51319" s="12"/>
    </row>
    <row r="51320" spans="32:32" x14ac:dyDescent="0.2">
      <c r="AF51320" s="12"/>
    </row>
    <row r="51321" spans="32:32" x14ac:dyDescent="0.2">
      <c r="AF51321" s="12"/>
    </row>
    <row r="51322" spans="32:32" x14ac:dyDescent="0.2">
      <c r="AF51322" s="12"/>
    </row>
    <row r="51323" spans="32:32" x14ac:dyDescent="0.2">
      <c r="AF51323" s="12"/>
    </row>
    <row r="51324" spans="32:32" x14ac:dyDescent="0.2">
      <c r="AF51324" s="12"/>
    </row>
    <row r="51325" spans="32:32" x14ac:dyDescent="0.2">
      <c r="AF51325" s="12"/>
    </row>
    <row r="51326" spans="32:32" x14ac:dyDescent="0.2">
      <c r="AF51326" s="12"/>
    </row>
    <row r="51327" spans="32:32" x14ac:dyDescent="0.2">
      <c r="AF51327" s="12"/>
    </row>
    <row r="51328" spans="32:32" x14ac:dyDescent="0.2">
      <c r="AF51328" s="12"/>
    </row>
    <row r="51329" spans="32:32" x14ac:dyDescent="0.2">
      <c r="AF51329" s="12"/>
    </row>
    <row r="51330" spans="32:32" x14ac:dyDescent="0.2">
      <c r="AF51330" s="12"/>
    </row>
    <row r="51331" spans="32:32" x14ac:dyDescent="0.2">
      <c r="AF51331" s="12"/>
    </row>
    <row r="51332" spans="32:32" x14ac:dyDescent="0.2">
      <c r="AF51332" s="12"/>
    </row>
    <row r="51333" spans="32:32" x14ac:dyDescent="0.2">
      <c r="AF51333" s="12"/>
    </row>
    <row r="51334" spans="32:32" x14ac:dyDescent="0.2">
      <c r="AF51334" s="12"/>
    </row>
    <row r="51335" spans="32:32" x14ac:dyDescent="0.2">
      <c r="AF51335" s="12"/>
    </row>
    <row r="51336" spans="32:32" x14ac:dyDescent="0.2">
      <c r="AF51336" s="12"/>
    </row>
    <row r="51337" spans="32:32" x14ac:dyDescent="0.2">
      <c r="AF51337" s="12"/>
    </row>
    <row r="51338" spans="32:32" x14ac:dyDescent="0.2">
      <c r="AF51338" s="12"/>
    </row>
    <row r="51339" spans="32:32" x14ac:dyDescent="0.2">
      <c r="AF51339" s="12"/>
    </row>
    <row r="51340" spans="32:32" x14ac:dyDescent="0.2">
      <c r="AF51340" s="12"/>
    </row>
    <row r="51341" spans="32:32" x14ac:dyDescent="0.2">
      <c r="AF51341" s="12"/>
    </row>
    <row r="51342" spans="32:32" x14ac:dyDescent="0.2">
      <c r="AF51342" s="12"/>
    </row>
    <row r="51343" spans="32:32" x14ac:dyDescent="0.2">
      <c r="AF51343" s="12"/>
    </row>
    <row r="51344" spans="32:32" x14ac:dyDescent="0.2">
      <c r="AF51344" s="12"/>
    </row>
    <row r="51345" spans="32:32" x14ac:dyDescent="0.2">
      <c r="AF51345" s="12"/>
    </row>
    <row r="51346" spans="32:32" x14ac:dyDescent="0.2">
      <c r="AF51346" s="12"/>
    </row>
    <row r="51347" spans="32:32" x14ac:dyDescent="0.2">
      <c r="AF51347" s="12"/>
    </row>
    <row r="51348" spans="32:32" x14ac:dyDescent="0.2">
      <c r="AF51348" s="12"/>
    </row>
    <row r="51349" spans="32:32" x14ac:dyDescent="0.2">
      <c r="AF51349" s="12"/>
    </row>
    <row r="51350" spans="32:32" x14ac:dyDescent="0.2">
      <c r="AF51350" s="12"/>
    </row>
    <row r="51351" spans="32:32" x14ac:dyDescent="0.2">
      <c r="AF51351" s="12"/>
    </row>
    <row r="51352" spans="32:32" x14ac:dyDescent="0.2">
      <c r="AF51352" s="12"/>
    </row>
    <row r="51353" spans="32:32" x14ac:dyDescent="0.2">
      <c r="AF51353" s="12"/>
    </row>
    <row r="51354" spans="32:32" x14ac:dyDescent="0.2">
      <c r="AF51354" s="12"/>
    </row>
    <row r="51355" spans="32:32" x14ac:dyDescent="0.2">
      <c r="AF51355" s="12"/>
    </row>
    <row r="51356" spans="32:32" x14ac:dyDescent="0.2">
      <c r="AF51356" s="12"/>
    </row>
    <row r="51357" spans="32:32" x14ac:dyDescent="0.2">
      <c r="AF51357" s="12"/>
    </row>
    <row r="51358" spans="32:32" x14ac:dyDescent="0.2">
      <c r="AF51358" s="12"/>
    </row>
    <row r="51359" spans="32:32" x14ac:dyDescent="0.2">
      <c r="AF51359" s="12"/>
    </row>
    <row r="51360" spans="32:32" x14ac:dyDescent="0.2">
      <c r="AF51360" s="12"/>
    </row>
    <row r="51361" spans="32:32" x14ac:dyDescent="0.2">
      <c r="AF51361" s="12"/>
    </row>
    <row r="51362" spans="32:32" x14ac:dyDescent="0.2">
      <c r="AF51362" s="12"/>
    </row>
    <row r="51363" spans="32:32" x14ac:dyDescent="0.2">
      <c r="AF51363" s="12"/>
    </row>
    <row r="51364" spans="32:32" x14ac:dyDescent="0.2">
      <c r="AF51364" s="12"/>
    </row>
    <row r="51365" spans="32:32" x14ac:dyDescent="0.2">
      <c r="AF51365" s="12"/>
    </row>
    <row r="51366" spans="32:32" x14ac:dyDescent="0.2">
      <c r="AF51366" s="12"/>
    </row>
    <row r="51367" spans="32:32" x14ac:dyDescent="0.2">
      <c r="AF51367" s="12"/>
    </row>
    <row r="51368" spans="32:32" x14ac:dyDescent="0.2">
      <c r="AF51368" s="12"/>
    </row>
    <row r="51369" spans="32:32" x14ac:dyDescent="0.2">
      <c r="AF51369" s="12"/>
    </row>
    <row r="51370" spans="32:32" x14ac:dyDescent="0.2">
      <c r="AF51370" s="12"/>
    </row>
    <row r="51371" spans="32:32" x14ac:dyDescent="0.2">
      <c r="AF51371" s="12"/>
    </row>
    <row r="51372" spans="32:32" x14ac:dyDescent="0.2">
      <c r="AF51372" s="12"/>
    </row>
    <row r="51373" spans="32:32" x14ac:dyDescent="0.2">
      <c r="AF51373" s="12"/>
    </row>
    <row r="51374" spans="32:32" x14ac:dyDescent="0.2">
      <c r="AF51374" s="12"/>
    </row>
    <row r="51375" spans="32:32" x14ac:dyDescent="0.2">
      <c r="AF51375" s="12"/>
    </row>
    <row r="51376" spans="32:32" x14ac:dyDescent="0.2">
      <c r="AF51376" s="12"/>
    </row>
    <row r="51377" spans="32:32" x14ac:dyDescent="0.2">
      <c r="AF51377" s="12"/>
    </row>
    <row r="51378" spans="32:32" x14ac:dyDescent="0.2">
      <c r="AF51378" s="12"/>
    </row>
    <row r="51379" spans="32:32" x14ac:dyDescent="0.2">
      <c r="AF51379" s="12"/>
    </row>
    <row r="51380" spans="32:32" x14ac:dyDescent="0.2">
      <c r="AF51380" s="12"/>
    </row>
    <row r="51381" spans="32:32" x14ac:dyDescent="0.2">
      <c r="AF51381" s="12"/>
    </row>
    <row r="51382" spans="32:32" x14ac:dyDescent="0.2">
      <c r="AF51382" s="12"/>
    </row>
    <row r="51383" spans="32:32" x14ac:dyDescent="0.2">
      <c r="AF51383" s="12"/>
    </row>
    <row r="51384" spans="32:32" x14ac:dyDescent="0.2">
      <c r="AF51384" s="12"/>
    </row>
    <row r="51385" spans="32:32" x14ac:dyDescent="0.2">
      <c r="AF51385" s="12"/>
    </row>
    <row r="51386" spans="32:32" x14ac:dyDescent="0.2">
      <c r="AF51386" s="12"/>
    </row>
    <row r="51387" spans="32:32" x14ac:dyDescent="0.2">
      <c r="AF51387" s="12"/>
    </row>
    <row r="51388" spans="32:32" x14ac:dyDescent="0.2">
      <c r="AF51388" s="12"/>
    </row>
    <row r="51389" spans="32:32" x14ac:dyDescent="0.2">
      <c r="AF51389" s="12"/>
    </row>
    <row r="51390" spans="32:32" x14ac:dyDescent="0.2">
      <c r="AF51390" s="12"/>
    </row>
    <row r="51391" spans="32:32" x14ac:dyDescent="0.2">
      <c r="AF51391" s="12"/>
    </row>
    <row r="51392" spans="32:32" x14ac:dyDescent="0.2">
      <c r="AF51392" s="12"/>
    </row>
    <row r="51393" spans="32:32" x14ac:dyDescent="0.2">
      <c r="AF51393" s="12"/>
    </row>
    <row r="51394" spans="32:32" x14ac:dyDescent="0.2">
      <c r="AF51394" s="12"/>
    </row>
    <row r="51395" spans="32:32" x14ac:dyDescent="0.2">
      <c r="AF51395" s="12"/>
    </row>
    <row r="51396" spans="32:32" x14ac:dyDescent="0.2">
      <c r="AF51396" s="12"/>
    </row>
    <row r="51397" spans="32:32" x14ac:dyDescent="0.2">
      <c r="AF51397" s="12"/>
    </row>
    <row r="51398" spans="32:32" x14ac:dyDescent="0.2">
      <c r="AF51398" s="12"/>
    </row>
    <row r="51399" spans="32:32" x14ac:dyDescent="0.2">
      <c r="AF51399" s="12"/>
    </row>
    <row r="51400" spans="32:32" x14ac:dyDescent="0.2">
      <c r="AF51400" s="12"/>
    </row>
    <row r="51401" spans="32:32" x14ac:dyDescent="0.2">
      <c r="AF51401" s="12"/>
    </row>
    <row r="51402" spans="32:32" x14ac:dyDescent="0.2">
      <c r="AF51402" s="12"/>
    </row>
    <row r="51403" spans="32:32" x14ac:dyDescent="0.2">
      <c r="AF51403" s="12"/>
    </row>
    <row r="51404" spans="32:32" x14ac:dyDescent="0.2">
      <c r="AF51404" s="12"/>
    </row>
    <row r="51405" spans="32:32" x14ac:dyDescent="0.2">
      <c r="AF51405" s="12"/>
    </row>
    <row r="51406" spans="32:32" x14ac:dyDescent="0.2">
      <c r="AF51406" s="12"/>
    </row>
    <row r="51407" spans="32:32" x14ac:dyDescent="0.2">
      <c r="AF51407" s="12"/>
    </row>
    <row r="51408" spans="32:32" x14ac:dyDescent="0.2">
      <c r="AF51408" s="12"/>
    </row>
    <row r="51409" spans="32:32" x14ac:dyDescent="0.2">
      <c r="AF51409" s="12"/>
    </row>
    <row r="51410" spans="32:32" x14ac:dyDescent="0.2">
      <c r="AF51410" s="12"/>
    </row>
    <row r="51411" spans="32:32" x14ac:dyDescent="0.2">
      <c r="AF51411" s="12"/>
    </row>
    <row r="51412" spans="32:32" x14ac:dyDescent="0.2">
      <c r="AF51412" s="12"/>
    </row>
    <row r="51413" spans="32:32" x14ac:dyDescent="0.2">
      <c r="AF51413" s="12"/>
    </row>
    <row r="51414" spans="32:32" x14ac:dyDescent="0.2">
      <c r="AF51414" s="12"/>
    </row>
    <row r="51415" spans="32:32" x14ac:dyDescent="0.2">
      <c r="AF51415" s="12"/>
    </row>
    <row r="51416" spans="32:32" x14ac:dyDescent="0.2">
      <c r="AF51416" s="12"/>
    </row>
    <row r="51417" spans="32:32" x14ac:dyDescent="0.2">
      <c r="AF51417" s="12"/>
    </row>
    <row r="51418" spans="32:32" x14ac:dyDescent="0.2">
      <c r="AF51418" s="12"/>
    </row>
    <row r="51419" spans="32:32" x14ac:dyDescent="0.2">
      <c r="AF51419" s="12"/>
    </row>
    <row r="51420" spans="32:32" x14ac:dyDescent="0.2">
      <c r="AF51420" s="12"/>
    </row>
    <row r="51421" spans="32:32" x14ac:dyDescent="0.2">
      <c r="AF51421" s="12"/>
    </row>
    <row r="51422" spans="32:32" x14ac:dyDescent="0.2">
      <c r="AF51422" s="12"/>
    </row>
    <row r="51423" spans="32:32" x14ac:dyDescent="0.2">
      <c r="AF51423" s="12"/>
    </row>
    <row r="51424" spans="32:32" x14ac:dyDescent="0.2">
      <c r="AF51424" s="12"/>
    </row>
    <row r="51425" spans="32:32" x14ac:dyDescent="0.2">
      <c r="AF51425" s="12"/>
    </row>
    <row r="51426" spans="32:32" x14ac:dyDescent="0.2">
      <c r="AF51426" s="12"/>
    </row>
    <row r="51427" spans="32:32" x14ac:dyDescent="0.2">
      <c r="AF51427" s="12"/>
    </row>
    <row r="51428" spans="32:32" x14ac:dyDescent="0.2">
      <c r="AF51428" s="12"/>
    </row>
    <row r="51429" spans="32:32" x14ac:dyDescent="0.2">
      <c r="AF51429" s="12"/>
    </row>
    <row r="51430" spans="32:32" x14ac:dyDescent="0.2">
      <c r="AF51430" s="12"/>
    </row>
    <row r="51431" spans="32:32" x14ac:dyDescent="0.2">
      <c r="AF51431" s="12"/>
    </row>
    <row r="51432" spans="32:32" x14ac:dyDescent="0.2">
      <c r="AF51432" s="12"/>
    </row>
    <row r="51433" spans="32:32" x14ac:dyDescent="0.2">
      <c r="AF51433" s="12"/>
    </row>
    <row r="51434" spans="32:32" x14ac:dyDescent="0.2">
      <c r="AF51434" s="12"/>
    </row>
    <row r="51435" spans="32:32" x14ac:dyDescent="0.2">
      <c r="AF51435" s="12"/>
    </row>
    <row r="51436" spans="32:32" x14ac:dyDescent="0.2">
      <c r="AF51436" s="12"/>
    </row>
    <row r="51437" spans="32:32" x14ac:dyDescent="0.2">
      <c r="AF51437" s="12"/>
    </row>
    <row r="51438" spans="32:32" x14ac:dyDescent="0.2">
      <c r="AF51438" s="12"/>
    </row>
    <row r="51439" spans="32:32" x14ac:dyDescent="0.2">
      <c r="AF51439" s="12"/>
    </row>
    <row r="51440" spans="32:32" x14ac:dyDescent="0.2">
      <c r="AF51440" s="12"/>
    </row>
    <row r="51441" spans="32:32" x14ac:dyDescent="0.2">
      <c r="AF51441" s="12"/>
    </row>
    <row r="51442" spans="32:32" x14ac:dyDescent="0.2">
      <c r="AF51442" s="12"/>
    </row>
    <row r="51443" spans="32:32" x14ac:dyDescent="0.2">
      <c r="AF51443" s="12"/>
    </row>
    <row r="51444" spans="32:32" x14ac:dyDescent="0.2">
      <c r="AF51444" s="12"/>
    </row>
    <row r="51445" spans="32:32" x14ac:dyDescent="0.2">
      <c r="AF51445" s="12"/>
    </row>
    <row r="51446" spans="32:32" x14ac:dyDescent="0.2">
      <c r="AF51446" s="12"/>
    </row>
    <row r="51447" spans="32:32" x14ac:dyDescent="0.2">
      <c r="AF51447" s="12"/>
    </row>
    <row r="51448" spans="32:32" x14ac:dyDescent="0.2">
      <c r="AF51448" s="12"/>
    </row>
    <row r="51449" spans="32:32" x14ac:dyDescent="0.2">
      <c r="AF51449" s="12"/>
    </row>
    <row r="51450" spans="32:32" x14ac:dyDescent="0.2">
      <c r="AF51450" s="12"/>
    </row>
    <row r="51451" spans="32:32" x14ac:dyDescent="0.2">
      <c r="AF51451" s="12"/>
    </row>
    <row r="51452" spans="32:32" x14ac:dyDescent="0.2">
      <c r="AF51452" s="12"/>
    </row>
    <row r="51453" spans="32:32" x14ac:dyDescent="0.2">
      <c r="AF51453" s="12"/>
    </row>
    <row r="51454" spans="32:32" x14ac:dyDescent="0.2">
      <c r="AF51454" s="12"/>
    </row>
    <row r="51455" spans="32:32" x14ac:dyDescent="0.2">
      <c r="AF51455" s="12"/>
    </row>
    <row r="51456" spans="32:32" x14ac:dyDescent="0.2">
      <c r="AF51456" s="12"/>
    </row>
    <row r="51457" spans="32:32" x14ac:dyDescent="0.2">
      <c r="AF51457" s="12"/>
    </row>
    <row r="51458" spans="32:32" x14ac:dyDescent="0.2">
      <c r="AF51458" s="12"/>
    </row>
    <row r="51459" spans="32:32" x14ac:dyDescent="0.2">
      <c r="AF51459" s="12"/>
    </row>
    <row r="51460" spans="32:32" x14ac:dyDescent="0.2">
      <c r="AF51460" s="12"/>
    </row>
    <row r="51461" spans="32:32" x14ac:dyDescent="0.2">
      <c r="AF51461" s="12"/>
    </row>
    <row r="51462" spans="32:32" x14ac:dyDescent="0.2">
      <c r="AF51462" s="12"/>
    </row>
    <row r="51463" spans="32:32" x14ac:dyDescent="0.2">
      <c r="AF51463" s="12"/>
    </row>
    <row r="51464" spans="32:32" x14ac:dyDescent="0.2">
      <c r="AF51464" s="12"/>
    </row>
    <row r="51465" spans="32:32" x14ac:dyDescent="0.2">
      <c r="AF51465" s="12"/>
    </row>
    <row r="51466" spans="32:32" x14ac:dyDescent="0.2">
      <c r="AF51466" s="12"/>
    </row>
    <row r="51467" spans="32:32" x14ac:dyDescent="0.2">
      <c r="AF51467" s="12"/>
    </row>
    <row r="51468" spans="32:32" x14ac:dyDescent="0.2">
      <c r="AF51468" s="12"/>
    </row>
    <row r="51469" spans="32:32" x14ac:dyDescent="0.2">
      <c r="AF51469" s="12"/>
    </row>
    <row r="51470" spans="32:32" x14ac:dyDescent="0.2">
      <c r="AF51470" s="12"/>
    </row>
    <row r="51471" spans="32:32" x14ac:dyDescent="0.2">
      <c r="AF51471" s="12"/>
    </row>
    <row r="51472" spans="32:32" x14ac:dyDescent="0.2">
      <c r="AF51472" s="12"/>
    </row>
    <row r="51473" spans="32:32" x14ac:dyDescent="0.2">
      <c r="AF51473" s="12"/>
    </row>
    <row r="51474" spans="32:32" x14ac:dyDescent="0.2">
      <c r="AF51474" s="12"/>
    </row>
    <row r="51475" spans="32:32" x14ac:dyDescent="0.2">
      <c r="AF51475" s="12"/>
    </row>
    <row r="51476" spans="32:32" x14ac:dyDescent="0.2">
      <c r="AF51476" s="12"/>
    </row>
    <row r="51477" spans="32:32" x14ac:dyDescent="0.2">
      <c r="AF51477" s="12"/>
    </row>
    <row r="51478" spans="32:32" x14ac:dyDescent="0.2">
      <c r="AF51478" s="12"/>
    </row>
    <row r="51479" spans="32:32" x14ac:dyDescent="0.2">
      <c r="AF51479" s="12"/>
    </row>
    <row r="51480" spans="32:32" x14ac:dyDescent="0.2">
      <c r="AF51480" s="12"/>
    </row>
    <row r="51481" spans="32:32" x14ac:dyDescent="0.2">
      <c r="AF51481" s="12"/>
    </row>
    <row r="51482" spans="32:32" x14ac:dyDescent="0.2">
      <c r="AF51482" s="12"/>
    </row>
    <row r="51483" spans="32:32" x14ac:dyDescent="0.2">
      <c r="AF51483" s="12"/>
    </row>
    <row r="51484" spans="32:32" x14ac:dyDescent="0.2">
      <c r="AF51484" s="12"/>
    </row>
    <row r="51485" spans="32:32" x14ac:dyDescent="0.2">
      <c r="AF51485" s="12"/>
    </row>
    <row r="51486" spans="32:32" x14ac:dyDescent="0.2">
      <c r="AF51486" s="12"/>
    </row>
    <row r="51487" spans="32:32" x14ac:dyDescent="0.2">
      <c r="AF51487" s="12"/>
    </row>
    <row r="51488" spans="32:32" x14ac:dyDescent="0.2">
      <c r="AF51488" s="12"/>
    </row>
    <row r="51489" spans="32:32" x14ac:dyDescent="0.2">
      <c r="AF51489" s="12"/>
    </row>
    <row r="51490" spans="32:32" x14ac:dyDescent="0.2">
      <c r="AF51490" s="12"/>
    </row>
    <row r="51491" spans="32:32" x14ac:dyDescent="0.2">
      <c r="AF51491" s="12"/>
    </row>
    <row r="51492" spans="32:32" x14ac:dyDescent="0.2">
      <c r="AF51492" s="12"/>
    </row>
    <row r="51493" spans="32:32" x14ac:dyDescent="0.2">
      <c r="AF51493" s="12"/>
    </row>
    <row r="51494" spans="32:32" x14ac:dyDescent="0.2">
      <c r="AF51494" s="12"/>
    </row>
    <row r="51495" spans="32:32" x14ac:dyDescent="0.2">
      <c r="AF51495" s="12"/>
    </row>
    <row r="51496" spans="32:32" x14ac:dyDescent="0.2">
      <c r="AF51496" s="12"/>
    </row>
    <row r="51497" spans="32:32" x14ac:dyDescent="0.2">
      <c r="AF51497" s="12"/>
    </row>
    <row r="51498" spans="32:32" x14ac:dyDescent="0.2">
      <c r="AF51498" s="12"/>
    </row>
    <row r="51499" spans="32:32" x14ac:dyDescent="0.2">
      <c r="AF51499" s="12"/>
    </row>
    <row r="51500" spans="32:32" x14ac:dyDescent="0.2">
      <c r="AF51500" s="12"/>
    </row>
    <row r="51501" spans="32:32" x14ac:dyDescent="0.2">
      <c r="AF51501" s="12"/>
    </row>
    <row r="51502" spans="32:32" x14ac:dyDescent="0.2">
      <c r="AF51502" s="12"/>
    </row>
    <row r="51503" spans="32:32" x14ac:dyDescent="0.2">
      <c r="AF51503" s="12"/>
    </row>
    <row r="51504" spans="32:32" x14ac:dyDescent="0.2">
      <c r="AF51504" s="12"/>
    </row>
    <row r="51505" spans="32:32" x14ac:dyDescent="0.2">
      <c r="AF51505" s="12"/>
    </row>
    <row r="51506" spans="32:32" x14ac:dyDescent="0.2">
      <c r="AF51506" s="12"/>
    </row>
    <row r="51507" spans="32:32" x14ac:dyDescent="0.2">
      <c r="AF51507" s="12"/>
    </row>
    <row r="51508" spans="32:32" x14ac:dyDescent="0.2">
      <c r="AF51508" s="12"/>
    </row>
    <row r="51509" spans="32:32" x14ac:dyDescent="0.2">
      <c r="AF51509" s="12"/>
    </row>
    <row r="51510" spans="32:32" x14ac:dyDescent="0.2">
      <c r="AF51510" s="12"/>
    </row>
    <row r="51511" spans="32:32" x14ac:dyDescent="0.2">
      <c r="AF51511" s="12"/>
    </row>
    <row r="51512" spans="32:32" x14ac:dyDescent="0.2">
      <c r="AF51512" s="12"/>
    </row>
    <row r="51513" spans="32:32" x14ac:dyDescent="0.2">
      <c r="AF51513" s="12"/>
    </row>
    <row r="51514" spans="32:32" x14ac:dyDescent="0.2">
      <c r="AF51514" s="12"/>
    </row>
    <row r="51515" spans="32:32" x14ac:dyDescent="0.2">
      <c r="AF51515" s="12"/>
    </row>
    <row r="51516" spans="32:32" x14ac:dyDescent="0.2">
      <c r="AF51516" s="12"/>
    </row>
    <row r="51517" spans="32:32" x14ac:dyDescent="0.2">
      <c r="AF51517" s="12"/>
    </row>
    <row r="51518" spans="32:32" x14ac:dyDescent="0.2">
      <c r="AF51518" s="12"/>
    </row>
    <row r="51519" spans="32:32" x14ac:dyDescent="0.2">
      <c r="AF51519" s="12"/>
    </row>
    <row r="51520" spans="32:32" x14ac:dyDescent="0.2">
      <c r="AF51520" s="12"/>
    </row>
    <row r="51521" spans="32:32" x14ac:dyDescent="0.2">
      <c r="AF51521" s="12"/>
    </row>
    <row r="51522" spans="32:32" x14ac:dyDescent="0.2">
      <c r="AF51522" s="12"/>
    </row>
    <row r="51523" spans="32:32" x14ac:dyDescent="0.2">
      <c r="AF51523" s="12"/>
    </row>
    <row r="51524" spans="32:32" x14ac:dyDescent="0.2">
      <c r="AF51524" s="12"/>
    </row>
    <row r="51525" spans="32:32" x14ac:dyDescent="0.2">
      <c r="AF51525" s="12"/>
    </row>
    <row r="51526" spans="32:32" x14ac:dyDescent="0.2">
      <c r="AF51526" s="12"/>
    </row>
    <row r="51527" spans="32:32" x14ac:dyDescent="0.2">
      <c r="AF51527" s="12"/>
    </row>
    <row r="51528" spans="32:32" x14ac:dyDescent="0.2">
      <c r="AF51528" s="12"/>
    </row>
    <row r="51529" spans="32:32" x14ac:dyDescent="0.2">
      <c r="AF51529" s="12"/>
    </row>
    <row r="51530" spans="32:32" x14ac:dyDescent="0.2">
      <c r="AF51530" s="12"/>
    </row>
    <row r="51531" spans="32:32" x14ac:dyDescent="0.2">
      <c r="AF51531" s="12"/>
    </row>
    <row r="51532" spans="32:32" x14ac:dyDescent="0.2">
      <c r="AF51532" s="12"/>
    </row>
    <row r="51533" spans="32:32" x14ac:dyDescent="0.2">
      <c r="AF51533" s="12"/>
    </row>
    <row r="51534" spans="32:32" x14ac:dyDescent="0.2">
      <c r="AF51534" s="12"/>
    </row>
    <row r="51535" spans="32:32" x14ac:dyDescent="0.2">
      <c r="AF51535" s="12"/>
    </row>
    <row r="51536" spans="32:32" x14ac:dyDescent="0.2">
      <c r="AF51536" s="12"/>
    </row>
    <row r="51537" spans="32:32" x14ac:dyDescent="0.2">
      <c r="AF51537" s="12"/>
    </row>
    <row r="51538" spans="32:32" x14ac:dyDescent="0.2">
      <c r="AF51538" s="12"/>
    </row>
    <row r="51539" spans="32:32" x14ac:dyDescent="0.2">
      <c r="AF51539" s="12"/>
    </row>
    <row r="51540" spans="32:32" x14ac:dyDescent="0.2">
      <c r="AF51540" s="12"/>
    </row>
    <row r="51541" spans="32:32" x14ac:dyDescent="0.2">
      <c r="AF51541" s="12"/>
    </row>
    <row r="51542" spans="32:32" x14ac:dyDescent="0.2">
      <c r="AF51542" s="12"/>
    </row>
    <row r="51543" spans="32:32" x14ac:dyDescent="0.2">
      <c r="AF51543" s="12"/>
    </row>
    <row r="51544" spans="32:32" x14ac:dyDescent="0.2">
      <c r="AF51544" s="12"/>
    </row>
    <row r="51545" spans="32:32" x14ac:dyDescent="0.2">
      <c r="AF51545" s="12"/>
    </row>
    <row r="51546" spans="32:32" x14ac:dyDescent="0.2">
      <c r="AF51546" s="12"/>
    </row>
    <row r="51547" spans="32:32" x14ac:dyDescent="0.2">
      <c r="AF51547" s="12"/>
    </row>
    <row r="51548" spans="32:32" x14ac:dyDescent="0.2">
      <c r="AF51548" s="12"/>
    </row>
    <row r="51549" spans="32:32" x14ac:dyDescent="0.2">
      <c r="AF51549" s="12"/>
    </row>
    <row r="51550" spans="32:32" x14ac:dyDescent="0.2">
      <c r="AF51550" s="12"/>
    </row>
    <row r="51551" spans="32:32" x14ac:dyDescent="0.2">
      <c r="AF51551" s="12"/>
    </row>
    <row r="51552" spans="32:32" x14ac:dyDescent="0.2">
      <c r="AF51552" s="12"/>
    </row>
    <row r="51553" spans="32:32" x14ac:dyDescent="0.2">
      <c r="AF51553" s="12"/>
    </row>
    <row r="51554" spans="32:32" x14ac:dyDescent="0.2">
      <c r="AF51554" s="12"/>
    </row>
    <row r="51555" spans="32:32" x14ac:dyDescent="0.2">
      <c r="AF51555" s="12"/>
    </row>
    <row r="51556" spans="32:32" x14ac:dyDescent="0.2">
      <c r="AF51556" s="12"/>
    </row>
    <row r="51557" spans="32:32" x14ac:dyDescent="0.2">
      <c r="AF51557" s="12"/>
    </row>
    <row r="51558" spans="32:32" x14ac:dyDescent="0.2">
      <c r="AF51558" s="12"/>
    </row>
    <row r="51559" spans="32:32" x14ac:dyDescent="0.2">
      <c r="AF51559" s="12"/>
    </row>
    <row r="51560" spans="32:32" x14ac:dyDescent="0.2">
      <c r="AF51560" s="12"/>
    </row>
    <row r="51561" spans="32:32" x14ac:dyDescent="0.2">
      <c r="AF51561" s="12"/>
    </row>
    <row r="51562" spans="32:32" x14ac:dyDescent="0.2">
      <c r="AF51562" s="12"/>
    </row>
    <row r="51563" spans="32:32" x14ac:dyDescent="0.2">
      <c r="AF51563" s="12"/>
    </row>
    <row r="51564" spans="32:32" x14ac:dyDescent="0.2">
      <c r="AF51564" s="12"/>
    </row>
    <row r="51565" spans="32:32" x14ac:dyDescent="0.2">
      <c r="AF51565" s="12"/>
    </row>
    <row r="51566" spans="32:32" x14ac:dyDescent="0.2">
      <c r="AF51566" s="12"/>
    </row>
    <row r="51567" spans="32:32" x14ac:dyDescent="0.2">
      <c r="AF51567" s="12"/>
    </row>
    <row r="51568" spans="32:32" x14ac:dyDescent="0.2">
      <c r="AF51568" s="12"/>
    </row>
    <row r="51569" spans="32:32" x14ac:dyDescent="0.2">
      <c r="AF51569" s="12"/>
    </row>
    <row r="51570" spans="32:32" x14ac:dyDescent="0.2">
      <c r="AF51570" s="12"/>
    </row>
    <row r="51571" spans="32:32" x14ac:dyDescent="0.2">
      <c r="AF51571" s="12"/>
    </row>
    <row r="51572" spans="32:32" x14ac:dyDescent="0.2">
      <c r="AF51572" s="12"/>
    </row>
    <row r="51573" spans="32:32" x14ac:dyDescent="0.2">
      <c r="AF51573" s="12"/>
    </row>
    <row r="51574" spans="32:32" x14ac:dyDescent="0.2">
      <c r="AF51574" s="12"/>
    </row>
    <row r="51575" spans="32:32" x14ac:dyDescent="0.2">
      <c r="AF51575" s="12"/>
    </row>
    <row r="51576" spans="32:32" x14ac:dyDescent="0.2">
      <c r="AF51576" s="12"/>
    </row>
    <row r="51577" spans="32:32" x14ac:dyDescent="0.2">
      <c r="AF51577" s="12"/>
    </row>
    <row r="51578" spans="32:32" x14ac:dyDescent="0.2">
      <c r="AF51578" s="12"/>
    </row>
    <row r="51579" spans="32:32" x14ac:dyDescent="0.2">
      <c r="AF51579" s="12"/>
    </row>
    <row r="51580" spans="32:32" x14ac:dyDescent="0.2">
      <c r="AF51580" s="12"/>
    </row>
    <row r="51581" spans="32:32" x14ac:dyDescent="0.2">
      <c r="AF51581" s="12"/>
    </row>
    <row r="51582" spans="32:32" x14ac:dyDescent="0.2">
      <c r="AF51582" s="12"/>
    </row>
    <row r="51583" spans="32:32" x14ac:dyDescent="0.2">
      <c r="AF51583" s="12"/>
    </row>
    <row r="51584" spans="32:32" x14ac:dyDescent="0.2">
      <c r="AF51584" s="12"/>
    </row>
    <row r="51585" spans="32:32" x14ac:dyDescent="0.2">
      <c r="AF51585" s="12"/>
    </row>
    <row r="51586" spans="32:32" x14ac:dyDescent="0.2">
      <c r="AF51586" s="12"/>
    </row>
    <row r="51587" spans="32:32" x14ac:dyDescent="0.2">
      <c r="AF51587" s="12"/>
    </row>
    <row r="51588" spans="32:32" x14ac:dyDescent="0.2">
      <c r="AF51588" s="12"/>
    </row>
    <row r="51589" spans="32:32" x14ac:dyDescent="0.2">
      <c r="AF51589" s="12"/>
    </row>
    <row r="51590" spans="32:32" x14ac:dyDescent="0.2">
      <c r="AF51590" s="12"/>
    </row>
    <row r="51591" spans="32:32" x14ac:dyDescent="0.2">
      <c r="AF51591" s="12"/>
    </row>
    <row r="51592" spans="32:32" x14ac:dyDescent="0.2">
      <c r="AF51592" s="12"/>
    </row>
    <row r="51593" spans="32:32" x14ac:dyDescent="0.2">
      <c r="AF51593" s="12"/>
    </row>
    <row r="51594" spans="32:32" x14ac:dyDescent="0.2">
      <c r="AF51594" s="12"/>
    </row>
    <row r="51595" spans="32:32" x14ac:dyDescent="0.2">
      <c r="AF51595" s="12"/>
    </row>
    <row r="51596" spans="32:32" x14ac:dyDescent="0.2">
      <c r="AF51596" s="12"/>
    </row>
    <row r="51597" spans="32:32" x14ac:dyDescent="0.2">
      <c r="AF51597" s="12"/>
    </row>
    <row r="51598" spans="32:32" x14ac:dyDescent="0.2">
      <c r="AF51598" s="12"/>
    </row>
    <row r="51599" spans="32:32" x14ac:dyDescent="0.2">
      <c r="AF51599" s="12"/>
    </row>
    <row r="51600" spans="32:32" x14ac:dyDescent="0.2">
      <c r="AF51600" s="12"/>
    </row>
    <row r="51601" spans="32:32" x14ac:dyDescent="0.2">
      <c r="AF51601" s="12"/>
    </row>
    <row r="51602" spans="32:32" x14ac:dyDescent="0.2">
      <c r="AF51602" s="12"/>
    </row>
    <row r="51603" spans="32:32" x14ac:dyDescent="0.2">
      <c r="AF51603" s="12"/>
    </row>
    <row r="51604" spans="32:32" x14ac:dyDescent="0.2">
      <c r="AF51604" s="12"/>
    </row>
    <row r="51605" spans="32:32" x14ac:dyDescent="0.2">
      <c r="AF51605" s="12"/>
    </row>
    <row r="51606" spans="32:32" x14ac:dyDescent="0.2">
      <c r="AF51606" s="12"/>
    </row>
    <row r="51607" spans="32:32" x14ac:dyDescent="0.2">
      <c r="AF51607" s="12"/>
    </row>
    <row r="51608" spans="32:32" x14ac:dyDescent="0.2">
      <c r="AF51608" s="12"/>
    </row>
    <row r="51609" spans="32:32" x14ac:dyDescent="0.2">
      <c r="AF51609" s="12"/>
    </row>
    <row r="51610" spans="32:32" x14ac:dyDescent="0.2">
      <c r="AF51610" s="12"/>
    </row>
    <row r="51611" spans="32:32" x14ac:dyDescent="0.2">
      <c r="AF51611" s="12"/>
    </row>
    <row r="51612" spans="32:32" x14ac:dyDescent="0.2">
      <c r="AF51612" s="12"/>
    </row>
    <row r="51613" spans="32:32" x14ac:dyDescent="0.2">
      <c r="AF51613" s="12"/>
    </row>
    <row r="51614" spans="32:32" x14ac:dyDescent="0.2">
      <c r="AF51614" s="12"/>
    </row>
    <row r="51615" spans="32:32" x14ac:dyDescent="0.2">
      <c r="AF51615" s="12"/>
    </row>
    <row r="51616" spans="32:32" x14ac:dyDescent="0.2">
      <c r="AF51616" s="12"/>
    </row>
    <row r="51617" spans="32:32" x14ac:dyDescent="0.2">
      <c r="AF51617" s="12"/>
    </row>
    <row r="51618" spans="32:32" x14ac:dyDescent="0.2">
      <c r="AF51618" s="12"/>
    </row>
    <row r="51619" spans="32:32" x14ac:dyDescent="0.2">
      <c r="AF51619" s="12"/>
    </row>
    <row r="51620" spans="32:32" x14ac:dyDescent="0.2">
      <c r="AF51620" s="12"/>
    </row>
    <row r="51621" spans="32:32" x14ac:dyDescent="0.2">
      <c r="AF51621" s="12"/>
    </row>
    <row r="51622" spans="32:32" x14ac:dyDescent="0.2">
      <c r="AF51622" s="12"/>
    </row>
    <row r="51623" spans="32:32" x14ac:dyDescent="0.2">
      <c r="AF51623" s="12"/>
    </row>
    <row r="51624" spans="32:32" x14ac:dyDescent="0.2">
      <c r="AF51624" s="12"/>
    </row>
    <row r="51625" spans="32:32" x14ac:dyDescent="0.2">
      <c r="AF51625" s="12"/>
    </row>
    <row r="51626" spans="32:32" x14ac:dyDescent="0.2">
      <c r="AF51626" s="12"/>
    </row>
    <row r="51627" spans="32:32" x14ac:dyDescent="0.2">
      <c r="AF51627" s="12"/>
    </row>
    <row r="51628" spans="32:32" x14ac:dyDescent="0.2">
      <c r="AF51628" s="12"/>
    </row>
    <row r="51629" spans="32:32" x14ac:dyDescent="0.2">
      <c r="AF51629" s="12"/>
    </row>
    <row r="51630" spans="32:32" x14ac:dyDescent="0.2">
      <c r="AF51630" s="12"/>
    </row>
    <row r="51631" spans="32:32" x14ac:dyDescent="0.2">
      <c r="AF51631" s="12"/>
    </row>
    <row r="51632" spans="32:32" x14ac:dyDescent="0.2">
      <c r="AF51632" s="12"/>
    </row>
    <row r="51633" spans="32:32" x14ac:dyDescent="0.2">
      <c r="AF51633" s="12"/>
    </row>
    <row r="51634" spans="32:32" x14ac:dyDescent="0.2">
      <c r="AF51634" s="12"/>
    </row>
    <row r="51635" spans="32:32" x14ac:dyDescent="0.2">
      <c r="AF51635" s="12"/>
    </row>
    <row r="51636" spans="32:32" x14ac:dyDescent="0.2">
      <c r="AF51636" s="12"/>
    </row>
    <row r="51637" spans="32:32" x14ac:dyDescent="0.2">
      <c r="AF51637" s="12"/>
    </row>
    <row r="51638" spans="32:32" x14ac:dyDescent="0.2">
      <c r="AF51638" s="12"/>
    </row>
    <row r="51639" spans="32:32" x14ac:dyDescent="0.2">
      <c r="AF51639" s="12"/>
    </row>
    <row r="51640" spans="32:32" x14ac:dyDescent="0.2">
      <c r="AF51640" s="12"/>
    </row>
    <row r="51641" spans="32:32" x14ac:dyDescent="0.2">
      <c r="AF51641" s="12"/>
    </row>
    <row r="51642" spans="32:32" x14ac:dyDescent="0.2">
      <c r="AF51642" s="12"/>
    </row>
    <row r="51643" spans="32:32" x14ac:dyDescent="0.2">
      <c r="AF51643" s="12"/>
    </row>
    <row r="51644" spans="32:32" x14ac:dyDescent="0.2">
      <c r="AF51644" s="12"/>
    </row>
    <row r="51645" spans="32:32" x14ac:dyDescent="0.2">
      <c r="AF51645" s="12"/>
    </row>
    <row r="51646" spans="32:32" x14ac:dyDescent="0.2">
      <c r="AF51646" s="12"/>
    </row>
    <row r="51647" spans="32:32" x14ac:dyDescent="0.2">
      <c r="AF51647" s="12"/>
    </row>
    <row r="51648" spans="32:32" x14ac:dyDescent="0.2">
      <c r="AF51648" s="12"/>
    </row>
    <row r="51649" spans="32:32" x14ac:dyDescent="0.2">
      <c r="AF51649" s="12"/>
    </row>
    <row r="51650" spans="32:32" x14ac:dyDescent="0.2">
      <c r="AF51650" s="12"/>
    </row>
    <row r="51651" spans="32:32" x14ac:dyDescent="0.2">
      <c r="AF51651" s="12"/>
    </row>
    <row r="51652" spans="32:32" x14ac:dyDescent="0.2">
      <c r="AF51652" s="12"/>
    </row>
    <row r="51653" spans="32:32" x14ac:dyDescent="0.2">
      <c r="AF51653" s="12"/>
    </row>
    <row r="51654" spans="32:32" x14ac:dyDescent="0.2">
      <c r="AF51654" s="12"/>
    </row>
    <row r="51655" spans="32:32" x14ac:dyDescent="0.2">
      <c r="AF51655" s="12"/>
    </row>
    <row r="51656" spans="32:32" x14ac:dyDescent="0.2">
      <c r="AF51656" s="12"/>
    </row>
    <row r="51657" spans="32:32" x14ac:dyDescent="0.2">
      <c r="AF51657" s="12"/>
    </row>
    <row r="51658" spans="32:32" x14ac:dyDescent="0.2">
      <c r="AF51658" s="12"/>
    </row>
    <row r="51659" spans="32:32" x14ac:dyDescent="0.2">
      <c r="AF51659" s="12"/>
    </row>
    <row r="51660" spans="32:32" x14ac:dyDescent="0.2">
      <c r="AF51660" s="12"/>
    </row>
    <row r="51661" spans="32:32" x14ac:dyDescent="0.2">
      <c r="AF51661" s="12"/>
    </row>
    <row r="51662" spans="32:32" x14ac:dyDescent="0.2">
      <c r="AF51662" s="12"/>
    </row>
    <row r="51663" spans="32:32" x14ac:dyDescent="0.2">
      <c r="AF51663" s="12"/>
    </row>
    <row r="51664" spans="32:32" x14ac:dyDescent="0.2">
      <c r="AF51664" s="12"/>
    </row>
    <row r="51665" spans="32:32" x14ac:dyDescent="0.2">
      <c r="AF51665" s="12"/>
    </row>
    <row r="51666" spans="32:32" x14ac:dyDescent="0.2">
      <c r="AF51666" s="12"/>
    </row>
    <row r="51667" spans="32:32" x14ac:dyDescent="0.2">
      <c r="AF51667" s="12"/>
    </row>
    <row r="51668" spans="32:32" x14ac:dyDescent="0.2">
      <c r="AF51668" s="12"/>
    </row>
    <row r="51669" spans="32:32" x14ac:dyDescent="0.2">
      <c r="AF51669" s="12"/>
    </row>
    <row r="51670" spans="32:32" x14ac:dyDescent="0.2">
      <c r="AF51670" s="12"/>
    </row>
    <row r="51671" spans="32:32" x14ac:dyDescent="0.2">
      <c r="AF51671" s="12"/>
    </row>
    <row r="51672" spans="32:32" x14ac:dyDescent="0.2">
      <c r="AF51672" s="12"/>
    </row>
    <row r="51673" spans="32:32" x14ac:dyDescent="0.2">
      <c r="AF51673" s="12"/>
    </row>
    <row r="51674" spans="32:32" x14ac:dyDescent="0.2">
      <c r="AF51674" s="12"/>
    </row>
    <row r="51675" spans="32:32" x14ac:dyDescent="0.2">
      <c r="AF51675" s="12"/>
    </row>
    <row r="51676" spans="32:32" x14ac:dyDescent="0.2">
      <c r="AF51676" s="12"/>
    </row>
    <row r="51677" spans="32:32" x14ac:dyDescent="0.2">
      <c r="AF51677" s="12"/>
    </row>
    <row r="51678" spans="32:32" x14ac:dyDescent="0.2">
      <c r="AF51678" s="12"/>
    </row>
    <row r="51679" spans="32:32" x14ac:dyDescent="0.2">
      <c r="AF51679" s="12"/>
    </row>
    <row r="51680" spans="32:32" x14ac:dyDescent="0.2">
      <c r="AF51680" s="12"/>
    </row>
    <row r="51681" spans="32:32" x14ac:dyDescent="0.2">
      <c r="AF51681" s="12"/>
    </row>
    <row r="51682" spans="32:32" x14ac:dyDescent="0.2">
      <c r="AF51682" s="12"/>
    </row>
    <row r="51683" spans="32:32" x14ac:dyDescent="0.2">
      <c r="AF51683" s="12"/>
    </row>
    <row r="51684" spans="32:32" x14ac:dyDescent="0.2">
      <c r="AF51684" s="12"/>
    </row>
    <row r="51685" spans="32:32" x14ac:dyDescent="0.2">
      <c r="AF51685" s="12"/>
    </row>
    <row r="51686" spans="32:32" x14ac:dyDescent="0.2">
      <c r="AF51686" s="12"/>
    </row>
    <row r="51687" spans="32:32" x14ac:dyDescent="0.2">
      <c r="AF51687" s="12"/>
    </row>
    <row r="51688" spans="32:32" x14ac:dyDescent="0.2">
      <c r="AF51688" s="12"/>
    </row>
    <row r="51689" spans="32:32" x14ac:dyDescent="0.2">
      <c r="AF51689" s="12"/>
    </row>
    <row r="51690" spans="32:32" x14ac:dyDescent="0.2">
      <c r="AF51690" s="12"/>
    </row>
    <row r="51691" spans="32:32" x14ac:dyDescent="0.2">
      <c r="AF51691" s="12"/>
    </row>
    <row r="51692" spans="32:32" x14ac:dyDescent="0.2">
      <c r="AF51692" s="12"/>
    </row>
    <row r="51693" spans="32:32" x14ac:dyDescent="0.2">
      <c r="AF51693" s="12"/>
    </row>
    <row r="51694" spans="32:32" x14ac:dyDescent="0.2">
      <c r="AF51694" s="12"/>
    </row>
    <row r="51695" spans="32:32" x14ac:dyDescent="0.2">
      <c r="AF51695" s="12"/>
    </row>
    <row r="51696" spans="32:32" x14ac:dyDescent="0.2">
      <c r="AF51696" s="12"/>
    </row>
    <row r="51697" spans="32:32" x14ac:dyDescent="0.2">
      <c r="AF51697" s="12"/>
    </row>
    <row r="51698" spans="32:32" x14ac:dyDescent="0.2">
      <c r="AF51698" s="12"/>
    </row>
    <row r="51699" spans="32:32" x14ac:dyDescent="0.2">
      <c r="AF51699" s="12"/>
    </row>
    <row r="51700" spans="32:32" x14ac:dyDescent="0.2">
      <c r="AF51700" s="12"/>
    </row>
    <row r="51701" spans="32:32" x14ac:dyDescent="0.2">
      <c r="AF51701" s="12"/>
    </row>
    <row r="51702" spans="32:32" x14ac:dyDescent="0.2">
      <c r="AF51702" s="12"/>
    </row>
    <row r="51703" spans="32:32" x14ac:dyDescent="0.2">
      <c r="AF51703" s="12"/>
    </row>
    <row r="51704" spans="32:32" x14ac:dyDescent="0.2">
      <c r="AF51704" s="12"/>
    </row>
    <row r="51705" spans="32:32" x14ac:dyDescent="0.2">
      <c r="AF51705" s="12"/>
    </row>
    <row r="51706" spans="32:32" x14ac:dyDescent="0.2">
      <c r="AF51706" s="12"/>
    </row>
    <row r="51707" spans="32:32" x14ac:dyDescent="0.2">
      <c r="AF51707" s="12"/>
    </row>
    <row r="51708" spans="32:32" x14ac:dyDescent="0.2">
      <c r="AF51708" s="12"/>
    </row>
    <row r="51709" spans="32:32" x14ac:dyDescent="0.2">
      <c r="AF51709" s="12"/>
    </row>
    <row r="51710" spans="32:32" x14ac:dyDescent="0.2">
      <c r="AF51710" s="12"/>
    </row>
    <row r="51711" spans="32:32" x14ac:dyDescent="0.2">
      <c r="AF51711" s="12"/>
    </row>
    <row r="51712" spans="32:32" x14ac:dyDescent="0.2">
      <c r="AF51712" s="12"/>
    </row>
    <row r="51713" spans="32:32" x14ac:dyDescent="0.2">
      <c r="AF51713" s="12"/>
    </row>
    <row r="51714" spans="32:32" x14ac:dyDescent="0.2">
      <c r="AF51714" s="12"/>
    </row>
    <row r="51715" spans="32:32" x14ac:dyDescent="0.2">
      <c r="AF51715" s="12"/>
    </row>
    <row r="51716" spans="32:32" x14ac:dyDescent="0.2">
      <c r="AF51716" s="12"/>
    </row>
    <row r="51717" spans="32:32" x14ac:dyDescent="0.2">
      <c r="AF51717" s="12"/>
    </row>
    <row r="51718" spans="32:32" x14ac:dyDescent="0.2">
      <c r="AF51718" s="12"/>
    </row>
    <row r="51719" spans="32:32" x14ac:dyDescent="0.2">
      <c r="AF51719" s="12"/>
    </row>
    <row r="51720" spans="32:32" x14ac:dyDescent="0.2">
      <c r="AF51720" s="12"/>
    </row>
    <row r="51721" spans="32:32" x14ac:dyDescent="0.2">
      <c r="AF51721" s="12"/>
    </row>
    <row r="51722" spans="32:32" x14ac:dyDescent="0.2">
      <c r="AF51722" s="12"/>
    </row>
    <row r="51723" spans="32:32" x14ac:dyDescent="0.2">
      <c r="AF51723" s="12"/>
    </row>
    <row r="51724" spans="32:32" x14ac:dyDescent="0.2">
      <c r="AF51724" s="12"/>
    </row>
    <row r="51725" spans="32:32" x14ac:dyDescent="0.2">
      <c r="AF51725" s="12"/>
    </row>
    <row r="51726" spans="32:32" x14ac:dyDescent="0.2">
      <c r="AF51726" s="12"/>
    </row>
    <row r="51727" spans="32:32" x14ac:dyDescent="0.2">
      <c r="AF51727" s="12"/>
    </row>
    <row r="51728" spans="32:32" x14ac:dyDescent="0.2">
      <c r="AF51728" s="12"/>
    </row>
    <row r="51729" spans="32:32" x14ac:dyDescent="0.2">
      <c r="AF51729" s="12"/>
    </row>
    <row r="51730" spans="32:32" x14ac:dyDescent="0.2">
      <c r="AF51730" s="12"/>
    </row>
    <row r="51731" spans="32:32" x14ac:dyDescent="0.2">
      <c r="AF51731" s="12"/>
    </row>
    <row r="51732" spans="32:32" x14ac:dyDescent="0.2">
      <c r="AF51732" s="12"/>
    </row>
    <row r="51733" spans="32:32" x14ac:dyDescent="0.2">
      <c r="AF51733" s="12"/>
    </row>
    <row r="51734" spans="32:32" x14ac:dyDescent="0.2">
      <c r="AF51734" s="12"/>
    </row>
    <row r="51735" spans="32:32" x14ac:dyDescent="0.2">
      <c r="AF51735" s="12"/>
    </row>
    <row r="51736" spans="32:32" x14ac:dyDescent="0.2">
      <c r="AF51736" s="12"/>
    </row>
    <row r="51737" spans="32:32" x14ac:dyDescent="0.2">
      <c r="AF51737" s="12"/>
    </row>
    <row r="51738" spans="32:32" x14ac:dyDescent="0.2">
      <c r="AF51738" s="12"/>
    </row>
    <row r="51739" spans="32:32" x14ac:dyDescent="0.2">
      <c r="AF51739" s="12"/>
    </row>
    <row r="51740" spans="32:32" x14ac:dyDescent="0.2">
      <c r="AF51740" s="12"/>
    </row>
    <row r="51741" spans="32:32" x14ac:dyDescent="0.2">
      <c r="AF51741" s="12"/>
    </row>
    <row r="51742" spans="32:32" x14ac:dyDescent="0.2">
      <c r="AF51742" s="12"/>
    </row>
    <row r="51743" spans="32:32" x14ac:dyDescent="0.2">
      <c r="AF51743" s="12"/>
    </row>
    <row r="51744" spans="32:32" x14ac:dyDescent="0.2">
      <c r="AF51744" s="12"/>
    </row>
    <row r="51745" spans="32:32" x14ac:dyDescent="0.2">
      <c r="AF51745" s="12"/>
    </row>
    <row r="51746" spans="32:32" x14ac:dyDescent="0.2">
      <c r="AF51746" s="12"/>
    </row>
    <row r="51747" spans="32:32" x14ac:dyDescent="0.2">
      <c r="AF51747" s="12"/>
    </row>
    <row r="51748" spans="32:32" x14ac:dyDescent="0.2">
      <c r="AF51748" s="12"/>
    </row>
    <row r="51749" spans="32:32" x14ac:dyDescent="0.2">
      <c r="AF51749" s="12"/>
    </row>
    <row r="51750" spans="32:32" x14ac:dyDescent="0.2">
      <c r="AF51750" s="12"/>
    </row>
    <row r="51751" spans="32:32" x14ac:dyDescent="0.2">
      <c r="AF51751" s="12"/>
    </row>
    <row r="51752" spans="32:32" x14ac:dyDescent="0.2">
      <c r="AF51752" s="12"/>
    </row>
    <row r="51753" spans="32:32" x14ac:dyDescent="0.2">
      <c r="AF51753" s="12"/>
    </row>
    <row r="51754" spans="32:32" x14ac:dyDescent="0.2">
      <c r="AF51754" s="12"/>
    </row>
    <row r="51755" spans="32:32" x14ac:dyDescent="0.2">
      <c r="AF51755" s="12"/>
    </row>
    <row r="51756" spans="32:32" x14ac:dyDescent="0.2">
      <c r="AF51756" s="12"/>
    </row>
    <row r="51757" spans="32:32" x14ac:dyDescent="0.2">
      <c r="AF51757" s="12"/>
    </row>
    <row r="51758" spans="32:32" x14ac:dyDescent="0.2">
      <c r="AF51758" s="12"/>
    </row>
    <row r="51759" spans="32:32" x14ac:dyDescent="0.2">
      <c r="AF51759" s="12"/>
    </row>
    <row r="51760" spans="32:32" x14ac:dyDescent="0.2">
      <c r="AF51760" s="12"/>
    </row>
    <row r="51761" spans="32:32" x14ac:dyDescent="0.2">
      <c r="AF51761" s="12"/>
    </row>
    <row r="51762" spans="32:32" x14ac:dyDescent="0.2">
      <c r="AF51762" s="12"/>
    </row>
    <row r="51763" spans="32:32" x14ac:dyDescent="0.2">
      <c r="AF51763" s="12"/>
    </row>
    <row r="51764" spans="32:32" x14ac:dyDescent="0.2">
      <c r="AF51764" s="12"/>
    </row>
    <row r="51765" spans="32:32" x14ac:dyDescent="0.2">
      <c r="AF51765" s="12"/>
    </row>
    <row r="51766" spans="32:32" x14ac:dyDescent="0.2">
      <c r="AF51766" s="12"/>
    </row>
    <row r="51767" spans="32:32" x14ac:dyDescent="0.2">
      <c r="AF51767" s="12"/>
    </row>
    <row r="51768" spans="32:32" x14ac:dyDescent="0.2">
      <c r="AF51768" s="12"/>
    </row>
    <row r="51769" spans="32:32" x14ac:dyDescent="0.2">
      <c r="AF51769" s="12"/>
    </row>
    <row r="51770" spans="32:32" x14ac:dyDescent="0.2">
      <c r="AF51770" s="12"/>
    </row>
    <row r="51771" spans="32:32" x14ac:dyDescent="0.2">
      <c r="AF51771" s="12"/>
    </row>
    <row r="51772" spans="32:32" x14ac:dyDescent="0.2">
      <c r="AF51772" s="12"/>
    </row>
    <row r="51773" spans="32:32" x14ac:dyDescent="0.2">
      <c r="AF51773" s="12"/>
    </row>
    <row r="51774" spans="32:32" x14ac:dyDescent="0.2">
      <c r="AF51774" s="12"/>
    </row>
    <row r="51775" spans="32:32" x14ac:dyDescent="0.2">
      <c r="AF51775" s="12"/>
    </row>
    <row r="51776" spans="32:32" x14ac:dyDescent="0.2">
      <c r="AF51776" s="12"/>
    </row>
    <row r="51777" spans="32:32" x14ac:dyDescent="0.2">
      <c r="AF51777" s="12"/>
    </row>
    <row r="51778" spans="32:32" x14ac:dyDescent="0.2">
      <c r="AF51778" s="12"/>
    </row>
    <row r="51779" spans="32:32" x14ac:dyDescent="0.2">
      <c r="AF51779" s="12"/>
    </row>
    <row r="51780" spans="32:32" x14ac:dyDescent="0.2">
      <c r="AF51780" s="12"/>
    </row>
    <row r="51781" spans="32:32" x14ac:dyDescent="0.2">
      <c r="AF51781" s="12"/>
    </row>
    <row r="51782" spans="32:32" x14ac:dyDescent="0.2">
      <c r="AF51782" s="12"/>
    </row>
    <row r="51783" spans="32:32" x14ac:dyDescent="0.2">
      <c r="AF51783" s="12"/>
    </row>
    <row r="51784" spans="32:32" x14ac:dyDescent="0.2">
      <c r="AF51784" s="12"/>
    </row>
    <row r="51785" spans="32:32" x14ac:dyDescent="0.2">
      <c r="AF51785" s="12"/>
    </row>
    <row r="51786" spans="32:32" x14ac:dyDescent="0.2">
      <c r="AF51786" s="12"/>
    </row>
    <row r="51787" spans="32:32" x14ac:dyDescent="0.2">
      <c r="AF51787" s="12"/>
    </row>
    <row r="51788" spans="32:32" x14ac:dyDescent="0.2">
      <c r="AF51788" s="12"/>
    </row>
    <row r="51789" spans="32:32" x14ac:dyDescent="0.2">
      <c r="AF51789" s="12"/>
    </row>
    <row r="51790" spans="32:32" x14ac:dyDescent="0.2">
      <c r="AF51790" s="12"/>
    </row>
    <row r="51791" spans="32:32" x14ac:dyDescent="0.2">
      <c r="AF51791" s="12"/>
    </row>
    <row r="51792" spans="32:32" x14ac:dyDescent="0.2">
      <c r="AF51792" s="12"/>
    </row>
    <row r="51793" spans="32:32" x14ac:dyDescent="0.2">
      <c r="AF51793" s="12"/>
    </row>
    <row r="51794" spans="32:32" x14ac:dyDescent="0.2">
      <c r="AF51794" s="12"/>
    </row>
    <row r="51795" spans="32:32" x14ac:dyDescent="0.2">
      <c r="AF51795" s="12"/>
    </row>
    <row r="51796" spans="32:32" x14ac:dyDescent="0.2">
      <c r="AF51796" s="12"/>
    </row>
    <row r="51797" spans="32:32" x14ac:dyDescent="0.2">
      <c r="AF51797" s="12"/>
    </row>
    <row r="51798" spans="32:32" x14ac:dyDescent="0.2">
      <c r="AF51798" s="12"/>
    </row>
    <row r="51799" spans="32:32" x14ac:dyDescent="0.2">
      <c r="AF51799" s="12"/>
    </row>
    <row r="51800" spans="32:32" x14ac:dyDescent="0.2">
      <c r="AF51800" s="12"/>
    </row>
    <row r="51801" spans="32:32" x14ac:dyDescent="0.2">
      <c r="AF51801" s="12"/>
    </row>
    <row r="51802" spans="32:32" x14ac:dyDescent="0.2">
      <c r="AF51802" s="12"/>
    </row>
    <row r="51803" spans="32:32" x14ac:dyDescent="0.2">
      <c r="AF51803" s="12"/>
    </row>
    <row r="51804" spans="32:32" x14ac:dyDescent="0.2">
      <c r="AF51804" s="12"/>
    </row>
    <row r="51805" spans="32:32" x14ac:dyDescent="0.2">
      <c r="AF51805" s="12"/>
    </row>
    <row r="51806" spans="32:32" x14ac:dyDescent="0.2">
      <c r="AF51806" s="12"/>
    </row>
    <row r="51807" spans="32:32" x14ac:dyDescent="0.2">
      <c r="AF51807" s="12"/>
    </row>
    <row r="51808" spans="32:32" x14ac:dyDescent="0.2">
      <c r="AF51808" s="12"/>
    </row>
    <row r="51809" spans="32:32" x14ac:dyDescent="0.2">
      <c r="AF51809" s="12"/>
    </row>
    <row r="51810" spans="32:32" x14ac:dyDescent="0.2">
      <c r="AF51810" s="12"/>
    </row>
    <row r="51811" spans="32:32" x14ac:dyDescent="0.2">
      <c r="AF51811" s="12"/>
    </row>
    <row r="51812" spans="32:32" x14ac:dyDescent="0.2">
      <c r="AF51812" s="12"/>
    </row>
    <row r="51813" spans="32:32" x14ac:dyDescent="0.2">
      <c r="AF51813" s="12"/>
    </row>
    <row r="51814" spans="32:32" x14ac:dyDescent="0.2">
      <c r="AF51814" s="12"/>
    </row>
    <row r="51815" spans="32:32" x14ac:dyDescent="0.2">
      <c r="AF51815" s="12"/>
    </row>
    <row r="51816" spans="32:32" x14ac:dyDescent="0.2">
      <c r="AF51816" s="12"/>
    </row>
    <row r="51817" spans="32:32" x14ac:dyDescent="0.2">
      <c r="AF51817" s="12"/>
    </row>
    <row r="51818" spans="32:32" x14ac:dyDescent="0.2">
      <c r="AF51818" s="12"/>
    </row>
    <row r="51819" spans="32:32" x14ac:dyDescent="0.2">
      <c r="AF51819" s="12"/>
    </row>
    <row r="51820" spans="32:32" x14ac:dyDescent="0.2">
      <c r="AF51820" s="12"/>
    </row>
    <row r="51821" spans="32:32" x14ac:dyDescent="0.2">
      <c r="AF51821" s="12"/>
    </row>
    <row r="51822" spans="32:32" x14ac:dyDescent="0.2">
      <c r="AF51822" s="12"/>
    </row>
    <row r="51823" spans="32:32" x14ac:dyDescent="0.2">
      <c r="AF51823" s="12"/>
    </row>
    <row r="51824" spans="32:32" x14ac:dyDescent="0.2">
      <c r="AF51824" s="12"/>
    </row>
    <row r="51825" spans="32:32" x14ac:dyDescent="0.2">
      <c r="AF51825" s="12"/>
    </row>
    <row r="51826" spans="32:32" x14ac:dyDescent="0.2">
      <c r="AF51826" s="12"/>
    </row>
    <row r="51827" spans="32:32" x14ac:dyDescent="0.2">
      <c r="AF51827" s="12"/>
    </row>
    <row r="51828" spans="32:32" x14ac:dyDescent="0.2">
      <c r="AF51828" s="12"/>
    </row>
    <row r="51829" spans="32:32" x14ac:dyDescent="0.2">
      <c r="AF51829" s="12"/>
    </row>
    <row r="51830" spans="32:32" x14ac:dyDescent="0.2">
      <c r="AF51830" s="12"/>
    </row>
    <row r="51831" spans="32:32" x14ac:dyDescent="0.2">
      <c r="AF51831" s="12"/>
    </row>
    <row r="51832" spans="32:32" x14ac:dyDescent="0.2">
      <c r="AF51832" s="12"/>
    </row>
    <row r="51833" spans="32:32" x14ac:dyDescent="0.2">
      <c r="AF51833" s="12"/>
    </row>
    <row r="51834" spans="32:32" x14ac:dyDescent="0.2">
      <c r="AF51834" s="12"/>
    </row>
    <row r="51835" spans="32:32" x14ac:dyDescent="0.2">
      <c r="AF51835" s="12"/>
    </row>
    <row r="51836" spans="32:32" x14ac:dyDescent="0.2">
      <c r="AF51836" s="12"/>
    </row>
    <row r="51837" spans="32:32" x14ac:dyDescent="0.2">
      <c r="AF51837" s="12"/>
    </row>
    <row r="51838" spans="32:32" x14ac:dyDescent="0.2">
      <c r="AF51838" s="12"/>
    </row>
    <row r="51839" spans="32:32" x14ac:dyDescent="0.2">
      <c r="AF51839" s="12"/>
    </row>
    <row r="51840" spans="32:32" x14ac:dyDescent="0.2">
      <c r="AF51840" s="12"/>
    </row>
    <row r="51841" spans="32:32" x14ac:dyDescent="0.2">
      <c r="AF51841" s="12"/>
    </row>
    <row r="51842" spans="32:32" x14ac:dyDescent="0.2">
      <c r="AF51842" s="12"/>
    </row>
    <row r="51843" spans="32:32" x14ac:dyDescent="0.2">
      <c r="AF51843" s="12"/>
    </row>
    <row r="51844" spans="32:32" x14ac:dyDescent="0.2">
      <c r="AF51844" s="12"/>
    </row>
    <row r="51845" spans="32:32" x14ac:dyDescent="0.2">
      <c r="AF51845" s="12"/>
    </row>
    <row r="51846" spans="32:32" x14ac:dyDescent="0.2">
      <c r="AF51846" s="12"/>
    </row>
    <row r="51847" spans="32:32" x14ac:dyDescent="0.2">
      <c r="AF51847" s="12"/>
    </row>
    <row r="51848" spans="32:32" x14ac:dyDescent="0.2">
      <c r="AF51848" s="12"/>
    </row>
    <row r="51849" spans="32:32" x14ac:dyDescent="0.2">
      <c r="AF51849" s="12"/>
    </row>
    <row r="51850" spans="32:32" x14ac:dyDescent="0.2">
      <c r="AF51850" s="12"/>
    </row>
    <row r="51851" spans="32:32" x14ac:dyDescent="0.2">
      <c r="AF51851" s="12"/>
    </row>
    <row r="51852" spans="32:32" x14ac:dyDescent="0.2">
      <c r="AF51852" s="12"/>
    </row>
    <row r="51853" spans="32:32" x14ac:dyDescent="0.2">
      <c r="AF51853" s="12"/>
    </row>
    <row r="51854" spans="32:32" x14ac:dyDescent="0.2">
      <c r="AF51854" s="12"/>
    </row>
    <row r="51855" spans="32:32" x14ac:dyDescent="0.2">
      <c r="AF51855" s="12"/>
    </row>
    <row r="51856" spans="32:32" x14ac:dyDescent="0.2">
      <c r="AF51856" s="12"/>
    </row>
    <row r="51857" spans="32:32" x14ac:dyDescent="0.2">
      <c r="AF51857" s="12"/>
    </row>
    <row r="51858" spans="32:32" x14ac:dyDescent="0.2">
      <c r="AF51858" s="12"/>
    </row>
    <row r="51859" spans="32:32" x14ac:dyDescent="0.2">
      <c r="AF51859" s="12"/>
    </row>
    <row r="51860" spans="32:32" x14ac:dyDescent="0.2">
      <c r="AF51860" s="12"/>
    </row>
    <row r="51861" spans="32:32" x14ac:dyDescent="0.2">
      <c r="AF51861" s="12"/>
    </row>
    <row r="51862" spans="32:32" x14ac:dyDescent="0.2">
      <c r="AF51862" s="12"/>
    </row>
    <row r="51863" spans="32:32" x14ac:dyDescent="0.2">
      <c r="AF51863" s="12"/>
    </row>
    <row r="51864" spans="32:32" x14ac:dyDescent="0.2">
      <c r="AF51864" s="12"/>
    </row>
    <row r="51865" spans="32:32" x14ac:dyDescent="0.2">
      <c r="AF51865" s="12"/>
    </row>
    <row r="51866" spans="32:32" x14ac:dyDescent="0.2">
      <c r="AF51866" s="12"/>
    </row>
    <row r="51867" spans="32:32" x14ac:dyDescent="0.2">
      <c r="AF51867" s="12"/>
    </row>
    <row r="51868" spans="32:32" x14ac:dyDescent="0.2">
      <c r="AF51868" s="12"/>
    </row>
    <row r="51869" spans="32:32" x14ac:dyDescent="0.2">
      <c r="AF51869" s="12"/>
    </row>
    <row r="51870" spans="32:32" x14ac:dyDescent="0.2">
      <c r="AF51870" s="12"/>
    </row>
    <row r="51871" spans="32:32" x14ac:dyDescent="0.2">
      <c r="AF51871" s="12"/>
    </row>
    <row r="51872" spans="32:32" x14ac:dyDescent="0.2">
      <c r="AF51872" s="12"/>
    </row>
    <row r="51873" spans="32:32" x14ac:dyDescent="0.2">
      <c r="AF51873" s="12"/>
    </row>
    <row r="51874" spans="32:32" x14ac:dyDescent="0.2">
      <c r="AF51874" s="12"/>
    </row>
    <row r="51875" spans="32:32" x14ac:dyDescent="0.2">
      <c r="AF51875" s="12"/>
    </row>
    <row r="51876" spans="32:32" x14ac:dyDescent="0.2">
      <c r="AF51876" s="12"/>
    </row>
    <row r="51877" spans="32:32" x14ac:dyDescent="0.2">
      <c r="AF51877" s="12"/>
    </row>
    <row r="51878" spans="32:32" x14ac:dyDescent="0.2">
      <c r="AF51878" s="12"/>
    </row>
    <row r="51879" spans="32:32" x14ac:dyDescent="0.2">
      <c r="AF51879" s="12"/>
    </row>
    <row r="51880" spans="32:32" x14ac:dyDescent="0.2">
      <c r="AF51880" s="12"/>
    </row>
    <row r="51881" spans="32:32" x14ac:dyDescent="0.2">
      <c r="AF51881" s="12"/>
    </row>
    <row r="51882" spans="32:32" x14ac:dyDescent="0.2">
      <c r="AF51882" s="12"/>
    </row>
    <row r="51883" spans="32:32" x14ac:dyDescent="0.2">
      <c r="AF51883" s="12"/>
    </row>
    <row r="51884" spans="32:32" x14ac:dyDescent="0.2">
      <c r="AF51884" s="12"/>
    </row>
    <row r="51885" spans="32:32" x14ac:dyDescent="0.2">
      <c r="AF51885" s="12"/>
    </row>
    <row r="51886" spans="32:32" x14ac:dyDescent="0.2">
      <c r="AF51886" s="12"/>
    </row>
    <row r="51887" spans="32:32" x14ac:dyDescent="0.2">
      <c r="AF51887" s="12"/>
    </row>
    <row r="51888" spans="32:32" x14ac:dyDescent="0.2">
      <c r="AF51888" s="12"/>
    </row>
    <row r="51889" spans="32:32" x14ac:dyDescent="0.2">
      <c r="AF51889" s="12"/>
    </row>
    <row r="51890" spans="32:32" x14ac:dyDescent="0.2">
      <c r="AF51890" s="12"/>
    </row>
    <row r="51891" spans="32:32" x14ac:dyDescent="0.2">
      <c r="AF51891" s="12"/>
    </row>
    <row r="51892" spans="32:32" x14ac:dyDescent="0.2">
      <c r="AF51892" s="12"/>
    </row>
    <row r="51893" spans="32:32" x14ac:dyDescent="0.2">
      <c r="AF51893" s="12"/>
    </row>
    <row r="51894" spans="32:32" x14ac:dyDescent="0.2">
      <c r="AF51894" s="12"/>
    </row>
    <row r="51895" spans="32:32" x14ac:dyDescent="0.2">
      <c r="AF51895" s="12"/>
    </row>
    <row r="51896" spans="32:32" x14ac:dyDescent="0.2">
      <c r="AF51896" s="12"/>
    </row>
    <row r="51897" spans="32:32" x14ac:dyDescent="0.2">
      <c r="AF51897" s="12"/>
    </row>
    <row r="51898" spans="32:32" x14ac:dyDescent="0.2">
      <c r="AF51898" s="12"/>
    </row>
    <row r="51899" spans="32:32" x14ac:dyDescent="0.2">
      <c r="AF51899" s="12"/>
    </row>
    <row r="51900" spans="32:32" x14ac:dyDescent="0.2">
      <c r="AF51900" s="12"/>
    </row>
    <row r="51901" spans="32:32" x14ac:dyDescent="0.2">
      <c r="AF51901" s="12"/>
    </row>
    <row r="51902" spans="32:32" x14ac:dyDescent="0.2">
      <c r="AF51902" s="12"/>
    </row>
    <row r="51903" spans="32:32" x14ac:dyDescent="0.2">
      <c r="AF51903" s="12"/>
    </row>
    <row r="51904" spans="32:32" x14ac:dyDescent="0.2">
      <c r="AF51904" s="12"/>
    </row>
    <row r="51905" spans="32:32" x14ac:dyDescent="0.2">
      <c r="AF51905" s="12"/>
    </row>
    <row r="51906" spans="32:32" x14ac:dyDescent="0.2">
      <c r="AF51906" s="12"/>
    </row>
    <row r="51907" spans="32:32" x14ac:dyDescent="0.2">
      <c r="AF51907" s="12"/>
    </row>
    <row r="51908" spans="32:32" x14ac:dyDescent="0.2">
      <c r="AF51908" s="12"/>
    </row>
    <row r="51909" spans="32:32" x14ac:dyDescent="0.2">
      <c r="AF51909" s="12"/>
    </row>
    <row r="51910" spans="32:32" x14ac:dyDescent="0.2">
      <c r="AF51910" s="12"/>
    </row>
    <row r="51911" spans="32:32" x14ac:dyDescent="0.2">
      <c r="AF51911" s="12"/>
    </row>
    <row r="51912" spans="32:32" x14ac:dyDescent="0.2">
      <c r="AF51912" s="12"/>
    </row>
    <row r="51913" spans="32:32" x14ac:dyDescent="0.2">
      <c r="AF51913" s="12"/>
    </row>
    <row r="51914" spans="32:32" x14ac:dyDescent="0.2">
      <c r="AF51914" s="12"/>
    </row>
    <row r="51915" spans="32:32" x14ac:dyDescent="0.2">
      <c r="AF51915" s="12"/>
    </row>
    <row r="51916" spans="32:32" x14ac:dyDescent="0.2">
      <c r="AF51916" s="12"/>
    </row>
    <row r="51917" spans="32:32" x14ac:dyDescent="0.2">
      <c r="AF51917" s="12"/>
    </row>
    <row r="51918" spans="32:32" x14ac:dyDescent="0.2">
      <c r="AF51918" s="12"/>
    </row>
    <row r="51919" spans="32:32" x14ac:dyDescent="0.2">
      <c r="AF51919" s="12"/>
    </row>
    <row r="51920" spans="32:32" x14ac:dyDescent="0.2">
      <c r="AF51920" s="12"/>
    </row>
    <row r="51921" spans="32:32" x14ac:dyDescent="0.2">
      <c r="AF51921" s="12"/>
    </row>
    <row r="51922" spans="32:32" x14ac:dyDescent="0.2">
      <c r="AF51922" s="12"/>
    </row>
    <row r="51923" spans="32:32" x14ac:dyDescent="0.2">
      <c r="AF51923" s="12"/>
    </row>
    <row r="51924" spans="32:32" x14ac:dyDescent="0.2">
      <c r="AF51924" s="12"/>
    </row>
    <row r="51925" spans="32:32" x14ac:dyDescent="0.2">
      <c r="AF51925" s="12"/>
    </row>
    <row r="51926" spans="32:32" x14ac:dyDescent="0.2">
      <c r="AF51926" s="12"/>
    </row>
    <row r="51927" spans="32:32" x14ac:dyDescent="0.2">
      <c r="AF51927" s="12"/>
    </row>
    <row r="51928" spans="32:32" x14ac:dyDescent="0.2">
      <c r="AF51928" s="12"/>
    </row>
    <row r="51929" spans="32:32" x14ac:dyDescent="0.2">
      <c r="AF51929" s="12"/>
    </row>
    <row r="51930" spans="32:32" x14ac:dyDescent="0.2">
      <c r="AF51930" s="12"/>
    </row>
    <row r="51931" spans="32:32" x14ac:dyDescent="0.2">
      <c r="AF51931" s="12"/>
    </row>
    <row r="51932" spans="32:32" x14ac:dyDescent="0.2">
      <c r="AF51932" s="12"/>
    </row>
    <row r="51933" spans="32:32" x14ac:dyDescent="0.2">
      <c r="AF51933" s="12"/>
    </row>
    <row r="51934" spans="32:32" x14ac:dyDescent="0.2">
      <c r="AF51934" s="12"/>
    </row>
    <row r="51935" spans="32:32" x14ac:dyDescent="0.2">
      <c r="AF51935" s="12"/>
    </row>
    <row r="51936" spans="32:32" x14ac:dyDescent="0.2">
      <c r="AF51936" s="12"/>
    </row>
    <row r="51937" spans="32:32" x14ac:dyDescent="0.2">
      <c r="AF51937" s="12"/>
    </row>
    <row r="51938" spans="32:32" x14ac:dyDescent="0.2">
      <c r="AF51938" s="12"/>
    </row>
    <row r="51939" spans="32:32" x14ac:dyDescent="0.2">
      <c r="AF51939" s="12"/>
    </row>
    <row r="51940" spans="32:32" x14ac:dyDescent="0.2">
      <c r="AF51940" s="12"/>
    </row>
    <row r="51941" spans="32:32" x14ac:dyDescent="0.2">
      <c r="AF51941" s="12"/>
    </row>
    <row r="51942" spans="32:32" x14ac:dyDescent="0.2">
      <c r="AF51942" s="12"/>
    </row>
    <row r="51943" spans="32:32" x14ac:dyDescent="0.2">
      <c r="AF51943" s="12"/>
    </row>
    <row r="51944" spans="32:32" x14ac:dyDescent="0.2">
      <c r="AF51944" s="12"/>
    </row>
    <row r="51945" spans="32:32" x14ac:dyDescent="0.2">
      <c r="AF51945" s="12"/>
    </row>
    <row r="51946" spans="32:32" x14ac:dyDescent="0.2">
      <c r="AF51946" s="12"/>
    </row>
    <row r="51947" spans="32:32" x14ac:dyDescent="0.2">
      <c r="AF51947" s="12"/>
    </row>
    <row r="51948" spans="32:32" x14ac:dyDescent="0.2">
      <c r="AF51948" s="12"/>
    </row>
    <row r="51949" spans="32:32" x14ac:dyDescent="0.2">
      <c r="AF51949" s="12"/>
    </row>
    <row r="51950" spans="32:32" x14ac:dyDescent="0.2">
      <c r="AF51950" s="12"/>
    </row>
    <row r="51951" spans="32:32" x14ac:dyDescent="0.2">
      <c r="AF51951" s="12"/>
    </row>
    <row r="51952" spans="32:32" x14ac:dyDescent="0.2">
      <c r="AF51952" s="12"/>
    </row>
    <row r="51953" spans="32:32" x14ac:dyDescent="0.2">
      <c r="AF51953" s="12"/>
    </row>
    <row r="51954" spans="32:32" x14ac:dyDescent="0.2">
      <c r="AF51954" s="12"/>
    </row>
    <row r="51955" spans="32:32" x14ac:dyDescent="0.2">
      <c r="AF51955" s="12"/>
    </row>
    <row r="51956" spans="32:32" x14ac:dyDescent="0.2">
      <c r="AF51956" s="12"/>
    </row>
    <row r="51957" spans="32:32" x14ac:dyDescent="0.2">
      <c r="AF51957" s="12"/>
    </row>
    <row r="51958" spans="32:32" x14ac:dyDescent="0.2">
      <c r="AF51958" s="12"/>
    </row>
    <row r="51959" spans="32:32" x14ac:dyDescent="0.2">
      <c r="AF51959" s="12"/>
    </row>
    <row r="51960" spans="32:32" x14ac:dyDescent="0.2">
      <c r="AF51960" s="12"/>
    </row>
    <row r="51961" spans="32:32" x14ac:dyDescent="0.2">
      <c r="AF51961" s="12"/>
    </row>
    <row r="51962" spans="32:32" x14ac:dyDescent="0.2">
      <c r="AF51962" s="12"/>
    </row>
    <row r="51963" spans="32:32" x14ac:dyDescent="0.2">
      <c r="AF51963" s="12"/>
    </row>
    <row r="51964" spans="32:32" x14ac:dyDescent="0.2">
      <c r="AF51964" s="12"/>
    </row>
    <row r="51965" spans="32:32" x14ac:dyDescent="0.2">
      <c r="AF51965" s="12"/>
    </row>
    <row r="51966" spans="32:32" x14ac:dyDescent="0.2">
      <c r="AF51966" s="12"/>
    </row>
    <row r="51967" spans="32:32" x14ac:dyDescent="0.2">
      <c r="AF51967" s="12"/>
    </row>
    <row r="51968" spans="32:32" x14ac:dyDescent="0.2">
      <c r="AF51968" s="12"/>
    </row>
    <row r="51969" spans="32:32" x14ac:dyDescent="0.2">
      <c r="AF51969" s="12"/>
    </row>
    <row r="51970" spans="32:32" x14ac:dyDescent="0.2">
      <c r="AF51970" s="12"/>
    </row>
    <row r="51971" spans="32:32" x14ac:dyDescent="0.2">
      <c r="AF51971" s="12"/>
    </row>
    <row r="51972" spans="32:32" x14ac:dyDescent="0.2">
      <c r="AF51972" s="12"/>
    </row>
    <row r="51973" spans="32:32" x14ac:dyDescent="0.2">
      <c r="AF51973" s="12"/>
    </row>
    <row r="51974" spans="32:32" x14ac:dyDescent="0.2">
      <c r="AF51974" s="12"/>
    </row>
    <row r="51975" spans="32:32" x14ac:dyDescent="0.2">
      <c r="AF51975" s="12"/>
    </row>
    <row r="51976" spans="32:32" x14ac:dyDescent="0.2">
      <c r="AF51976" s="12"/>
    </row>
    <row r="51977" spans="32:32" x14ac:dyDescent="0.2">
      <c r="AF51977" s="12"/>
    </row>
    <row r="51978" spans="32:32" x14ac:dyDescent="0.2">
      <c r="AF51978" s="12"/>
    </row>
    <row r="51979" spans="32:32" x14ac:dyDescent="0.2">
      <c r="AF51979" s="12"/>
    </row>
    <row r="51980" spans="32:32" x14ac:dyDescent="0.2">
      <c r="AF51980" s="12"/>
    </row>
    <row r="51981" spans="32:32" x14ac:dyDescent="0.2">
      <c r="AF51981" s="12"/>
    </row>
    <row r="51982" spans="32:32" x14ac:dyDescent="0.2">
      <c r="AF51982" s="12"/>
    </row>
    <row r="51983" spans="32:32" x14ac:dyDescent="0.2">
      <c r="AF51983" s="12"/>
    </row>
    <row r="51984" spans="32:32" x14ac:dyDescent="0.2">
      <c r="AF51984" s="12"/>
    </row>
    <row r="51985" spans="32:32" x14ac:dyDescent="0.2">
      <c r="AF51985" s="12"/>
    </row>
    <row r="51986" spans="32:32" x14ac:dyDescent="0.2">
      <c r="AF51986" s="12"/>
    </row>
    <row r="51987" spans="32:32" x14ac:dyDescent="0.2">
      <c r="AF51987" s="12"/>
    </row>
    <row r="51988" spans="32:32" x14ac:dyDescent="0.2">
      <c r="AF51988" s="12"/>
    </row>
    <row r="51989" spans="32:32" x14ac:dyDescent="0.2">
      <c r="AF51989" s="12"/>
    </row>
    <row r="51990" spans="32:32" x14ac:dyDescent="0.2">
      <c r="AF51990" s="12"/>
    </row>
    <row r="51991" spans="32:32" x14ac:dyDescent="0.2">
      <c r="AF51991" s="12"/>
    </row>
    <row r="51992" spans="32:32" x14ac:dyDescent="0.2">
      <c r="AF51992" s="12"/>
    </row>
    <row r="51993" spans="32:32" x14ac:dyDescent="0.2">
      <c r="AF51993" s="12"/>
    </row>
    <row r="51994" spans="32:32" x14ac:dyDescent="0.2">
      <c r="AF51994" s="12"/>
    </row>
    <row r="51995" spans="32:32" x14ac:dyDescent="0.2">
      <c r="AF51995" s="12"/>
    </row>
    <row r="51996" spans="32:32" x14ac:dyDescent="0.2">
      <c r="AF51996" s="12"/>
    </row>
    <row r="51997" spans="32:32" x14ac:dyDescent="0.2">
      <c r="AF51997" s="12"/>
    </row>
    <row r="51998" spans="32:32" x14ac:dyDescent="0.2">
      <c r="AF51998" s="12"/>
    </row>
    <row r="51999" spans="32:32" x14ac:dyDescent="0.2">
      <c r="AF51999" s="12"/>
    </row>
    <row r="52000" spans="32:32" x14ac:dyDescent="0.2">
      <c r="AF52000" s="12"/>
    </row>
    <row r="52001" spans="32:32" x14ac:dyDescent="0.2">
      <c r="AF52001" s="12"/>
    </row>
    <row r="52002" spans="32:32" x14ac:dyDescent="0.2">
      <c r="AF52002" s="12"/>
    </row>
    <row r="52003" spans="32:32" x14ac:dyDescent="0.2">
      <c r="AF52003" s="12"/>
    </row>
    <row r="52004" spans="32:32" x14ac:dyDescent="0.2">
      <c r="AF52004" s="12"/>
    </row>
    <row r="52005" spans="32:32" x14ac:dyDescent="0.2">
      <c r="AF52005" s="12"/>
    </row>
    <row r="52006" spans="32:32" x14ac:dyDescent="0.2">
      <c r="AF52006" s="12"/>
    </row>
    <row r="52007" spans="32:32" x14ac:dyDescent="0.2">
      <c r="AF52007" s="12"/>
    </row>
    <row r="52008" spans="32:32" x14ac:dyDescent="0.2">
      <c r="AF52008" s="12"/>
    </row>
    <row r="52009" spans="32:32" x14ac:dyDescent="0.2">
      <c r="AF52009" s="12"/>
    </row>
    <row r="52010" spans="32:32" x14ac:dyDescent="0.2">
      <c r="AF52010" s="12"/>
    </row>
    <row r="52011" spans="32:32" x14ac:dyDescent="0.2">
      <c r="AF52011" s="12"/>
    </row>
    <row r="52012" spans="32:32" x14ac:dyDescent="0.2">
      <c r="AF52012" s="12"/>
    </row>
    <row r="52013" spans="32:32" x14ac:dyDescent="0.2">
      <c r="AF52013" s="12"/>
    </row>
    <row r="52014" spans="32:32" x14ac:dyDescent="0.2">
      <c r="AF52014" s="12"/>
    </row>
    <row r="52015" spans="32:32" x14ac:dyDescent="0.2">
      <c r="AF52015" s="12"/>
    </row>
    <row r="52016" spans="32:32" x14ac:dyDescent="0.2">
      <c r="AF52016" s="12"/>
    </row>
    <row r="52017" spans="32:32" x14ac:dyDescent="0.2">
      <c r="AF52017" s="12"/>
    </row>
    <row r="52018" spans="32:32" x14ac:dyDescent="0.2">
      <c r="AF52018" s="12"/>
    </row>
    <row r="52019" spans="32:32" x14ac:dyDescent="0.2">
      <c r="AF52019" s="12"/>
    </row>
    <row r="52020" spans="32:32" x14ac:dyDescent="0.2">
      <c r="AF52020" s="12"/>
    </row>
    <row r="52021" spans="32:32" x14ac:dyDescent="0.2">
      <c r="AF52021" s="12"/>
    </row>
    <row r="52022" spans="32:32" x14ac:dyDescent="0.2">
      <c r="AF52022" s="12"/>
    </row>
    <row r="52023" spans="32:32" x14ac:dyDescent="0.2">
      <c r="AF52023" s="12"/>
    </row>
    <row r="52024" spans="32:32" x14ac:dyDescent="0.2">
      <c r="AF52024" s="12"/>
    </row>
    <row r="52025" spans="32:32" x14ac:dyDescent="0.2">
      <c r="AF52025" s="12"/>
    </row>
    <row r="52026" spans="32:32" x14ac:dyDescent="0.2">
      <c r="AF52026" s="12"/>
    </row>
    <row r="52027" spans="32:32" x14ac:dyDescent="0.2">
      <c r="AF52027" s="12"/>
    </row>
    <row r="52028" spans="32:32" x14ac:dyDescent="0.2">
      <c r="AF52028" s="12"/>
    </row>
    <row r="52029" spans="32:32" x14ac:dyDescent="0.2">
      <c r="AF52029" s="12"/>
    </row>
    <row r="52030" spans="32:32" x14ac:dyDescent="0.2">
      <c r="AF52030" s="12"/>
    </row>
    <row r="52031" spans="32:32" x14ac:dyDescent="0.2">
      <c r="AF52031" s="12"/>
    </row>
    <row r="52032" spans="32:32" x14ac:dyDescent="0.2">
      <c r="AF52032" s="12"/>
    </row>
    <row r="52033" spans="32:32" x14ac:dyDescent="0.2">
      <c r="AF52033" s="12"/>
    </row>
    <row r="52034" spans="32:32" x14ac:dyDescent="0.2">
      <c r="AF52034" s="12"/>
    </row>
    <row r="52035" spans="32:32" x14ac:dyDescent="0.2">
      <c r="AF52035" s="12"/>
    </row>
    <row r="52036" spans="32:32" x14ac:dyDescent="0.2">
      <c r="AF52036" s="12"/>
    </row>
    <row r="52037" spans="32:32" x14ac:dyDescent="0.2">
      <c r="AF52037" s="12"/>
    </row>
    <row r="52038" spans="32:32" x14ac:dyDescent="0.2">
      <c r="AF52038" s="12"/>
    </row>
    <row r="52039" spans="32:32" x14ac:dyDescent="0.2">
      <c r="AF52039" s="12"/>
    </row>
    <row r="52040" spans="32:32" x14ac:dyDescent="0.2">
      <c r="AF52040" s="12"/>
    </row>
    <row r="52041" spans="32:32" x14ac:dyDescent="0.2">
      <c r="AF52041" s="12"/>
    </row>
    <row r="52042" spans="32:32" x14ac:dyDescent="0.2">
      <c r="AF52042" s="12"/>
    </row>
    <row r="52043" spans="32:32" x14ac:dyDescent="0.2">
      <c r="AF52043" s="12"/>
    </row>
    <row r="52044" spans="32:32" x14ac:dyDescent="0.2">
      <c r="AF52044" s="12"/>
    </row>
    <row r="52045" spans="32:32" x14ac:dyDescent="0.2">
      <c r="AF52045" s="12"/>
    </row>
    <row r="52046" spans="32:32" x14ac:dyDescent="0.2">
      <c r="AF52046" s="12"/>
    </row>
    <row r="52047" spans="32:32" x14ac:dyDescent="0.2">
      <c r="AF52047" s="12"/>
    </row>
    <row r="52048" spans="32:32" x14ac:dyDescent="0.2">
      <c r="AF52048" s="12"/>
    </row>
    <row r="52049" spans="32:32" x14ac:dyDescent="0.2">
      <c r="AF52049" s="12"/>
    </row>
    <row r="52050" spans="32:32" x14ac:dyDescent="0.2">
      <c r="AF52050" s="12"/>
    </row>
    <row r="52051" spans="32:32" x14ac:dyDescent="0.2">
      <c r="AF52051" s="12"/>
    </row>
    <row r="52052" spans="32:32" x14ac:dyDescent="0.2">
      <c r="AF52052" s="12"/>
    </row>
    <row r="52053" spans="32:32" x14ac:dyDescent="0.2">
      <c r="AF52053" s="12"/>
    </row>
    <row r="52054" spans="32:32" x14ac:dyDescent="0.2">
      <c r="AF52054" s="12"/>
    </row>
    <row r="52055" spans="32:32" x14ac:dyDescent="0.2">
      <c r="AF52055" s="12"/>
    </row>
    <row r="52056" spans="32:32" x14ac:dyDescent="0.2">
      <c r="AF52056" s="12"/>
    </row>
    <row r="52057" spans="32:32" x14ac:dyDescent="0.2">
      <c r="AF52057" s="12"/>
    </row>
    <row r="52058" spans="32:32" x14ac:dyDescent="0.2">
      <c r="AF52058" s="12"/>
    </row>
    <row r="52059" spans="32:32" x14ac:dyDescent="0.2">
      <c r="AF52059" s="12"/>
    </row>
    <row r="52060" spans="32:32" x14ac:dyDescent="0.2">
      <c r="AF52060" s="12"/>
    </row>
    <row r="52061" spans="32:32" x14ac:dyDescent="0.2">
      <c r="AF52061" s="12"/>
    </row>
    <row r="52062" spans="32:32" x14ac:dyDescent="0.2">
      <c r="AF52062" s="12"/>
    </row>
    <row r="52063" spans="32:32" x14ac:dyDescent="0.2">
      <c r="AF52063" s="12"/>
    </row>
    <row r="52064" spans="32:32" x14ac:dyDescent="0.2">
      <c r="AF52064" s="12"/>
    </row>
    <row r="52065" spans="32:32" x14ac:dyDescent="0.2">
      <c r="AF52065" s="12"/>
    </row>
    <row r="52066" spans="32:32" x14ac:dyDescent="0.2">
      <c r="AF52066" s="12"/>
    </row>
    <row r="52067" spans="32:32" x14ac:dyDescent="0.2">
      <c r="AF52067" s="12"/>
    </row>
    <row r="52068" spans="32:32" x14ac:dyDescent="0.2">
      <c r="AF52068" s="12"/>
    </row>
    <row r="52069" spans="32:32" x14ac:dyDescent="0.2">
      <c r="AF52069" s="12"/>
    </row>
    <row r="52070" spans="32:32" x14ac:dyDescent="0.2">
      <c r="AF52070" s="12"/>
    </row>
    <row r="52071" spans="32:32" x14ac:dyDescent="0.2">
      <c r="AF52071" s="12"/>
    </row>
    <row r="52072" spans="32:32" x14ac:dyDescent="0.2">
      <c r="AF52072" s="12"/>
    </row>
    <row r="52073" spans="32:32" x14ac:dyDescent="0.2">
      <c r="AF52073" s="12"/>
    </row>
    <row r="52074" spans="32:32" x14ac:dyDescent="0.2">
      <c r="AF52074" s="12"/>
    </row>
    <row r="52075" spans="32:32" x14ac:dyDescent="0.2">
      <c r="AF52075" s="12"/>
    </row>
    <row r="52076" spans="32:32" x14ac:dyDescent="0.2">
      <c r="AF52076" s="12"/>
    </row>
    <row r="52077" spans="32:32" x14ac:dyDescent="0.2">
      <c r="AF52077" s="12"/>
    </row>
    <row r="52078" spans="32:32" x14ac:dyDescent="0.2">
      <c r="AF52078" s="12"/>
    </row>
    <row r="52079" spans="32:32" x14ac:dyDescent="0.2">
      <c r="AF52079" s="12"/>
    </row>
    <row r="52080" spans="32:32" x14ac:dyDescent="0.2">
      <c r="AF52080" s="12"/>
    </row>
    <row r="52081" spans="32:32" x14ac:dyDescent="0.2">
      <c r="AF52081" s="12"/>
    </row>
    <row r="52082" spans="32:32" x14ac:dyDescent="0.2">
      <c r="AF52082" s="12"/>
    </row>
    <row r="52083" spans="32:32" x14ac:dyDescent="0.2">
      <c r="AF52083" s="12"/>
    </row>
    <row r="52084" spans="32:32" x14ac:dyDescent="0.2">
      <c r="AF52084" s="12"/>
    </row>
    <row r="52085" spans="32:32" x14ac:dyDescent="0.2">
      <c r="AF52085" s="12"/>
    </row>
    <row r="52086" spans="32:32" x14ac:dyDescent="0.2">
      <c r="AF52086" s="12"/>
    </row>
    <row r="52087" spans="32:32" x14ac:dyDescent="0.2">
      <c r="AF52087" s="12"/>
    </row>
    <row r="52088" spans="32:32" x14ac:dyDescent="0.2">
      <c r="AF52088" s="12"/>
    </row>
    <row r="52089" spans="32:32" x14ac:dyDescent="0.2">
      <c r="AF52089" s="12"/>
    </row>
    <row r="52090" spans="32:32" x14ac:dyDescent="0.2">
      <c r="AF52090" s="12"/>
    </row>
    <row r="52091" spans="32:32" x14ac:dyDescent="0.2">
      <c r="AF52091" s="12"/>
    </row>
    <row r="52092" spans="32:32" x14ac:dyDescent="0.2">
      <c r="AF52092" s="12"/>
    </row>
    <row r="52093" spans="32:32" x14ac:dyDescent="0.2">
      <c r="AF52093" s="12"/>
    </row>
    <row r="52094" spans="32:32" x14ac:dyDescent="0.2">
      <c r="AF52094" s="12"/>
    </row>
    <row r="52095" spans="32:32" x14ac:dyDescent="0.2">
      <c r="AF52095" s="12"/>
    </row>
    <row r="52096" spans="32:32" x14ac:dyDescent="0.2">
      <c r="AF52096" s="12"/>
    </row>
    <row r="52097" spans="32:32" x14ac:dyDescent="0.2">
      <c r="AF52097" s="12"/>
    </row>
    <row r="52098" spans="32:32" x14ac:dyDescent="0.2">
      <c r="AF52098" s="12"/>
    </row>
    <row r="52099" spans="32:32" x14ac:dyDescent="0.2">
      <c r="AF52099" s="12"/>
    </row>
    <row r="52100" spans="32:32" x14ac:dyDescent="0.2">
      <c r="AF52100" s="12"/>
    </row>
    <row r="52101" spans="32:32" x14ac:dyDescent="0.2">
      <c r="AF52101" s="12"/>
    </row>
    <row r="52102" spans="32:32" x14ac:dyDescent="0.2">
      <c r="AF52102" s="12"/>
    </row>
    <row r="52103" spans="32:32" x14ac:dyDescent="0.2">
      <c r="AF52103" s="12"/>
    </row>
    <row r="52104" spans="32:32" x14ac:dyDescent="0.2">
      <c r="AF52104" s="12"/>
    </row>
    <row r="52105" spans="32:32" x14ac:dyDescent="0.2">
      <c r="AF52105" s="12"/>
    </row>
    <row r="52106" spans="32:32" x14ac:dyDescent="0.2">
      <c r="AF52106" s="12"/>
    </row>
    <row r="52107" spans="32:32" x14ac:dyDescent="0.2">
      <c r="AF52107" s="12"/>
    </row>
    <row r="52108" spans="32:32" x14ac:dyDescent="0.2">
      <c r="AF52108" s="12"/>
    </row>
    <row r="52109" spans="32:32" x14ac:dyDescent="0.2">
      <c r="AF52109" s="12"/>
    </row>
    <row r="52110" spans="32:32" x14ac:dyDescent="0.2">
      <c r="AF52110" s="12"/>
    </row>
    <row r="52111" spans="32:32" x14ac:dyDescent="0.2">
      <c r="AF52111" s="12"/>
    </row>
    <row r="52112" spans="32:32" x14ac:dyDescent="0.2">
      <c r="AF52112" s="12"/>
    </row>
    <row r="52113" spans="32:32" x14ac:dyDescent="0.2">
      <c r="AF52113" s="12"/>
    </row>
    <row r="52114" spans="32:32" x14ac:dyDescent="0.2">
      <c r="AF52114" s="12"/>
    </row>
    <row r="52115" spans="32:32" x14ac:dyDescent="0.2">
      <c r="AF52115" s="12"/>
    </row>
    <row r="52116" spans="32:32" x14ac:dyDescent="0.2">
      <c r="AF52116" s="12"/>
    </row>
    <row r="52117" spans="32:32" x14ac:dyDescent="0.2">
      <c r="AF52117" s="12"/>
    </row>
    <row r="52118" spans="32:32" x14ac:dyDescent="0.2">
      <c r="AF52118" s="12"/>
    </row>
    <row r="52119" spans="32:32" x14ac:dyDescent="0.2">
      <c r="AF52119" s="12"/>
    </row>
    <row r="52120" spans="32:32" x14ac:dyDescent="0.2">
      <c r="AF52120" s="12"/>
    </row>
    <row r="52121" spans="32:32" x14ac:dyDescent="0.2">
      <c r="AF52121" s="12"/>
    </row>
    <row r="52122" spans="32:32" x14ac:dyDescent="0.2">
      <c r="AF52122" s="12"/>
    </row>
    <row r="52123" spans="32:32" x14ac:dyDescent="0.2">
      <c r="AF52123" s="12"/>
    </row>
    <row r="52124" spans="32:32" x14ac:dyDescent="0.2">
      <c r="AF52124" s="12"/>
    </row>
    <row r="52125" spans="32:32" x14ac:dyDescent="0.2">
      <c r="AF52125" s="12"/>
    </row>
    <row r="52126" spans="32:32" x14ac:dyDescent="0.2">
      <c r="AF52126" s="12"/>
    </row>
    <row r="52127" spans="32:32" x14ac:dyDescent="0.2">
      <c r="AF52127" s="12"/>
    </row>
    <row r="52128" spans="32:32" x14ac:dyDescent="0.2">
      <c r="AF52128" s="12"/>
    </row>
    <row r="52129" spans="32:32" x14ac:dyDescent="0.2">
      <c r="AF52129" s="12"/>
    </row>
    <row r="52130" spans="32:32" x14ac:dyDescent="0.2">
      <c r="AF52130" s="12"/>
    </row>
    <row r="52131" spans="32:32" x14ac:dyDescent="0.2">
      <c r="AF52131" s="12"/>
    </row>
    <row r="52132" spans="32:32" x14ac:dyDescent="0.2">
      <c r="AF52132" s="12"/>
    </row>
    <row r="52133" spans="32:32" x14ac:dyDescent="0.2">
      <c r="AF52133" s="12"/>
    </row>
    <row r="52134" spans="32:32" x14ac:dyDescent="0.2">
      <c r="AF52134" s="12"/>
    </row>
    <row r="52135" spans="32:32" x14ac:dyDescent="0.2">
      <c r="AF52135" s="12"/>
    </row>
    <row r="52136" spans="32:32" x14ac:dyDescent="0.2">
      <c r="AF52136" s="12"/>
    </row>
    <row r="52137" spans="32:32" x14ac:dyDescent="0.2">
      <c r="AF52137" s="12"/>
    </row>
    <row r="52138" spans="32:32" x14ac:dyDescent="0.2">
      <c r="AF52138" s="12"/>
    </row>
    <row r="52139" spans="32:32" x14ac:dyDescent="0.2">
      <c r="AF52139" s="12"/>
    </row>
    <row r="52140" spans="32:32" x14ac:dyDescent="0.2">
      <c r="AF52140" s="12"/>
    </row>
    <row r="52141" spans="32:32" x14ac:dyDescent="0.2">
      <c r="AF52141" s="12"/>
    </row>
    <row r="52142" spans="32:32" x14ac:dyDescent="0.2">
      <c r="AF52142" s="12"/>
    </row>
    <row r="52143" spans="32:32" x14ac:dyDescent="0.2">
      <c r="AF52143" s="12"/>
    </row>
    <row r="52144" spans="32:32" x14ac:dyDescent="0.2">
      <c r="AF52144" s="12"/>
    </row>
    <row r="52145" spans="32:32" x14ac:dyDescent="0.2">
      <c r="AF52145" s="12"/>
    </row>
    <row r="52146" spans="32:32" x14ac:dyDescent="0.2">
      <c r="AF52146" s="12"/>
    </row>
    <row r="52147" spans="32:32" x14ac:dyDescent="0.2">
      <c r="AF52147" s="12"/>
    </row>
    <row r="52148" spans="32:32" x14ac:dyDescent="0.2">
      <c r="AF52148" s="12"/>
    </row>
    <row r="52149" spans="32:32" x14ac:dyDescent="0.2">
      <c r="AF52149" s="12"/>
    </row>
    <row r="52150" spans="32:32" x14ac:dyDescent="0.2">
      <c r="AF52150" s="12"/>
    </row>
    <row r="52151" spans="32:32" x14ac:dyDescent="0.2">
      <c r="AF52151" s="12"/>
    </row>
    <row r="52152" spans="32:32" x14ac:dyDescent="0.2">
      <c r="AF52152" s="12"/>
    </row>
    <row r="52153" spans="32:32" x14ac:dyDescent="0.2">
      <c r="AF52153" s="12"/>
    </row>
    <row r="52154" spans="32:32" x14ac:dyDescent="0.2">
      <c r="AF52154" s="12"/>
    </row>
    <row r="52155" spans="32:32" x14ac:dyDescent="0.2">
      <c r="AF52155" s="12"/>
    </row>
    <row r="52156" spans="32:32" x14ac:dyDescent="0.2">
      <c r="AF52156" s="12"/>
    </row>
    <row r="52157" spans="32:32" x14ac:dyDescent="0.2">
      <c r="AF52157" s="12"/>
    </row>
    <row r="52158" spans="32:32" x14ac:dyDescent="0.2">
      <c r="AF52158" s="12"/>
    </row>
    <row r="52159" spans="32:32" x14ac:dyDescent="0.2">
      <c r="AF52159" s="12"/>
    </row>
    <row r="52160" spans="32:32" x14ac:dyDescent="0.2">
      <c r="AF52160" s="12"/>
    </row>
    <row r="52161" spans="32:32" x14ac:dyDescent="0.2">
      <c r="AF52161" s="12"/>
    </row>
    <row r="52162" spans="32:32" x14ac:dyDescent="0.2">
      <c r="AF52162" s="12"/>
    </row>
    <row r="52163" spans="32:32" x14ac:dyDescent="0.2">
      <c r="AF52163" s="12"/>
    </row>
    <row r="52164" spans="32:32" x14ac:dyDescent="0.2">
      <c r="AF52164" s="12"/>
    </row>
    <row r="52165" spans="32:32" x14ac:dyDescent="0.2">
      <c r="AF52165" s="12"/>
    </row>
    <row r="52166" spans="32:32" x14ac:dyDescent="0.2">
      <c r="AF52166" s="12"/>
    </row>
    <row r="52167" spans="32:32" x14ac:dyDescent="0.2">
      <c r="AF52167" s="12"/>
    </row>
    <row r="52168" spans="32:32" x14ac:dyDescent="0.2">
      <c r="AF52168" s="12"/>
    </row>
    <row r="52169" spans="32:32" x14ac:dyDescent="0.2">
      <c r="AF52169" s="12"/>
    </row>
    <row r="52170" spans="32:32" x14ac:dyDescent="0.2">
      <c r="AF52170" s="12"/>
    </row>
    <row r="52171" spans="32:32" x14ac:dyDescent="0.2">
      <c r="AF52171" s="12"/>
    </row>
    <row r="52172" spans="32:32" x14ac:dyDescent="0.2">
      <c r="AF52172" s="12"/>
    </row>
    <row r="52173" spans="32:32" x14ac:dyDescent="0.2">
      <c r="AF52173" s="12"/>
    </row>
    <row r="52174" spans="32:32" x14ac:dyDescent="0.2">
      <c r="AF52174" s="12"/>
    </row>
    <row r="52175" spans="32:32" x14ac:dyDescent="0.2">
      <c r="AF52175" s="12"/>
    </row>
    <row r="52176" spans="32:32" x14ac:dyDescent="0.2">
      <c r="AF52176" s="12"/>
    </row>
    <row r="52177" spans="32:32" x14ac:dyDescent="0.2">
      <c r="AF52177" s="12"/>
    </row>
    <row r="52178" spans="32:32" x14ac:dyDescent="0.2">
      <c r="AF52178" s="12"/>
    </row>
    <row r="52179" spans="32:32" x14ac:dyDescent="0.2">
      <c r="AF52179" s="12"/>
    </row>
    <row r="52180" spans="32:32" x14ac:dyDescent="0.2">
      <c r="AF52180" s="12"/>
    </row>
    <row r="52181" spans="32:32" x14ac:dyDescent="0.2">
      <c r="AF52181" s="12"/>
    </row>
    <row r="52182" spans="32:32" x14ac:dyDescent="0.2">
      <c r="AF52182" s="12"/>
    </row>
    <row r="52183" spans="32:32" x14ac:dyDescent="0.2">
      <c r="AF52183" s="12"/>
    </row>
    <row r="52184" spans="32:32" x14ac:dyDescent="0.2">
      <c r="AF52184" s="12"/>
    </row>
    <row r="52185" spans="32:32" x14ac:dyDescent="0.2">
      <c r="AF52185" s="12"/>
    </row>
    <row r="52186" spans="32:32" x14ac:dyDescent="0.2">
      <c r="AF52186" s="12"/>
    </row>
    <row r="52187" spans="32:32" x14ac:dyDescent="0.2">
      <c r="AF52187" s="12"/>
    </row>
    <row r="52188" spans="32:32" x14ac:dyDescent="0.2">
      <c r="AF52188" s="12"/>
    </row>
    <row r="52189" spans="32:32" x14ac:dyDescent="0.2">
      <c r="AF52189" s="12"/>
    </row>
    <row r="52190" spans="32:32" x14ac:dyDescent="0.2">
      <c r="AF52190" s="12"/>
    </row>
    <row r="52191" spans="32:32" x14ac:dyDescent="0.2">
      <c r="AF52191" s="12"/>
    </row>
    <row r="52192" spans="32:32" x14ac:dyDescent="0.2">
      <c r="AF52192" s="12"/>
    </row>
    <row r="52193" spans="32:32" x14ac:dyDescent="0.2">
      <c r="AF52193" s="12"/>
    </row>
    <row r="52194" spans="32:32" x14ac:dyDescent="0.2">
      <c r="AF52194" s="12"/>
    </row>
    <row r="52195" spans="32:32" x14ac:dyDescent="0.2">
      <c r="AF52195" s="12"/>
    </row>
    <row r="52196" spans="32:32" x14ac:dyDescent="0.2">
      <c r="AF52196" s="12"/>
    </row>
    <row r="52197" spans="32:32" x14ac:dyDescent="0.2">
      <c r="AF52197" s="12"/>
    </row>
    <row r="52198" spans="32:32" x14ac:dyDescent="0.2">
      <c r="AF52198" s="12"/>
    </row>
    <row r="52199" spans="32:32" x14ac:dyDescent="0.2">
      <c r="AF52199" s="12"/>
    </row>
    <row r="52200" spans="32:32" x14ac:dyDescent="0.2">
      <c r="AF52200" s="12"/>
    </row>
    <row r="52201" spans="32:32" x14ac:dyDescent="0.2">
      <c r="AF52201" s="12"/>
    </row>
    <row r="52202" spans="32:32" x14ac:dyDescent="0.2">
      <c r="AF52202" s="12"/>
    </row>
    <row r="52203" spans="32:32" x14ac:dyDescent="0.2">
      <c r="AF52203" s="12"/>
    </row>
    <row r="52204" spans="32:32" x14ac:dyDescent="0.2">
      <c r="AF52204" s="12"/>
    </row>
    <row r="52205" spans="32:32" x14ac:dyDescent="0.2">
      <c r="AF52205" s="12"/>
    </row>
    <row r="52206" spans="32:32" x14ac:dyDescent="0.2">
      <c r="AF52206" s="12"/>
    </row>
    <row r="52207" spans="32:32" x14ac:dyDescent="0.2">
      <c r="AF52207" s="12"/>
    </row>
    <row r="52208" spans="32:32" x14ac:dyDescent="0.2">
      <c r="AF52208" s="12"/>
    </row>
    <row r="52209" spans="32:32" x14ac:dyDescent="0.2">
      <c r="AF52209" s="12"/>
    </row>
    <row r="52210" spans="32:32" x14ac:dyDescent="0.2">
      <c r="AF52210" s="12"/>
    </row>
    <row r="52211" spans="32:32" x14ac:dyDescent="0.2">
      <c r="AF52211" s="12"/>
    </row>
    <row r="52212" spans="32:32" x14ac:dyDescent="0.2">
      <c r="AF52212" s="12"/>
    </row>
    <row r="52213" spans="32:32" x14ac:dyDescent="0.2">
      <c r="AF52213" s="12"/>
    </row>
    <row r="52214" spans="32:32" x14ac:dyDescent="0.2">
      <c r="AF52214" s="12"/>
    </row>
    <row r="52215" spans="32:32" x14ac:dyDescent="0.2">
      <c r="AF52215" s="12"/>
    </row>
    <row r="52216" spans="32:32" x14ac:dyDescent="0.2">
      <c r="AF52216" s="12"/>
    </row>
    <row r="52217" spans="32:32" x14ac:dyDescent="0.2">
      <c r="AF52217" s="12"/>
    </row>
    <row r="52218" spans="32:32" x14ac:dyDescent="0.2">
      <c r="AF52218" s="12"/>
    </row>
    <row r="52219" spans="32:32" x14ac:dyDescent="0.2">
      <c r="AF52219" s="12"/>
    </row>
    <row r="52220" spans="32:32" x14ac:dyDescent="0.2">
      <c r="AF52220" s="12"/>
    </row>
    <row r="52221" spans="32:32" x14ac:dyDescent="0.2">
      <c r="AF52221" s="12"/>
    </row>
    <row r="52222" spans="32:32" x14ac:dyDescent="0.2">
      <c r="AF52222" s="12"/>
    </row>
    <row r="52223" spans="32:32" x14ac:dyDescent="0.2">
      <c r="AF52223" s="12"/>
    </row>
    <row r="52224" spans="32:32" x14ac:dyDescent="0.2">
      <c r="AF52224" s="12"/>
    </row>
    <row r="52225" spans="32:32" x14ac:dyDescent="0.2">
      <c r="AF52225" s="12"/>
    </row>
    <row r="52226" spans="32:32" x14ac:dyDescent="0.2">
      <c r="AF52226" s="12"/>
    </row>
    <row r="52227" spans="32:32" x14ac:dyDescent="0.2">
      <c r="AF52227" s="12"/>
    </row>
    <row r="52228" spans="32:32" x14ac:dyDescent="0.2">
      <c r="AF52228" s="12"/>
    </row>
    <row r="52229" spans="32:32" x14ac:dyDescent="0.2">
      <c r="AF52229" s="12"/>
    </row>
    <row r="52230" spans="32:32" x14ac:dyDescent="0.2">
      <c r="AF52230" s="12"/>
    </row>
    <row r="52231" spans="32:32" x14ac:dyDescent="0.2">
      <c r="AF52231" s="12"/>
    </row>
    <row r="52232" spans="32:32" x14ac:dyDescent="0.2">
      <c r="AF52232" s="12"/>
    </row>
    <row r="52233" spans="32:32" x14ac:dyDescent="0.2">
      <c r="AF52233" s="12"/>
    </row>
    <row r="52234" spans="32:32" x14ac:dyDescent="0.2">
      <c r="AF52234" s="12"/>
    </row>
    <row r="52235" spans="32:32" x14ac:dyDescent="0.2">
      <c r="AF52235" s="12"/>
    </row>
    <row r="52236" spans="32:32" x14ac:dyDescent="0.2">
      <c r="AF52236" s="12"/>
    </row>
    <row r="52237" spans="32:32" x14ac:dyDescent="0.2">
      <c r="AF52237" s="12"/>
    </row>
    <row r="52238" spans="32:32" x14ac:dyDescent="0.2">
      <c r="AF52238" s="12"/>
    </row>
    <row r="52239" spans="32:32" x14ac:dyDescent="0.2">
      <c r="AF52239" s="12"/>
    </row>
    <row r="52240" spans="32:32" x14ac:dyDescent="0.2">
      <c r="AF52240" s="12"/>
    </row>
    <row r="52241" spans="32:32" x14ac:dyDescent="0.2">
      <c r="AF52241" s="12"/>
    </row>
    <row r="52242" spans="32:32" x14ac:dyDescent="0.2">
      <c r="AF52242" s="12"/>
    </row>
    <row r="52243" spans="32:32" x14ac:dyDescent="0.2">
      <c r="AF52243" s="12"/>
    </row>
    <row r="52244" spans="32:32" x14ac:dyDescent="0.2">
      <c r="AF52244" s="12"/>
    </row>
    <row r="52245" spans="32:32" x14ac:dyDescent="0.2">
      <c r="AF52245" s="12"/>
    </row>
    <row r="52246" spans="32:32" x14ac:dyDescent="0.2">
      <c r="AF52246" s="12"/>
    </row>
    <row r="52247" spans="32:32" x14ac:dyDescent="0.2">
      <c r="AF52247" s="12"/>
    </row>
    <row r="52248" spans="32:32" x14ac:dyDescent="0.2">
      <c r="AF52248" s="12"/>
    </row>
    <row r="52249" spans="32:32" x14ac:dyDescent="0.2">
      <c r="AF52249" s="12"/>
    </row>
    <row r="52250" spans="32:32" x14ac:dyDescent="0.2">
      <c r="AF52250" s="12"/>
    </row>
    <row r="52251" spans="32:32" x14ac:dyDescent="0.2">
      <c r="AF52251" s="12"/>
    </row>
    <row r="52252" spans="32:32" x14ac:dyDescent="0.2">
      <c r="AF52252" s="12"/>
    </row>
    <row r="52253" spans="32:32" x14ac:dyDescent="0.2">
      <c r="AF52253" s="12"/>
    </row>
    <row r="52254" spans="32:32" x14ac:dyDescent="0.2">
      <c r="AF52254" s="12"/>
    </row>
    <row r="52255" spans="32:32" x14ac:dyDescent="0.2">
      <c r="AF52255" s="12"/>
    </row>
    <row r="52256" spans="32:32" x14ac:dyDescent="0.2">
      <c r="AF52256" s="12"/>
    </row>
    <row r="52257" spans="32:32" x14ac:dyDescent="0.2">
      <c r="AF52257" s="12"/>
    </row>
    <row r="52258" spans="32:32" x14ac:dyDescent="0.2">
      <c r="AF52258" s="12"/>
    </row>
    <row r="52259" spans="32:32" x14ac:dyDescent="0.2">
      <c r="AF52259" s="12"/>
    </row>
    <row r="52260" spans="32:32" x14ac:dyDescent="0.2">
      <c r="AF52260" s="12"/>
    </row>
    <row r="52261" spans="32:32" x14ac:dyDescent="0.2">
      <c r="AF52261" s="12"/>
    </row>
    <row r="52262" spans="32:32" x14ac:dyDescent="0.2">
      <c r="AF52262" s="12"/>
    </row>
    <row r="52263" spans="32:32" x14ac:dyDescent="0.2">
      <c r="AF52263" s="12"/>
    </row>
    <row r="52264" spans="32:32" x14ac:dyDescent="0.2">
      <c r="AF52264" s="12"/>
    </row>
    <row r="52265" spans="32:32" x14ac:dyDescent="0.2">
      <c r="AF52265" s="12"/>
    </row>
    <row r="52266" spans="32:32" x14ac:dyDescent="0.2">
      <c r="AF52266" s="12"/>
    </row>
    <row r="52267" spans="32:32" x14ac:dyDescent="0.2">
      <c r="AF52267" s="12"/>
    </row>
    <row r="52268" spans="32:32" x14ac:dyDescent="0.2">
      <c r="AF52268" s="12"/>
    </row>
    <row r="52269" spans="32:32" x14ac:dyDescent="0.2">
      <c r="AF52269" s="12"/>
    </row>
    <row r="52270" spans="32:32" x14ac:dyDescent="0.2">
      <c r="AF52270" s="12"/>
    </row>
    <row r="52271" spans="32:32" x14ac:dyDescent="0.2">
      <c r="AF52271" s="12"/>
    </row>
    <row r="52272" spans="32:32" x14ac:dyDescent="0.2">
      <c r="AF52272" s="12"/>
    </row>
    <row r="52273" spans="32:32" x14ac:dyDescent="0.2">
      <c r="AF52273" s="12"/>
    </row>
    <row r="52274" spans="32:32" x14ac:dyDescent="0.2">
      <c r="AF52274" s="12"/>
    </row>
    <row r="52275" spans="32:32" x14ac:dyDescent="0.2">
      <c r="AF52275" s="12"/>
    </row>
    <row r="52276" spans="32:32" x14ac:dyDescent="0.2">
      <c r="AF52276" s="12"/>
    </row>
    <row r="52277" spans="32:32" x14ac:dyDescent="0.2">
      <c r="AF52277" s="12"/>
    </row>
    <row r="52278" spans="32:32" x14ac:dyDescent="0.2">
      <c r="AF52278" s="12"/>
    </row>
    <row r="52279" spans="32:32" x14ac:dyDescent="0.2">
      <c r="AF52279" s="12"/>
    </row>
    <row r="52280" spans="32:32" x14ac:dyDescent="0.2">
      <c r="AF52280" s="12"/>
    </row>
    <row r="52281" spans="32:32" x14ac:dyDescent="0.2">
      <c r="AF52281" s="12"/>
    </row>
    <row r="52282" spans="32:32" x14ac:dyDescent="0.2">
      <c r="AF52282" s="12"/>
    </row>
    <row r="52283" spans="32:32" x14ac:dyDescent="0.2">
      <c r="AF52283" s="12"/>
    </row>
    <row r="52284" spans="32:32" x14ac:dyDescent="0.2">
      <c r="AF52284" s="12"/>
    </row>
    <row r="52285" spans="32:32" x14ac:dyDescent="0.2">
      <c r="AF52285" s="12"/>
    </row>
    <row r="52286" spans="32:32" x14ac:dyDescent="0.2">
      <c r="AF52286" s="12"/>
    </row>
    <row r="52287" spans="32:32" x14ac:dyDescent="0.2">
      <c r="AF52287" s="12"/>
    </row>
    <row r="52288" spans="32:32" x14ac:dyDescent="0.2">
      <c r="AF52288" s="12"/>
    </row>
    <row r="52289" spans="32:32" x14ac:dyDescent="0.2">
      <c r="AF52289" s="12"/>
    </row>
    <row r="52290" spans="32:32" x14ac:dyDescent="0.2">
      <c r="AF52290" s="12"/>
    </row>
    <row r="52291" spans="32:32" x14ac:dyDescent="0.2">
      <c r="AF52291" s="12"/>
    </row>
    <row r="52292" spans="32:32" x14ac:dyDescent="0.2">
      <c r="AF52292" s="12"/>
    </row>
    <row r="52293" spans="32:32" x14ac:dyDescent="0.2">
      <c r="AF52293" s="12"/>
    </row>
    <row r="52294" spans="32:32" x14ac:dyDescent="0.2">
      <c r="AF52294" s="12"/>
    </row>
    <row r="52295" spans="32:32" x14ac:dyDescent="0.2">
      <c r="AF52295" s="12"/>
    </row>
    <row r="52296" spans="32:32" x14ac:dyDescent="0.2">
      <c r="AF52296" s="12"/>
    </row>
    <row r="52297" spans="32:32" x14ac:dyDescent="0.2">
      <c r="AF52297" s="12"/>
    </row>
    <row r="52298" spans="32:32" x14ac:dyDescent="0.2">
      <c r="AF52298" s="12"/>
    </row>
    <row r="52299" spans="32:32" x14ac:dyDescent="0.2">
      <c r="AF52299" s="12"/>
    </row>
    <row r="52300" spans="32:32" x14ac:dyDescent="0.2">
      <c r="AF52300" s="12"/>
    </row>
    <row r="52301" spans="32:32" x14ac:dyDescent="0.2">
      <c r="AF52301" s="12"/>
    </row>
    <row r="52302" spans="32:32" x14ac:dyDescent="0.2">
      <c r="AF52302" s="12"/>
    </row>
    <row r="52303" spans="32:32" x14ac:dyDescent="0.2">
      <c r="AF52303" s="12"/>
    </row>
    <row r="52304" spans="32:32" x14ac:dyDescent="0.2">
      <c r="AF52304" s="12"/>
    </row>
    <row r="52305" spans="32:32" x14ac:dyDescent="0.2">
      <c r="AF52305" s="12"/>
    </row>
    <row r="52306" spans="32:32" x14ac:dyDescent="0.2">
      <c r="AF52306" s="12"/>
    </row>
    <row r="52307" spans="32:32" x14ac:dyDescent="0.2">
      <c r="AF52307" s="12"/>
    </row>
    <row r="52308" spans="32:32" x14ac:dyDescent="0.2">
      <c r="AF52308" s="12"/>
    </row>
    <row r="52309" spans="32:32" x14ac:dyDescent="0.2">
      <c r="AF52309" s="12"/>
    </row>
    <row r="52310" spans="32:32" x14ac:dyDescent="0.2">
      <c r="AF52310" s="12"/>
    </row>
    <row r="52311" spans="32:32" x14ac:dyDescent="0.2">
      <c r="AF52311" s="12"/>
    </row>
    <row r="52312" spans="32:32" x14ac:dyDescent="0.2">
      <c r="AF52312" s="12"/>
    </row>
    <row r="52313" spans="32:32" x14ac:dyDescent="0.2">
      <c r="AF52313" s="12"/>
    </row>
    <row r="52314" spans="32:32" x14ac:dyDescent="0.2">
      <c r="AF52314" s="12"/>
    </row>
    <row r="52315" spans="32:32" x14ac:dyDescent="0.2">
      <c r="AF52315" s="12"/>
    </row>
    <row r="52316" spans="32:32" x14ac:dyDescent="0.2">
      <c r="AF52316" s="12"/>
    </row>
    <row r="52317" spans="32:32" x14ac:dyDescent="0.2">
      <c r="AF52317" s="12"/>
    </row>
    <row r="52318" spans="32:32" x14ac:dyDescent="0.2">
      <c r="AF52318" s="12"/>
    </row>
    <row r="52319" spans="32:32" x14ac:dyDescent="0.2">
      <c r="AF52319" s="12"/>
    </row>
    <row r="52320" spans="32:32" x14ac:dyDescent="0.2">
      <c r="AF52320" s="12"/>
    </row>
    <row r="52321" spans="32:32" x14ac:dyDescent="0.2">
      <c r="AF52321" s="12"/>
    </row>
    <row r="52322" spans="32:32" x14ac:dyDescent="0.2">
      <c r="AF52322" s="12"/>
    </row>
    <row r="52323" spans="32:32" x14ac:dyDescent="0.2">
      <c r="AF52323" s="12"/>
    </row>
    <row r="52324" spans="32:32" x14ac:dyDescent="0.2">
      <c r="AF52324" s="12"/>
    </row>
    <row r="52325" spans="32:32" x14ac:dyDescent="0.2">
      <c r="AF52325" s="12"/>
    </row>
    <row r="52326" spans="32:32" x14ac:dyDescent="0.2">
      <c r="AF52326" s="12"/>
    </row>
    <row r="52327" spans="32:32" x14ac:dyDescent="0.2">
      <c r="AF52327" s="12"/>
    </row>
    <row r="52328" spans="32:32" x14ac:dyDescent="0.2">
      <c r="AF52328" s="12"/>
    </row>
    <row r="52329" spans="32:32" x14ac:dyDescent="0.2">
      <c r="AF52329" s="12"/>
    </row>
    <row r="52330" spans="32:32" x14ac:dyDescent="0.2">
      <c r="AF52330" s="12"/>
    </row>
    <row r="52331" spans="32:32" x14ac:dyDescent="0.2">
      <c r="AF52331" s="12"/>
    </row>
    <row r="52332" spans="32:32" x14ac:dyDescent="0.2">
      <c r="AF52332" s="12"/>
    </row>
    <row r="52333" spans="32:32" x14ac:dyDescent="0.2">
      <c r="AF52333" s="12"/>
    </row>
    <row r="52334" spans="32:32" x14ac:dyDescent="0.2">
      <c r="AF52334" s="12"/>
    </row>
    <row r="52335" spans="32:32" x14ac:dyDescent="0.2">
      <c r="AF52335" s="12"/>
    </row>
    <row r="52336" spans="32:32" x14ac:dyDescent="0.2">
      <c r="AF52336" s="12"/>
    </row>
    <row r="52337" spans="32:32" x14ac:dyDescent="0.2">
      <c r="AF52337" s="12"/>
    </row>
    <row r="52338" spans="32:32" x14ac:dyDescent="0.2">
      <c r="AF52338" s="12"/>
    </row>
    <row r="52339" spans="32:32" x14ac:dyDescent="0.2">
      <c r="AF52339" s="12"/>
    </row>
    <row r="52340" spans="32:32" x14ac:dyDescent="0.2">
      <c r="AF52340" s="12"/>
    </row>
    <row r="52341" spans="32:32" x14ac:dyDescent="0.2">
      <c r="AF52341" s="12"/>
    </row>
    <row r="52342" spans="32:32" x14ac:dyDescent="0.2">
      <c r="AF52342" s="12"/>
    </row>
    <row r="52343" spans="32:32" x14ac:dyDescent="0.2">
      <c r="AF52343" s="12"/>
    </row>
    <row r="52344" spans="32:32" x14ac:dyDescent="0.2">
      <c r="AF52344" s="12"/>
    </row>
    <row r="52345" spans="32:32" x14ac:dyDescent="0.2">
      <c r="AF52345" s="12"/>
    </row>
    <row r="52346" spans="32:32" x14ac:dyDescent="0.2">
      <c r="AF52346" s="12"/>
    </row>
    <row r="52347" spans="32:32" x14ac:dyDescent="0.2">
      <c r="AF52347" s="12"/>
    </row>
    <row r="52348" spans="32:32" x14ac:dyDescent="0.2">
      <c r="AF52348" s="12"/>
    </row>
    <row r="52349" spans="32:32" x14ac:dyDescent="0.2">
      <c r="AF52349" s="12"/>
    </row>
    <row r="52350" spans="32:32" x14ac:dyDescent="0.2">
      <c r="AF52350" s="12"/>
    </row>
    <row r="52351" spans="32:32" x14ac:dyDescent="0.2">
      <c r="AF52351" s="12"/>
    </row>
    <row r="52352" spans="32:32" x14ac:dyDescent="0.2">
      <c r="AF52352" s="12"/>
    </row>
    <row r="52353" spans="32:32" x14ac:dyDescent="0.2">
      <c r="AF52353" s="12"/>
    </row>
    <row r="52354" spans="32:32" x14ac:dyDescent="0.2">
      <c r="AF52354" s="12"/>
    </row>
    <row r="52355" spans="32:32" x14ac:dyDescent="0.2">
      <c r="AF52355" s="12"/>
    </row>
    <row r="52356" spans="32:32" x14ac:dyDescent="0.2">
      <c r="AF52356" s="12"/>
    </row>
    <row r="52357" spans="32:32" x14ac:dyDescent="0.2">
      <c r="AF52357" s="12"/>
    </row>
    <row r="52358" spans="32:32" x14ac:dyDescent="0.2">
      <c r="AF52358" s="12"/>
    </row>
    <row r="52359" spans="32:32" x14ac:dyDescent="0.2">
      <c r="AF52359" s="12"/>
    </row>
    <row r="52360" spans="32:32" x14ac:dyDescent="0.2">
      <c r="AF52360" s="12"/>
    </row>
    <row r="52361" spans="32:32" x14ac:dyDescent="0.2">
      <c r="AF52361" s="12"/>
    </row>
    <row r="52362" spans="32:32" x14ac:dyDescent="0.2">
      <c r="AF52362" s="12"/>
    </row>
    <row r="52363" spans="32:32" x14ac:dyDescent="0.2">
      <c r="AF52363" s="12"/>
    </row>
    <row r="52364" spans="32:32" x14ac:dyDescent="0.2">
      <c r="AF52364" s="12"/>
    </row>
    <row r="52365" spans="32:32" x14ac:dyDescent="0.2">
      <c r="AF52365" s="12"/>
    </row>
    <row r="52366" spans="32:32" x14ac:dyDescent="0.2">
      <c r="AF52366" s="12"/>
    </row>
    <row r="52367" spans="32:32" x14ac:dyDescent="0.2">
      <c r="AF52367" s="12"/>
    </row>
    <row r="52368" spans="32:32" x14ac:dyDescent="0.2">
      <c r="AF52368" s="12"/>
    </row>
    <row r="52369" spans="32:32" x14ac:dyDescent="0.2">
      <c r="AF52369" s="12"/>
    </row>
    <row r="52370" spans="32:32" x14ac:dyDescent="0.2">
      <c r="AF52370" s="12"/>
    </row>
    <row r="52371" spans="32:32" x14ac:dyDescent="0.2">
      <c r="AF52371" s="12"/>
    </row>
    <row r="52372" spans="32:32" x14ac:dyDescent="0.2">
      <c r="AF52372" s="12"/>
    </row>
    <row r="52373" spans="32:32" x14ac:dyDescent="0.2">
      <c r="AF52373" s="12"/>
    </row>
    <row r="52374" spans="32:32" x14ac:dyDescent="0.2">
      <c r="AF52374" s="12"/>
    </row>
    <row r="52375" spans="32:32" x14ac:dyDescent="0.2">
      <c r="AF52375" s="12"/>
    </row>
    <row r="52376" spans="32:32" x14ac:dyDescent="0.2">
      <c r="AF52376" s="12"/>
    </row>
    <row r="52377" spans="32:32" x14ac:dyDescent="0.2">
      <c r="AF52377" s="12"/>
    </row>
    <row r="52378" spans="32:32" x14ac:dyDescent="0.2">
      <c r="AF52378" s="12"/>
    </row>
    <row r="52379" spans="32:32" x14ac:dyDescent="0.2">
      <c r="AF52379" s="12"/>
    </row>
    <row r="52380" spans="32:32" x14ac:dyDescent="0.2">
      <c r="AF52380" s="12"/>
    </row>
    <row r="52381" spans="32:32" x14ac:dyDescent="0.2">
      <c r="AF52381" s="12"/>
    </row>
    <row r="52382" spans="32:32" x14ac:dyDescent="0.2">
      <c r="AF52382" s="12"/>
    </row>
    <row r="52383" spans="32:32" x14ac:dyDescent="0.2">
      <c r="AF52383" s="12"/>
    </row>
    <row r="52384" spans="32:32" x14ac:dyDescent="0.2">
      <c r="AF52384" s="12"/>
    </row>
    <row r="52385" spans="32:32" x14ac:dyDescent="0.2">
      <c r="AF52385" s="12"/>
    </row>
    <row r="52386" spans="32:32" x14ac:dyDescent="0.2">
      <c r="AF52386" s="12"/>
    </row>
    <row r="52387" spans="32:32" x14ac:dyDescent="0.2">
      <c r="AF52387" s="12"/>
    </row>
    <row r="52388" spans="32:32" x14ac:dyDescent="0.2">
      <c r="AF52388" s="12"/>
    </row>
    <row r="52389" spans="32:32" x14ac:dyDescent="0.2">
      <c r="AF52389" s="12"/>
    </row>
    <row r="52390" spans="32:32" x14ac:dyDescent="0.2">
      <c r="AF52390" s="12"/>
    </row>
    <row r="52391" spans="32:32" x14ac:dyDescent="0.2">
      <c r="AF52391" s="12"/>
    </row>
    <row r="52392" spans="32:32" x14ac:dyDescent="0.2">
      <c r="AF52392" s="12"/>
    </row>
    <row r="52393" spans="32:32" x14ac:dyDescent="0.2">
      <c r="AF52393" s="12"/>
    </row>
    <row r="52394" spans="32:32" x14ac:dyDescent="0.2">
      <c r="AF52394" s="12"/>
    </row>
    <row r="52395" spans="32:32" x14ac:dyDescent="0.2">
      <c r="AF52395" s="12"/>
    </row>
    <row r="52396" spans="32:32" x14ac:dyDescent="0.2">
      <c r="AF52396" s="12"/>
    </row>
    <row r="52397" spans="32:32" x14ac:dyDescent="0.2">
      <c r="AF52397" s="12"/>
    </row>
    <row r="52398" spans="32:32" x14ac:dyDescent="0.2">
      <c r="AF52398" s="12"/>
    </row>
    <row r="52399" spans="32:32" x14ac:dyDescent="0.2">
      <c r="AF52399" s="12"/>
    </row>
    <row r="52400" spans="32:32" x14ac:dyDescent="0.2">
      <c r="AF52400" s="12"/>
    </row>
    <row r="52401" spans="32:32" x14ac:dyDescent="0.2">
      <c r="AF52401" s="12"/>
    </row>
    <row r="52402" spans="32:32" x14ac:dyDescent="0.2">
      <c r="AF52402" s="12"/>
    </row>
    <row r="52403" spans="32:32" x14ac:dyDescent="0.2">
      <c r="AF52403" s="12"/>
    </row>
    <row r="52404" spans="32:32" x14ac:dyDescent="0.2">
      <c r="AF52404" s="12"/>
    </row>
    <row r="52405" spans="32:32" x14ac:dyDescent="0.2">
      <c r="AF52405" s="12"/>
    </row>
    <row r="52406" spans="32:32" x14ac:dyDescent="0.2">
      <c r="AF52406" s="12"/>
    </row>
    <row r="52407" spans="32:32" x14ac:dyDescent="0.2">
      <c r="AF52407" s="12"/>
    </row>
    <row r="52408" spans="32:32" x14ac:dyDescent="0.2">
      <c r="AF52408" s="12"/>
    </row>
    <row r="52409" spans="32:32" x14ac:dyDescent="0.2">
      <c r="AF52409" s="12"/>
    </row>
    <row r="52410" spans="32:32" x14ac:dyDescent="0.2">
      <c r="AF52410" s="12"/>
    </row>
    <row r="52411" spans="32:32" x14ac:dyDescent="0.2">
      <c r="AF52411" s="12"/>
    </row>
    <row r="52412" spans="32:32" x14ac:dyDescent="0.2">
      <c r="AF52412" s="12"/>
    </row>
    <row r="52413" spans="32:32" x14ac:dyDescent="0.2">
      <c r="AF52413" s="12"/>
    </row>
    <row r="52414" spans="32:32" x14ac:dyDescent="0.2">
      <c r="AF52414" s="12"/>
    </row>
    <row r="52415" spans="32:32" x14ac:dyDescent="0.2">
      <c r="AF52415" s="12"/>
    </row>
    <row r="52416" spans="32:32" x14ac:dyDescent="0.2">
      <c r="AF52416" s="12"/>
    </row>
    <row r="52417" spans="32:32" x14ac:dyDescent="0.2">
      <c r="AF52417" s="12"/>
    </row>
    <row r="52418" spans="32:32" x14ac:dyDescent="0.2">
      <c r="AF52418" s="12"/>
    </row>
    <row r="52419" spans="32:32" x14ac:dyDescent="0.2">
      <c r="AF52419" s="12"/>
    </row>
    <row r="52420" spans="32:32" x14ac:dyDescent="0.2">
      <c r="AF52420" s="12"/>
    </row>
    <row r="52421" spans="32:32" x14ac:dyDescent="0.2">
      <c r="AF52421" s="12"/>
    </row>
    <row r="52422" spans="32:32" x14ac:dyDescent="0.2">
      <c r="AF52422" s="12"/>
    </row>
    <row r="52423" spans="32:32" x14ac:dyDescent="0.2">
      <c r="AF52423" s="12"/>
    </row>
    <row r="52424" spans="32:32" x14ac:dyDescent="0.2">
      <c r="AF52424" s="12"/>
    </row>
    <row r="52425" spans="32:32" x14ac:dyDescent="0.2">
      <c r="AF52425" s="12"/>
    </row>
    <row r="52426" spans="32:32" x14ac:dyDescent="0.2">
      <c r="AF52426" s="12"/>
    </row>
    <row r="52427" spans="32:32" x14ac:dyDescent="0.2">
      <c r="AF52427" s="12"/>
    </row>
    <row r="52428" spans="32:32" x14ac:dyDescent="0.2">
      <c r="AF52428" s="12"/>
    </row>
    <row r="52429" spans="32:32" x14ac:dyDescent="0.2">
      <c r="AF52429" s="12"/>
    </row>
    <row r="52430" spans="32:32" x14ac:dyDescent="0.2">
      <c r="AF52430" s="12"/>
    </row>
    <row r="52431" spans="32:32" x14ac:dyDescent="0.2">
      <c r="AF52431" s="12"/>
    </row>
    <row r="52432" spans="32:32" x14ac:dyDescent="0.2">
      <c r="AF52432" s="12"/>
    </row>
    <row r="52433" spans="32:32" x14ac:dyDescent="0.2">
      <c r="AF52433" s="12"/>
    </row>
    <row r="52434" spans="32:32" x14ac:dyDescent="0.2">
      <c r="AF52434" s="12"/>
    </row>
    <row r="52435" spans="32:32" x14ac:dyDescent="0.2">
      <c r="AF52435" s="12"/>
    </row>
    <row r="52436" spans="32:32" x14ac:dyDescent="0.2">
      <c r="AF52436" s="12"/>
    </row>
    <row r="52437" spans="32:32" x14ac:dyDescent="0.2">
      <c r="AF52437" s="12"/>
    </row>
    <row r="52438" spans="32:32" x14ac:dyDescent="0.2">
      <c r="AF52438" s="12"/>
    </row>
    <row r="52439" spans="32:32" x14ac:dyDescent="0.2">
      <c r="AF52439" s="12"/>
    </row>
    <row r="52440" spans="32:32" x14ac:dyDescent="0.2">
      <c r="AF52440" s="12"/>
    </row>
    <row r="52441" spans="32:32" x14ac:dyDescent="0.2">
      <c r="AF52441" s="12"/>
    </row>
    <row r="52442" spans="32:32" x14ac:dyDescent="0.2">
      <c r="AF52442" s="12"/>
    </row>
    <row r="52443" spans="32:32" x14ac:dyDescent="0.2">
      <c r="AF52443" s="12"/>
    </row>
    <row r="52444" spans="32:32" x14ac:dyDescent="0.2">
      <c r="AF52444" s="12"/>
    </row>
    <row r="52445" spans="32:32" x14ac:dyDescent="0.2">
      <c r="AF52445" s="12"/>
    </row>
    <row r="52446" spans="32:32" x14ac:dyDescent="0.2">
      <c r="AF52446" s="12"/>
    </row>
    <row r="52447" spans="32:32" x14ac:dyDescent="0.2">
      <c r="AF52447" s="12"/>
    </row>
    <row r="52448" spans="32:32" x14ac:dyDescent="0.2">
      <c r="AF52448" s="12"/>
    </row>
    <row r="52449" spans="32:32" x14ac:dyDescent="0.2">
      <c r="AF52449" s="12"/>
    </row>
    <row r="52450" spans="32:32" x14ac:dyDescent="0.2">
      <c r="AF52450" s="12"/>
    </row>
    <row r="52451" spans="32:32" x14ac:dyDescent="0.2">
      <c r="AF52451" s="12"/>
    </row>
    <row r="52452" spans="32:32" x14ac:dyDescent="0.2">
      <c r="AF52452" s="12"/>
    </row>
    <row r="52453" spans="32:32" x14ac:dyDescent="0.2">
      <c r="AF52453" s="12"/>
    </row>
    <row r="52454" spans="32:32" x14ac:dyDescent="0.2">
      <c r="AF52454" s="12"/>
    </row>
    <row r="52455" spans="32:32" x14ac:dyDescent="0.2">
      <c r="AF52455" s="12"/>
    </row>
    <row r="52456" spans="32:32" x14ac:dyDescent="0.2">
      <c r="AF52456" s="12"/>
    </row>
    <row r="52457" spans="32:32" x14ac:dyDescent="0.2">
      <c r="AF52457" s="12"/>
    </row>
    <row r="52458" spans="32:32" x14ac:dyDescent="0.2">
      <c r="AF52458" s="12"/>
    </row>
    <row r="52459" spans="32:32" x14ac:dyDescent="0.2">
      <c r="AF52459" s="12"/>
    </row>
    <row r="52460" spans="32:32" x14ac:dyDescent="0.2">
      <c r="AF52460" s="12"/>
    </row>
    <row r="52461" spans="32:32" x14ac:dyDescent="0.2">
      <c r="AF52461" s="12"/>
    </row>
    <row r="52462" spans="32:32" x14ac:dyDescent="0.2">
      <c r="AF52462" s="12"/>
    </row>
    <row r="52463" spans="32:32" x14ac:dyDescent="0.2">
      <c r="AF52463" s="12"/>
    </row>
    <row r="52464" spans="32:32" x14ac:dyDescent="0.2">
      <c r="AF52464" s="12"/>
    </row>
    <row r="52465" spans="32:32" x14ac:dyDescent="0.2">
      <c r="AF52465" s="12"/>
    </row>
    <row r="52466" spans="32:32" x14ac:dyDescent="0.2">
      <c r="AF52466" s="12"/>
    </row>
    <row r="52467" spans="32:32" x14ac:dyDescent="0.2">
      <c r="AF52467" s="12"/>
    </row>
    <row r="52468" spans="32:32" x14ac:dyDescent="0.2">
      <c r="AF52468" s="12"/>
    </row>
    <row r="52469" spans="32:32" x14ac:dyDescent="0.2">
      <c r="AF52469" s="12"/>
    </row>
    <row r="52470" spans="32:32" x14ac:dyDescent="0.2">
      <c r="AF52470" s="12"/>
    </row>
    <row r="52471" spans="32:32" x14ac:dyDescent="0.2">
      <c r="AF52471" s="12"/>
    </row>
    <row r="52472" spans="32:32" x14ac:dyDescent="0.2">
      <c r="AF52472" s="12"/>
    </row>
    <row r="52473" spans="32:32" x14ac:dyDescent="0.2">
      <c r="AF52473" s="12"/>
    </row>
    <row r="52474" spans="32:32" x14ac:dyDescent="0.2">
      <c r="AF52474" s="12"/>
    </row>
    <row r="52475" spans="32:32" x14ac:dyDescent="0.2">
      <c r="AF52475" s="12"/>
    </row>
    <row r="52476" spans="32:32" x14ac:dyDescent="0.2">
      <c r="AF52476" s="12"/>
    </row>
    <row r="52477" spans="32:32" x14ac:dyDescent="0.2">
      <c r="AF52477" s="12"/>
    </row>
    <row r="52478" spans="32:32" x14ac:dyDescent="0.2">
      <c r="AF52478" s="12"/>
    </row>
    <row r="52479" spans="32:32" x14ac:dyDescent="0.2">
      <c r="AF52479" s="12"/>
    </row>
    <row r="52480" spans="32:32" x14ac:dyDescent="0.2">
      <c r="AF52480" s="12"/>
    </row>
    <row r="52481" spans="32:32" x14ac:dyDescent="0.2">
      <c r="AF52481" s="12"/>
    </row>
    <row r="52482" spans="32:32" x14ac:dyDescent="0.2">
      <c r="AF52482" s="12"/>
    </row>
    <row r="52483" spans="32:32" x14ac:dyDescent="0.2">
      <c r="AF52483" s="12"/>
    </row>
    <row r="52484" spans="32:32" x14ac:dyDescent="0.2">
      <c r="AF52484" s="12"/>
    </row>
    <row r="52485" spans="32:32" x14ac:dyDescent="0.2">
      <c r="AF52485" s="12"/>
    </row>
    <row r="52486" spans="32:32" x14ac:dyDescent="0.2">
      <c r="AF52486" s="12"/>
    </row>
    <row r="52487" spans="32:32" x14ac:dyDescent="0.2">
      <c r="AF52487" s="12"/>
    </row>
    <row r="52488" spans="32:32" x14ac:dyDescent="0.2">
      <c r="AF52488" s="12"/>
    </row>
    <row r="52489" spans="32:32" x14ac:dyDescent="0.2">
      <c r="AF52489" s="12"/>
    </row>
    <row r="52490" spans="32:32" x14ac:dyDescent="0.2">
      <c r="AF52490" s="12"/>
    </row>
    <row r="52491" spans="32:32" x14ac:dyDescent="0.2">
      <c r="AF52491" s="12"/>
    </row>
    <row r="52492" spans="32:32" x14ac:dyDescent="0.2">
      <c r="AF52492" s="12"/>
    </row>
    <row r="52493" spans="32:32" x14ac:dyDescent="0.2">
      <c r="AF52493" s="12"/>
    </row>
    <row r="52494" spans="32:32" x14ac:dyDescent="0.2">
      <c r="AF52494" s="12"/>
    </row>
    <row r="52495" spans="32:32" x14ac:dyDescent="0.2">
      <c r="AF52495" s="12"/>
    </row>
    <row r="52496" spans="32:32" x14ac:dyDescent="0.2">
      <c r="AF52496" s="12"/>
    </row>
    <row r="52497" spans="32:32" x14ac:dyDescent="0.2">
      <c r="AF52497" s="12"/>
    </row>
    <row r="52498" spans="32:32" x14ac:dyDescent="0.2">
      <c r="AF52498" s="12"/>
    </row>
    <row r="52499" spans="32:32" x14ac:dyDescent="0.2">
      <c r="AF52499" s="12"/>
    </row>
    <row r="52500" spans="32:32" x14ac:dyDescent="0.2">
      <c r="AF52500" s="12"/>
    </row>
    <row r="52501" spans="32:32" x14ac:dyDescent="0.2">
      <c r="AF52501" s="12"/>
    </row>
    <row r="52502" spans="32:32" x14ac:dyDescent="0.2">
      <c r="AF52502" s="12"/>
    </row>
    <row r="52503" spans="32:32" x14ac:dyDescent="0.2">
      <c r="AF52503" s="12"/>
    </row>
    <row r="52504" spans="32:32" x14ac:dyDescent="0.2">
      <c r="AF52504" s="12"/>
    </row>
    <row r="52505" spans="32:32" x14ac:dyDescent="0.2">
      <c r="AF52505" s="12"/>
    </row>
    <row r="52506" spans="32:32" x14ac:dyDescent="0.2">
      <c r="AF52506" s="12"/>
    </row>
    <row r="52507" spans="32:32" x14ac:dyDescent="0.2">
      <c r="AF52507" s="12"/>
    </row>
    <row r="52508" spans="32:32" x14ac:dyDescent="0.2">
      <c r="AF52508" s="12"/>
    </row>
    <row r="52509" spans="32:32" x14ac:dyDescent="0.2">
      <c r="AF52509" s="12"/>
    </row>
    <row r="52510" spans="32:32" x14ac:dyDescent="0.2">
      <c r="AF52510" s="12"/>
    </row>
    <row r="52511" spans="32:32" x14ac:dyDescent="0.2">
      <c r="AF52511" s="12"/>
    </row>
    <row r="52512" spans="32:32" x14ac:dyDescent="0.2">
      <c r="AF52512" s="12"/>
    </row>
    <row r="52513" spans="32:32" x14ac:dyDescent="0.2">
      <c r="AF52513" s="12"/>
    </row>
    <row r="52514" spans="32:32" x14ac:dyDescent="0.2">
      <c r="AF52514" s="12"/>
    </row>
    <row r="52515" spans="32:32" x14ac:dyDescent="0.2">
      <c r="AF52515" s="12"/>
    </row>
    <row r="52516" spans="32:32" x14ac:dyDescent="0.2">
      <c r="AF52516" s="12"/>
    </row>
    <row r="52517" spans="32:32" x14ac:dyDescent="0.2">
      <c r="AF52517" s="12"/>
    </row>
    <row r="52518" spans="32:32" x14ac:dyDescent="0.2">
      <c r="AF52518" s="12"/>
    </row>
    <row r="52519" spans="32:32" x14ac:dyDescent="0.2">
      <c r="AF52519" s="12"/>
    </row>
    <row r="52520" spans="32:32" x14ac:dyDescent="0.2">
      <c r="AF52520" s="12"/>
    </row>
    <row r="52521" spans="32:32" x14ac:dyDescent="0.2">
      <c r="AF52521" s="12"/>
    </row>
    <row r="52522" spans="32:32" x14ac:dyDescent="0.2">
      <c r="AF52522" s="12"/>
    </row>
    <row r="52523" spans="32:32" x14ac:dyDescent="0.2">
      <c r="AF52523" s="12"/>
    </row>
    <row r="52524" spans="32:32" x14ac:dyDescent="0.2">
      <c r="AF52524" s="12"/>
    </row>
    <row r="52525" spans="32:32" x14ac:dyDescent="0.2">
      <c r="AF52525" s="12"/>
    </row>
    <row r="52526" spans="32:32" x14ac:dyDescent="0.2">
      <c r="AF52526" s="12"/>
    </row>
    <row r="52527" spans="32:32" x14ac:dyDescent="0.2">
      <c r="AF52527" s="12"/>
    </row>
    <row r="52528" spans="32:32" x14ac:dyDescent="0.2">
      <c r="AF52528" s="12"/>
    </row>
    <row r="52529" spans="32:32" x14ac:dyDescent="0.2">
      <c r="AF52529" s="12"/>
    </row>
    <row r="52530" spans="32:32" x14ac:dyDescent="0.2">
      <c r="AF52530" s="12"/>
    </row>
    <row r="52531" spans="32:32" x14ac:dyDescent="0.2">
      <c r="AF52531" s="12"/>
    </row>
    <row r="52532" spans="32:32" x14ac:dyDescent="0.2">
      <c r="AF52532" s="12"/>
    </row>
    <row r="52533" spans="32:32" x14ac:dyDescent="0.2">
      <c r="AF52533" s="12"/>
    </row>
    <row r="52534" spans="32:32" x14ac:dyDescent="0.2">
      <c r="AF52534" s="12"/>
    </row>
    <row r="52535" spans="32:32" x14ac:dyDescent="0.2">
      <c r="AF52535" s="12"/>
    </row>
    <row r="52536" spans="32:32" x14ac:dyDescent="0.2">
      <c r="AF52536" s="12"/>
    </row>
    <row r="52537" spans="32:32" x14ac:dyDescent="0.2">
      <c r="AF52537" s="12"/>
    </row>
    <row r="52538" spans="32:32" x14ac:dyDescent="0.2">
      <c r="AF52538" s="12"/>
    </row>
    <row r="52539" spans="32:32" x14ac:dyDescent="0.2">
      <c r="AF52539" s="12"/>
    </row>
    <row r="52540" spans="32:32" x14ac:dyDescent="0.2">
      <c r="AF52540" s="12"/>
    </row>
    <row r="52541" spans="32:32" x14ac:dyDescent="0.2">
      <c r="AF52541" s="12"/>
    </row>
    <row r="52542" spans="32:32" x14ac:dyDescent="0.2">
      <c r="AF52542" s="12"/>
    </row>
    <row r="52543" spans="32:32" x14ac:dyDescent="0.2">
      <c r="AF52543" s="12"/>
    </row>
    <row r="52544" spans="32:32" x14ac:dyDescent="0.2">
      <c r="AF52544" s="12"/>
    </row>
    <row r="52545" spans="32:32" x14ac:dyDescent="0.2">
      <c r="AF52545" s="12"/>
    </row>
    <row r="52546" spans="32:32" x14ac:dyDescent="0.2">
      <c r="AF52546" s="12"/>
    </row>
    <row r="52547" spans="32:32" x14ac:dyDescent="0.2">
      <c r="AF52547" s="12"/>
    </row>
    <row r="52548" spans="32:32" x14ac:dyDescent="0.2">
      <c r="AF52548" s="12"/>
    </row>
    <row r="52549" spans="32:32" x14ac:dyDescent="0.2">
      <c r="AF52549" s="12"/>
    </row>
    <row r="52550" spans="32:32" x14ac:dyDescent="0.2">
      <c r="AF52550" s="12"/>
    </row>
    <row r="52551" spans="32:32" x14ac:dyDescent="0.2">
      <c r="AF52551" s="12"/>
    </row>
    <row r="52552" spans="32:32" x14ac:dyDescent="0.2">
      <c r="AF52552" s="12"/>
    </row>
    <row r="52553" spans="32:32" x14ac:dyDescent="0.2">
      <c r="AF52553" s="12"/>
    </row>
    <row r="52554" spans="32:32" x14ac:dyDescent="0.2">
      <c r="AF52554" s="12"/>
    </row>
    <row r="52555" spans="32:32" x14ac:dyDescent="0.2">
      <c r="AF52555" s="12"/>
    </row>
    <row r="52556" spans="32:32" x14ac:dyDescent="0.2">
      <c r="AF52556" s="12"/>
    </row>
    <row r="52557" spans="32:32" x14ac:dyDescent="0.2">
      <c r="AF52557" s="12"/>
    </row>
    <row r="52558" spans="32:32" x14ac:dyDescent="0.2">
      <c r="AF52558" s="12"/>
    </row>
    <row r="52559" spans="32:32" x14ac:dyDescent="0.2">
      <c r="AF52559" s="12"/>
    </row>
    <row r="52560" spans="32:32" x14ac:dyDescent="0.2">
      <c r="AF52560" s="12"/>
    </row>
    <row r="52561" spans="32:32" x14ac:dyDescent="0.2">
      <c r="AF52561" s="12"/>
    </row>
    <row r="52562" spans="32:32" x14ac:dyDescent="0.2">
      <c r="AF52562" s="12"/>
    </row>
    <row r="52563" spans="32:32" x14ac:dyDescent="0.2">
      <c r="AF52563" s="12"/>
    </row>
    <row r="52564" spans="32:32" x14ac:dyDescent="0.2">
      <c r="AF52564" s="12"/>
    </row>
    <row r="52565" spans="32:32" x14ac:dyDescent="0.2">
      <c r="AF52565" s="12"/>
    </row>
    <row r="52566" spans="32:32" x14ac:dyDescent="0.2">
      <c r="AF52566" s="12"/>
    </row>
    <row r="52567" spans="32:32" x14ac:dyDescent="0.2">
      <c r="AF52567" s="12"/>
    </row>
    <row r="52568" spans="32:32" x14ac:dyDescent="0.2">
      <c r="AF52568" s="12"/>
    </row>
    <row r="52569" spans="32:32" x14ac:dyDescent="0.2">
      <c r="AF52569" s="12"/>
    </row>
    <row r="52570" spans="32:32" x14ac:dyDescent="0.2">
      <c r="AF52570" s="12"/>
    </row>
    <row r="52571" spans="32:32" x14ac:dyDescent="0.2">
      <c r="AF52571" s="12"/>
    </row>
    <row r="52572" spans="32:32" x14ac:dyDescent="0.2">
      <c r="AF52572" s="12"/>
    </row>
    <row r="52573" spans="32:32" x14ac:dyDescent="0.2">
      <c r="AF52573" s="12"/>
    </row>
    <row r="52574" spans="32:32" x14ac:dyDescent="0.2">
      <c r="AF52574" s="12"/>
    </row>
    <row r="52575" spans="32:32" x14ac:dyDescent="0.2">
      <c r="AF52575" s="12"/>
    </row>
    <row r="52576" spans="32:32" x14ac:dyDescent="0.2">
      <c r="AF52576" s="12"/>
    </row>
    <row r="52577" spans="32:32" x14ac:dyDescent="0.2">
      <c r="AF52577" s="12"/>
    </row>
    <row r="52578" spans="32:32" x14ac:dyDescent="0.2">
      <c r="AF52578" s="12"/>
    </row>
    <row r="52579" spans="32:32" x14ac:dyDescent="0.2">
      <c r="AF52579" s="12"/>
    </row>
    <row r="52580" spans="32:32" x14ac:dyDescent="0.2">
      <c r="AF52580" s="12"/>
    </row>
    <row r="52581" spans="32:32" x14ac:dyDescent="0.2">
      <c r="AF52581" s="12"/>
    </row>
    <row r="52582" spans="32:32" x14ac:dyDescent="0.2">
      <c r="AF52582" s="12"/>
    </row>
    <row r="52583" spans="32:32" x14ac:dyDescent="0.2">
      <c r="AF52583" s="12"/>
    </row>
    <row r="52584" spans="32:32" x14ac:dyDescent="0.2">
      <c r="AF52584" s="12"/>
    </row>
    <row r="52585" spans="32:32" x14ac:dyDescent="0.2">
      <c r="AF52585" s="12"/>
    </row>
    <row r="52586" spans="32:32" x14ac:dyDescent="0.2">
      <c r="AF52586" s="12"/>
    </row>
    <row r="52587" spans="32:32" x14ac:dyDescent="0.2">
      <c r="AF52587" s="12"/>
    </row>
    <row r="52588" spans="32:32" x14ac:dyDescent="0.2">
      <c r="AF52588" s="12"/>
    </row>
    <row r="52589" spans="32:32" x14ac:dyDescent="0.2">
      <c r="AF52589" s="12"/>
    </row>
    <row r="52590" spans="32:32" x14ac:dyDescent="0.2">
      <c r="AF52590" s="12"/>
    </row>
    <row r="52591" spans="32:32" x14ac:dyDescent="0.2">
      <c r="AF52591" s="12"/>
    </row>
    <row r="52592" spans="32:32" x14ac:dyDescent="0.2">
      <c r="AF52592" s="12"/>
    </row>
    <row r="52593" spans="32:32" x14ac:dyDescent="0.2">
      <c r="AF52593" s="12"/>
    </row>
    <row r="52594" spans="32:32" x14ac:dyDescent="0.2">
      <c r="AF52594" s="12"/>
    </row>
    <row r="52595" spans="32:32" x14ac:dyDescent="0.2">
      <c r="AF52595" s="12"/>
    </row>
    <row r="52596" spans="32:32" x14ac:dyDescent="0.2">
      <c r="AF52596" s="12"/>
    </row>
    <row r="52597" spans="32:32" x14ac:dyDescent="0.2">
      <c r="AF52597" s="12"/>
    </row>
    <row r="52598" spans="32:32" x14ac:dyDescent="0.2">
      <c r="AF52598" s="12"/>
    </row>
    <row r="52599" spans="32:32" x14ac:dyDescent="0.2">
      <c r="AF52599" s="12"/>
    </row>
    <row r="52600" spans="32:32" x14ac:dyDescent="0.2">
      <c r="AF52600" s="12"/>
    </row>
    <row r="52601" spans="32:32" x14ac:dyDescent="0.2">
      <c r="AF52601" s="12"/>
    </row>
    <row r="52602" spans="32:32" x14ac:dyDescent="0.2">
      <c r="AF52602" s="12"/>
    </row>
    <row r="52603" spans="32:32" x14ac:dyDescent="0.2">
      <c r="AF52603" s="12"/>
    </row>
    <row r="52604" spans="32:32" x14ac:dyDescent="0.2">
      <c r="AF52604" s="12"/>
    </row>
    <row r="52605" spans="32:32" x14ac:dyDescent="0.2">
      <c r="AF52605" s="12"/>
    </row>
    <row r="52606" spans="32:32" x14ac:dyDescent="0.2">
      <c r="AF52606" s="12"/>
    </row>
    <row r="52607" spans="32:32" x14ac:dyDescent="0.2">
      <c r="AF52607" s="12"/>
    </row>
    <row r="52608" spans="32:32" x14ac:dyDescent="0.2">
      <c r="AF52608" s="12"/>
    </row>
    <row r="52609" spans="32:32" x14ac:dyDescent="0.2">
      <c r="AF52609" s="12"/>
    </row>
    <row r="52610" spans="32:32" x14ac:dyDescent="0.2">
      <c r="AF52610" s="12"/>
    </row>
    <row r="52611" spans="32:32" x14ac:dyDescent="0.2">
      <c r="AF52611" s="12"/>
    </row>
    <row r="52612" spans="32:32" x14ac:dyDescent="0.2">
      <c r="AF52612" s="12"/>
    </row>
    <row r="52613" spans="32:32" x14ac:dyDescent="0.2">
      <c r="AF52613" s="12"/>
    </row>
    <row r="52614" spans="32:32" x14ac:dyDescent="0.2">
      <c r="AF52614" s="12"/>
    </row>
    <row r="52615" spans="32:32" x14ac:dyDescent="0.2">
      <c r="AF52615" s="12"/>
    </row>
    <row r="52616" spans="32:32" x14ac:dyDescent="0.2">
      <c r="AF52616" s="12"/>
    </row>
    <row r="52617" spans="32:32" x14ac:dyDescent="0.2">
      <c r="AF52617" s="12"/>
    </row>
    <row r="52618" spans="32:32" x14ac:dyDescent="0.2">
      <c r="AF52618" s="12"/>
    </row>
    <row r="52619" spans="32:32" x14ac:dyDescent="0.2">
      <c r="AF52619" s="12"/>
    </row>
    <row r="52620" spans="32:32" x14ac:dyDescent="0.2">
      <c r="AF52620" s="12"/>
    </row>
    <row r="52621" spans="32:32" x14ac:dyDescent="0.2">
      <c r="AF52621" s="12"/>
    </row>
    <row r="52622" spans="32:32" x14ac:dyDescent="0.2">
      <c r="AF52622" s="12"/>
    </row>
    <row r="52623" spans="32:32" x14ac:dyDescent="0.2">
      <c r="AF52623" s="12"/>
    </row>
    <row r="52624" spans="32:32" x14ac:dyDescent="0.2">
      <c r="AF52624" s="12"/>
    </row>
    <row r="52625" spans="32:32" x14ac:dyDescent="0.2">
      <c r="AF52625" s="12"/>
    </row>
    <row r="52626" spans="32:32" x14ac:dyDescent="0.2">
      <c r="AF52626" s="12"/>
    </row>
    <row r="52627" spans="32:32" x14ac:dyDescent="0.2">
      <c r="AF52627" s="12"/>
    </row>
    <row r="52628" spans="32:32" x14ac:dyDescent="0.2">
      <c r="AF52628" s="12"/>
    </row>
    <row r="52629" spans="32:32" x14ac:dyDescent="0.2">
      <c r="AF52629" s="12"/>
    </row>
    <row r="52630" spans="32:32" x14ac:dyDescent="0.2">
      <c r="AF52630" s="12"/>
    </row>
    <row r="52631" spans="32:32" x14ac:dyDescent="0.2">
      <c r="AF52631" s="12"/>
    </row>
    <row r="52632" spans="32:32" x14ac:dyDescent="0.2">
      <c r="AF52632" s="12"/>
    </row>
    <row r="52633" spans="32:32" x14ac:dyDescent="0.2">
      <c r="AF52633" s="12"/>
    </row>
    <row r="52634" spans="32:32" x14ac:dyDescent="0.2">
      <c r="AF52634" s="12"/>
    </row>
    <row r="52635" spans="32:32" x14ac:dyDescent="0.2">
      <c r="AF52635" s="12"/>
    </row>
    <row r="52636" spans="32:32" x14ac:dyDescent="0.2">
      <c r="AF52636" s="12"/>
    </row>
    <row r="52637" spans="32:32" x14ac:dyDescent="0.2">
      <c r="AF52637" s="12"/>
    </row>
    <row r="52638" spans="32:32" x14ac:dyDescent="0.2">
      <c r="AF52638" s="12"/>
    </row>
    <row r="52639" spans="32:32" x14ac:dyDescent="0.2">
      <c r="AF52639" s="12"/>
    </row>
    <row r="52640" spans="32:32" x14ac:dyDescent="0.2">
      <c r="AF52640" s="12"/>
    </row>
    <row r="52641" spans="32:32" x14ac:dyDescent="0.2">
      <c r="AF52641" s="12"/>
    </row>
    <row r="52642" spans="32:32" x14ac:dyDescent="0.2">
      <c r="AF52642" s="12"/>
    </row>
    <row r="52643" spans="32:32" x14ac:dyDescent="0.2">
      <c r="AF52643" s="12"/>
    </row>
    <row r="52644" spans="32:32" x14ac:dyDescent="0.2">
      <c r="AF52644" s="12"/>
    </row>
    <row r="52645" spans="32:32" x14ac:dyDescent="0.2">
      <c r="AF52645" s="12"/>
    </row>
    <row r="52646" spans="32:32" x14ac:dyDescent="0.2">
      <c r="AF52646" s="12"/>
    </row>
    <row r="52647" spans="32:32" x14ac:dyDescent="0.2">
      <c r="AF52647" s="12"/>
    </row>
    <row r="52648" spans="32:32" x14ac:dyDescent="0.2">
      <c r="AF52648" s="12"/>
    </row>
    <row r="52649" spans="32:32" x14ac:dyDescent="0.2">
      <c r="AF52649" s="12"/>
    </row>
    <row r="52650" spans="32:32" x14ac:dyDescent="0.2">
      <c r="AF52650" s="12"/>
    </row>
    <row r="52651" spans="32:32" x14ac:dyDescent="0.2">
      <c r="AF52651" s="12"/>
    </row>
    <row r="52652" spans="32:32" x14ac:dyDescent="0.2">
      <c r="AF52652" s="12"/>
    </row>
    <row r="52653" spans="32:32" x14ac:dyDescent="0.2">
      <c r="AF52653" s="12"/>
    </row>
    <row r="52654" spans="32:32" x14ac:dyDescent="0.2">
      <c r="AF52654" s="12"/>
    </row>
    <row r="52655" spans="32:32" x14ac:dyDescent="0.2">
      <c r="AF52655" s="12"/>
    </row>
    <row r="52656" spans="32:32" x14ac:dyDescent="0.2">
      <c r="AF52656" s="12"/>
    </row>
    <row r="52657" spans="32:32" x14ac:dyDescent="0.2">
      <c r="AF52657" s="12"/>
    </row>
    <row r="52658" spans="32:32" x14ac:dyDescent="0.2">
      <c r="AF52658" s="12"/>
    </row>
    <row r="52659" spans="32:32" x14ac:dyDescent="0.2">
      <c r="AF52659" s="12"/>
    </row>
    <row r="52660" spans="32:32" x14ac:dyDescent="0.2">
      <c r="AF52660" s="12"/>
    </row>
    <row r="52661" spans="32:32" x14ac:dyDescent="0.2">
      <c r="AF52661" s="12"/>
    </row>
    <row r="52662" spans="32:32" x14ac:dyDescent="0.2">
      <c r="AF52662" s="12"/>
    </row>
    <row r="52663" spans="32:32" x14ac:dyDescent="0.2">
      <c r="AF52663" s="12"/>
    </row>
    <row r="52664" spans="32:32" x14ac:dyDescent="0.2">
      <c r="AF52664" s="12"/>
    </row>
    <row r="52665" spans="32:32" x14ac:dyDescent="0.2">
      <c r="AF52665" s="12"/>
    </row>
    <row r="52666" spans="32:32" x14ac:dyDescent="0.2">
      <c r="AF52666" s="12"/>
    </row>
    <row r="52667" spans="32:32" x14ac:dyDescent="0.2">
      <c r="AF52667" s="12"/>
    </row>
    <row r="52668" spans="32:32" x14ac:dyDescent="0.2">
      <c r="AF52668" s="12"/>
    </row>
    <row r="52669" spans="32:32" x14ac:dyDescent="0.2">
      <c r="AF52669" s="12"/>
    </row>
    <row r="52670" spans="32:32" x14ac:dyDescent="0.2">
      <c r="AF52670" s="12"/>
    </row>
    <row r="52671" spans="32:32" x14ac:dyDescent="0.2">
      <c r="AF52671" s="12"/>
    </row>
    <row r="52672" spans="32:32" x14ac:dyDescent="0.2">
      <c r="AF52672" s="12"/>
    </row>
    <row r="52673" spans="32:32" x14ac:dyDescent="0.2">
      <c r="AF52673" s="12"/>
    </row>
    <row r="52674" spans="32:32" x14ac:dyDescent="0.2">
      <c r="AF52674" s="12"/>
    </row>
    <row r="52675" spans="32:32" x14ac:dyDescent="0.2">
      <c r="AF52675" s="12"/>
    </row>
    <row r="52676" spans="32:32" x14ac:dyDescent="0.2">
      <c r="AF52676" s="12"/>
    </row>
    <row r="52677" spans="32:32" x14ac:dyDescent="0.2">
      <c r="AF52677" s="12"/>
    </row>
    <row r="52678" spans="32:32" x14ac:dyDescent="0.2">
      <c r="AF52678" s="12"/>
    </row>
    <row r="52679" spans="32:32" x14ac:dyDescent="0.2">
      <c r="AF52679" s="12"/>
    </row>
    <row r="52680" spans="32:32" x14ac:dyDescent="0.2">
      <c r="AF52680" s="12"/>
    </row>
    <row r="52681" spans="32:32" x14ac:dyDescent="0.2">
      <c r="AF52681" s="12"/>
    </row>
    <row r="52682" spans="32:32" x14ac:dyDescent="0.2">
      <c r="AF52682" s="12"/>
    </row>
    <row r="52683" spans="32:32" x14ac:dyDescent="0.2">
      <c r="AF52683" s="12"/>
    </row>
    <row r="52684" spans="32:32" x14ac:dyDescent="0.2">
      <c r="AF52684" s="12"/>
    </row>
    <row r="52685" spans="32:32" x14ac:dyDescent="0.2">
      <c r="AF52685" s="12"/>
    </row>
    <row r="52686" spans="32:32" x14ac:dyDescent="0.2">
      <c r="AF52686" s="12"/>
    </row>
    <row r="52687" spans="32:32" x14ac:dyDescent="0.2">
      <c r="AF52687" s="12"/>
    </row>
    <row r="52688" spans="32:32" x14ac:dyDescent="0.2">
      <c r="AF52688" s="12"/>
    </row>
    <row r="52689" spans="32:32" x14ac:dyDescent="0.2">
      <c r="AF52689" s="12"/>
    </row>
    <row r="52690" spans="32:32" x14ac:dyDescent="0.2">
      <c r="AF52690" s="12"/>
    </row>
    <row r="52691" spans="32:32" x14ac:dyDescent="0.2">
      <c r="AF52691" s="12"/>
    </row>
    <row r="52692" spans="32:32" x14ac:dyDescent="0.2">
      <c r="AF52692" s="12"/>
    </row>
    <row r="52693" spans="32:32" x14ac:dyDescent="0.2">
      <c r="AF52693" s="12"/>
    </row>
    <row r="52694" spans="32:32" x14ac:dyDescent="0.2">
      <c r="AF52694" s="12"/>
    </row>
    <row r="52695" spans="32:32" x14ac:dyDescent="0.2">
      <c r="AF52695" s="12"/>
    </row>
    <row r="52696" spans="32:32" x14ac:dyDescent="0.2">
      <c r="AF52696" s="12"/>
    </row>
    <row r="52697" spans="32:32" x14ac:dyDescent="0.2">
      <c r="AF52697" s="12"/>
    </row>
    <row r="52698" spans="32:32" x14ac:dyDescent="0.2">
      <c r="AF52698" s="12"/>
    </row>
    <row r="52699" spans="32:32" x14ac:dyDescent="0.2">
      <c r="AF52699" s="12"/>
    </row>
    <row r="52700" spans="32:32" x14ac:dyDescent="0.2">
      <c r="AF52700" s="12"/>
    </row>
    <row r="52701" spans="32:32" x14ac:dyDescent="0.2">
      <c r="AF52701" s="12"/>
    </row>
    <row r="52702" spans="32:32" x14ac:dyDescent="0.2">
      <c r="AF52702" s="12"/>
    </row>
    <row r="52703" spans="32:32" x14ac:dyDescent="0.2">
      <c r="AF52703" s="12"/>
    </row>
    <row r="52704" spans="32:32" x14ac:dyDescent="0.2">
      <c r="AF52704" s="12"/>
    </row>
    <row r="52705" spans="32:32" x14ac:dyDescent="0.2">
      <c r="AF52705" s="12"/>
    </row>
    <row r="52706" spans="32:32" x14ac:dyDescent="0.2">
      <c r="AF52706" s="12"/>
    </row>
    <row r="52707" spans="32:32" x14ac:dyDescent="0.2">
      <c r="AF52707" s="12"/>
    </row>
    <row r="52708" spans="32:32" x14ac:dyDescent="0.2">
      <c r="AF52708" s="12"/>
    </row>
    <row r="52709" spans="32:32" x14ac:dyDescent="0.2">
      <c r="AF52709" s="12"/>
    </row>
    <row r="52710" spans="32:32" x14ac:dyDescent="0.2">
      <c r="AF52710" s="12"/>
    </row>
    <row r="52711" spans="32:32" x14ac:dyDescent="0.2">
      <c r="AF52711" s="12"/>
    </row>
    <row r="52712" spans="32:32" x14ac:dyDescent="0.2">
      <c r="AF52712" s="12"/>
    </row>
    <row r="52713" spans="32:32" x14ac:dyDescent="0.2">
      <c r="AF52713" s="12"/>
    </row>
    <row r="52714" spans="32:32" x14ac:dyDescent="0.2">
      <c r="AF52714" s="12"/>
    </row>
    <row r="52715" spans="32:32" x14ac:dyDescent="0.2">
      <c r="AF52715" s="12"/>
    </row>
    <row r="52716" spans="32:32" x14ac:dyDescent="0.2">
      <c r="AF52716" s="12"/>
    </row>
    <row r="52717" spans="32:32" x14ac:dyDescent="0.2">
      <c r="AF52717" s="12"/>
    </row>
    <row r="52718" spans="32:32" x14ac:dyDescent="0.2">
      <c r="AF52718" s="12"/>
    </row>
    <row r="52719" spans="32:32" x14ac:dyDescent="0.2">
      <c r="AF52719" s="12"/>
    </row>
    <row r="52720" spans="32:32" x14ac:dyDescent="0.2">
      <c r="AF52720" s="12"/>
    </row>
    <row r="52721" spans="32:32" x14ac:dyDescent="0.2">
      <c r="AF52721" s="12"/>
    </row>
    <row r="52722" spans="32:32" x14ac:dyDescent="0.2">
      <c r="AF52722" s="12"/>
    </row>
    <row r="52723" spans="32:32" x14ac:dyDescent="0.2">
      <c r="AF52723" s="12"/>
    </row>
    <row r="52724" spans="32:32" x14ac:dyDescent="0.2">
      <c r="AF52724" s="12"/>
    </row>
    <row r="52725" spans="32:32" x14ac:dyDescent="0.2">
      <c r="AF52725" s="12"/>
    </row>
    <row r="52726" spans="32:32" x14ac:dyDescent="0.2">
      <c r="AF52726" s="12"/>
    </row>
    <row r="52727" spans="32:32" x14ac:dyDescent="0.2">
      <c r="AF52727" s="12"/>
    </row>
    <row r="52728" spans="32:32" x14ac:dyDescent="0.2">
      <c r="AF52728" s="12"/>
    </row>
    <row r="52729" spans="32:32" x14ac:dyDescent="0.2">
      <c r="AF52729" s="12"/>
    </row>
    <row r="52730" spans="32:32" x14ac:dyDescent="0.2">
      <c r="AF52730" s="12"/>
    </row>
    <row r="52731" spans="32:32" x14ac:dyDescent="0.2">
      <c r="AF52731" s="12"/>
    </row>
    <row r="52732" spans="32:32" x14ac:dyDescent="0.2">
      <c r="AF52732" s="12"/>
    </row>
    <row r="52733" spans="32:32" x14ac:dyDescent="0.2">
      <c r="AF52733" s="12"/>
    </row>
    <row r="52734" spans="32:32" x14ac:dyDescent="0.2">
      <c r="AF52734" s="12"/>
    </row>
    <row r="52735" spans="32:32" x14ac:dyDescent="0.2">
      <c r="AF52735" s="12"/>
    </row>
    <row r="52736" spans="32:32" x14ac:dyDescent="0.2">
      <c r="AF52736" s="12"/>
    </row>
    <row r="52737" spans="32:32" x14ac:dyDescent="0.2">
      <c r="AF52737" s="12"/>
    </row>
    <row r="52738" spans="32:32" x14ac:dyDescent="0.2">
      <c r="AF52738" s="12"/>
    </row>
    <row r="52739" spans="32:32" x14ac:dyDescent="0.2">
      <c r="AF52739" s="12"/>
    </row>
    <row r="52740" spans="32:32" x14ac:dyDescent="0.2">
      <c r="AF52740" s="12"/>
    </row>
    <row r="52741" spans="32:32" x14ac:dyDescent="0.2">
      <c r="AF52741" s="12"/>
    </row>
    <row r="52742" spans="32:32" x14ac:dyDescent="0.2">
      <c r="AF52742" s="12"/>
    </row>
    <row r="52743" spans="32:32" x14ac:dyDescent="0.2">
      <c r="AF52743" s="12"/>
    </row>
    <row r="52744" spans="32:32" x14ac:dyDescent="0.2">
      <c r="AF52744" s="12"/>
    </row>
    <row r="52745" spans="32:32" x14ac:dyDescent="0.2">
      <c r="AF52745" s="12"/>
    </row>
    <row r="52746" spans="32:32" x14ac:dyDescent="0.2">
      <c r="AF52746" s="12"/>
    </row>
    <row r="52747" spans="32:32" x14ac:dyDescent="0.2">
      <c r="AF52747" s="12"/>
    </row>
    <row r="52748" spans="32:32" x14ac:dyDescent="0.2">
      <c r="AF52748" s="12"/>
    </row>
    <row r="52749" spans="32:32" x14ac:dyDescent="0.2">
      <c r="AF52749" s="12"/>
    </row>
    <row r="52750" spans="32:32" x14ac:dyDescent="0.2">
      <c r="AF52750" s="12"/>
    </row>
    <row r="52751" spans="32:32" x14ac:dyDescent="0.2">
      <c r="AF52751" s="12"/>
    </row>
    <row r="52752" spans="32:32" x14ac:dyDescent="0.2">
      <c r="AF52752" s="12"/>
    </row>
    <row r="52753" spans="32:32" x14ac:dyDescent="0.2">
      <c r="AF52753" s="12"/>
    </row>
    <row r="52754" spans="32:32" x14ac:dyDescent="0.2">
      <c r="AF52754" s="12"/>
    </row>
    <row r="52755" spans="32:32" x14ac:dyDescent="0.2">
      <c r="AF52755" s="12"/>
    </row>
    <row r="52756" spans="32:32" x14ac:dyDescent="0.2">
      <c r="AF52756" s="12"/>
    </row>
    <row r="52757" spans="32:32" x14ac:dyDescent="0.2">
      <c r="AF52757" s="12"/>
    </row>
    <row r="52758" spans="32:32" x14ac:dyDescent="0.2">
      <c r="AF52758" s="12"/>
    </row>
    <row r="52759" spans="32:32" x14ac:dyDescent="0.2">
      <c r="AF52759" s="12"/>
    </row>
    <row r="52760" spans="32:32" x14ac:dyDescent="0.2">
      <c r="AF52760" s="12"/>
    </row>
    <row r="52761" spans="32:32" x14ac:dyDescent="0.2">
      <c r="AF52761" s="12"/>
    </row>
    <row r="52762" spans="32:32" x14ac:dyDescent="0.2">
      <c r="AF52762" s="12"/>
    </row>
    <row r="52763" spans="32:32" x14ac:dyDescent="0.2">
      <c r="AF52763" s="12"/>
    </row>
    <row r="52764" spans="32:32" x14ac:dyDescent="0.2">
      <c r="AF52764" s="12"/>
    </row>
    <row r="52765" spans="32:32" x14ac:dyDescent="0.2">
      <c r="AF52765" s="12"/>
    </row>
    <row r="52766" spans="32:32" x14ac:dyDescent="0.2">
      <c r="AF52766" s="12"/>
    </row>
    <row r="52767" spans="32:32" x14ac:dyDescent="0.2">
      <c r="AF52767" s="12"/>
    </row>
    <row r="52768" spans="32:32" x14ac:dyDescent="0.2">
      <c r="AF52768" s="12"/>
    </row>
    <row r="52769" spans="32:32" x14ac:dyDescent="0.2">
      <c r="AF52769" s="12"/>
    </row>
    <row r="52770" spans="32:32" x14ac:dyDescent="0.2">
      <c r="AF52770" s="12"/>
    </row>
    <row r="52771" spans="32:32" x14ac:dyDescent="0.2">
      <c r="AF52771" s="12"/>
    </row>
    <row r="52772" spans="32:32" x14ac:dyDescent="0.2">
      <c r="AF52772" s="12"/>
    </row>
    <row r="52773" spans="32:32" x14ac:dyDescent="0.2">
      <c r="AF52773" s="12"/>
    </row>
    <row r="52774" spans="32:32" x14ac:dyDescent="0.2">
      <c r="AF52774" s="12"/>
    </row>
    <row r="52775" spans="32:32" x14ac:dyDescent="0.2">
      <c r="AF52775" s="12"/>
    </row>
    <row r="52776" spans="32:32" x14ac:dyDescent="0.2">
      <c r="AF52776" s="12"/>
    </row>
    <row r="52777" spans="32:32" x14ac:dyDescent="0.2">
      <c r="AF52777" s="12"/>
    </row>
    <row r="52778" spans="32:32" x14ac:dyDescent="0.2">
      <c r="AF52778" s="12"/>
    </row>
    <row r="52779" spans="32:32" x14ac:dyDescent="0.2">
      <c r="AF52779" s="12"/>
    </row>
    <row r="52780" spans="32:32" x14ac:dyDescent="0.2">
      <c r="AF52780" s="12"/>
    </row>
    <row r="52781" spans="32:32" x14ac:dyDescent="0.2">
      <c r="AF52781" s="12"/>
    </row>
    <row r="52782" spans="32:32" x14ac:dyDescent="0.2">
      <c r="AF52782" s="12"/>
    </row>
    <row r="52783" spans="32:32" x14ac:dyDescent="0.2">
      <c r="AF52783" s="12"/>
    </row>
    <row r="52784" spans="32:32" x14ac:dyDescent="0.2">
      <c r="AF52784" s="12"/>
    </row>
    <row r="52785" spans="32:32" x14ac:dyDescent="0.2">
      <c r="AF52785" s="12"/>
    </row>
    <row r="52786" spans="32:32" x14ac:dyDescent="0.2">
      <c r="AF52786" s="12"/>
    </row>
    <row r="52787" spans="32:32" x14ac:dyDescent="0.2">
      <c r="AF52787" s="12"/>
    </row>
    <row r="52788" spans="32:32" x14ac:dyDescent="0.2">
      <c r="AF52788" s="12"/>
    </row>
    <row r="52789" spans="32:32" x14ac:dyDescent="0.2">
      <c r="AF52789" s="12"/>
    </row>
    <row r="52790" spans="32:32" x14ac:dyDescent="0.2">
      <c r="AF52790" s="12"/>
    </row>
    <row r="52791" spans="32:32" x14ac:dyDescent="0.2">
      <c r="AF52791" s="12"/>
    </row>
    <row r="52792" spans="32:32" x14ac:dyDescent="0.2">
      <c r="AF52792" s="12"/>
    </row>
    <row r="52793" spans="32:32" x14ac:dyDescent="0.2">
      <c r="AF52793" s="12"/>
    </row>
    <row r="52794" spans="32:32" x14ac:dyDescent="0.2">
      <c r="AF52794" s="12"/>
    </row>
    <row r="52795" spans="32:32" x14ac:dyDescent="0.2">
      <c r="AF52795" s="12"/>
    </row>
    <row r="52796" spans="32:32" x14ac:dyDescent="0.2">
      <c r="AF52796" s="12"/>
    </row>
    <row r="52797" spans="32:32" x14ac:dyDescent="0.2">
      <c r="AF52797" s="12"/>
    </row>
    <row r="52798" spans="32:32" x14ac:dyDescent="0.2">
      <c r="AF52798" s="12"/>
    </row>
    <row r="52799" spans="32:32" x14ac:dyDescent="0.2">
      <c r="AF52799" s="12"/>
    </row>
    <row r="52800" spans="32:32" x14ac:dyDescent="0.2">
      <c r="AF52800" s="12"/>
    </row>
    <row r="52801" spans="32:32" x14ac:dyDescent="0.2">
      <c r="AF52801" s="12"/>
    </row>
    <row r="52802" spans="32:32" x14ac:dyDescent="0.2">
      <c r="AF52802" s="12"/>
    </row>
    <row r="52803" spans="32:32" x14ac:dyDescent="0.2">
      <c r="AF52803" s="12"/>
    </row>
    <row r="52804" spans="32:32" x14ac:dyDescent="0.2">
      <c r="AF52804" s="12"/>
    </row>
    <row r="52805" spans="32:32" x14ac:dyDescent="0.2">
      <c r="AF52805" s="12"/>
    </row>
    <row r="52806" spans="32:32" x14ac:dyDescent="0.2">
      <c r="AF52806" s="12"/>
    </row>
    <row r="52807" spans="32:32" x14ac:dyDescent="0.2">
      <c r="AF52807" s="12"/>
    </row>
    <row r="52808" spans="32:32" x14ac:dyDescent="0.2">
      <c r="AF52808" s="12"/>
    </row>
    <row r="52809" spans="32:32" x14ac:dyDescent="0.2">
      <c r="AF52809" s="12"/>
    </row>
    <row r="52810" spans="32:32" x14ac:dyDescent="0.2">
      <c r="AF52810" s="12"/>
    </row>
    <row r="52811" spans="32:32" x14ac:dyDescent="0.2">
      <c r="AF52811" s="12"/>
    </row>
    <row r="52812" spans="32:32" x14ac:dyDescent="0.2">
      <c r="AF52812" s="12"/>
    </row>
    <row r="52813" spans="32:32" x14ac:dyDescent="0.2">
      <c r="AF52813" s="12"/>
    </row>
    <row r="52814" spans="32:32" x14ac:dyDescent="0.2">
      <c r="AF52814" s="12"/>
    </row>
    <row r="52815" spans="32:32" x14ac:dyDescent="0.2">
      <c r="AF52815" s="12"/>
    </row>
    <row r="52816" spans="32:32" x14ac:dyDescent="0.2">
      <c r="AF52816" s="12"/>
    </row>
    <row r="52817" spans="32:32" x14ac:dyDescent="0.2">
      <c r="AF52817" s="12"/>
    </row>
    <row r="52818" spans="32:32" x14ac:dyDescent="0.2">
      <c r="AF52818" s="12"/>
    </row>
    <row r="52819" spans="32:32" x14ac:dyDescent="0.2">
      <c r="AF52819" s="12"/>
    </row>
    <row r="52820" spans="32:32" x14ac:dyDescent="0.2">
      <c r="AF52820" s="12"/>
    </row>
    <row r="52821" spans="32:32" x14ac:dyDescent="0.2">
      <c r="AF52821" s="12"/>
    </row>
    <row r="52822" spans="32:32" x14ac:dyDescent="0.2">
      <c r="AF52822" s="12"/>
    </row>
    <row r="52823" spans="32:32" x14ac:dyDescent="0.2">
      <c r="AF52823" s="12"/>
    </row>
    <row r="52824" spans="32:32" x14ac:dyDescent="0.2">
      <c r="AF52824" s="12"/>
    </row>
    <row r="52825" spans="32:32" x14ac:dyDescent="0.2">
      <c r="AF52825" s="12"/>
    </row>
    <row r="52826" spans="32:32" x14ac:dyDescent="0.2">
      <c r="AF52826" s="12"/>
    </row>
    <row r="52827" spans="32:32" x14ac:dyDescent="0.2">
      <c r="AF52827" s="12"/>
    </row>
    <row r="52828" spans="32:32" x14ac:dyDescent="0.2">
      <c r="AF52828" s="12"/>
    </row>
    <row r="52829" spans="32:32" x14ac:dyDescent="0.2">
      <c r="AF52829" s="12"/>
    </row>
    <row r="52830" spans="32:32" x14ac:dyDescent="0.2">
      <c r="AF52830" s="12"/>
    </row>
    <row r="52831" spans="32:32" x14ac:dyDescent="0.2">
      <c r="AF52831" s="12"/>
    </row>
    <row r="52832" spans="32:32" x14ac:dyDescent="0.2">
      <c r="AF52832" s="12"/>
    </row>
    <row r="52833" spans="32:32" x14ac:dyDescent="0.2">
      <c r="AF52833" s="12"/>
    </row>
    <row r="52834" spans="32:32" x14ac:dyDescent="0.2">
      <c r="AF52834" s="12"/>
    </row>
    <row r="52835" spans="32:32" x14ac:dyDescent="0.2">
      <c r="AF52835" s="12"/>
    </row>
    <row r="52836" spans="32:32" x14ac:dyDescent="0.2">
      <c r="AF52836" s="12"/>
    </row>
    <row r="52837" spans="32:32" x14ac:dyDescent="0.2">
      <c r="AF52837" s="12"/>
    </row>
    <row r="52838" spans="32:32" x14ac:dyDescent="0.2">
      <c r="AF52838" s="12"/>
    </row>
    <row r="52839" spans="32:32" x14ac:dyDescent="0.2">
      <c r="AF52839" s="12"/>
    </row>
    <row r="52840" spans="32:32" x14ac:dyDescent="0.2">
      <c r="AF52840" s="12"/>
    </row>
    <row r="52841" spans="32:32" x14ac:dyDescent="0.2">
      <c r="AF52841" s="12"/>
    </row>
    <row r="52842" spans="32:32" x14ac:dyDescent="0.2">
      <c r="AF52842" s="12"/>
    </row>
    <row r="52843" spans="32:32" x14ac:dyDescent="0.2">
      <c r="AF52843" s="12"/>
    </row>
    <row r="52844" spans="32:32" x14ac:dyDescent="0.2">
      <c r="AF52844" s="12"/>
    </row>
    <row r="52845" spans="32:32" x14ac:dyDescent="0.2">
      <c r="AF52845" s="12"/>
    </row>
    <row r="52846" spans="32:32" x14ac:dyDescent="0.2">
      <c r="AF52846" s="12"/>
    </row>
    <row r="52847" spans="32:32" x14ac:dyDescent="0.2">
      <c r="AF52847" s="12"/>
    </row>
    <row r="52848" spans="32:32" x14ac:dyDescent="0.2">
      <c r="AF52848" s="12"/>
    </row>
    <row r="52849" spans="32:32" x14ac:dyDescent="0.2">
      <c r="AF52849" s="12"/>
    </row>
    <row r="52850" spans="32:32" x14ac:dyDescent="0.2">
      <c r="AF52850" s="12"/>
    </row>
    <row r="52851" spans="32:32" x14ac:dyDescent="0.2">
      <c r="AF52851" s="12"/>
    </row>
    <row r="52852" spans="32:32" x14ac:dyDescent="0.2">
      <c r="AF52852" s="12"/>
    </row>
    <row r="52853" spans="32:32" x14ac:dyDescent="0.2">
      <c r="AF52853" s="12"/>
    </row>
    <row r="52854" spans="32:32" x14ac:dyDescent="0.2">
      <c r="AF52854" s="12"/>
    </row>
    <row r="52855" spans="32:32" x14ac:dyDescent="0.2">
      <c r="AF52855" s="12"/>
    </row>
    <row r="52856" spans="32:32" x14ac:dyDescent="0.2">
      <c r="AF52856" s="12"/>
    </row>
    <row r="52857" spans="32:32" x14ac:dyDescent="0.2">
      <c r="AF52857" s="12"/>
    </row>
    <row r="52858" spans="32:32" x14ac:dyDescent="0.2">
      <c r="AF52858" s="12"/>
    </row>
    <row r="52859" spans="32:32" x14ac:dyDescent="0.2">
      <c r="AF52859" s="12"/>
    </row>
    <row r="52860" spans="32:32" x14ac:dyDescent="0.2">
      <c r="AF52860" s="12"/>
    </row>
    <row r="52861" spans="32:32" x14ac:dyDescent="0.2">
      <c r="AF52861" s="12"/>
    </row>
    <row r="52862" spans="32:32" x14ac:dyDescent="0.2">
      <c r="AF52862" s="12"/>
    </row>
    <row r="52863" spans="32:32" x14ac:dyDescent="0.2">
      <c r="AF52863" s="12"/>
    </row>
    <row r="52864" spans="32:32" x14ac:dyDescent="0.2">
      <c r="AF52864" s="12"/>
    </row>
    <row r="52865" spans="32:32" x14ac:dyDescent="0.2">
      <c r="AF52865" s="12"/>
    </row>
    <row r="52866" spans="32:32" x14ac:dyDescent="0.2">
      <c r="AF52866" s="12"/>
    </row>
    <row r="52867" spans="32:32" x14ac:dyDescent="0.2">
      <c r="AF52867" s="12"/>
    </row>
    <row r="52868" spans="32:32" x14ac:dyDescent="0.2">
      <c r="AF52868" s="12"/>
    </row>
    <row r="52869" spans="32:32" x14ac:dyDescent="0.2">
      <c r="AF52869" s="12"/>
    </row>
    <row r="52870" spans="32:32" x14ac:dyDescent="0.2">
      <c r="AF52870" s="12"/>
    </row>
    <row r="52871" spans="32:32" x14ac:dyDescent="0.2">
      <c r="AF52871" s="12"/>
    </row>
    <row r="52872" spans="32:32" x14ac:dyDescent="0.2">
      <c r="AF52872" s="12"/>
    </row>
    <row r="52873" spans="32:32" x14ac:dyDescent="0.2">
      <c r="AF52873" s="12"/>
    </row>
    <row r="52874" spans="32:32" x14ac:dyDescent="0.2">
      <c r="AF52874" s="12"/>
    </row>
    <row r="52875" spans="32:32" x14ac:dyDescent="0.2">
      <c r="AF52875" s="12"/>
    </row>
    <row r="52876" spans="32:32" x14ac:dyDescent="0.2">
      <c r="AF52876" s="12"/>
    </row>
    <row r="52877" spans="32:32" x14ac:dyDescent="0.2">
      <c r="AF52877" s="12"/>
    </row>
    <row r="52878" spans="32:32" x14ac:dyDescent="0.2">
      <c r="AF52878" s="12"/>
    </row>
    <row r="52879" spans="32:32" x14ac:dyDescent="0.2">
      <c r="AF52879" s="12"/>
    </row>
    <row r="52880" spans="32:32" x14ac:dyDescent="0.2">
      <c r="AF52880" s="12"/>
    </row>
    <row r="52881" spans="32:32" x14ac:dyDescent="0.2">
      <c r="AF52881" s="12"/>
    </row>
    <row r="52882" spans="32:32" x14ac:dyDescent="0.2">
      <c r="AF52882" s="12"/>
    </row>
    <row r="52883" spans="32:32" x14ac:dyDescent="0.2">
      <c r="AF52883" s="12"/>
    </row>
    <row r="52884" spans="32:32" x14ac:dyDescent="0.2">
      <c r="AF52884" s="12"/>
    </row>
    <row r="52885" spans="32:32" x14ac:dyDescent="0.2">
      <c r="AF52885" s="12"/>
    </row>
    <row r="52886" spans="32:32" x14ac:dyDescent="0.2">
      <c r="AF52886" s="12"/>
    </row>
    <row r="52887" spans="32:32" x14ac:dyDescent="0.2">
      <c r="AF52887" s="12"/>
    </row>
    <row r="52888" spans="32:32" x14ac:dyDescent="0.2">
      <c r="AF52888" s="12"/>
    </row>
    <row r="52889" spans="32:32" x14ac:dyDescent="0.2">
      <c r="AF52889" s="12"/>
    </row>
    <row r="52890" spans="32:32" x14ac:dyDescent="0.2">
      <c r="AF52890" s="12"/>
    </row>
    <row r="52891" spans="32:32" x14ac:dyDescent="0.2">
      <c r="AF52891" s="12"/>
    </row>
    <row r="52892" spans="32:32" x14ac:dyDescent="0.2">
      <c r="AF52892" s="12"/>
    </row>
    <row r="52893" spans="32:32" x14ac:dyDescent="0.2">
      <c r="AF52893" s="12"/>
    </row>
    <row r="52894" spans="32:32" x14ac:dyDescent="0.2">
      <c r="AF52894" s="12"/>
    </row>
    <row r="52895" spans="32:32" x14ac:dyDescent="0.2">
      <c r="AF52895" s="12"/>
    </row>
    <row r="52896" spans="32:32" x14ac:dyDescent="0.2">
      <c r="AF52896" s="12"/>
    </row>
    <row r="52897" spans="32:32" x14ac:dyDescent="0.2">
      <c r="AF52897" s="12"/>
    </row>
    <row r="52898" spans="32:32" x14ac:dyDescent="0.2">
      <c r="AF52898" s="12"/>
    </row>
    <row r="52899" spans="32:32" x14ac:dyDescent="0.2">
      <c r="AF52899" s="12"/>
    </row>
    <row r="52900" spans="32:32" x14ac:dyDescent="0.2">
      <c r="AF52900" s="12"/>
    </row>
    <row r="52901" spans="32:32" x14ac:dyDescent="0.2">
      <c r="AF52901" s="12"/>
    </row>
    <row r="52902" spans="32:32" x14ac:dyDescent="0.2">
      <c r="AF52902" s="12"/>
    </row>
    <row r="52903" spans="32:32" x14ac:dyDescent="0.2">
      <c r="AF52903" s="12"/>
    </row>
    <row r="52904" spans="32:32" x14ac:dyDescent="0.2">
      <c r="AF52904" s="12"/>
    </row>
    <row r="52905" spans="32:32" x14ac:dyDescent="0.2">
      <c r="AF52905" s="12"/>
    </row>
    <row r="52906" spans="32:32" x14ac:dyDescent="0.2">
      <c r="AF52906" s="12"/>
    </row>
    <row r="52907" spans="32:32" x14ac:dyDescent="0.2">
      <c r="AF52907" s="12"/>
    </row>
    <row r="52908" spans="32:32" x14ac:dyDescent="0.2">
      <c r="AF52908" s="12"/>
    </row>
    <row r="52909" spans="32:32" x14ac:dyDescent="0.2">
      <c r="AF52909" s="12"/>
    </row>
    <row r="52910" spans="32:32" x14ac:dyDescent="0.2">
      <c r="AF52910" s="12"/>
    </row>
    <row r="52911" spans="32:32" x14ac:dyDescent="0.2">
      <c r="AF52911" s="12"/>
    </row>
    <row r="52912" spans="32:32" x14ac:dyDescent="0.2">
      <c r="AF52912" s="12"/>
    </row>
    <row r="52913" spans="32:32" x14ac:dyDescent="0.2">
      <c r="AF52913" s="12"/>
    </row>
    <row r="52914" spans="32:32" x14ac:dyDescent="0.2">
      <c r="AF52914" s="12"/>
    </row>
    <row r="52915" spans="32:32" x14ac:dyDescent="0.2">
      <c r="AF52915" s="12"/>
    </row>
    <row r="52916" spans="32:32" x14ac:dyDescent="0.2">
      <c r="AF52916" s="12"/>
    </row>
    <row r="52917" spans="32:32" x14ac:dyDescent="0.2">
      <c r="AF52917" s="12"/>
    </row>
    <row r="52918" spans="32:32" x14ac:dyDescent="0.2">
      <c r="AF52918" s="12"/>
    </row>
    <row r="52919" spans="32:32" x14ac:dyDescent="0.2">
      <c r="AF52919" s="12"/>
    </row>
    <row r="52920" spans="32:32" x14ac:dyDescent="0.2">
      <c r="AF52920" s="12"/>
    </row>
    <row r="52921" spans="32:32" x14ac:dyDescent="0.2">
      <c r="AF52921" s="12"/>
    </row>
    <row r="52922" spans="32:32" x14ac:dyDescent="0.2">
      <c r="AF52922" s="12"/>
    </row>
    <row r="52923" spans="32:32" x14ac:dyDescent="0.2">
      <c r="AF52923" s="12"/>
    </row>
    <row r="52924" spans="32:32" x14ac:dyDescent="0.2">
      <c r="AF52924" s="12"/>
    </row>
    <row r="52925" spans="32:32" x14ac:dyDescent="0.2">
      <c r="AF52925" s="12"/>
    </row>
    <row r="52926" spans="32:32" x14ac:dyDescent="0.2">
      <c r="AF52926" s="12"/>
    </row>
    <row r="52927" spans="32:32" x14ac:dyDescent="0.2">
      <c r="AF52927" s="12"/>
    </row>
    <row r="52928" spans="32:32" x14ac:dyDescent="0.2">
      <c r="AF52928" s="12"/>
    </row>
    <row r="52929" spans="32:32" x14ac:dyDescent="0.2">
      <c r="AF52929" s="12"/>
    </row>
    <row r="52930" spans="32:32" x14ac:dyDescent="0.2">
      <c r="AF52930" s="12"/>
    </row>
    <row r="52931" spans="32:32" x14ac:dyDescent="0.2">
      <c r="AF52931" s="12"/>
    </row>
    <row r="52932" spans="32:32" x14ac:dyDescent="0.2">
      <c r="AF52932" s="12"/>
    </row>
    <row r="52933" spans="32:32" x14ac:dyDescent="0.2">
      <c r="AF52933" s="12"/>
    </row>
    <row r="52934" spans="32:32" x14ac:dyDescent="0.2">
      <c r="AF52934" s="12"/>
    </row>
    <row r="52935" spans="32:32" x14ac:dyDescent="0.2">
      <c r="AF52935" s="12"/>
    </row>
    <row r="52936" spans="32:32" x14ac:dyDescent="0.2">
      <c r="AF52936" s="12"/>
    </row>
    <row r="52937" spans="32:32" x14ac:dyDescent="0.2">
      <c r="AF52937" s="12"/>
    </row>
    <row r="52938" spans="32:32" x14ac:dyDescent="0.2">
      <c r="AF52938" s="12"/>
    </row>
    <row r="52939" spans="32:32" x14ac:dyDescent="0.2">
      <c r="AF52939" s="12"/>
    </row>
    <row r="52940" spans="32:32" x14ac:dyDescent="0.2">
      <c r="AF52940" s="12"/>
    </row>
    <row r="52941" spans="32:32" x14ac:dyDescent="0.2">
      <c r="AF52941" s="12"/>
    </row>
    <row r="52942" spans="32:32" x14ac:dyDescent="0.2">
      <c r="AF52942" s="12"/>
    </row>
    <row r="52943" spans="32:32" x14ac:dyDescent="0.2">
      <c r="AF52943" s="12"/>
    </row>
    <row r="52944" spans="32:32" x14ac:dyDescent="0.2">
      <c r="AF52944" s="12"/>
    </row>
    <row r="52945" spans="32:32" x14ac:dyDescent="0.2">
      <c r="AF52945" s="12"/>
    </row>
    <row r="52946" spans="32:32" x14ac:dyDescent="0.2">
      <c r="AF52946" s="12"/>
    </row>
    <row r="52947" spans="32:32" x14ac:dyDescent="0.2">
      <c r="AF52947" s="12"/>
    </row>
    <row r="52948" spans="32:32" x14ac:dyDescent="0.2">
      <c r="AF52948" s="12"/>
    </row>
    <row r="52949" spans="32:32" x14ac:dyDescent="0.2">
      <c r="AF52949" s="12"/>
    </row>
    <row r="52950" spans="32:32" x14ac:dyDescent="0.2">
      <c r="AF52950" s="12"/>
    </row>
    <row r="52951" spans="32:32" x14ac:dyDescent="0.2">
      <c r="AF52951" s="12"/>
    </row>
    <row r="52952" spans="32:32" x14ac:dyDescent="0.2">
      <c r="AF52952" s="12"/>
    </row>
    <row r="52953" spans="32:32" x14ac:dyDescent="0.2">
      <c r="AF52953" s="12"/>
    </row>
    <row r="52954" spans="32:32" x14ac:dyDescent="0.2">
      <c r="AF52954" s="12"/>
    </row>
    <row r="52955" spans="32:32" x14ac:dyDescent="0.2">
      <c r="AF52955" s="12"/>
    </row>
    <row r="52956" spans="32:32" x14ac:dyDescent="0.2">
      <c r="AF52956" s="12"/>
    </row>
    <row r="52957" spans="32:32" x14ac:dyDescent="0.2">
      <c r="AF52957" s="12"/>
    </row>
    <row r="52958" spans="32:32" x14ac:dyDescent="0.2">
      <c r="AF52958" s="12"/>
    </row>
    <row r="52959" spans="32:32" x14ac:dyDescent="0.2">
      <c r="AF52959" s="12"/>
    </row>
    <row r="52960" spans="32:32" x14ac:dyDescent="0.2">
      <c r="AF52960" s="12"/>
    </row>
    <row r="52961" spans="32:32" x14ac:dyDescent="0.2">
      <c r="AF52961" s="12"/>
    </row>
    <row r="52962" spans="32:32" x14ac:dyDescent="0.2">
      <c r="AF52962" s="12"/>
    </row>
    <row r="52963" spans="32:32" x14ac:dyDescent="0.2">
      <c r="AF52963" s="12"/>
    </row>
    <row r="52964" spans="32:32" x14ac:dyDescent="0.2">
      <c r="AF52964" s="12"/>
    </row>
    <row r="52965" spans="32:32" x14ac:dyDescent="0.2">
      <c r="AF52965" s="12"/>
    </row>
    <row r="52966" spans="32:32" x14ac:dyDescent="0.2">
      <c r="AF52966" s="12"/>
    </row>
    <row r="52967" spans="32:32" x14ac:dyDescent="0.2">
      <c r="AF52967" s="12"/>
    </row>
    <row r="52968" spans="32:32" x14ac:dyDescent="0.2">
      <c r="AF52968" s="12"/>
    </row>
    <row r="52969" spans="32:32" x14ac:dyDescent="0.2">
      <c r="AF52969" s="12"/>
    </row>
    <row r="52970" spans="32:32" x14ac:dyDescent="0.2">
      <c r="AF52970" s="12"/>
    </row>
    <row r="52971" spans="32:32" x14ac:dyDescent="0.2">
      <c r="AF52971" s="12"/>
    </row>
    <row r="52972" spans="32:32" x14ac:dyDescent="0.2">
      <c r="AF52972" s="12"/>
    </row>
    <row r="52973" spans="32:32" x14ac:dyDescent="0.2">
      <c r="AF52973" s="12"/>
    </row>
    <row r="52974" spans="32:32" x14ac:dyDescent="0.2">
      <c r="AF52974" s="12"/>
    </row>
    <row r="52975" spans="32:32" x14ac:dyDescent="0.2">
      <c r="AF52975" s="12"/>
    </row>
    <row r="52976" spans="32:32" x14ac:dyDescent="0.2">
      <c r="AF52976" s="12"/>
    </row>
    <row r="52977" spans="32:32" x14ac:dyDescent="0.2">
      <c r="AF52977" s="12"/>
    </row>
    <row r="52978" spans="32:32" x14ac:dyDescent="0.2">
      <c r="AF52978" s="12"/>
    </row>
    <row r="52979" spans="32:32" x14ac:dyDescent="0.2">
      <c r="AF52979" s="12"/>
    </row>
    <row r="52980" spans="32:32" x14ac:dyDescent="0.2">
      <c r="AF52980" s="12"/>
    </row>
    <row r="52981" spans="32:32" x14ac:dyDescent="0.2">
      <c r="AF52981" s="12"/>
    </row>
    <row r="52982" spans="32:32" x14ac:dyDescent="0.2">
      <c r="AF52982" s="12"/>
    </row>
    <row r="52983" spans="32:32" x14ac:dyDescent="0.2">
      <c r="AF52983" s="12"/>
    </row>
    <row r="52984" spans="32:32" x14ac:dyDescent="0.2">
      <c r="AF52984" s="12"/>
    </row>
    <row r="52985" spans="32:32" x14ac:dyDescent="0.2">
      <c r="AF52985" s="12"/>
    </row>
    <row r="52986" spans="32:32" x14ac:dyDescent="0.2">
      <c r="AF52986" s="12"/>
    </row>
    <row r="52987" spans="32:32" x14ac:dyDescent="0.2">
      <c r="AF52987" s="12"/>
    </row>
    <row r="52988" spans="32:32" x14ac:dyDescent="0.2">
      <c r="AF52988" s="12"/>
    </row>
    <row r="52989" spans="32:32" x14ac:dyDescent="0.2">
      <c r="AF52989" s="12"/>
    </row>
    <row r="52990" spans="32:32" x14ac:dyDescent="0.2">
      <c r="AF52990" s="12"/>
    </row>
    <row r="52991" spans="32:32" x14ac:dyDescent="0.2">
      <c r="AF52991" s="12"/>
    </row>
    <row r="52992" spans="32:32" x14ac:dyDescent="0.2">
      <c r="AF52992" s="12"/>
    </row>
    <row r="52993" spans="32:32" x14ac:dyDescent="0.2">
      <c r="AF52993" s="12"/>
    </row>
    <row r="52994" spans="32:32" x14ac:dyDescent="0.2">
      <c r="AF52994" s="12"/>
    </row>
    <row r="52995" spans="32:32" x14ac:dyDescent="0.2">
      <c r="AF52995" s="12"/>
    </row>
    <row r="52996" spans="32:32" x14ac:dyDescent="0.2">
      <c r="AF52996" s="12"/>
    </row>
    <row r="52997" spans="32:32" x14ac:dyDescent="0.2">
      <c r="AF52997" s="12"/>
    </row>
    <row r="52998" spans="32:32" x14ac:dyDescent="0.2">
      <c r="AF52998" s="12"/>
    </row>
    <row r="52999" spans="32:32" x14ac:dyDescent="0.2">
      <c r="AF52999" s="12"/>
    </row>
    <row r="53000" spans="32:32" x14ac:dyDescent="0.2">
      <c r="AF53000" s="12"/>
    </row>
    <row r="53001" spans="32:32" x14ac:dyDescent="0.2">
      <c r="AF53001" s="12"/>
    </row>
    <row r="53002" spans="32:32" x14ac:dyDescent="0.2">
      <c r="AF53002" s="12"/>
    </row>
    <row r="53003" spans="32:32" x14ac:dyDescent="0.2">
      <c r="AF53003" s="12"/>
    </row>
    <row r="53004" spans="32:32" x14ac:dyDescent="0.2">
      <c r="AF53004" s="12"/>
    </row>
    <row r="53005" spans="32:32" x14ac:dyDescent="0.2">
      <c r="AF53005" s="12"/>
    </row>
    <row r="53006" spans="32:32" x14ac:dyDescent="0.2">
      <c r="AF53006" s="12"/>
    </row>
    <row r="53007" spans="32:32" x14ac:dyDescent="0.2">
      <c r="AF53007" s="12"/>
    </row>
    <row r="53008" spans="32:32" x14ac:dyDescent="0.2">
      <c r="AF53008" s="12"/>
    </row>
    <row r="53009" spans="32:32" x14ac:dyDescent="0.2">
      <c r="AF53009" s="12"/>
    </row>
    <row r="53010" spans="32:32" x14ac:dyDescent="0.2">
      <c r="AF53010" s="12"/>
    </row>
    <row r="53011" spans="32:32" x14ac:dyDescent="0.2">
      <c r="AF53011" s="12"/>
    </row>
    <row r="53012" spans="32:32" x14ac:dyDescent="0.2">
      <c r="AF53012" s="12"/>
    </row>
    <row r="53013" spans="32:32" x14ac:dyDescent="0.2">
      <c r="AF53013" s="12"/>
    </row>
    <row r="53014" spans="32:32" x14ac:dyDescent="0.2">
      <c r="AF53014" s="12"/>
    </row>
    <row r="53015" spans="32:32" x14ac:dyDescent="0.2">
      <c r="AF53015" s="12"/>
    </row>
    <row r="53016" spans="32:32" x14ac:dyDescent="0.2">
      <c r="AF53016" s="12"/>
    </row>
    <row r="53017" spans="32:32" x14ac:dyDescent="0.2">
      <c r="AF53017" s="12"/>
    </row>
    <row r="53018" spans="32:32" x14ac:dyDescent="0.2">
      <c r="AF53018" s="12"/>
    </row>
    <row r="53019" spans="32:32" x14ac:dyDescent="0.2">
      <c r="AF53019" s="12"/>
    </row>
    <row r="53020" spans="32:32" x14ac:dyDescent="0.2">
      <c r="AF53020" s="12"/>
    </row>
    <row r="53021" spans="32:32" x14ac:dyDescent="0.2">
      <c r="AF53021" s="12"/>
    </row>
    <row r="53022" spans="32:32" x14ac:dyDescent="0.2">
      <c r="AF53022" s="12"/>
    </row>
    <row r="53023" spans="32:32" x14ac:dyDescent="0.2">
      <c r="AF53023" s="12"/>
    </row>
    <row r="53024" spans="32:32" x14ac:dyDescent="0.2">
      <c r="AF53024" s="12"/>
    </row>
    <row r="53025" spans="32:32" x14ac:dyDescent="0.2">
      <c r="AF53025" s="12"/>
    </row>
    <row r="53026" spans="32:32" x14ac:dyDescent="0.2">
      <c r="AF53026" s="12"/>
    </row>
    <row r="53027" spans="32:32" x14ac:dyDescent="0.2">
      <c r="AF53027" s="12"/>
    </row>
    <row r="53028" spans="32:32" x14ac:dyDescent="0.2">
      <c r="AF53028" s="12"/>
    </row>
    <row r="53029" spans="32:32" x14ac:dyDescent="0.2">
      <c r="AF53029" s="12"/>
    </row>
    <row r="53030" spans="32:32" x14ac:dyDescent="0.2">
      <c r="AF53030" s="12"/>
    </row>
    <row r="53031" spans="32:32" x14ac:dyDescent="0.2">
      <c r="AF53031" s="12"/>
    </row>
    <row r="53032" spans="32:32" x14ac:dyDescent="0.2">
      <c r="AF53032" s="12"/>
    </row>
    <row r="53033" spans="32:32" x14ac:dyDescent="0.2">
      <c r="AF53033" s="12"/>
    </row>
    <row r="53034" spans="32:32" x14ac:dyDescent="0.2">
      <c r="AF53034" s="12"/>
    </row>
    <row r="53035" spans="32:32" x14ac:dyDescent="0.2">
      <c r="AF53035" s="12"/>
    </row>
    <row r="53036" spans="32:32" x14ac:dyDescent="0.2">
      <c r="AF53036" s="12"/>
    </row>
    <row r="53037" spans="32:32" x14ac:dyDescent="0.2">
      <c r="AF53037" s="12"/>
    </row>
    <row r="53038" spans="32:32" x14ac:dyDescent="0.2">
      <c r="AF53038" s="12"/>
    </row>
    <row r="53039" spans="32:32" x14ac:dyDescent="0.2">
      <c r="AF53039" s="12"/>
    </row>
    <row r="53040" spans="32:32" x14ac:dyDescent="0.2">
      <c r="AF53040" s="12"/>
    </row>
    <row r="53041" spans="32:32" x14ac:dyDescent="0.2">
      <c r="AF53041" s="12"/>
    </row>
    <row r="53042" spans="32:32" x14ac:dyDescent="0.2">
      <c r="AF53042" s="12"/>
    </row>
    <row r="53043" spans="32:32" x14ac:dyDescent="0.2">
      <c r="AF53043" s="12"/>
    </row>
    <row r="53044" spans="32:32" x14ac:dyDescent="0.2">
      <c r="AF53044" s="12"/>
    </row>
    <row r="53045" spans="32:32" x14ac:dyDescent="0.2">
      <c r="AF53045" s="12"/>
    </row>
    <row r="53046" spans="32:32" x14ac:dyDescent="0.2">
      <c r="AF53046" s="12"/>
    </row>
    <row r="53047" spans="32:32" x14ac:dyDescent="0.2">
      <c r="AF53047" s="12"/>
    </row>
    <row r="53048" spans="32:32" x14ac:dyDescent="0.2">
      <c r="AF53048" s="12"/>
    </row>
    <row r="53049" spans="32:32" x14ac:dyDescent="0.2">
      <c r="AF53049" s="12"/>
    </row>
    <row r="53050" spans="32:32" x14ac:dyDescent="0.2">
      <c r="AF53050" s="12"/>
    </row>
    <row r="53051" spans="32:32" x14ac:dyDescent="0.2">
      <c r="AF53051" s="12"/>
    </row>
    <row r="53052" spans="32:32" x14ac:dyDescent="0.2">
      <c r="AF53052" s="12"/>
    </row>
    <row r="53053" spans="32:32" x14ac:dyDescent="0.2">
      <c r="AF53053" s="12"/>
    </row>
    <row r="53054" spans="32:32" x14ac:dyDescent="0.2">
      <c r="AF53054" s="12"/>
    </row>
    <row r="53055" spans="32:32" x14ac:dyDescent="0.2">
      <c r="AF53055" s="12"/>
    </row>
    <row r="53056" spans="32:32" x14ac:dyDescent="0.2">
      <c r="AF53056" s="12"/>
    </row>
    <row r="53057" spans="32:32" x14ac:dyDescent="0.2">
      <c r="AF53057" s="12"/>
    </row>
    <row r="53058" spans="32:32" x14ac:dyDescent="0.2">
      <c r="AF53058" s="12"/>
    </row>
    <row r="53059" spans="32:32" x14ac:dyDescent="0.2">
      <c r="AF53059" s="12"/>
    </row>
    <row r="53060" spans="32:32" x14ac:dyDescent="0.2">
      <c r="AF53060" s="12"/>
    </row>
    <row r="53061" spans="32:32" x14ac:dyDescent="0.2">
      <c r="AF53061" s="12"/>
    </row>
    <row r="53062" spans="32:32" x14ac:dyDescent="0.2">
      <c r="AF53062" s="12"/>
    </row>
    <row r="53063" spans="32:32" x14ac:dyDescent="0.2">
      <c r="AF53063" s="12"/>
    </row>
    <row r="53064" spans="32:32" x14ac:dyDescent="0.2">
      <c r="AF53064" s="12"/>
    </row>
    <row r="53065" spans="32:32" x14ac:dyDescent="0.2">
      <c r="AF53065" s="12"/>
    </row>
    <row r="53066" spans="32:32" x14ac:dyDescent="0.2">
      <c r="AF53066" s="12"/>
    </row>
    <row r="53067" spans="32:32" x14ac:dyDescent="0.2">
      <c r="AF53067" s="12"/>
    </row>
    <row r="53068" spans="32:32" x14ac:dyDescent="0.2">
      <c r="AF53068" s="12"/>
    </row>
    <row r="53069" spans="32:32" x14ac:dyDescent="0.2">
      <c r="AF53069" s="12"/>
    </row>
    <row r="53070" spans="32:32" x14ac:dyDescent="0.2">
      <c r="AF53070" s="12"/>
    </row>
    <row r="53071" spans="32:32" x14ac:dyDescent="0.2">
      <c r="AF53071" s="12"/>
    </row>
    <row r="53072" spans="32:32" x14ac:dyDescent="0.2">
      <c r="AF53072" s="12"/>
    </row>
    <row r="53073" spans="32:32" x14ac:dyDescent="0.2">
      <c r="AF53073" s="12"/>
    </row>
    <row r="53074" spans="32:32" x14ac:dyDescent="0.2">
      <c r="AF53074" s="12"/>
    </row>
    <row r="53075" spans="32:32" x14ac:dyDescent="0.2">
      <c r="AF53075" s="12"/>
    </row>
    <row r="53076" spans="32:32" x14ac:dyDescent="0.2">
      <c r="AF53076" s="12"/>
    </row>
    <row r="53077" spans="32:32" x14ac:dyDescent="0.2">
      <c r="AF53077" s="12"/>
    </row>
    <row r="53078" spans="32:32" x14ac:dyDescent="0.2">
      <c r="AF53078" s="12"/>
    </row>
    <row r="53079" spans="32:32" x14ac:dyDescent="0.2">
      <c r="AF53079" s="12"/>
    </row>
    <row r="53080" spans="32:32" x14ac:dyDescent="0.2">
      <c r="AF53080" s="12"/>
    </row>
    <row r="53081" spans="32:32" x14ac:dyDescent="0.2">
      <c r="AF53081" s="12"/>
    </row>
    <row r="53082" spans="32:32" x14ac:dyDescent="0.2">
      <c r="AF53082" s="12"/>
    </row>
    <row r="53083" spans="32:32" x14ac:dyDescent="0.2">
      <c r="AF53083" s="12"/>
    </row>
    <row r="53084" spans="32:32" x14ac:dyDescent="0.2">
      <c r="AF53084" s="12"/>
    </row>
    <row r="53085" spans="32:32" x14ac:dyDescent="0.2">
      <c r="AF53085" s="12"/>
    </row>
    <row r="53086" spans="32:32" x14ac:dyDescent="0.2">
      <c r="AF53086" s="12"/>
    </row>
    <row r="53087" spans="32:32" x14ac:dyDescent="0.2">
      <c r="AF53087" s="12"/>
    </row>
    <row r="53088" spans="32:32" x14ac:dyDescent="0.2">
      <c r="AF53088" s="12"/>
    </row>
    <row r="53089" spans="32:32" x14ac:dyDescent="0.2">
      <c r="AF53089" s="12"/>
    </row>
    <row r="53090" spans="32:32" x14ac:dyDescent="0.2">
      <c r="AF53090" s="12"/>
    </row>
    <row r="53091" spans="32:32" x14ac:dyDescent="0.2">
      <c r="AF53091" s="12"/>
    </row>
    <row r="53092" spans="32:32" x14ac:dyDescent="0.2">
      <c r="AF53092" s="12"/>
    </row>
    <row r="53093" spans="32:32" x14ac:dyDescent="0.2">
      <c r="AF53093" s="12"/>
    </row>
    <row r="53094" spans="32:32" x14ac:dyDescent="0.2">
      <c r="AF53094" s="12"/>
    </row>
    <row r="53095" spans="32:32" x14ac:dyDescent="0.2">
      <c r="AF53095" s="12"/>
    </row>
    <row r="53096" spans="32:32" x14ac:dyDescent="0.2">
      <c r="AF53096" s="12"/>
    </row>
    <row r="53097" spans="32:32" x14ac:dyDescent="0.2">
      <c r="AF53097" s="12"/>
    </row>
    <row r="53098" spans="32:32" x14ac:dyDescent="0.2">
      <c r="AF53098" s="12"/>
    </row>
    <row r="53099" spans="32:32" x14ac:dyDescent="0.2">
      <c r="AF53099" s="12"/>
    </row>
    <row r="53100" spans="32:32" x14ac:dyDescent="0.2">
      <c r="AF53100" s="12"/>
    </row>
    <row r="53101" spans="32:32" x14ac:dyDescent="0.2">
      <c r="AF53101" s="12"/>
    </row>
    <row r="53102" spans="32:32" x14ac:dyDescent="0.2">
      <c r="AF53102" s="12"/>
    </row>
    <row r="53103" spans="32:32" x14ac:dyDescent="0.2">
      <c r="AF53103" s="12"/>
    </row>
    <row r="53104" spans="32:32" x14ac:dyDescent="0.2">
      <c r="AF53104" s="12"/>
    </row>
    <row r="53105" spans="32:32" x14ac:dyDescent="0.2">
      <c r="AF53105" s="12"/>
    </row>
    <row r="53106" spans="32:32" x14ac:dyDescent="0.2">
      <c r="AF53106" s="12"/>
    </row>
    <row r="53107" spans="32:32" x14ac:dyDescent="0.2">
      <c r="AF53107" s="12"/>
    </row>
    <row r="53108" spans="32:32" x14ac:dyDescent="0.2">
      <c r="AF53108" s="12"/>
    </row>
    <row r="53109" spans="32:32" x14ac:dyDescent="0.2">
      <c r="AF53109" s="12"/>
    </row>
    <row r="53110" spans="32:32" x14ac:dyDescent="0.2">
      <c r="AF53110" s="12"/>
    </row>
    <row r="53111" spans="32:32" x14ac:dyDescent="0.2">
      <c r="AF53111" s="12"/>
    </row>
    <row r="53112" spans="32:32" x14ac:dyDescent="0.2">
      <c r="AF53112" s="12"/>
    </row>
    <row r="53113" spans="32:32" x14ac:dyDescent="0.2">
      <c r="AF53113" s="12"/>
    </row>
    <row r="53114" spans="32:32" x14ac:dyDescent="0.2">
      <c r="AF53114" s="12"/>
    </row>
    <row r="53115" spans="32:32" x14ac:dyDescent="0.2">
      <c r="AF53115" s="12"/>
    </row>
    <row r="53116" spans="32:32" x14ac:dyDescent="0.2">
      <c r="AF53116" s="12"/>
    </row>
    <row r="53117" spans="32:32" x14ac:dyDescent="0.2">
      <c r="AF53117" s="12"/>
    </row>
    <row r="53118" spans="32:32" x14ac:dyDescent="0.2">
      <c r="AF53118" s="12"/>
    </row>
    <row r="53119" spans="32:32" x14ac:dyDescent="0.2">
      <c r="AF53119" s="12"/>
    </row>
    <row r="53120" spans="32:32" x14ac:dyDescent="0.2">
      <c r="AF53120" s="12"/>
    </row>
    <row r="53121" spans="32:32" x14ac:dyDescent="0.2">
      <c r="AF53121" s="12"/>
    </row>
    <row r="53122" spans="32:32" x14ac:dyDescent="0.2">
      <c r="AF53122" s="12"/>
    </row>
    <row r="53123" spans="32:32" x14ac:dyDescent="0.2">
      <c r="AF53123" s="12"/>
    </row>
    <row r="53124" spans="32:32" x14ac:dyDescent="0.2">
      <c r="AF53124" s="12"/>
    </row>
    <row r="53125" spans="32:32" x14ac:dyDescent="0.2">
      <c r="AF53125" s="12"/>
    </row>
    <row r="53126" spans="32:32" x14ac:dyDescent="0.2">
      <c r="AF53126" s="12"/>
    </row>
    <row r="53127" spans="32:32" x14ac:dyDescent="0.2">
      <c r="AF53127" s="12"/>
    </row>
    <row r="53128" spans="32:32" x14ac:dyDescent="0.2">
      <c r="AF53128" s="12"/>
    </row>
    <row r="53129" spans="32:32" x14ac:dyDescent="0.2">
      <c r="AF53129" s="12"/>
    </row>
    <row r="53130" spans="32:32" x14ac:dyDescent="0.2">
      <c r="AF53130" s="12"/>
    </row>
    <row r="53131" spans="32:32" x14ac:dyDescent="0.2">
      <c r="AF53131" s="12"/>
    </row>
    <row r="53132" spans="32:32" x14ac:dyDescent="0.2">
      <c r="AF53132" s="12"/>
    </row>
    <row r="53133" spans="32:32" x14ac:dyDescent="0.2">
      <c r="AF53133" s="12"/>
    </row>
    <row r="53134" spans="32:32" x14ac:dyDescent="0.2">
      <c r="AF53134" s="12"/>
    </row>
    <row r="53135" spans="32:32" x14ac:dyDescent="0.2">
      <c r="AF53135" s="12"/>
    </row>
    <row r="53136" spans="32:32" x14ac:dyDescent="0.2">
      <c r="AF53136" s="12"/>
    </row>
    <row r="53137" spans="32:32" x14ac:dyDescent="0.2">
      <c r="AF53137" s="12"/>
    </row>
    <row r="53138" spans="32:32" x14ac:dyDescent="0.2">
      <c r="AF53138" s="12"/>
    </row>
    <row r="53139" spans="32:32" x14ac:dyDescent="0.2">
      <c r="AF53139" s="12"/>
    </row>
    <row r="53140" spans="32:32" x14ac:dyDescent="0.2">
      <c r="AF53140" s="12"/>
    </row>
    <row r="53141" spans="32:32" x14ac:dyDescent="0.2">
      <c r="AF53141" s="12"/>
    </row>
    <row r="53142" spans="32:32" x14ac:dyDescent="0.2">
      <c r="AF53142" s="12"/>
    </row>
    <row r="53143" spans="32:32" x14ac:dyDescent="0.2">
      <c r="AF53143" s="12"/>
    </row>
    <row r="53144" spans="32:32" x14ac:dyDescent="0.2">
      <c r="AF53144" s="12"/>
    </row>
    <row r="53145" spans="32:32" x14ac:dyDescent="0.2">
      <c r="AF53145" s="12"/>
    </row>
    <row r="53146" spans="32:32" x14ac:dyDescent="0.2">
      <c r="AF53146" s="12"/>
    </row>
    <row r="53147" spans="32:32" x14ac:dyDescent="0.2">
      <c r="AF53147" s="12"/>
    </row>
    <row r="53148" spans="32:32" x14ac:dyDescent="0.2">
      <c r="AF53148" s="12"/>
    </row>
    <row r="53149" spans="32:32" x14ac:dyDescent="0.2">
      <c r="AF53149" s="12"/>
    </row>
    <row r="53150" spans="32:32" x14ac:dyDescent="0.2">
      <c r="AF53150" s="12"/>
    </row>
    <row r="53151" spans="32:32" x14ac:dyDescent="0.2">
      <c r="AF53151" s="12"/>
    </row>
    <row r="53152" spans="32:32" x14ac:dyDescent="0.2">
      <c r="AF53152" s="12"/>
    </row>
    <row r="53153" spans="32:32" x14ac:dyDescent="0.2">
      <c r="AF53153" s="12"/>
    </row>
    <row r="53154" spans="32:32" x14ac:dyDescent="0.2">
      <c r="AF53154" s="12"/>
    </row>
    <row r="53155" spans="32:32" x14ac:dyDescent="0.2">
      <c r="AF53155" s="12"/>
    </row>
    <row r="53156" spans="32:32" x14ac:dyDescent="0.2">
      <c r="AF53156" s="12"/>
    </row>
    <row r="53157" spans="32:32" x14ac:dyDescent="0.2">
      <c r="AF53157" s="12"/>
    </row>
    <row r="53158" spans="32:32" x14ac:dyDescent="0.2">
      <c r="AF53158" s="12"/>
    </row>
    <row r="53159" spans="32:32" x14ac:dyDescent="0.2">
      <c r="AF53159" s="12"/>
    </row>
    <row r="53160" spans="32:32" x14ac:dyDescent="0.2">
      <c r="AF53160" s="12"/>
    </row>
    <row r="53161" spans="32:32" x14ac:dyDescent="0.2">
      <c r="AF53161" s="12"/>
    </row>
    <row r="53162" spans="32:32" x14ac:dyDescent="0.2">
      <c r="AF53162" s="12"/>
    </row>
    <row r="53163" spans="32:32" x14ac:dyDescent="0.2">
      <c r="AF53163" s="12"/>
    </row>
    <row r="53164" spans="32:32" x14ac:dyDescent="0.2">
      <c r="AF53164" s="12"/>
    </row>
    <row r="53165" spans="32:32" x14ac:dyDescent="0.2">
      <c r="AF53165" s="12"/>
    </row>
    <row r="53166" spans="32:32" x14ac:dyDescent="0.2">
      <c r="AF53166" s="12"/>
    </row>
    <row r="53167" spans="32:32" x14ac:dyDescent="0.2">
      <c r="AF53167" s="12"/>
    </row>
    <row r="53168" spans="32:32" x14ac:dyDescent="0.2">
      <c r="AF53168" s="12"/>
    </row>
    <row r="53169" spans="32:32" x14ac:dyDescent="0.2">
      <c r="AF53169" s="12"/>
    </row>
    <row r="53170" spans="32:32" x14ac:dyDescent="0.2">
      <c r="AF53170" s="12"/>
    </row>
    <row r="53171" spans="32:32" x14ac:dyDescent="0.2">
      <c r="AF53171" s="12"/>
    </row>
    <row r="53172" spans="32:32" x14ac:dyDescent="0.2">
      <c r="AF53172" s="12"/>
    </row>
    <row r="53173" spans="32:32" x14ac:dyDescent="0.2">
      <c r="AF53173" s="12"/>
    </row>
    <row r="53174" spans="32:32" x14ac:dyDescent="0.2">
      <c r="AF53174" s="12"/>
    </row>
    <row r="53175" spans="32:32" x14ac:dyDescent="0.2">
      <c r="AF53175" s="12"/>
    </row>
    <row r="53176" spans="32:32" x14ac:dyDescent="0.2">
      <c r="AF53176" s="12"/>
    </row>
    <row r="53177" spans="32:32" x14ac:dyDescent="0.2">
      <c r="AF53177" s="12"/>
    </row>
    <row r="53178" spans="32:32" x14ac:dyDescent="0.2">
      <c r="AF53178" s="12"/>
    </row>
    <row r="53179" spans="32:32" x14ac:dyDescent="0.2">
      <c r="AF53179" s="12"/>
    </row>
    <row r="53180" spans="32:32" x14ac:dyDescent="0.2">
      <c r="AF53180" s="12"/>
    </row>
    <row r="53181" spans="32:32" x14ac:dyDescent="0.2">
      <c r="AF53181" s="12"/>
    </row>
    <row r="53182" spans="32:32" x14ac:dyDescent="0.2">
      <c r="AF53182" s="12"/>
    </row>
    <row r="53183" spans="32:32" x14ac:dyDescent="0.2">
      <c r="AF53183" s="12"/>
    </row>
    <row r="53184" spans="32:32" x14ac:dyDescent="0.2">
      <c r="AF53184" s="12"/>
    </row>
    <row r="53185" spans="32:32" x14ac:dyDescent="0.2">
      <c r="AF53185" s="12"/>
    </row>
    <row r="53186" spans="32:32" x14ac:dyDescent="0.2">
      <c r="AF53186" s="12"/>
    </row>
    <row r="53187" spans="32:32" x14ac:dyDescent="0.2">
      <c r="AF53187" s="12"/>
    </row>
    <row r="53188" spans="32:32" x14ac:dyDescent="0.2">
      <c r="AF53188" s="12"/>
    </row>
    <row r="53189" spans="32:32" x14ac:dyDescent="0.2">
      <c r="AF53189" s="12"/>
    </row>
    <row r="53190" spans="32:32" x14ac:dyDescent="0.2">
      <c r="AF53190" s="12"/>
    </row>
    <row r="53191" spans="32:32" x14ac:dyDescent="0.2">
      <c r="AF53191" s="12"/>
    </row>
    <row r="53192" spans="32:32" x14ac:dyDescent="0.2">
      <c r="AF53192" s="12"/>
    </row>
    <row r="53193" spans="32:32" x14ac:dyDescent="0.2">
      <c r="AF53193" s="12"/>
    </row>
    <row r="53194" spans="32:32" x14ac:dyDescent="0.2">
      <c r="AF53194" s="12"/>
    </row>
    <row r="53195" spans="32:32" x14ac:dyDescent="0.2">
      <c r="AF53195" s="12"/>
    </row>
    <row r="53196" spans="32:32" x14ac:dyDescent="0.2">
      <c r="AF53196" s="12"/>
    </row>
    <row r="53197" spans="32:32" x14ac:dyDescent="0.2">
      <c r="AF53197" s="12"/>
    </row>
    <row r="53198" spans="32:32" x14ac:dyDescent="0.2">
      <c r="AF53198" s="12"/>
    </row>
    <row r="53199" spans="32:32" x14ac:dyDescent="0.2">
      <c r="AF53199" s="12"/>
    </row>
    <row r="53200" spans="32:32" x14ac:dyDescent="0.2">
      <c r="AF53200" s="12"/>
    </row>
    <row r="53201" spans="32:32" x14ac:dyDescent="0.2">
      <c r="AF53201" s="12"/>
    </row>
    <row r="53202" spans="32:32" x14ac:dyDescent="0.2">
      <c r="AF53202" s="12"/>
    </row>
    <row r="53203" spans="32:32" x14ac:dyDescent="0.2">
      <c r="AF53203" s="12"/>
    </row>
    <row r="53204" spans="32:32" x14ac:dyDescent="0.2">
      <c r="AF53204" s="12"/>
    </row>
    <row r="53205" spans="32:32" x14ac:dyDescent="0.2">
      <c r="AF53205" s="12"/>
    </row>
    <row r="53206" spans="32:32" x14ac:dyDescent="0.2">
      <c r="AF53206" s="12"/>
    </row>
    <row r="53207" spans="32:32" x14ac:dyDescent="0.2">
      <c r="AF53207" s="12"/>
    </row>
    <row r="53208" spans="32:32" x14ac:dyDescent="0.2">
      <c r="AF53208" s="12"/>
    </row>
    <row r="53209" spans="32:32" x14ac:dyDescent="0.2">
      <c r="AF53209" s="12"/>
    </row>
    <row r="53210" spans="32:32" x14ac:dyDescent="0.2">
      <c r="AF53210" s="12"/>
    </row>
    <row r="53211" spans="32:32" x14ac:dyDescent="0.2">
      <c r="AF53211" s="12"/>
    </row>
    <row r="53212" spans="32:32" x14ac:dyDescent="0.2">
      <c r="AF53212" s="12"/>
    </row>
    <row r="53213" spans="32:32" x14ac:dyDescent="0.2">
      <c r="AF53213" s="12"/>
    </row>
    <row r="53214" spans="32:32" x14ac:dyDescent="0.2">
      <c r="AF53214" s="12"/>
    </row>
    <row r="53215" spans="32:32" x14ac:dyDescent="0.2">
      <c r="AF53215" s="12"/>
    </row>
    <row r="53216" spans="32:32" x14ac:dyDescent="0.2">
      <c r="AF53216" s="12"/>
    </row>
    <row r="53217" spans="32:32" x14ac:dyDescent="0.2">
      <c r="AF53217" s="12"/>
    </row>
    <row r="53218" spans="32:32" x14ac:dyDescent="0.2">
      <c r="AF53218" s="12"/>
    </row>
    <row r="53219" spans="32:32" x14ac:dyDescent="0.2">
      <c r="AF53219" s="12"/>
    </row>
    <row r="53220" spans="32:32" x14ac:dyDescent="0.2">
      <c r="AF53220" s="12"/>
    </row>
    <row r="53221" spans="32:32" x14ac:dyDescent="0.2">
      <c r="AF53221" s="12"/>
    </row>
    <row r="53222" spans="32:32" x14ac:dyDescent="0.2">
      <c r="AF53222" s="12"/>
    </row>
    <row r="53223" spans="32:32" x14ac:dyDescent="0.2">
      <c r="AF53223" s="12"/>
    </row>
    <row r="53224" spans="32:32" x14ac:dyDescent="0.2">
      <c r="AF53224" s="12"/>
    </row>
    <row r="53225" spans="32:32" x14ac:dyDescent="0.2">
      <c r="AF53225" s="12"/>
    </row>
    <row r="53226" spans="32:32" x14ac:dyDescent="0.2">
      <c r="AF53226" s="12"/>
    </row>
    <row r="53227" spans="32:32" x14ac:dyDescent="0.2">
      <c r="AF53227" s="12"/>
    </row>
    <row r="53228" spans="32:32" x14ac:dyDescent="0.2">
      <c r="AF53228" s="12"/>
    </row>
    <row r="53229" spans="32:32" x14ac:dyDescent="0.2">
      <c r="AF53229" s="12"/>
    </row>
    <row r="53230" spans="32:32" x14ac:dyDescent="0.2">
      <c r="AF53230" s="12"/>
    </row>
    <row r="53231" spans="32:32" x14ac:dyDescent="0.2">
      <c r="AF53231" s="12"/>
    </row>
    <row r="53232" spans="32:32" x14ac:dyDescent="0.2">
      <c r="AF53232" s="12"/>
    </row>
    <row r="53233" spans="32:32" x14ac:dyDescent="0.2">
      <c r="AF53233" s="12"/>
    </row>
    <row r="53234" spans="32:32" x14ac:dyDescent="0.2">
      <c r="AF53234" s="12"/>
    </row>
    <row r="53235" spans="32:32" x14ac:dyDescent="0.2">
      <c r="AF53235" s="12"/>
    </row>
    <row r="53236" spans="32:32" x14ac:dyDescent="0.2">
      <c r="AF53236" s="12"/>
    </row>
    <row r="53237" spans="32:32" x14ac:dyDescent="0.2">
      <c r="AF53237" s="12"/>
    </row>
    <row r="53238" spans="32:32" x14ac:dyDescent="0.2">
      <c r="AF53238" s="12"/>
    </row>
    <row r="53239" spans="32:32" x14ac:dyDescent="0.2">
      <c r="AF53239" s="12"/>
    </row>
    <row r="53240" spans="32:32" x14ac:dyDescent="0.2">
      <c r="AF53240" s="12"/>
    </row>
    <row r="53241" spans="32:32" x14ac:dyDescent="0.2">
      <c r="AF53241" s="12"/>
    </row>
    <row r="53242" spans="32:32" x14ac:dyDescent="0.2">
      <c r="AF53242" s="12"/>
    </row>
    <row r="53243" spans="32:32" x14ac:dyDescent="0.2">
      <c r="AF53243" s="12"/>
    </row>
    <row r="53244" spans="32:32" x14ac:dyDescent="0.2">
      <c r="AF53244" s="12"/>
    </row>
    <row r="53245" spans="32:32" x14ac:dyDescent="0.2">
      <c r="AF53245" s="12"/>
    </row>
    <row r="53246" spans="32:32" x14ac:dyDescent="0.2">
      <c r="AF53246" s="12"/>
    </row>
    <row r="53247" spans="32:32" x14ac:dyDescent="0.2">
      <c r="AF53247" s="12"/>
    </row>
    <row r="53248" spans="32:32" x14ac:dyDescent="0.2">
      <c r="AF53248" s="12"/>
    </row>
    <row r="53249" spans="32:32" x14ac:dyDescent="0.2">
      <c r="AF53249" s="12"/>
    </row>
    <row r="53250" spans="32:32" x14ac:dyDescent="0.2">
      <c r="AF53250" s="12"/>
    </row>
    <row r="53251" spans="32:32" x14ac:dyDescent="0.2">
      <c r="AF53251" s="12"/>
    </row>
    <row r="53252" spans="32:32" x14ac:dyDescent="0.2">
      <c r="AF53252" s="12"/>
    </row>
    <row r="53253" spans="32:32" x14ac:dyDescent="0.2">
      <c r="AF53253" s="12"/>
    </row>
    <row r="53254" spans="32:32" x14ac:dyDescent="0.2">
      <c r="AF53254" s="12"/>
    </row>
    <row r="53255" spans="32:32" x14ac:dyDescent="0.2">
      <c r="AF53255" s="12"/>
    </row>
    <row r="53256" spans="32:32" x14ac:dyDescent="0.2">
      <c r="AF53256" s="12"/>
    </row>
    <row r="53257" spans="32:32" x14ac:dyDescent="0.2">
      <c r="AF53257" s="12"/>
    </row>
    <row r="53258" spans="32:32" x14ac:dyDescent="0.2">
      <c r="AF53258" s="12"/>
    </row>
    <row r="53259" spans="32:32" x14ac:dyDescent="0.2">
      <c r="AF53259" s="12"/>
    </row>
    <row r="53260" spans="32:32" x14ac:dyDescent="0.2">
      <c r="AF53260" s="12"/>
    </row>
    <row r="53261" spans="32:32" x14ac:dyDescent="0.2">
      <c r="AF53261" s="12"/>
    </row>
    <row r="53262" spans="32:32" x14ac:dyDescent="0.2">
      <c r="AF53262" s="12"/>
    </row>
    <row r="53263" spans="32:32" x14ac:dyDescent="0.2">
      <c r="AF53263" s="12"/>
    </row>
    <row r="53264" spans="32:32" x14ac:dyDescent="0.2">
      <c r="AF53264" s="12"/>
    </row>
    <row r="53265" spans="32:32" x14ac:dyDescent="0.2">
      <c r="AF53265" s="12"/>
    </row>
    <row r="53266" spans="32:32" x14ac:dyDescent="0.2">
      <c r="AF53266" s="12"/>
    </row>
    <row r="53267" spans="32:32" x14ac:dyDescent="0.2">
      <c r="AF53267" s="12"/>
    </row>
    <row r="53268" spans="32:32" x14ac:dyDescent="0.2">
      <c r="AF53268" s="12"/>
    </row>
    <row r="53269" spans="32:32" x14ac:dyDescent="0.2">
      <c r="AF53269" s="12"/>
    </row>
    <row r="53270" spans="32:32" x14ac:dyDescent="0.2">
      <c r="AF53270" s="12"/>
    </row>
    <row r="53271" spans="32:32" x14ac:dyDescent="0.2">
      <c r="AF53271" s="12"/>
    </row>
    <row r="53272" spans="32:32" x14ac:dyDescent="0.2">
      <c r="AF53272" s="12"/>
    </row>
    <row r="53273" spans="32:32" x14ac:dyDescent="0.2">
      <c r="AF53273" s="12"/>
    </row>
    <row r="53274" spans="32:32" x14ac:dyDescent="0.2">
      <c r="AF53274" s="12"/>
    </row>
    <row r="53275" spans="32:32" x14ac:dyDescent="0.2">
      <c r="AF53275" s="12"/>
    </row>
    <row r="53276" spans="32:32" x14ac:dyDescent="0.2">
      <c r="AF53276" s="12"/>
    </row>
    <row r="53277" spans="32:32" x14ac:dyDescent="0.2">
      <c r="AF53277" s="12"/>
    </row>
    <row r="53278" spans="32:32" x14ac:dyDescent="0.2">
      <c r="AF53278" s="12"/>
    </row>
    <row r="53279" spans="32:32" x14ac:dyDescent="0.2">
      <c r="AF53279" s="12"/>
    </row>
    <row r="53280" spans="32:32" x14ac:dyDescent="0.2">
      <c r="AF53280" s="12"/>
    </row>
    <row r="53281" spans="32:32" x14ac:dyDescent="0.2">
      <c r="AF53281" s="12"/>
    </row>
    <row r="53282" spans="32:32" x14ac:dyDescent="0.2">
      <c r="AF53282" s="12"/>
    </row>
    <row r="53283" spans="32:32" x14ac:dyDescent="0.2">
      <c r="AF53283" s="12"/>
    </row>
    <row r="53284" spans="32:32" x14ac:dyDescent="0.2">
      <c r="AF53284" s="12"/>
    </row>
    <row r="53285" spans="32:32" x14ac:dyDescent="0.2">
      <c r="AF53285" s="12"/>
    </row>
    <row r="53286" spans="32:32" x14ac:dyDescent="0.2">
      <c r="AF53286" s="12"/>
    </row>
    <row r="53287" spans="32:32" x14ac:dyDescent="0.2">
      <c r="AF53287" s="12"/>
    </row>
    <row r="53288" spans="32:32" x14ac:dyDescent="0.2">
      <c r="AF53288" s="12"/>
    </row>
    <row r="53289" spans="32:32" x14ac:dyDescent="0.2">
      <c r="AF53289" s="12"/>
    </row>
    <row r="53290" spans="32:32" x14ac:dyDescent="0.2">
      <c r="AF53290" s="12"/>
    </row>
    <row r="53291" spans="32:32" x14ac:dyDescent="0.2">
      <c r="AF53291" s="12"/>
    </row>
    <row r="53292" spans="32:32" x14ac:dyDescent="0.2">
      <c r="AF53292" s="12"/>
    </row>
    <row r="53293" spans="32:32" x14ac:dyDescent="0.2">
      <c r="AF53293" s="12"/>
    </row>
    <row r="53294" spans="32:32" x14ac:dyDescent="0.2">
      <c r="AF53294" s="12"/>
    </row>
    <row r="53295" spans="32:32" x14ac:dyDescent="0.2">
      <c r="AF53295" s="12"/>
    </row>
    <row r="53296" spans="32:32" x14ac:dyDescent="0.2">
      <c r="AF53296" s="12"/>
    </row>
    <row r="53297" spans="32:32" x14ac:dyDescent="0.2">
      <c r="AF53297" s="12"/>
    </row>
    <row r="53298" spans="32:32" x14ac:dyDescent="0.2">
      <c r="AF53298" s="12"/>
    </row>
    <row r="53299" spans="32:32" x14ac:dyDescent="0.2">
      <c r="AF53299" s="12"/>
    </row>
    <row r="53300" spans="32:32" x14ac:dyDescent="0.2">
      <c r="AF53300" s="12"/>
    </row>
    <row r="53301" spans="32:32" x14ac:dyDescent="0.2">
      <c r="AF53301" s="12"/>
    </row>
    <row r="53302" spans="32:32" x14ac:dyDescent="0.2">
      <c r="AF53302" s="12"/>
    </row>
    <row r="53303" spans="32:32" x14ac:dyDescent="0.2">
      <c r="AF53303" s="12"/>
    </row>
    <row r="53304" spans="32:32" x14ac:dyDescent="0.2">
      <c r="AF53304" s="12"/>
    </row>
    <row r="53305" spans="32:32" x14ac:dyDescent="0.2">
      <c r="AF53305" s="12"/>
    </row>
    <row r="53306" spans="32:32" x14ac:dyDescent="0.2">
      <c r="AF53306" s="12"/>
    </row>
    <row r="53307" spans="32:32" x14ac:dyDescent="0.2">
      <c r="AF53307" s="12"/>
    </row>
    <row r="53308" spans="32:32" x14ac:dyDescent="0.2">
      <c r="AF53308" s="12"/>
    </row>
    <row r="53309" spans="32:32" x14ac:dyDescent="0.2">
      <c r="AF53309" s="12"/>
    </row>
    <row r="53310" spans="32:32" x14ac:dyDescent="0.2">
      <c r="AF53310" s="12"/>
    </row>
    <row r="53311" spans="32:32" x14ac:dyDescent="0.2">
      <c r="AF53311" s="12"/>
    </row>
    <row r="53312" spans="32:32" x14ac:dyDescent="0.2">
      <c r="AF53312" s="12"/>
    </row>
    <row r="53313" spans="32:32" x14ac:dyDescent="0.2">
      <c r="AF53313" s="12"/>
    </row>
    <row r="53314" spans="32:32" x14ac:dyDescent="0.2">
      <c r="AF53314" s="12"/>
    </row>
    <row r="53315" spans="32:32" x14ac:dyDescent="0.2">
      <c r="AF53315" s="12"/>
    </row>
    <row r="53316" spans="32:32" x14ac:dyDescent="0.2">
      <c r="AF53316" s="12"/>
    </row>
    <row r="53317" spans="32:32" x14ac:dyDescent="0.2">
      <c r="AF53317" s="12"/>
    </row>
    <row r="53318" spans="32:32" x14ac:dyDescent="0.2">
      <c r="AF53318" s="12"/>
    </row>
    <row r="53319" spans="32:32" x14ac:dyDescent="0.2">
      <c r="AF53319" s="12"/>
    </row>
    <row r="53320" spans="32:32" x14ac:dyDescent="0.2">
      <c r="AF53320" s="12"/>
    </row>
    <row r="53321" spans="32:32" x14ac:dyDescent="0.2">
      <c r="AF53321" s="12"/>
    </row>
    <row r="53322" spans="32:32" x14ac:dyDescent="0.2">
      <c r="AF53322" s="12"/>
    </row>
    <row r="53323" spans="32:32" x14ac:dyDescent="0.2">
      <c r="AF53323" s="12"/>
    </row>
    <row r="53324" spans="32:32" x14ac:dyDescent="0.2">
      <c r="AF53324" s="12"/>
    </row>
    <row r="53325" spans="32:32" x14ac:dyDescent="0.2">
      <c r="AF53325" s="12"/>
    </row>
    <row r="53326" spans="32:32" x14ac:dyDescent="0.2">
      <c r="AF53326" s="12"/>
    </row>
    <row r="53327" spans="32:32" x14ac:dyDescent="0.2">
      <c r="AF53327" s="12"/>
    </row>
    <row r="53328" spans="32:32" x14ac:dyDescent="0.2">
      <c r="AF53328" s="12"/>
    </row>
    <row r="53329" spans="32:32" x14ac:dyDescent="0.2">
      <c r="AF53329" s="12"/>
    </row>
    <row r="53330" spans="32:32" x14ac:dyDescent="0.2">
      <c r="AF53330" s="12"/>
    </row>
    <row r="53331" spans="32:32" x14ac:dyDescent="0.2">
      <c r="AF53331" s="12"/>
    </row>
    <row r="53332" spans="32:32" x14ac:dyDescent="0.2">
      <c r="AF53332" s="12"/>
    </row>
    <row r="53333" spans="32:32" x14ac:dyDescent="0.2">
      <c r="AF53333" s="12"/>
    </row>
    <row r="53334" spans="32:32" x14ac:dyDescent="0.2">
      <c r="AF53334" s="12"/>
    </row>
    <row r="53335" spans="32:32" x14ac:dyDescent="0.2">
      <c r="AF53335" s="12"/>
    </row>
    <row r="53336" spans="32:32" x14ac:dyDescent="0.2">
      <c r="AF53336" s="12"/>
    </row>
    <row r="53337" spans="32:32" x14ac:dyDescent="0.2">
      <c r="AF53337" s="12"/>
    </row>
    <row r="53338" spans="32:32" x14ac:dyDescent="0.2">
      <c r="AF53338" s="12"/>
    </row>
    <row r="53339" spans="32:32" x14ac:dyDescent="0.2">
      <c r="AF53339" s="12"/>
    </row>
    <row r="53340" spans="32:32" x14ac:dyDescent="0.2">
      <c r="AF53340" s="12"/>
    </row>
    <row r="53341" spans="32:32" x14ac:dyDescent="0.2">
      <c r="AF53341" s="12"/>
    </row>
    <row r="53342" spans="32:32" x14ac:dyDescent="0.2">
      <c r="AF53342" s="12"/>
    </row>
    <row r="53343" spans="32:32" x14ac:dyDescent="0.2">
      <c r="AF53343" s="12"/>
    </row>
    <row r="53344" spans="32:32" x14ac:dyDescent="0.2">
      <c r="AF53344" s="12"/>
    </row>
    <row r="53345" spans="32:32" x14ac:dyDescent="0.2">
      <c r="AF53345" s="12"/>
    </row>
    <row r="53346" spans="32:32" x14ac:dyDescent="0.2">
      <c r="AF53346" s="12"/>
    </row>
    <row r="53347" spans="32:32" x14ac:dyDescent="0.2">
      <c r="AF53347" s="12"/>
    </row>
    <row r="53348" spans="32:32" x14ac:dyDescent="0.2">
      <c r="AF53348" s="12"/>
    </row>
    <row r="53349" spans="32:32" x14ac:dyDescent="0.2">
      <c r="AF53349" s="12"/>
    </row>
    <row r="53350" spans="32:32" x14ac:dyDescent="0.2">
      <c r="AF53350" s="12"/>
    </row>
    <row r="53351" spans="32:32" x14ac:dyDescent="0.2">
      <c r="AF53351" s="12"/>
    </row>
    <row r="53352" spans="32:32" x14ac:dyDescent="0.2">
      <c r="AF53352" s="12"/>
    </row>
    <row r="53353" spans="32:32" x14ac:dyDescent="0.2">
      <c r="AF53353" s="12"/>
    </row>
    <row r="53354" spans="32:32" x14ac:dyDescent="0.2">
      <c r="AF53354" s="12"/>
    </row>
    <row r="53355" spans="32:32" x14ac:dyDescent="0.2">
      <c r="AF53355" s="12"/>
    </row>
    <row r="53356" spans="32:32" x14ac:dyDescent="0.2">
      <c r="AF53356" s="12"/>
    </row>
    <row r="53357" spans="32:32" x14ac:dyDescent="0.2">
      <c r="AF53357" s="12"/>
    </row>
    <row r="53358" spans="32:32" x14ac:dyDescent="0.2">
      <c r="AF53358" s="12"/>
    </row>
    <row r="53359" spans="32:32" x14ac:dyDescent="0.2">
      <c r="AF53359" s="12"/>
    </row>
    <row r="53360" spans="32:32" x14ac:dyDescent="0.2">
      <c r="AF53360" s="12"/>
    </row>
    <row r="53361" spans="32:32" x14ac:dyDescent="0.2">
      <c r="AF53361" s="12"/>
    </row>
    <row r="53362" spans="32:32" x14ac:dyDescent="0.2">
      <c r="AF53362" s="12"/>
    </row>
    <row r="53363" spans="32:32" x14ac:dyDescent="0.2">
      <c r="AF53363" s="12"/>
    </row>
    <row r="53364" spans="32:32" x14ac:dyDescent="0.2">
      <c r="AF53364" s="12"/>
    </row>
    <row r="53365" spans="32:32" x14ac:dyDescent="0.2">
      <c r="AF53365" s="12"/>
    </row>
    <row r="53366" spans="32:32" x14ac:dyDescent="0.2">
      <c r="AF53366" s="12"/>
    </row>
    <row r="53367" spans="32:32" x14ac:dyDescent="0.2">
      <c r="AF53367" s="12"/>
    </row>
    <row r="53368" spans="32:32" x14ac:dyDescent="0.2">
      <c r="AF53368" s="12"/>
    </row>
    <row r="53369" spans="32:32" x14ac:dyDescent="0.2">
      <c r="AF53369" s="12"/>
    </row>
    <row r="53370" spans="32:32" x14ac:dyDescent="0.2">
      <c r="AF53370" s="12"/>
    </row>
    <row r="53371" spans="32:32" x14ac:dyDescent="0.2">
      <c r="AF53371" s="12"/>
    </row>
    <row r="53372" spans="32:32" x14ac:dyDescent="0.2">
      <c r="AF53372" s="12"/>
    </row>
    <row r="53373" spans="32:32" x14ac:dyDescent="0.2">
      <c r="AF53373" s="12"/>
    </row>
    <row r="53374" spans="32:32" x14ac:dyDescent="0.2">
      <c r="AF53374" s="12"/>
    </row>
    <row r="53375" spans="32:32" x14ac:dyDescent="0.2">
      <c r="AF53375" s="12"/>
    </row>
    <row r="53376" spans="32:32" x14ac:dyDescent="0.2">
      <c r="AF53376" s="12"/>
    </row>
    <row r="53377" spans="32:32" x14ac:dyDescent="0.2">
      <c r="AF53377" s="12"/>
    </row>
    <row r="53378" spans="32:32" x14ac:dyDescent="0.2">
      <c r="AF53378" s="12"/>
    </row>
    <row r="53379" spans="32:32" x14ac:dyDescent="0.2">
      <c r="AF53379" s="12"/>
    </row>
    <row r="53380" spans="32:32" x14ac:dyDescent="0.2">
      <c r="AF53380" s="12"/>
    </row>
    <row r="53381" spans="32:32" x14ac:dyDescent="0.2">
      <c r="AF53381" s="12"/>
    </row>
    <row r="53382" spans="32:32" x14ac:dyDescent="0.2">
      <c r="AF53382" s="12"/>
    </row>
    <row r="53383" spans="32:32" x14ac:dyDescent="0.2">
      <c r="AF53383" s="12"/>
    </row>
    <row r="53384" spans="32:32" x14ac:dyDescent="0.2">
      <c r="AF53384" s="12"/>
    </row>
    <row r="53385" spans="32:32" x14ac:dyDescent="0.2">
      <c r="AF53385" s="12"/>
    </row>
    <row r="53386" spans="32:32" x14ac:dyDescent="0.2">
      <c r="AF53386" s="12"/>
    </row>
    <row r="53387" spans="32:32" x14ac:dyDescent="0.2">
      <c r="AF53387" s="12"/>
    </row>
    <row r="53388" spans="32:32" x14ac:dyDescent="0.2">
      <c r="AF53388" s="12"/>
    </row>
    <row r="53389" spans="32:32" x14ac:dyDescent="0.2">
      <c r="AF53389" s="12"/>
    </row>
    <row r="53390" spans="32:32" x14ac:dyDescent="0.2">
      <c r="AF53390" s="12"/>
    </row>
    <row r="53391" spans="32:32" x14ac:dyDescent="0.2">
      <c r="AF53391" s="12"/>
    </row>
    <row r="53392" spans="32:32" x14ac:dyDescent="0.2">
      <c r="AF53392" s="12"/>
    </row>
    <row r="53393" spans="32:32" x14ac:dyDescent="0.2">
      <c r="AF53393" s="12"/>
    </row>
    <row r="53394" spans="32:32" x14ac:dyDescent="0.2">
      <c r="AF53394" s="12"/>
    </row>
    <row r="53395" spans="32:32" x14ac:dyDescent="0.2">
      <c r="AF53395" s="12"/>
    </row>
    <row r="53396" spans="32:32" x14ac:dyDescent="0.2">
      <c r="AF53396" s="12"/>
    </row>
    <row r="53397" spans="32:32" x14ac:dyDescent="0.2">
      <c r="AF53397" s="12"/>
    </row>
    <row r="53398" spans="32:32" x14ac:dyDescent="0.2">
      <c r="AF53398" s="12"/>
    </row>
    <row r="53399" spans="32:32" x14ac:dyDescent="0.2">
      <c r="AF53399" s="12"/>
    </row>
    <row r="53400" spans="32:32" x14ac:dyDescent="0.2">
      <c r="AF53400" s="12"/>
    </row>
    <row r="53401" spans="32:32" x14ac:dyDescent="0.2">
      <c r="AF53401" s="12"/>
    </row>
    <row r="53402" spans="32:32" x14ac:dyDescent="0.2">
      <c r="AF53402" s="12"/>
    </row>
    <row r="53403" spans="32:32" x14ac:dyDescent="0.2">
      <c r="AF53403" s="12"/>
    </row>
    <row r="53404" spans="32:32" x14ac:dyDescent="0.2">
      <c r="AF53404" s="12"/>
    </row>
    <row r="53405" spans="32:32" x14ac:dyDescent="0.2">
      <c r="AF53405" s="12"/>
    </row>
    <row r="53406" spans="32:32" x14ac:dyDescent="0.2">
      <c r="AF53406" s="12"/>
    </row>
    <row r="53407" spans="32:32" x14ac:dyDescent="0.2">
      <c r="AF53407" s="12"/>
    </row>
    <row r="53408" spans="32:32" x14ac:dyDescent="0.2">
      <c r="AF53408" s="12"/>
    </row>
    <row r="53409" spans="32:32" x14ac:dyDescent="0.2">
      <c r="AF53409" s="12"/>
    </row>
    <row r="53410" spans="32:32" x14ac:dyDescent="0.2">
      <c r="AF53410" s="12"/>
    </row>
    <row r="53411" spans="32:32" x14ac:dyDescent="0.2">
      <c r="AF53411" s="12"/>
    </row>
    <row r="53412" spans="32:32" x14ac:dyDescent="0.2">
      <c r="AF53412" s="12"/>
    </row>
    <row r="53413" spans="32:32" x14ac:dyDescent="0.2">
      <c r="AF53413" s="12"/>
    </row>
    <row r="53414" spans="32:32" x14ac:dyDescent="0.2">
      <c r="AF53414" s="12"/>
    </row>
    <row r="53415" spans="32:32" x14ac:dyDescent="0.2">
      <c r="AF53415" s="12"/>
    </row>
    <row r="53416" spans="32:32" x14ac:dyDescent="0.2">
      <c r="AF53416" s="12"/>
    </row>
    <row r="53417" spans="32:32" x14ac:dyDescent="0.2">
      <c r="AF53417" s="12"/>
    </row>
    <row r="53418" spans="32:32" x14ac:dyDescent="0.2">
      <c r="AF53418" s="12"/>
    </row>
    <row r="53419" spans="32:32" x14ac:dyDescent="0.2">
      <c r="AF53419" s="12"/>
    </row>
    <row r="53420" spans="32:32" x14ac:dyDescent="0.2">
      <c r="AF53420" s="12"/>
    </row>
    <row r="53421" spans="32:32" x14ac:dyDescent="0.2">
      <c r="AF53421" s="12"/>
    </row>
    <row r="53422" spans="32:32" x14ac:dyDescent="0.2">
      <c r="AF53422" s="12"/>
    </row>
    <row r="53423" spans="32:32" x14ac:dyDescent="0.2">
      <c r="AF53423" s="12"/>
    </row>
    <row r="53424" spans="32:32" x14ac:dyDescent="0.2">
      <c r="AF53424" s="12"/>
    </row>
    <row r="53425" spans="32:32" x14ac:dyDescent="0.2">
      <c r="AF53425" s="12"/>
    </row>
    <row r="53426" spans="32:32" x14ac:dyDescent="0.2">
      <c r="AF53426" s="12"/>
    </row>
    <row r="53427" spans="32:32" x14ac:dyDescent="0.2">
      <c r="AF53427" s="12"/>
    </row>
    <row r="53428" spans="32:32" x14ac:dyDescent="0.2">
      <c r="AF53428" s="12"/>
    </row>
    <row r="53429" spans="32:32" x14ac:dyDescent="0.2">
      <c r="AF53429" s="12"/>
    </row>
    <row r="53430" spans="32:32" x14ac:dyDescent="0.2">
      <c r="AF53430" s="12"/>
    </row>
    <row r="53431" spans="32:32" x14ac:dyDescent="0.2">
      <c r="AF53431" s="12"/>
    </row>
    <row r="53432" spans="32:32" x14ac:dyDescent="0.2">
      <c r="AF53432" s="12"/>
    </row>
    <row r="53433" spans="32:32" x14ac:dyDescent="0.2">
      <c r="AF53433" s="12"/>
    </row>
    <row r="53434" spans="32:32" x14ac:dyDescent="0.2">
      <c r="AF53434" s="12"/>
    </row>
    <row r="53435" spans="32:32" x14ac:dyDescent="0.2">
      <c r="AF53435" s="12"/>
    </row>
    <row r="53436" spans="32:32" x14ac:dyDescent="0.2">
      <c r="AF53436" s="12"/>
    </row>
    <row r="53437" spans="32:32" x14ac:dyDescent="0.2">
      <c r="AF53437" s="12"/>
    </row>
    <row r="53438" spans="32:32" x14ac:dyDescent="0.2">
      <c r="AF53438" s="12"/>
    </row>
    <row r="53439" spans="32:32" x14ac:dyDescent="0.2">
      <c r="AF53439" s="12"/>
    </row>
    <row r="53440" spans="32:32" x14ac:dyDescent="0.2">
      <c r="AF53440" s="12"/>
    </row>
    <row r="53441" spans="32:32" x14ac:dyDescent="0.2">
      <c r="AF53441" s="12"/>
    </row>
    <row r="53442" spans="32:32" x14ac:dyDescent="0.2">
      <c r="AF53442" s="12"/>
    </row>
    <row r="53443" spans="32:32" x14ac:dyDescent="0.2">
      <c r="AF53443" s="12"/>
    </row>
    <row r="53444" spans="32:32" x14ac:dyDescent="0.2">
      <c r="AF53444" s="12"/>
    </row>
    <row r="53445" spans="32:32" x14ac:dyDescent="0.2">
      <c r="AF53445" s="12"/>
    </row>
    <row r="53446" spans="32:32" x14ac:dyDescent="0.2">
      <c r="AF53446" s="12"/>
    </row>
    <row r="53447" spans="32:32" x14ac:dyDescent="0.2">
      <c r="AF53447" s="12"/>
    </row>
    <row r="53448" spans="32:32" x14ac:dyDescent="0.2">
      <c r="AF53448" s="12"/>
    </row>
    <row r="53449" spans="32:32" x14ac:dyDescent="0.2">
      <c r="AF53449" s="12"/>
    </row>
    <row r="53450" spans="32:32" x14ac:dyDescent="0.2">
      <c r="AF53450" s="12"/>
    </row>
    <row r="53451" spans="32:32" x14ac:dyDescent="0.2">
      <c r="AF53451" s="12"/>
    </row>
    <row r="53452" spans="32:32" x14ac:dyDescent="0.2">
      <c r="AF53452" s="12"/>
    </row>
    <row r="53453" spans="32:32" x14ac:dyDescent="0.2">
      <c r="AF53453" s="12"/>
    </row>
    <row r="53454" spans="32:32" x14ac:dyDescent="0.2">
      <c r="AF53454" s="12"/>
    </row>
    <row r="53455" spans="32:32" x14ac:dyDescent="0.2">
      <c r="AF53455" s="12"/>
    </row>
    <row r="53456" spans="32:32" x14ac:dyDescent="0.2">
      <c r="AF53456" s="12"/>
    </row>
    <row r="53457" spans="32:32" x14ac:dyDescent="0.2">
      <c r="AF53457" s="12"/>
    </row>
    <row r="53458" spans="32:32" x14ac:dyDescent="0.2">
      <c r="AF53458" s="12"/>
    </row>
    <row r="53459" spans="32:32" x14ac:dyDescent="0.2">
      <c r="AF53459" s="12"/>
    </row>
    <row r="53460" spans="32:32" x14ac:dyDescent="0.2">
      <c r="AF53460" s="12"/>
    </row>
    <row r="53461" spans="32:32" x14ac:dyDescent="0.2">
      <c r="AF53461" s="12"/>
    </row>
    <row r="53462" spans="32:32" x14ac:dyDescent="0.2">
      <c r="AF53462" s="12"/>
    </row>
    <row r="53463" spans="32:32" x14ac:dyDescent="0.2">
      <c r="AF53463" s="12"/>
    </row>
    <row r="53464" spans="32:32" x14ac:dyDescent="0.2">
      <c r="AF53464" s="12"/>
    </row>
    <row r="53465" spans="32:32" x14ac:dyDescent="0.2">
      <c r="AF53465" s="12"/>
    </row>
    <row r="53466" spans="32:32" x14ac:dyDescent="0.2">
      <c r="AF53466" s="12"/>
    </row>
    <row r="53467" spans="32:32" x14ac:dyDescent="0.2">
      <c r="AF53467" s="12"/>
    </row>
    <row r="53468" spans="32:32" x14ac:dyDescent="0.2">
      <c r="AF53468" s="12"/>
    </row>
    <row r="53469" spans="32:32" x14ac:dyDescent="0.2">
      <c r="AF53469" s="12"/>
    </row>
    <row r="53470" spans="32:32" x14ac:dyDescent="0.2">
      <c r="AF53470" s="12"/>
    </row>
    <row r="53471" spans="32:32" x14ac:dyDescent="0.2">
      <c r="AF53471" s="12"/>
    </row>
    <row r="53472" spans="32:32" x14ac:dyDescent="0.2">
      <c r="AF53472" s="12"/>
    </row>
    <row r="53473" spans="32:32" x14ac:dyDescent="0.2">
      <c r="AF53473" s="12"/>
    </row>
    <row r="53474" spans="32:32" x14ac:dyDescent="0.2">
      <c r="AF53474" s="12"/>
    </row>
    <row r="53475" spans="32:32" x14ac:dyDescent="0.2">
      <c r="AF53475" s="12"/>
    </row>
    <row r="53476" spans="32:32" x14ac:dyDescent="0.2">
      <c r="AF53476" s="12"/>
    </row>
    <row r="53477" spans="32:32" x14ac:dyDescent="0.2">
      <c r="AF53477" s="12"/>
    </row>
    <row r="53478" spans="32:32" x14ac:dyDescent="0.2">
      <c r="AF53478" s="12"/>
    </row>
    <row r="53479" spans="32:32" x14ac:dyDescent="0.2">
      <c r="AF53479" s="12"/>
    </row>
    <row r="53480" spans="32:32" x14ac:dyDescent="0.2">
      <c r="AF53480" s="12"/>
    </row>
    <row r="53481" spans="32:32" x14ac:dyDescent="0.2">
      <c r="AF53481" s="12"/>
    </row>
    <row r="53482" spans="32:32" x14ac:dyDescent="0.2">
      <c r="AF53482" s="12"/>
    </row>
    <row r="53483" spans="32:32" x14ac:dyDescent="0.2">
      <c r="AF53483" s="12"/>
    </row>
    <row r="53484" spans="32:32" x14ac:dyDescent="0.2">
      <c r="AF53484" s="12"/>
    </row>
    <row r="53485" spans="32:32" x14ac:dyDescent="0.2">
      <c r="AF53485" s="12"/>
    </row>
    <row r="53486" spans="32:32" x14ac:dyDescent="0.2">
      <c r="AF53486" s="12"/>
    </row>
    <row r="53487" spans="32:32" x14ac:dyDescent="0.2">
      <c r="AF53487" s="12"/>
    </row>
    <row r="53488" spans="32:32" x14ac:dyDescent="0.2">
      <c r="AF53488" s="12"/>
    </row>
    <row r="53489" spans="32:32" x14ac:dyDescent="0.2">
      <c r="AF53489" s="12"/>
    </row>
    <row r="53490" spans="32:32" x14ac:dyDescent="0.2">
      <c r="AF53490" s="12"/>
    </row>
    <row r="53491" spans="32:32" x14ac:dyDescent="0.2">
      <c r="AF53491" s="12"/>
    </row>
    <row r="53492" spans="32:32" x14ac:dyDescent="0.2">
      <c r="AF53492" s="12"/>
    </row>
    <row r="53493" spans="32:32" x14ac:dyDescent="0.2">
      <c r="AF53493" s="12"/>
    </row>
    <row r="53494" spans="32:32" x14ac:dyDescent="0.2">
      <c r="AF53494" s="12"/>
    </row>
    <row r="53495" spans="32:32" x14ac:dyDescent="0.2">
      <c r="AF53495" s="12"/>
    </row>
    <row r="53496" spans="32:32" x14ac:dyDescent="0.2">
      <c r="AF53496" s="12"/>
    </row>
    <row r="53497" spans="32:32" x14ac:dyDescent="0.2">
      <c r="AF53497" s="12"/>
    </row>
    <row r="53498" spans="32:32" x14ac:dyDescent="0.2">
      <c r="AF53498" s="12"/>
    </row>
    <row r="53499" spans="32:32" x14ac:dyDescent="0.2">
      <c r="AF53499" s="12"/>
    </row>
    <row r="53500" spans="32:32" x14ac:dyDescent="0.2">
      <c r="AF53500" s="12"/>
    </row>
    <row r="53501" spans="32:32" x14ac:dyDescent="0.2">
      <c r="AF53501" s="12"/>
    </row>
    <row r="53502" spans="32:32" x14ac:dyDescent="0.2">
      <c r="AF53502" s="12"/>
    </row>
    <row r="53503" spans="32:32" x14ac:dyDescent="0.2">
      <c r="AF53503" s="12"/>
    </row>
    <row r="53504" spans="32:32" x14ac:dyDescent="0.2">
      <c r="AF53504" s="12"/>
    </row>
    <row r="53505" spans="32:32" x14ac:dyDescent="0.2">
      <c r="AF53505" s="12"/>
    </row>
    <row r="53506" spans="32:32" x14ac:dyDescent="0.2">
      <c r="AF53506" s="12"/>
    </row>
    <row r="53507" spans="32:32" x14ac:dyDescent="0.2">
      <c r="AF53507" s="12"/>
    </row>
    <row r="53508" spans="32:32" x14ac:dyDescent="0.2">
      <c r="AF53508" s="12"/>
    </row>
    <row r="53509" spans="32:32" x14ac:dyDescent="0.2">
      <c r="AF53509" s="12"/>
    </row>
    <row r="53510" spans="32:32" x14ac:dyDescent="0.2">
      <c r="AF53510" s="12"/>
    </row>
    <row r="53511" spans="32:32" x14ac:dyDescent="0.2">
      <c r="AF53511" s="12"/>
    </row>
    <row r="53512" spans="32:32" x14ac:dyDescent="0.2">
      <c r="AF53512" s="12"/>
    </row>
    <row r="53513" spans="32:32" x14ac:dyDescent="0.2">
      <c r="AF53513" s="12"/>
    </row>
    <row r="53514" spans="32:32" x14ac:dyDescent="0.2">
      <c r="AF53514" s="12"/>
    </row>
    <row r="53515" spans="32:32" x14ac:dyDescent="0.2">
      <c r="AF53515" s="12"/>
    </row>
    <row r="53516" spans="32:32" x14ac:dyDescent="0.2">
      <c r="AF53516" s="12"/>
    </row>
    <row r="53517" spans="32:32" x14ac:dyDescent="0.2">
      <c r="AF53517" s="12"/>
    </row>
    <row r="53518" spans="32:32" x14ac:dyDescent="0.2">
      <c r="AF53518" s="12"/>
    </row>
    <row r="53519" spans="32:32" x14ac:dyDescent="0.2">
      <c r="AF53519" s="12"/>
    </row>
    <row r="53520" spans="32:32" x14ac:dyDescent="0.2">
      <c r="AF53520" s="12"/>
    </row>
    <row r="53521" spans="32:32" x14ac:dyDescent="0.2">
      <c r="AF53521" s="12"/>
    </row>
    <row r="53522" spans="32:32" x14ac:dyDescent="0.2">
      <c r="AF53522" s="12"/>
    </row>
    <row r="53523" spans="32:32" x14ac:dyDescent="0.2">
      <c r="AF53523" s="12"/>
    </row>
    <row r="53524" spans="32:32" x14ac:dyDescent="0.2">
      <c r="AF53524" s="12"/>
    </row>
    <row r="53525" spans="32:32" x14ac:dyDescent="0.2">
      <c r="AF53525" s="12"/>
    </row>
    <row r="53526" spans="32:32" x14ac:dyDescent="0.2">
      <c r="AF53526" s="12"/>
    </row>
    <row r="53527" spans="32:32" x14ac:dyDescent="0.2">
      <c r="AF53527" s="12"/>
    </row>
    <row r="53528" spans="32:32" x14ac:dyDescent="0.2">
      <c r="AF53528" s="12"/>
    </row>
    <row r="53529" spans="32:32" x14ac:dyDescent="0.2">
      <c r="AF53529" s="12"/>
    </row>
    <row r="53530" spans="32:32" x14ac:dyDescent="0.2">
      <c r="AF53530" s="12"/>
    </row>
    <row r="53531" spans="32:32" x14ac:dyDescent="0.2">
      <c r="AF53531" s="12"/>
    </row>
    <row r="53532" spans="32:32" x14ac:dyDescent="0.2">
      <c r="AF53532" s="12"/>
    </row>
    <row r="53533" spans="32:32" x14ac:dyDescent="0.2">
      <c r="AF53533" s="12"/>
    </row>
    <row r="53534" spans="32:32" x14ac:dyDescent="0.2">
      <c r="AF53534" s="12"/>
    </row>
    <row r="53535" spans="32:32" x14ac:dyDescent="0.2">
      <c r="AF53535" s="12"/>
    </row>
    <row r="53536" spans="32:32" x14ac:dyDescent="0.2">
      <c r="AF53536" s="12"/>
    </row>
    <row r="53537" spans="32:32" x14ac:dyDescent="0.2">
      <c r="AF53537" s="12"/>
    </row>
    <row r="53538" spans="32:32" x14ac:dyDescent="0.2">
      <c r="AF53538" s="12"/>
    </row>
    <row r="53539" spans="32:32" x14ac:dyDescent="0.2">
      <c r="AF53539" s="12"/>
    </row>
    <row r="53540" spans="32:32" x14ac:dyDescent="0.2">
      <c r="AF53540" s="12"/>
    </row>
    <row r="53541" spans="32:32" x14ac:dyDescent="0.2">
      <c r="AF53541" s="12"/>
    </row>
    <row r="53542" spans="32:32" x14ac:dyDescent="0.2">
      <c r="AF53542" s="12"/>
    </row>
    <row r="53543" spans="32:32" x14ac:dyDescent="0.2">
      <c r="AF53543" s="12"/>
    </row>
    <row r="53544" spans="32:32" x14ac:dyDescent="0.2">
      <c r="AF53544" s="12"/>
    </row>
    <row r="53545" spans="32:32" x14ac:dyDescent="0.2">
      <c r="AF53545" s="12"/>
    </row>
    <row r="53546" spans="32:32" x14ac:dyDescent="0.2">
      <c r="AF53546" s="12"/>
    </row>
    <row r="53547" spans="32:32" x14ac:dyDescent="0.2">
      <c r="AF53547" s="12"/>
    </row>
    <row r="53548" spans="32:32" x14ac:dyDescent="0.2">
      <c r="AF53548" s="12"/>
    </row>
    <row r="53549" spans="32:32" x14ac:dyDescent="0.2">
      <c r="AF53549" s="12"/>
    </row>
    <row r="53550" spans="32:32" x14ac:dyDescent="0.2">
      <c r="AF53550" s="12"/>
    </row>
    <row r="53551" spans="32:32" x14ac:dyDescent="0.2">
      <c r="AF53551" s="12"/>
    </row>
    <row r="53552" spans="32:32" x14ac:dyDescent="0.2">
      <c r="AF53552" s="12"/>
    </row>
    <row r="53553" spans="32:32" x14ac:dyDescent="0.2">
      <c r="AF53553" s="12"/>
    </row>
    <row r="53554" spans="32:32" x14ac:dyDescent="0.2">
      <c r="AF53554" s="12"/>
    </row>
    <row r="53555" spans="32:32" x14ac:dyDescent="0.2">
      <c r="AF53555" s="12"/>
    </row>
    <row r="53556" spans="32:32" x14ac:dyDescent="0.2">
      <c r="AF53556" s="12"/>
    </row>
    <row r="53557" spans="32:32" x14ac:dyDescent="0.2">
      <c r="AF53557" s="12"/>
    </row>
    <row r="53558" spans="32:32" x14ac:dyDescent="0.2">
      <c r="AF53558" s="12"/>
    </row>
    <row r="53559" spans="32:32" x14ac:dyDescent="0.2">
      <c r="AF53559" s="12"/>
    </row>
    <row r="53560" spans="32:32" x14ac:dyDescent="0.2">
      <c r="AF53560" s="12"/>
    </row>
    <row r="53561" spans="32:32" x14ac:dyDescent="0.2">
      <c r="AF53561" s="12"/>
    </row>
    <row r="53562" spans="32:32" x14ac:dyDescent="0.2">
      <c r="AF53562" s="12"/>
    </row>
    <row r="53563" spans="32:32" x14ac:dyDescent="0.2">
      <c r="AF53563" s="12"/>
    </row>
    <row r="53564" spans="32:32" x14ac:dyDescent="0.2">
      <c r="AF53564" s="12"/>
    </row>
    <row r="53565" spans="32:32" x14ac:dyDescent="0.2">
      <c r="AF53565" s="12"/>
    </row>
    <row r="53566" spans="32:32" x14ac:dyDescent="0.2">
      <c r="AF53566" s="12"/>
    </row>
    <row r="53567" spans="32:32" x14ac:dyDescent="0.2">
      <c r="AF53567" s="12"/>
    </row>
    <row r="53568" spans="32:32" x14ac:dyDescent="0.2">
      <c r="AF53568" s="12"/>
    </row>
    <row r="53569" spans="32:32" x14ac:dyDescent="0.2">
      <c r="AF53569" s="12"/>
    </row>
    <row r="53570" spans="32:32" x14ac:dyDescent="0.2">
      <c r="AF53570" s="12"/>
    </row>
    <row r="53571" spans="32:32" x14ac:dyDescent="0.2">
      <c r="AF53571" s="12"/>
    </row>
    <row r="53572" spans="32:32" x14ac:dyDescent="0.2">
      <c r="AF53572" s="12"/>
    </row>
    <row r="53573" spans="32:32" x14ac:dyDescent="0.2">
      <c r="AF53573" s="12"/>
    </row>
    <row r="53574" spans="32:32" x14ac:dyDescent="0.2">
      <c r="AF53574" s="12"/>
    </row>
    <row r="53575" spans="32:32" x14ac:dyDescent="0.2">
      <c r="AF53575" s="12"/>
    </row>
    <row r="53576" spans="32:32" x14ac:dyDescent="0.2">
      <c r="AF53576" s="12"/>
    </row>
    <row r="53577" spans="32:32" x14ac:dyDescent="0.2">
      <c r="AF53577" s="12"/>
    </row>
    <row r="53578" spans="32:32" x14ac:dyDescent="0.2">
      <c r="AF53578" s="12"/>
    </row>
    <row r="53579" spans="32:32" x14ac:dyDescent="0.2">
      <c r="AF53579" s="12"/>
    </row>
    <row r="53580" spans="32:32" x14ac:dyDescent="0.2">
      <c r="AF53580" s="12"/>
    </row>
    <row r="53581" spans="32:32" x14ac:dyDescent="0.2">
      <c r="AF53581" s="12"/>
    </row>
    <row r="53582" spans="32:32" x14ac:dyDescent="0.2">
      <c r="AF53582" s="12"/>
    </row>
    <row r="53583" spans="32:32" x14ac:dyDescent="0.2">
      <c r="AF53583" s="12"/>
    </row>
    <row r="53584" spans="32:32" x14ac:dyDescent="0.2">
      <c r="AF53584" s="12"/>
    </row>
    <row r="53585" spans="32:32" x14ac:dyDescent="0.2">
      <c r="AF53585" s="12"/>
    </row>
    <row r="53586" spans="32:32" x14ac:dyDescent="0.2">
      <c r="AF53586" s="12"/>
    </row>
    <row r="53587" spans="32:32" x14ac:dyDescent="0.2">
      <c r="AF53587" s="12"/>
    </row>
    <row r="53588" spans="32:32" x14ac:dyDescent="0.2">
      <c r="AF53588" s="12"/>
    </row>
    <row r="53589" spans="32:32" x14ac:dyDescent="0.2">
      <c r="AF53589" s="12"/>
    </row>
    <row r="53590" spans="32:32" x14ac:dyDescent="0.2">
      <c r="AF53590" s="12"/>
    </row>
    <row r="53591" spans="32:32" x14ac:dyDescent="0.2">
      <c r="AF53591" s="12"/>
    </row>
    <row r="53592" spans="32:32" x14ac:dyDescent="0.2">
      <c r="AF53592" s="12"/>
    </row>
    <row r="53593" spans="32:32" x14ac:dyDescent="0.2">
      <c r="AF53593" s="12"/>
    </row>
    <row r="53594" spans="32:32" x14ac:dyDescent="0.2">
      <c r="AF53594" s="12"/>
    </row>
    <row r="53595" spans="32:32" x14ac:dyDescent="0.2">
      <c r="AF53595" s="12"/>
    </row>
    <row r="53596" spans="32:32" x14ac:dyDescent="0.2">
      <c r="AF53596" s="12"/>
    </row>
    <row r="53597" spans="32:32" x14ac:dyDescent="0.2">
      <c r="AF53597" s="12"/>
    </row>
    <row r="53598" spans="32:32" x14ac:dyDescent="0.2">
      <c r="AF53598" s="12"/>
    </row>
    <row r="53599" spans="32:32" x14ac:dyDescent="0.2">
      <c r="AF53599" s="12"/>
    </row>
    <row r="53600" spans="32:32" x14ac:dyDescent="0.2">
      <c r="AF53600" s="12"/>
    </row>
    <row r="53601" spans="32:32" x14ac:dyDescent="0.2">
      <c r="AF53601" s="12"/>
    </row>
    <row r="53602" spans="32:32" x14ac:dyDescent="0.2">
      <c r="AF53602" s="12"/>
    </row>
    <row r="53603" spans="32:32" x14ac:dyDescent="0.2">
      <c r="AF53603" s="12"/>
    </row>
    <row r="53604" spans="32:32" x14ac:dyDescent="0.2">
      <c r="AF53604" s="12"/>
    </row>
    <row r="53605" spans="32:32" x14ac:dyDescent="0.2">
      <c r="AF53605" s="12"/>
    </row>
    <row r="53606" spans="32:32" x14ac:dyDescent="0.2">
      <c r="AF53606" s="12"/>
    </row>
    <row r="53607" spans="32:32" x14ac:dyDescent="0.2">
      <c r="AF53607" s="12"/>
    </row>
    <row r="53608" spans="32:32" x14ac:dyDescent="0.2">
      <c r="AF53608" s="12"/>
    </row>
    <row r="53609" spans="32:32" x14ac:dyDescent="0.2">
      <c r="AF53609" s="12"/>
    </row>
    <row r="53610" spans="32:32" x14ac:dyDescent="0.2">
      <c r="AF53610" s="12"/>
    </row>
    <row r="53611" spans="32:32" x14ac:dyDescent="0.2">
      <c r="AF53611" s="12"/>
    </row>
    <row r="53612" spans="32:32" x14ac:dyDescent="0.2">
      <c r="AF53612" s="12"/>
    </row>
    <row r="53613" spans="32:32" x14ac:dyDescent="0.2">
      <c r="AF53613" s="12"/>
    </row>
    <row r="53614" spans="32:32" x14ac:dyDescent="0.2">
      <c r="AF53614" s="12"/>
    </row>
    <row r="53615" spans="32:32" x14ac:dyDescent="0.2">
      <c r="AF53615" s="12"/>
    </row>
    <row r="53616" spans="32:32" x14ac:dyDescent="0.2">
      <c r="AF53616" s="12"/>
    </row>
    <row r="53617" spans="32:32" x14ac:dyDescent="0.2">
      <c r="AF53617" s="12"/>
    </row>
    <row r="53618" spans="32:32" x14ac:dyDescent="0.2">
      <c r="AF53618" s="12"/>
    </row>
    <row r="53619" spans="32:32" x14ac:dyDescent="0.2">
      <c r="AF53619" s="12"/>
    </row>
    <row r="53620" spans="32:32" x14ac:dyDescent="0.2">
      <c r="AF53620" s="12"/>
    </row>
    <row r="53621" spans="32:32" x14ac:dyDescent="0.2">
      <c r="AF53621" s="12"/>
    </row>
    <row r="53622" spans="32:32" x14ac:dyDescent="0.2">
      <c r="AF53622" s="12"/>
    </row>
    <row r="53623" spans="32:32" x14ac:dyDescent="0.2">
      <c r="AF53623" s="12"/>
    </row>
    <row r="53624" spans="32:32" x14ac:dyDescent="0.2">
      <c r="AF53624" s="12"/>
    </row>
    <row r="53625" spans="32:32" x14ac:dyDescent="0.2">
      <c r="AF53625" s="12"/>
    </row>
    <row r="53626" spans="32:32" x14ac:dyDescent="0.2">
      <c r="AF53626" s="12"/>
    </row>
    <row r="53627" spans="32:32" x14ac:dyDescent="0.2">
      <c r="AF53627" s="12"/>
    </row>
    <row r="53628" spans="32:32" x14ac:dyDescent="0.2">
      <c r="AF53628" s="12"/>
    </row>
    <row r="53629" spans="32:32" x14ac:dyDescent="0.2">
      <c r="AF53629" s="12"/>
    </row>
    <row r="53630" spans="32:32" x14ac:dyDescent="0.2">
      <c r="AF53630" s="12"/>
    </row>
    <row r="53631" spans="32:32" x14ac:dyDescent="0.2">
      <c r="AF53631" s="12"/>
    </row>
    <row r="53632" spans="32:32" x14ac:dyDescent="0.2">
      <c r="AF53632" s="12"/>
    </row>
    <row r="53633" spans="32:32" x14ac:dyDescent="0.2">
      <c r="AF53633" s="12"/>
    </row>
    <row r="53634" spans="32:32" x14ac:dyDescent="0.2">
      <c r="AF53634" s="12"/>
    </row>
    <row r="53635" spans="32:32" x14ac:dyDescent="0.2">
      <c r="AF53635" s="12"/>
    </row>
    <row r="53636" spans="32:32" x14ac:dyDescent="0.2">
      <c r="AF53636" s="12"/>
    </row>
    <row r="53637" spans="32:32" x14ac:dyDescent="0.2">
      <c r="AF53637" s="12"/>
    </row>
    <row r="53638" spans="32:32" x14ac:dyDescent="0.2">
      <c r="AF53638" s="12"/>
    </row>
    <row r="53639" spans="32:32" x14ac:dyDescent="0.2">
      <c r="AF53639" s="12"/>
    </row>
    <row r="53640" spans="32:32" x14ac:dyDescent="0.2">
      <c r="AF53640" s="12"/>
    </row>
    <row r="53641" spans="32:32" x14ac:dyDescent="0.2">
      <c r="AF53641" s="12"/>
    </row>
    <row r="53642" spans="32:32" x14ac:dyDescent="0.2">
      <c r="AF53642" s="12"/>
    </row>
    <row r="53643" spans="32:32" x14ac:dyDescent="0.2">
      <c r="AF53643" s="12"/>
    </row>
    <row r="53644" spans="32:32" x14ac:dyDescent="0.2">
      <c r="AF53644" s="12"/>
    </row>
    <row r="53645" spans="32:32" x14ac:dyDescent="0.2">
      <c r="AF53645" s="12"/>
    </row>
    <row r="53646" spans="32:32" x14ac:dyDescent="0.2">
      <c r="AF53646" s="12"/>
    </row>
    <row r="53647" spans="32:32" x14ac:dyDescent="0.2">
      <c r="AF53647" s="12"/>
    </row>
    <row r="53648" spans="32:32" x14ac:dyDescent="0.2">
      <c r="AF53648" s="12"/>
    </row>
    <row r="53649" spans="32:32" x14ac:dyDescent="0.2">
      <c r="AF53649" s="12"/>
    </row>
    <row r="53650" spans="32:32" x14ac:dyDescent="0.2">
      <c r="AF53650" s="12"/>
    </row>
    <row r="53651" spans="32:32" x14ac:dyDescent="0.2">
      <c r="AF53651" s="12"/>
    </row>
    <row r="53652" spans="32:32" x14ac:dyDescent="0.2">
      <c r="AF53652" s="12"/>
    </row>
    <row r="53653" spans="32:32" x14ac:dyDescent="0.2">
      <c r="AF53653" s="12"/>
    </row>
    <row r="53654" spans="32:32" x14ac:dyDescent="0.2">
      <c r="AF53654" s="12"/>
    </row>
    <row r="53655" spans="32:32" x14ac:dyDescent="0.2">
      <c r="AF53655" s="12"/>
    </row>
    <row r="53656" spans="32:32" x14ac:dyDescent="0.2">
      <c r="AF53656" s="12"/>
    </row>
    <row r="53657" spans="32:32" x14ac:dyDescent="0.2">
      <c r="AF53657" s="12"/>
    </row>
    <row r="53658" spans="32:32" x14ac:dyDescent="0.2">
      <c r="AF53658" s="12"/>
    </row>
    <row r="53659" spans="32:32" x14ac:dyDescent="0.2">
      <c r="AF53659" s="12"/>
    </row>
    <row r="53660" spans="32:32" x14ac:dyDescent="0.2">
      <c r="AF53660" s="12"/>
    </row>
    <row r="53661" spans="32:32" x14ac:dyDescent="0.2">
      <c r="AF53661" s="12"/>
    </row>
    <row r="53662" spans="32:32" x14ac:dyDescent="0.2">
      <c r="AF53662" s="12"/>
    </row>
    <row r="53663" spans="32:32" x14ac:dyDescent="0.2">
      <c r="AF53663" s="12"/>
    </row>
    <row r="53664" spans="32:32" x14ac:dyDescent="0.2">
      <c r="AF53664" s="12"/>
    </row>
    <row r="53665" spans="32:32" x14ac:dyDescent="0.2">
      <c r="AF53665" s="12"/>
    </row>
    <row r="53666" spans="32:32" x14ac:dyDescent="0.2">
      <c r="AF53666" s="12"/>
    </row>
    <row r="53667" spans="32:32" x14ac:dyDescent="0.2">
      <c r="AF53667" s="12"/>
    </row>
    <row r="53668" spans="32:32" x14ac:dyDescent="0.2">
      <c r="AF53668" s="12"/>
    </row>
    <row r="53669" spans="32:32" x14ac:dyDescent="0.2">
      <c r="AF53669" s="12"/>
    </row>
    <row r="53670" spans="32:32" x14ac:dyDescent="0.2">
      <c r="AF53670" s="12"/>
    </row>
    <row r="53671" spans="32:32" x14ac:dyDescent="0.2">
      <c r="AF53671" s="12"/>
    </row>
    <row r="53672" spans="32:32" x14ac:dyDescent="0.2">
      <c r="AF53672" s="12"/>
    </row>
    <row r="53673" spans="32:32" x14ac:dyDescent="0.2">
      <c r="AF53673" s="12"/>
    </row>
    <row r="53674" spans="32:32" x14ac:dyDescent="0.2">
      <c r="AF53674" s="12"/>
    </row>
    <row r="53675" spans="32:32" x14ac:dyDescent="0.2">
      <c r="AF53675" s="12"/>
    </row>
    <row r="53676" spans="32:32" x14ac:dyDescent="0.2">
      <c r="AF53676" s="12"/>
    </row>
    <row r="53677" spans="32:32" x14ac:dyDescent="0.2">
      <c r="AF53677" s="12"/>
    </row>
    <row r="53678" spans="32:32" x14ac:dyDescent="0.2">
      <c r="AF53678" s="12"/>
    </row>
    <row r="53679" spans="32:32" x14ac:dyDescent="0.2">
      <c r="AF53679" s="12"/>
    </row>
    <row r="53680" spans="32:32" x14ac:dyDescent="0.2">
      <c r="AF53680" s="12"/>
    </row>
    <row r="53681" spans="32:32" x14ac:dyDescent="0.2">
      <c r="AF53681" s="12"/>
    </row>
    <row r="53682" spans="32:32" x14ac:dyDescent="0.2">
      <c r="AF53682" s="12"/>
    </row>
    <row r="53683" spans="32:32" x14ac:dyDescent="0.2">
      <c r="AF53683" s="12"/>
    </row>
    <row r="53684" spans="32:32" x14ac:dyDescent="0.2">
      <c r="AF53684" s="12"/>
    </row>
    <row r="53685" spans="32:32" x14ac:dyDescent="0.2">
      <c r="AF53685" s="12"/>
    </row>
    <row r="53686" spans="32:32" x14ac:dyDescent="0.2">
      <c r="AF53686" s="12"/>
    </row>
    <row r="53687" spans="32:32" x14ac:dyDescent="0.2">
      <c r="AF53687" s="12"/>
    </row>
    <row r="53688" spans="32:32" x14ac:dyDescent="0.2">
      <c r="AF53688" s="12"/>
    </row>
    <row r="53689" spans="32:32" x14ac:dyDescent="0.2">
      <c r="AF53689" s="12"/>
    </row>
    <row r="53690" spans="32:32" x14ac:dyDescent="0.2">
      <c r="AF53690" s="12"/>
    </row>
    <row r="53691" spans="32:32" x14ac:dyDescent="0.2">
      <c r="AF53691" s="12"/>
    </row>
    <row r="53692" spans="32:32" x14ac:dyDescent="0.2">
      <c r="AF53692" s="12"/>
    </row>
    <row r="53693" spans="32:32" x14ac:dyDescent="0.2">
      <c r="AF53693" s="12"/>
    </row>
    <row r="53694" spans="32:32" x14ac:dyDescent="0.2">
      <c r="AF53694" s="12"/>
    </row>
    <row r="53695" spans="32:32" x14ac:dyDescent="0.2">
      <c r="AF53695" s="12"/>
    </row>
    <row r="53696" spans="32:32" x14ac:dyDescent="0.2">
      <c r="AF53696" s="12"/>
    </row>
    <row r="53697" spans="32:32" x14ac:dyDescent="0.2">
      <c r="AF53697" s="12"/>
    </row>
    <row r="53698" spans="32:32" x14ac:dyDescent="0.2">
      <c r="AF53698" s="12"/>
    </row>
    <row r="53699" spans="32:32" x14ac:dyDescent="0.2">
      <c r="AF53699" s="12"/>
    </row>
    <row r="53700" spans="32:32" x14ac:dyDescent="0.2">
      <c r="AF53700" s="12"/>
    </row>
    <row r="53701" spans="32:32" x14ac:dyDescent="0.2">
      <c r="AF53701" s="12"/>
    </row>
    <row r="53702" spans="32:32" x14ac:dyDescent="0.2">
      <c r="AF53702" s="12"/>
    </row>
    <row r="53703" spans="32:32" x14ac:dyDescent="0.2">
      <c r="AF53703" s="12"/>
    </row>
    <row r="53704" spans="32:32" x14ac:dyDescent="0.2">
      <c r="AF53704" s="12"/>
    </row>
    <row r="53705" spans="32:32" x14ac:dyDescent="0.2">
      <c r="AF53705" s="12"/>
    </row>
    <row r="53706" spans="32:32" x14ac:dyDescent="0.2">
      <c r="AF53706" s="12"/>
    </row>
    <row r="53707" spans="32:32" x14ac:dyDescent="0.2">
      <c r="AF53707" s="12"/>
    </row>
    <row r="53708" spans="32:32" x14ac:dyDescent="0.2">
      <c r="AF53708" s="12"/>
    </row>
    <row r="53709" spans="32:32" x14ac:dyDescent="0.2">
      <c r="AF53709" s="12"/>
    </row>
    <row r="53710" spans="32:32" x14ac:dyDescent="0.2">
      <c r="AF53710" s="12"/>
    </row>
    <row r="53711" spans="32:32" x14ac:dyDescent="0.2">
      <c r="AF53711" s="12"/>
    </row>
    <row r="53712" spans="32:32" x14ac:dyDescent="0.2">
      <c r="AF53712" s="12"/>
    </row>
    <row r="53713" spans="32:32" x14ac:dyDescent="0.2">
      <c r="AF53713" s="12"/>
    </row>
    <row r="53714" spans="32:32" x14ac:dyDescent="0.2">
      <c r="AF53714" s="12"/>
    </row>
    <row r="53715" spans="32:32" x14ac:dyDescent="0.2">
      <c r="AF53715" s="12"/>
    </row>
    <row r="53716" spans="32:32" x14ac:dyDescent="0.2">
      <c r="AF53716" s="12"/>
    </row>
    <row r="53717" spans="32:32" x14ac:dyDescent="0.2">
      <c r="AF53717" s="12"/>
    </row>
    <row r="53718" spans="32:32" x14ac:dyDescent="0.2">
      <c r="AF53718" s="12"/>
    </row>
    <row r="53719" spans="32:32" x14ac:dyDescent="0.2">
      <c r="AF53719" s="12"/>
    </row>
    <row r="53720" spans="32:32" x14ac:dyDescent="0.2">
      <c r="AF53720" s="12"/>
    </row>
    <row r="53721" spans="32:32" x14ac:dyDescent="0.2">
      <c r="AF53721" s="12"/>
    </row>
    <row r="53722" spans="32:32" x14ac:dyDescent="0.2">
      <c r="AF53722" s="12"/>
    </row>
    <row r="53723" spans="32:32" x14ac:dyDescent="0.2">
      <c r="AF53723" s="12"/>
    </row>
    <row r="53724" spans="32:32" x14ac:dyDescent="0.2">
      <c r="AF53724" s="12"/>
    </row>
    <row r="53725" spans="32:32" x14ac:dyDescent="0.2">
      <c r="AF53725" s="12"/>
    </row>
    <row r="53726" spans="32:32" x14ac:dyDescent="0.2">
      <c r="AF53726" s="12"/>
    </row>
    <row r="53727" spans="32:32" x14ac:dyDescent="0.2">
      <c r="AF53727" s="12"/>
    </row>
    <row r="53728" spans="32:32" x14ac:dyDescent="0.2">
      <c r="AF53728" s="12"/>
    </row>
    <row r="53729" spans="32:32" x14ac:dyDescent="0.2">
      <c r="AF53729" s="12"/>
    </row>
    <row r="53730" spans="32:32" x14ac:dyDescent="0.2">
      <c r="AF53730" s="12"/>
    </row>
    <row r="53731" spans="32:32" x14ac:dyDescent="0.2">
      <c r="AF53731" s="12"/>
    </row>
    <row r="53732" spans="32:32" x14ac:dyDescent="0.2">
      <c r="AF53732" s="12"/>
    </row>
    <row r="53733" spans="32:32" x14ac:dyDescent="0.2">
      <c r="AF53733" s="12"/>
    </row>
    <row r="53734" spans="32:32" x14ac:dyDescent="0.2">
      <c r="AF53734" s="12"/>
    </row>
    <row r="53735" spans="32:32" x14ac:dyDescent="0.2">
      <c r="AF53735" s="12"/>
    </row>
    <row r="53736" spans="32:32" x14ac:dyDescent="0.2">
      <c r="AF53736" s="12"/>
    </row>
    <row r="53737" spans="32:32" x14ac:dyDescent="0.2">
      <c r="AF53737" s="12"/>
    </row>
    <row r="53738" spans="32:32" x14ac:dyDescent="0.2">
      <c r="AF53738" s="12"/>
    </row>
    <row r="53739" spans="32:32" x14ac:dyDescent="0.2">
      <c r="AF53739" s="12"/>
    </row>
    <row r="53740" spans="32:32" x14ac:dyDescent="0.2">
      <c r="AF53740" s="12"/>
    </row>
    <row r="53741" spans="32:32" x14ac:dyDescent="0.2">
      <c r="AF53741" s="12"/>
    </row>
    <row r="53742" spans="32:32" x14ac:dyDescent="0.2">
      <c r="AF53742" s="12"/>
    </row>
    <row r="53743" spans="32:32" x14ac:dyDescent="0.2">
      <c r="AF53743" s="12"/>
    </row>
    <row r="53744" spans="32:32" x14ac:dyDescent="0.2">
      <c r="AF53744" s="12"/>
    </row>
    <row r="53745" spans="32:32" x14ac:dyDescent="0.2">
      <c r="AF53745" s="12"/>
    </row>
    <row r="53746" spans="32:32" x14ac:dyDescent="0.2">
      <c r="AF53746" s="12"/>
    </row>
    <row r="53747" spans="32:32" x14ac:dyDescent="0.2">
      <c r="AF53747" s="12"/>
    </row>
    <row r="53748" spans="32:32" x14ac:dyDescent="0.2">
      <c r="AF53748" s="12"/>
    </row>
    <row r="53749" spans="32:32" x14ac:dyDescent="0.2">
      <c r="AF53749" s="12"/>
    </row>
    <row r="53750" spans="32:32" x14ac:dyDescent="0.2">
      <c r="AF53750" s="12"/>
    </row>
    <row r="53751" spans="32:32" x14ac:dyDescent="0.2">
      <c r="AF53751" s="12"/>
    </row>
    <row r="53752" spans="32:32" x14ac:dyDescent="0.2">
      <c r="AF53752" s="12"/>
    </row>
    <row r="53753" spans="32:32" x14ac:dyDescent="0.2">
      <c r="AF53753" s="12"/>
    </row>
    <row r="53754" spans="32:32" x14ac:dyDescent="0.2">
      <c r="AF53754" s="12"/>
    </row>
    <row r="53755" spans="32:32" x14ac:dyDescent="0.2">
      <c r="AF53755" s="12"/>
    </row>
    <row r="53756" spans="32:32" x14ac:dyDescent="0.2">
      <c r="AF53756" s="12"/>
    </row>
    <row r="53757" spans="32:32" x14ac:dyDescent="0.2">
      <c r="AF53757" s="12"/>
    </row>
    <row r="53758" spans="32:32" x14ac:dyDescent="0.2">
      <c r="AF53758" s="12"/>
    </row>
    <row r="53759" spans="32:32" x14ac:dyDescent="0.2">
      <c r="AF53759" s="12"/>
    </row>
    <row r="53760" spans="32:32" x14ac:dyDescent="0.2">
      <c r="AF53760" s="12"/>
    </row>
    <row r="53761" spans="32:32" x14ac:dyDescent="0.2">
      <c r="AF53761" s="12"/>
    </row>
    <row r="53762" spans="32:32" x14ac:dyDescent="0.2">
      <c r="AF53762" s="12"/>
    </row>
    <row r="53763" spans="32:32" x14ac:dyDescent="0.2">
      <c r="AF53763" s="12"/>
    </row>
    <row r="53764" spans="32:32" x14ac:dyDescent="0.2">
      <c r="AF53764" s="12"/>
    </row>
    <row r="53765" spans="32:32" x14ac:dyDescent="0.2">
      <c r="AF53765" s="12"/>
    </row>
    <row r="53766" spans="32:32" x14ac:dyDescent="0.2">
      <c r="AF53766" s="12"/>
    </row>
    <row r="53767" spans="32:32" x14ac:dyDescent="0.2">
      <c r="AF53767" s="12"/>
    </row>
    <row r="53768" spans="32:32" x14ac:dyDescent="0.2">
      <c r="AF53768" s="12"/>
    </row>
    <row r="53769" spans="32:32" x14ac:dyDescent="0.2">
      <c r="AF53769" s="12"/>
    </row>
    <row r="53770" spans="32:32" x14ac:dyDescent="0.2">
      <c r="AF53770" s="12"/>
    </row>
    <row r="53771" spans="32:32" x14ac:dyDescent="0.2">
      <c r="AF53771" s="12"/>
    </row>
    <row r="53772" spans="32:32" x14ac:dyDescent="0.2">
      <c r="AF53772" s="12"/>
    </row>
    <row r="53773" spans="32:32" x14ac:dyDescent="0.2">
      <c r="AF53773" s="12"/>
    </row>
    <row r="53774" spans="32:32" x14ac:dyDescent="0.2">
      <c r="AF53774" s="12"/>
    </row>
    <row r="53775" spans="32:32" x14ac:dyDescent="0.2">
      <c r="AF53775" s="12"/>
    </row>
    <row r="53776" spans="32:32" x14ac:dyDescent="0.2">
      <c r="AF53776" s="12"/>
    </row>
    <row r="53777" spans="32:32" x14ac:dyDescent="0.2">
      <c r="AF53777" s="12"/>
    </row>
    <row r="53778" spans="32:32" x14ac:dyDescent="0.2">
      <c r="AF53778" s="12"/>
    </row>
    <row r="53779" spans="32:32" x14ac:dyDescent="0.2">
      <c r="AF53779" s="12"/>
    </row>
    <row r="53780" spans="32:32" x14ac:dyDescent="0.2">
      <c r="AF53780" s="12"/>
    </row>
    <row r="53781" spans="32:32" x14ac:dyDescent="0.2">
      <c r="AF53781" s="12"/>
    </row>
    <row r="53782" spans="32:32" x14ac:dyDescent="0.2">
      <c r="AF53782" s="12"/>
    </row>
    <row r="53783" spans="32:32" x14ac:dyDescent="0.2">
      <c r="AF53783" s="12"/>
    </row>
    <row r="53784" spans="32:32" x14ac:dyDescent="0.2">
      <c r="AF53784" s="12"/>
    </row>
    <row r="53785" spans="32:32" x14ac:dyDescent="0.2">
      <c r="AF53785" s="12"/>
    </row>
    <row r="53786" spans="32:32" x14ac:dyDescent="0.2">
      <c r="AF53786" s="12"/>
    </row>
    <row r="53787" spans="32:32" x14ac:dyDescent="0.2">
      <c r="AF53787" s="12"/>
    </row>
    <row r="53788" spans="32:32" x14ac:dyDescent="0.2">
      <c r="AF53788" s="12"/>
    </row>
    <row r="53789" spans="32:32" x14ac:dyDescent="0.2">
      <c r="AF53789" s="12"/>
    </row>
    <row r="53790" spans="32:32" x14ac:dyDescent="0.2">
      <c r="AF53790" s="12"/>
    </row>
    <row r="53791" spans="32:32" x14ac:dyDescent="0.2">
      <c r="AF53791" s="12"/>
    </row>
    <row r="53792" spans="32:32" x14ac:dyDescent="0.2">
      <c r="AF53792" s="12"/>
    </row>
    <row r="53793" spans="32:32" x14ac:dyDescent="0.2">
      <c r="AF53793" s="12"/>
    </row>
    <row r="53794" spans="32:32" x14ac:dyDescent="0.2">
      <c r="AF53794" s="12"/>
    </row>
    <row r="53795" spans="32:32" x14ac:dyDescent="0.2">
      <c r="AF53795" s="12"/>
    </row>
    <row r="53796" spans="32:32" x14ac:dyDescent="0.2">
      <c r="AF53796" s="12"/>
    </row>
    <row r="53797" spans="32:32" x14ac:dyDescent="0.2">
      <c r="AF53797" s="12"/>
    </row>
    <row r="53798" spans="32:32" x14ac:dyDescent="0.2">
      <c r="AF53798" s="12"/>
    </row>
    <row r="53799" spans="32:32" x14ac:dyDescent="0.2">
      <c r="AF53799" s="12"/>
    </row>
    <row r="53800" spans="32:32" x14ac:dyDescent="0.2">
      <c r="AF53800" s="12"/>
    </row>
    <row r="53801" spans="32:32" x14ac:dyDescent="0.2">
      <c r="AF53801" s="12"/>
    </row>
    <row r="53802" spans="32:32" x14ac:dyDescent="0.2">
      <c r="AF53802" s="12"/>
    </row>
    <row r="53803" spans="32:32" x14ac:dyDescent="0.2">
      <c r="AF53803" s="12"/>
    </row>
    <row r="53804" spans="32:32" x14ac:dyDescent="0.2">
      <c r="AF53804" s="12"/>
    </row>
    <row r="53805" spans="32:32" x14ac:dyDescent="0.2">
      <c r="AF53805" s="12"/>
    </row>
    <row r="53806" spans="32:32" x14ac:dyDescent="0.2">
      <c r="AF53806" s="12"/>
    </row>
    <row r="53807" spans="32:32" x14ac:dyDescent="0.2">
      <c r="AF53807" s="12"/>
    </row>
    <row r="53808" spans="32:32" x14ac:dyDescent="0.2">
      <c r="AF53808" s="12"/>
    </row>
    <row r="53809" spans="32:32" x14ac:dyDescent="0.2">
      <c r="AF53809" s="12"/>
    </row>
    <row r="53810" spans="32:32" x14ac:dyDescent="0.2">
      <c r="AF53810" s="12"/>
    </row>
    <row r="53811" spans="32:32" x14ac:dyDescent="0.2">
      <c r="AF53811" s="12"/>
    </row>
    <row r="53812" spans="32:32" x14ac:dyDescent="0.2">
      <c r="AF53812" s="12"/>
    </row>
    <row r="53813" spans="32:32" x14ac:dyDescent="0.2">
      <c r="AF53813" s="12"/>
    </row>
    <row r="53814" spans="32:32" x14ac:dyDescent="0.2">
      <c r="AF53814" s="12"/>
    </row>
    <row r="53815" spans="32:32" x14ac:dyDescent="0.2">
      <c r="AF53815" s="12"/>
    </row>
    <row r="53816" spans="32:32" x14ac:dyDescent="0.2">
      <c r="AF53816" s="12"/>
    </row>
    <row r="53817" spans="32:32" x14ac:dyDescent="0.2">
      <c r="AF53817" s="12"/>
    </row>
    <row r="53818" spans="32:32" x14ac:dyDescent="0.2">
      <c r="AF53818" s="12"/>
    </row>
    <row r="53819" spans="32:32" x14ac:dyDescent="0.2">
      <c r="AF53819" s="12"/>
    </row>
    <row r="53820" spans="32:32" x14ac:dyDescent="0.2">
      <c r="AF53820" s="12"/>
    </row>
    <row r="53821" spans="32:32" x14ac:dyDescent="0.2">
      <c r="AF53821" s="12"/>
    </row>
    <row r="53822" spans="32:32" x14ac:dyDescent="0.2">
      <c r="AF53822" s="12"/>
    </row>
    <row r="53823" spans="32:32" x14ac:dyDescent="0.2">
      <c r="AF53823" s="12"/>
    </row>
    <row r="53824" spans="32:32" x14ac:dyDescent="0.2">
      <c r="AF53824" s="12"/>
    </row>
    <row r="53825" spans="32:32" x14ac:dyDescent="0.2">
      <c r="AF53825" s="12"/>
    </row>
    <row r="53826" spans="32:32" x14ac:dyDescent="0.2">
      <c r="AF53826" s="12"/>
    </row>
    <row r="53827" spans="32:32" x14ac:dyDescent="0.2">
      <c r="AF53827" s="12"/>
    </row>
    <row r="53828" spans="32:32" x14ac:dyDescent="0.2">
      <c r="AF53828" s="12"/>
    </row>
    <row r="53829" spans="32:32" x14ac:dyDescent="0.2">
      <c r="AF53829" s="12"/>
    </row>
    <row r="53830" spans="32:32" x14ac:dyDescent="0.2">
      <c r="AF53830" s="12"/>
    </row>
    <row r="53831" spans="32:32" x14ac:dyDescent="0.2">
      <c r="AF53831" s="12"/>
    </row>
    <row r="53832" spans="32:32" x14ac:dyDescent="0.2">
      <c r="AF53832" s="12"/>
    </row>
    <row r="53833" spans="32:32" x14ac:dyDescent="0.2">
      <c r="AF53833" s="12"/>
    </row>
    <row r="53834" spans="32:32" x14ac:dyDescent="0.2">
      <c r="AF53834" s="12"/>
    </row>
    <row r="53835" spans="32:32" x14ac:dyDescent="0.2">
      <c r="AF53835" s="12"/>
    </row>
    <row r="53836" spans="32:32" x14ac:dyDescent="0.2">
      <c r="AF53836" s="12"/>
    </row>
    <row r="53837" spans="32:32" x14ac:dyDescent="0.2">
      <c r="AF53837" s="12"/>
    </row>
    <row r="53838" spans="32:32" x14ac:dyDescent="0.2">
      <c r="AF53838" s="12"/>
    </row>
    <row r="53839" spans="32:32" x14ac:dyDescent="0.2">
      <c r="AF53839" s="12"/>
    </row>
    <row r="53840" spans="32:32" x14ac:dyDescent="0.2">
      <c r="AF53840" s="12"/>
    </row>
    <row r="53841" spans="32:32" x14ac:dyDescent="0.2">
      <c r="AF53841" s="12"/>
    </row>
    <row r="53842" spans="32:32" x14ac:dyDescent="0.2">
      <c r="AF53842" s="12"/>
    </row>
    <row r="53843" spans="32:32" x14ac:dyDescent="0.2">
      <c r="AF53843" s="12"/>
    </row>
    <row r="53844" spans="32:32" x14ac:dyDescent="0.2">
      <c r="AF53844" s="12"/>
    </row>
    <row r="53845" spans="32:32" x14ac:dyDescent="0.2">
      <c r="AF53845" s="12"/>
    </row>
    <row r="53846" spans="32:32" x14ac:dyDescent="0.2">
      <c r="AF53846" s="12"/>
    </row>
    <row r="53847" spans="32:32" x14ac:dyDescent="0.2">
      <c r="AF53847" s="12"/>
    </row>
    <row r="53848" spans="32:32" x14ac:dyDescent="0.2">
      <c r="AF53848" s="12"/>
    </row>
    <row r="53849" spans="32:32" x14ac:dyDescent="0.2">
      <c r="AF53849" s="12"/>
    </row>
    <row r="53850" spans="32:32" x14ac:dyDescent="0.2">
      <c r="AF53850" s="12"/>
    </row>
    <row r="53851" spans="32:32" x14ac:dyDescent="0.2">
      <c r="AF53851" s="12"/>
    </row>
    <row r="53852" spans="32:32" x14ac:dyDescent="0.2">
      <c r="AF53852" s="12"/>
    </row>
    <row r="53853" spans="32:32" x14ac:dyDescent="0.2">
      <c r="AF53853" s="12"/>
    </row>
    <row r="53854" spans="32:32" x14ac:dyDescent="0.2">
      <c r="AF53854" s="12"/>
    </row>
    <row r="53855" spans="32:32" x14ac:dyDescent="0.2">
      <c r="AF53855" s="12"/>
    </row>
    <row r="53856" spans="32:32" x14ac:dyDescent="0.2">
      <c r="AF53856" s="12"/>
    </row>
    <row r="53857" spans="32:32" x14ac:dyDescent="0.2">
      <c r="AF53857" s="12"/>
    </row>
    <row r="53858" spans="32:32" x14ac:dyDescent="0.2">
      <c r="AF53858" s="12"/>
    </row>
    <row r="53859" spans="32:32" x14ac:dyDescent="0.2">
      <c r="AF53859" s="12"/>
    </row>
    <row r="53860" spans="32:32" x14ac:dyDescent="0.2">
      <c r="AF53860" s="12"/>
    </row>
    <row r="53861" spans="32:32" x14ac:dyDescent="0.2">
      <c r="AF53861" s="12"/>
    </row>
    <row r="53862" spans="32:32" x14ac:dyDescent="0.2">
      <c r="AF53862" s="12"/>
    </row>
    <row r="53863" spans="32:32" x14ac:dyDescent="0.2">
      <c r="AF53863" s="12"/>
    </row>
    <row r="53864" spans="32:32" x14ac:dyDescent="0.2">
      <c r="AF53864" s="12"/>
    </row>
    <row r="53865" spans="32:32" x14ac:dyDescent="0.2">
      <c r="AF53865" s="12"/>
    </row>
    <row r="53866" spans="32:32" x14ac:dyDescent="0.2">
      <c r="AF53866" s="12"/>
    </row>
    <row r="53867" spans="32:32" x14ac:dyDescent="0.2">
      <c r="AF53867" s="12"/>
    </row>
    <row r="53868" spans="32:32" x14ac:dyDescent="0.2">
      <c r="AF53868" s="12"/>
    </row>
    <row r="53869" spans="32:32" x14ac:dyDescent="0.2">
      <c r="AF53869" s="12"/>
    </row>
    <row r="53870" spans="32:32" x14ac:dyDescent="0.2">
      <c r="AF53870" s="12"/>
    </row>
    <row r="53871" spans="32:32" x14ac:dyDescent="0.2">
      <c r="AF53871" s="12"/>
    </row>
    <row r="53872" spans="32:32" x14ac:dyDescent="0.2">
      <c r="AF53872" s="12"/>
    </row>
    <row r="53873" spans="32:32" x14ac:dyDescent="0.2">
      <c r="AF53873" s="12"/>
    </row>
    <row r="53874" spans="32:32" x14ac:dyDescent="0.2">
      <c r="AF53874" s="12"/>
    </row>
    <row r="53875" spans="32:32" x14ac:dyDescent="0.2">
      <c r="AF53875" s="12"/>
    </row>
    <row r="53876" spans="32:32" x14ac:dyDescent="0.2">
      <c r="AF53876" s="12"/>
    </row>
    <row r="53877" spans="32:32" x14ac:dyDescent="0.2">
      <c r="AF53877" s="12"/>
    </row>
    <row r="53878" spans="32:32" x14ac:dyDescent="0.2">
      <c r="AF53878" s="12"/>
    </row>
    <row r="53879" spans="32:32" x14ac:dyDescent="0.2">
      <c r="AF53879" s="12"/>
    </row>
    <row r="53880" spans="32:32" x14ac:dyDescent="0.2">
      <c r="AF53880" s="12"/>
    </row>
    <row r="53881" spans="32:32" x14ac:dyDescent="0.2">
      <c r="AF53881" s="12"/>
    </row>
    <row r="53882" spans="32:32" x14ac:dyDescent="0.2">
      <c r="AF53882" s="12"/>
    </row>
    <row r="53883" spans="32:32" x14ac:dyDescent="0.2">
      <c r="AF53883" s="12"/>
    </row>
    <row r="53884" spans="32:32" x14ac:dyDescent="0.2">
      <c r="AF53884" s="12"/>
    </row>
    <row r="53885" spans="32:32" x14ac:dyDescent="0.2">
      <c r="AF53885" s="12"/>
    </row>
    <row r="53886" spans="32:32" x14ac:dyDescent="0.2">
      <c r="AF53886" s="12"/>
    </row>
    <row r="53887" spans="32:32" x14ac:dyDescent="0.2">
      <c r="AF53887" s="12"/>
    </row>
    <row r="53888" spans="32:32" x14ac:dyDescent="0.2">
      <c r="AF53888" s="12"/>
    </row>
    <row r="53889" spans="32:32" x14ac:dyDescent="0.2">
      <c r="AF53889" s="12"/>
    </row>
    <row r="53890" spans="32:32" x14ac:dyDescent="0.2">
      <c r="AF53890" s="12"/>
    </row>
    <row r="53891" spans="32:32" x14ac:dyDescent="0.2">
      <c r="AF53891" s="12"/>
    </row>
    <row r="53892" spans="32:32" x14ac:dyDescent="0.2">
      <c r="AF53892" s="12"/>
    </row>
    <row r="53893" spans="32:32" x14ac:dyDescent="0.2">
      <c r="AF53893" s="12"/>
    </row>
    <row r="53894" spans="32:32" x14ac:dyDescent="0.2">
      <c r="AF53894" s="12"/>
    </row>
    <row r="53895" spans="32:32" x14ac:dyDescent="0.2">
      <c r="AF53895" s="12"/>
    </row>
    <row r="53896" spans="32:32" x14ac:dyDescent="0.2">
      <c r="AF53896" s="12"/>
    </row>
    <row r="53897" spans="32:32" x14ac:dyDescent="0.2">
      <c r="AF53897" s="12"/>
    </row>
    <row r="53898" spans="32:32" x14ac:dyDescent="0.2">
      <c r="AF53898" s="12"/>
    </row>
    <row r="53899" spans="32:32" x14ac:dyDescent="0.2">
      <c r="AF53899" s="12"/>
    </row>
    <row r="53900" spans="32:32" x14ac:dyDescent="0.2">
      <c r="AF53900" s="12"/>
    </row>
    <row r="53901" spans="32:32" x14ac:dyDescent="0.2">
      <c r="AF53901" s="12"/>
    </row>
    <row r="53902" spans="32:32" x14ac:dyDescent="0.2">
      <c r="AF53902" s="12"/>
    </row>
    <row r="53903" spans="32:32" x14ac:dyDescent="0.2">
      <c r="AF53903" s="12"/>
    </row>
    <row r="53904" spans="32:32" x14ac:dyDescent="0.2">
      <c r="AF53904" s="12"/>
    </row>
    <row r="53905" spans="32:32" x14ac:dyDescent="0.2">
      <c r="AF53905" s="12"/>
    </row>
    <row r="53906" spans="32:32" x14ac:dyDescent="0.2">
      <c r="AF53906" s="12"/>
    </row>
    <row r="53907" spans="32:32" x14ac:dyDescent="0.2">
      <c r="AF53907" s="12"/>
    </row>
    <row r="53908" spans="32:32" x14ac:dyDescent="0.2">
      <c r="AF53908" s="12"/>
    </row>
    <row r="53909" spans="32:32" x14ac:dyDescent="0.2">
      <c r="AF53909" s="12"/>
    </row>
    <row r="53910" spans="32:32" x14ac:dyDescent="0.2">
      <c r="AF53910" s="12"/>
    </row>
    <row r="53911" spans="32:32" x14ac:dyDescent="0.2">
      <c r="AF53911" s="12"/>
    </row>
    <row r="53912" spans="32:32" x14ac:dyDescent="0.2">
      <c r="AF53912" s="12"/>
    </row>
    <row r="53913" spans="32:32" x14ac:dyDescent="0.2">
      <c r="AF53913" s="12"/>
    </row>
    <row r="53914" spans="32:32" x14ac:dyDescent="0.2">
      <c r="AF53914" s="12"/>
    </row>
    <row r="53915" spans="32:32" x14ac:dyDescent="0.2">
      <c r="AF53915" s="12"/>
    </row>
    <row r="53916" spans="32:32" x14ac:dyDescent="0.2">
      <c r="AF53916" s="12"/>
    </row>
    <row r="53917" spans="32:32" x14ac:dyDescent="0.2">
      <c r="AF53917" s="12"/>
    </row>
    <row r="53918" spans="32:32" x14ac:dyDescent="0.2">
      <c r="AF53918" s="12"/>
    </row>
    <row r="53919" spans="32:32" x14ac:dyDescent="0.2">
      <c r="AF53919" s="12"/>
    </row>
    <row r="53920" spans="32:32" x14ac:dyDescent="0.2">
      <c r="AF53920" s="12"/>
    </row>
    <row r="53921" spans="32:32" x14ac:dyDescent="0.2">
      <c r="AF53921" s="12"/>
    </row>
    <row r="53922" spans="32:32" x14ac:dyDescent="0.2">
      <c r="AF53922" s="12"/>
    </row>
    <row r="53923" spans="32:32" x14ac:dyDescent="0.2">
      <c r="AF53923" s="12"/>
    </row>
    <row r="53924" spans="32:32" x14ac:dyDescent="0.2">
      <c r="AF53924" s="12"/>
    </row>
    <row r="53925" spans="32:32" x14ac:dyDescent="0.2">
      <c r="AF53925" s="12"/>
    </row>
    <row r="53926" spans="32:32" x14ac:dyDescent="0.2">
      <c r="AF53926" s="12"/>
    </row>
    <row r="53927" spans="32:32" x14ac:dyDescent="0.2">
      <c r="AF53927" s="12"/>
    </row>
    <row r="53928" spans="32:32" x14ac:dyDescent="0.2">
      <c r="AF53928" s="12"/>
    </row>
    <row r="53929" spans="32:32" x14ac:dyDescent="0.2">
      <c r="AF53929" s="12"/>
    </row>
    <row r="53930" spans="32:32" x14ac:dyDescent="0.2">
      <c r="AF53930" s="12"/>
    </row>
    <row r="53931" spans="32:32" x14ac:dyDescent="0.2">
      <c r="AF53931" s="12"/>
    </row>
    <row r="53932" spans="32:32" x14ac:dyDescent="0.2">
      <c r="AF53932" s="12"/>
    </row>
    <row r="53933" spans="32:32" x14ac:dyDescent="0.2">
      <c r="AF53933" s="12"/>
    </row>
    <row r="53934" spans="32:32" x14ac:dyDescent="0.2">
      <c r="AF53934" s="12"/>
    </row>
    <row r="53935" spans="32:32" x14ac:dyDescent="0.2">
      <c r="AF53935" s="12"/>
    </row>
    <row r="53936" spans="32:32" x14ac:dyDescent="0.2">
      <c r="AF53936" s="12"/>
    </row>
    <row r="53937" spans="32:32" x14ac:dyDescent="0.2">
      <c r="AF53937" s="12"/>
    </row>
    <row r="53938" spans="32:32" x14ac:dyDescent="0.2">
      <c r="AF53938" s="12"/>
    </row>
    <row r="53939" spans="32:32" x14ac:dyDescent="0.2">
      <c r="AF53939" s="12"/>
    </row>
    <row r="53940" spans="32:32" x14ac:dyDescent="0.2">
      <c r="AF53940" s="12"/>
    </row>
    <row r="53941" spans="32:32" x14ac:dyDescent="0.2">
      <c r="AF53941" s="12"/>
    </row>
    <row r="53942" spans="32:32" x14ac:dyDescent="0.2">
      <c r="AF53942" s="12"/>
    </row>
    <row r="53943" spans="32:32" x14ac:dyDescent="0.2">
      <c r="AF53943" s="12"/>
    </row>
    <row r="53944" spans="32:32" x14ac:dyDescent="0.2">
      <c r="AF53944" s="12"/>
    </row>
    <row r="53945" spans="32:32" x14ac:dyDescent="0.2">
      <c r="AF53945" s="12"/>
    </row>
    <row r="53946" spans="32:32" x14ac:dyDescent="0.2">
      <c r="AF53946" s="12"/>
    </row>
    <row r="53947" spans="32:32" x14ac:dyDescent="0.2">
      <c r="AF53947" s="12"/>
    </row>
    <row r="53948" spans="32:32" x14ac:dyDescent="0.2">
      <c r="AF53948" s="12"/>
    </row>
    <row r="53949" spans="32:32" x14ac:dyDescent="0.2">
      <c r="AF53949" s="12"/>
    </row>
    <row r="53950" spans="32:32" x14ac:dyDescent="0.2">
      <c r="AF53950" s="12"/>
    </row>
    <row r="53951" spans="32:32" x14ac:dyDescent="0.2">
      <c r="AF53951" s="12"/>
    </row>
    <row r="53952" spans="32:32" x14ac:dyDescent="0.2">
      <c r="AF53952" s="12"/>
    </row>
    <row r="53953" spans="32:32" x14ac:dyDescent="0.2">
      <c r="AF53953" s="12"/>
    </row>
    <row r="53954" spans="32:32" x14ac:dyDescent="0.2">
      <c r="AF53954" s="12"/>
    </row>
    <row r="53955" spans="32:32" x14ac:dyDescent="0.2">
      <c r="AF53955" s="12"/>
    </row>
    <row r="53956" spans="32:32" x14ac:dyDescent="0.2">
      <c r="AF53956" s="12"/>
    </row>
    <row r="53957" spans="32:32" x14ac:dyDescent="0.2">
      <c r="AF53957" s="12"/>
    </row>
    <row r="53958" spans="32:32" x14ac:dyDescent="0.2">
      <c r="AF53958" s="12"/>
    </row>
    <row r="53959" spans="32:32" x14ac:dyDescent="0.2">
      <c r="AF53959" s="12"/>
    </row>
    <row r="53960" spans="32:32" x14ac:dyDescent="0.2">
      <c r="AF53960" s="12"/>
    </row>
    <row r="53961" spans="32:32" x14ac:dyDescent="0.2">
      <c r="AF53961" s="12"/>
    </row>
    <row r="53962" spans="32:32" x14ac:dyDescent="0.2">
      <c r="AF53962" s="12"/>
    </row>
    <row r="53963" spans="32:32" x14ac:dyDescent="0.2">
      <c r="AF53963" s="12"/>
    </row>
    <row r="53964" spans="32:32" x14ac:dyDescent="0.2">
      <c r="AF53964" s="12"/>
    </row>
    <row r="53965" spans="32:32" x14ac:dyDescent="0.2">
      <c r="AF53965" s="12"/>
    </row>
    <row r="53966" spans="32:32" x14ac:dyDescent="0.2">
      <c r="AF53966" s="12"/>
    </row>
    <row r="53967" spans="32:32" x14ac:dyDescent="0.2">
      <c r="AF53967" s="12"/>
    </row>
    <row r="53968" spans="32:32" x14ac:dyDescent="0.2">
      <c r="AF53968" s="12"/>
    </row>
    <row r="53969" spans="32:32" x14ac:dyDescent="0.2">
      <c r="AF53969" s="12"/>
    </row>
    <row r="53970" spans="32:32" x14ac:dyDescent="0.2">
      <c r="AF53970" s="12"/>
    </row>
    <row r="53971" spans="32:32" x14ac:dyDescent="0.2">
      <c r="AF53971" s="12"/>
    </row>
    <row r="53972" spans="32:32" x14ac:dyDescent="0.2">
      <c r="AF53972" s="12"/>
    </row>
    <row r="53973" spans="32:32" x14ac:dyDescent="0.2">
      <c r="AF53973" s="12"/>
    </row>
    <row r="53974" spans="32:32" x14ac:dyDescent="0.2">
      <c r="AF53974" s="12"/>
    </row>
    <row r="53975" spans="32:32" x14ac:dyDescent="0.2">
      <c r="AF53975" s="12"/>
    </row>
    <row r="53976" spans="32:32" x14ac:dyDescent="0.2">
      <c r="AF53976" s="12"/>
    </row>
    <row r="53977" spans="32:32" x14ac:dyDescent="0.2">
      <c r="AF53977" s="12"/>
    </row>
    <row r="53978" spans="32:32" x14ac:dyDescent="0.2">
      <c r="AF53978" s="12"/>
    </row>
    <row r="53979" spans="32:32" x14ac:dyDescent="0.2">
      <c r="AF53979" s="12"/>
    </row>
    <row r="53980" spans="32:32" x14ac:dyDescent="0.2">
      <c r="AF53980" s="12"/>
    </row>
    <row r="53981" spans="32:32" x14ac:dyDescent="0.2">
      <c r="AF53981" s="12"/>
    </row>
    <row r="53982" spans="32:32" x14ac:dyDescent="0.2">
      <c r="AF53982" s="12"/>
    </row>
    <row r="53983" spans="32:32" x14ac:dyDescent="0.2">
      <c r="AF53983" s="12"/>
    </row>
    <row r="53984" spans="32:32" x14ac:dyDescent="0.2">
      <c r="AF53984" s="12"/>
    </row>
    <row r="53985" spans="32:32" x14ac:dyDescent="0.2">
      <c r="AF53985" s="12"/>
    </row>
    <row r="53986" spans="32:32" x14ac:dyDescent="0.2">
      <c r="AF53986" s="12"/>
    </row>
    <row r="53987" spans="32:32" x14ac:dyDescent="0.2">
      <c r="AF53987" s="12"/>
    </row>
    <row r="53988" spans="32:32" x14ac:dyDescent="0.2">
      <c r="AF53988" s="12"/>
    </row>
    <row r="53989" spans="32:32" x14ac:dyDescent="0.2">
      <c r="AF53989" s="12"/>
    </row>
    <row r="53990" spans="32:32" x14ac:dyDescent="0.2">
      <c r="AF53990" s="12"/>
    </row>
    <row r="53991" spans="32:32" x14ac:dyDescent="0.2">
      <c r="AF53991" s="12"/>
    </row>
    <row r="53992" spans="32:32" x14ac:dyDescent="0.2">
      <c r="AF53992" s="12"/>
    </row>
    <row r="53993" spans="32:32" x14ac:dyDescent="0.2">
      <c r="AF53993" s="12"/>
    </row>
    <row r="53994" spans="32:32" x14ac:dyDescent="0.2">
      <c r="AF53994" s="12"/>
    </row>
    <row r="53995" spans="32:32" x14ac:dyDescent="0.2">
      <c r="AF53995" s="12"/>
    </row>
    <row r="53996" spans="32:32" x14ac:dyDescent="0.2">
      <c r="AF53996" s="12"/>
    </row>
    <row r="53997" spans="32:32" x14ac:dyDescent="0.2">
      <c r="AF53997" s="12"/>
    </row>
    <row r="53998" spans="32:32" x14ac:dyDescent="0.2">
      <c r="AF53998" s="12"/>
    </row>
    <row r="53999" spans="32:32" x14ac:dyDescent="0.2">
      <c r="AF53999" s="12"/>
    </row>
    <row r="54000" spans="32:32" x14ac:dyDescent="0.2">
      <c r="AF54000" s="12"/>
    </row>
    <row r="54001" spans="32:32" x14ac:dyDescent="0.2">
      <c r="AF54001" s="12"/>
    </row>
    <row r="54002" spans="32:32" x14ac:dyDescent="0.2">
      <c r="AF54002" s="12"/>
    </row>
    <row r="54003" spans="32:32" x14ac:dyDescent="0.2">
      <c r="AF54003" s="12"/>
    </row>
    <row r="54004" spans="32:32" x14ac:dyDescent="0.2">
      <c r="AF54004" s="12"/>
    </row>
    <row r="54005" spans="32:32" x14ac:dyDescent="0.2">
      <c r="AF54005" s="12"/>
    </row>
    <row r="54006" spans="32:32" x14ac:dyDescent="0.2">
      <c r="AF54006" s="12"/>
    </row>
    <row r="54007" spans="32:32" x14ac:dyDescent="0.2">
      <c r="AF54007" s="12"/>
    </row>
    <row r="54008" spans="32:32" x14ac:dyDescent="0.2">
      <c r="AF54008" s="12"/>
    </row>
    <row r="54009" spans="32:32" x14ac:dyDescent="0.2">
      <c r="AF54009" s="12"/>
    </row>
    <row r="54010" spans="32:32" x14ac:dyDescent="0.2">
      <c r="AF54010" s="12"/>
    </row>
    <row r="54011" spans="32:32" x14ac:dyDescent="0.2">
      <c r="AF54011" s="12"/>
    </row>
    <row r="54012" spans="32:32" x14ac:dyDescent="0.2">
      <c r="AF54012" s="12"/>
    </row>
    <row r="54013" spans="32:32" x14ac:dyDescent="0.2">
      <c r="AF54013" s="12"/>
    </row>
    <row r="54014" spans="32:32" x14ac:dyDescent="0.2">
      <c r="AF54014" s="12"/>
    </row>
    <row r="54015" spans="32:32" x14ac:dyDescent="0.2">
      <c r="AF54015" s="12"/>
    </row>
    <row r="54016" spans="32:32" x14ac:dyDescent="0.2">
      <c r="AF54016" s="12"/>
    </row>
    <row r="54017" spans="32:32" x14ac:dyDescent="0.2">
      <c r="AF54017" s="12"/>
    </row>
    <row r="54018" spans="32:32" x14ac:dyDescent="0.2">
      <c r="AF54018" s="12"/>
    </row>
    <row r="54019" spans="32:32" x14ac:dyDescent="0.2">
      <c r="AF54019" s="12"/>
    </row>
    <row r="54020" spans="32:32" x14ac:dyDescent="0.2">
      <c r="AF54020" s="12"/>
    </row>
    <row r="54021" spans="32:32" x14ac:dyDescent="0.2">
      <c r="AF54021" s="12"/>
    </row>
    <row r="54022" spans="32:32" x14ac:dyDescent="0.2">
      <c r="AF54022" s="12"/>
    </row>
    <row r="54023" spans="32:32" x14ac:dyDescent="0.2">
      <c r="AF54023" s="12"/>
    </row>
    <row r="54024" spans="32:32" x14ac:dyDescent="0.2">
      <c r="AF54024" s="12"/>
    </row>
    <row r="54025" spans="32:32" x14ac:dyDescent="0.2">
      <c r="AF54025" s="12"/>
    </row>
    <row r="54026" spans="32:32" x14ac:dyDescent="0.2">
      <c r="AF54026" s="12"/>
    </row>
    <row r="54027" spans="32:32" x14ac:dyDescent="0.2">
      <c r="AF54027" s="12"/>
    </row>
    <row r="54028" spans="32:32" x14ac:dyDescent="0.2">
      <c r="AF54028" s="12"/>
    </row>
    <row r="54029" spans="32:32" x14ac:dyDescent="0.2">
      <c r="AF54029" s="12"/>
    </row>
    <row r="54030" spans="32:32" x14ac:dyDescent="0.2">
      <c r="AF54030" s="12"/>
    </row>
    <row r="54031" spans="32:32" x14ac:dyDescent="0.2">
      <c r="AF54031" s="12"/>
    </row>
    <row r="54032" spans="32:32" x14ac:dyDescent="0.2">
      <c r="AF54032" s="12"/>
    </row>
    <row r="54033" spans="32:32" x14ac:dyDescent="0.2">
      <c r="AF54033" s="12"/>
    </row>
    <row r="54034" spans="32:32" x14ac:dyDescent="0.2">
      <c r="AF54034" s="12"/>
    </row>
    <row r="54035" spans="32:32" x14ac:dyDescent="0.2">
      <c r="AF54035" s="12"/>
    </row>
    <row r="54036" spans="32:32" x14ac:dyDescent="0.2">
      <c r="AF54036" s="12"/>
    </row>
    <row r="54037" spans="32:32" x14ac:dyDescent="0.2">
      <c r="AF54037" s="12"/>
    </row>
    <row r="54038" spans="32:32" x14ac:dyDescent="0.2">
      <c r="AF54038" s="12"/>
    </row>
    <row r="54039" spans="32:32" x14ac:dyDescent="0.2">
      <c r="AF54039" s="12"/>
    </row>
    <row r="54040" spans="32:32" x14ac:dyDescent="0.2">
      <c r="AF54040" s="12"/>
    </row>
    <row r="54041" spans="32:32" x14ac:dyDescent="0.2">
      <c r="AF54041" s="12"/>
    </row>
    <row r="54042" spans="32:32" x14ac:dyDescent="0.2">
      <c r="AF54042" s="12"/>
    </row>
    <row r="54043" spans="32:32" x14ac:dyDescent="0.2">
      <c r="AF54043" s="12"/>
    </row>
    <row r="54044" spans="32:32" x14ac:dyDescent="0.2">
      <c r="AF54044" s="12"/>
    </row>
    <row r="54045" spans="32:32" x14ac:dyDescent="0.2">
      <c r="AF54045" s="12"/>
    </row>
    <row r="54046" spans="32:32" x14ac:dyDescent="0.2">
      <c r="AF54046" s="12"/>
    </row>
    <row r="54047" spans="32:32" x14ac:dyDescent="0.2">
      <c r="AF54047" s="12"/>
    </row>
    <row r="54048" spans="32:32" x14ac:dyDescent="0.2">
      <c r="AF54048" s="12"/>
    </row>
    <row r="54049" spans="32:32" x14ac:dyDescent="0.2">
      <c r="AF54049" s="12"/>
    </row>
    <row r="54050" spans="32:32" x14ac:dyDescent="0.2">
      <c r="AF54050" s="12"/>
    </row>
    <row r="54051" spans="32:32" x14ac:dyDescent="0.2">
      <c r="AF54051" s="12"/>
    </row>
    <row r="54052" spans="32:32" x14ac:dyDescent="0.2">
      <c r="AF54052" s="12"/>
    </row>
    <row r="54053" spans="32:32" x14ac:dyDescent="0.2">
      <c r="AF54053" s="12"/>
    </row>
    <row r="54054" spans="32:32" x14ac:dyDescent="0.2">
      <c r="AF54054" s="12"/>
    </row>
    <row r="54055" spans="32:32" x14ac:dyDescent="0.2">
      <c r="AF54055" s="12"/>
    </row>
    <row r="54056" spans="32:32" x14ac:dyDescent="0.2">
      <c r="AF54056" s="12"/>
    </row>
    <row r="54057" spans="32:32" x14ac:dyDescent="0.2">
      <c r="AF54057" s="12"/>
    </row>
    <row r="54058" spans="32:32" x14ac:dyDescent="0.2">
      <c r="AF54058" s="12"/>
    </row>
    <row r="54059" spans="32:32" x14ac:dyDescent="0.2">
      <c r="AF54059" s="12"/>
    </row>
    <row r="54060" spans="32:32" x14ac:dyDescent="0.2">
      <c r="AF54060" s="12"/>
    </row>
    <row r="54061" spans="32:32" x14ac:dyDescent="0.2">
      <c r="AF54061" s="12"/>
    </row>
    <row r="54062" spans="32:32" x14ac:dyDescent="0.2">
      <c r="AF54062" s="12"/>
    </row>
    <row r="54063" spans="32:32" x14ac:dyDescent="0.2">
      <c r="AF54063" s="12"/>
    </row>
    <row r="54064" spans="32:32" x14ac:dyDescent="0.2">
      <c r="AF54064" s="12"/>
    </row>
    <row r="54065" spans="32:32" x14ac:dyDescent="0.2">
      <c r="AF54065" s="12"/>
    </row>
    <row r="54066" spans="32:32" x14ac:dyDescent="0.2">
      <c r="AF54066" s="12"/>
    </row>
    <row r="54067" spans="32:32" x14ac:dyDescent="0.2">
      <c r="AF54067" s="12"/>
    </row>
    <row r="54068" spans="32:32" x14ac:dyDescent="0.2">
      <c r="AF54068" s="12"/>
    </row>
    <row r="54069" spans="32:32" x14ac:dyDescent="0.2">
      <c r="AF54069" s="12"/>
    </row>
    <row r="54070" spans="32:32" x14ac:dyDescent="0.2">
      <c r="AF54070" s="12"/>
    </row>
    <row r="54071" spans="32:32" x14ac:dyDescent="0.2">
      <c r="AF54071" s="12"/>
    </row>
    <row r="54072" spans="32:32" x14ac:dyDescent="0.2">
      <c r="AF54072" s="12"/>
    </row>
    <row r="54073" spans="32:32" x14ac:dyDescent="0.2">
      <c r="AF54073" s="12"/>
    </row>
    <row r="54074" spans="32:32" x14ac:dyDescent="0.2">
      <c r="AF54074" s="12"/>
    </row>
    <row r="54075" spans="32:32" x14ac:dyDescent="0.2">
      <c r="AF54075" s="12"/>
    </row>
    <row r="54076" spans="32:32" x14ac:dyDescent="0.2">
      <c r="AF54076" s="12"/>
    </row>
    <row r="54077" spans="32:32" x14ac:dyDescent="0.2">
      <c r="AF54077" s="12"/>
    </row>
    <row r="54078" spans="32:32" x14ac:dyDescent="0.2">
      <c r="AF54078" s="12"/>
    </row>
    <row r="54079" spans="32:32" x14ac:dyDescent="0.2">
      <c r="AF54079" s="12"/>
    </row>
    <row r="54080" spans="32:32" x14ac:dyDescent="0.2">
      <c r="AF54080" s="12"/>
    </row>
    <row r="54081" spans="32:32" x14ac:dyDescent="0.2">
      <c r="AF54081" s="12"/>
    </row>
    <row r="54082" spans="32:32" x14ac:dyDescent="0.2">
      <c r="AF54082" s="12"/>
    </row>
    <row r="54083" spans="32:32" x14ac:dyDescent="0.2">
      <c r="AF54083" s="12"/>
    </row>
    <row r="54084" spans="32:32" x14ac:dyDescent="0.2">
      <c r="AF54084" s="12"/>
    </row>
    <row r="54085" spans="32:32" x14ac:dyDescent="0.2">
      <c r="AF54085" s="12"/>
    </row>
    <row r="54086" spans="32:32" x14ac:dyDescent="0.2">
      <c r="AF54086" s="12"/>
    </row>
    <row r="54087" spans="32:32" x14ac:dyDescent="0.2">
      <c r="AF54087" s="12"/>
    </row>
    <row r="54088" spans="32:32" x14ac:dyDescent="0.2">
      <c r="AF54088" s="12"/>
    </row>
    <row r="54089" spans="32:32" x14ac:dyDescent="0.2">
      <c r="AF54089" s="12"/>
    </row>
    <row r="54090" spans="32:32" x14ac:dyDescent="0.2">
      <c r="AF54090" s="12"/>
    </row>
    <row r="54091" spans="32:32" x14ac:dyDescent="0.2">
      <c r="AF54091" s="12"/>
    </row>
    <row r="54092" spans="32:32" x14ac:dyDescent="0.2">
      <c r="AF54092" s="12"/>
    </row>
    <row r="54093" spans="32:32" x14ac:dyDescent="0.2">
      <c r="AF54093" s="12"/>
    </row>
    <row r="54094" spans="32:32" x14ac:dyDescent="0.2">
      <c r="AF54094" s="12"/>
    </row>
    <row r="54095" spans="32:32" x14ac:dyDescent="0.2">
      <c r="AF54095" s="12"/>
    </row>
    <row r="54096" spans="32:32" x14ac:dyDescent="0.2">
      <c r="AF54096" s="12"/>
    </row>
    <row r="54097" spans="32:32" x14ac:dyDescent="0.2">
      <c r="AF54097" s="12"/>
    </row>
    <row r="54098" spans="32:32" x14ac:dyDescent="0.2">
      <c r="AF54098" s="12"/>
    </row>
    <row r="54099" spans="32:32" x14ac:dyDescent="0.2">
      <c r="AF54099" s="12"/>
    </row>
    <row r="54100" spans="32:32" x14ac:dyDescent="0.2">
      <c r="AF54100" s="12"/>
    </row>
    <row r="54101" spans="32:32" x14ac:dyDescent="0.2">
      <c r="AF54101" s="12"/>
    </row>
    <row r="54102" spans="32:32" x14ac:dyDescent="0.2">
      <c r="AF54102" s="12"/>
    </row>
    <row r="54103" spans="32:32" x14ac:dyDescent="0.2">
      <c r="AF54103" s="12"/>
    </row>
    <row r="54104" spans="32:32" x14ac:dyDescent="0.2">
      <c r="AF54104" s="12"/>
    </row>
    <row r="54105" spans="32:32" x14ac:dyDescent="0.2">
      <c r="AF54105" s="12"/>
    </row>
    <row r="54106" spans="32:32" x14ac:dyDescent="0.2">
      <c r="AF54106" s="12"/>
    </row>
    <row r="54107" spans="32:32" x14ac:dyDescent="0.2">
      <c r="AF54107" s="12"/>
    </row>
    <row r="54108" spans="32:32" x14ac:dyDescent="0.2">
      <c r="AF54108" s="12"/>
    </row>
    <row r="54109" spans="32:32" x14ac:dyDescent="0.2">
      <c r="AF54109" s="12"/>
    </row>
    <row r="54110" spans="32:32" x14ac:dyDescent="0.2">
      <c r="AF54110" s="12"/>
    </row>
    <row r="54111" spans="32:32" x14ac:dyDescent="0.2">
      <c r="AF54111" s="12"/>
    </row>
    <row r="54112" spans="32:32" x14ac:dyDescent="0.2">
      <c r="AF54112" s="12"/>
    </row>
    <row r="54113" spans="32:32" x14ac:dyDescent="0.2">
      <c r="AF54113" s="12"/>
    </row>
    <row r="54114" spans="32:32" x14ac:dyDescent="0.2">
      <c r="AF54114" s="12"/>
    </row>
    <row r="54115" spans="32:32" x14ac:dyDescent="0.2">
      <c r="AF54115" s="12"/>
    </row>
    <row r="54116" spans="32:32" x14ac:dyDescent="0.2">
      <c r="AF54116" s="12"/>
    </row>
    <row r="54117" spans="32:32" x14ac:dyDescent="0.2">
      <c r="AF54117" s="12"/>
    </row>
    <row r="54118" spans="32:32" x14ac:dyDescent="0.2">
      <c r="AF54118" s="12"/>
    </row>
    <row r="54119" spans="32:32" x14ac:dyDescent="0.2">
      <c r="AF54119" s="12"/>
    </row>
    <row r="54120" spans="32:32" x14ac:dyDescent="0.2">
      <c r="AF54120" s="12"/>
    </row>
    <row r="54121" spans="32:32" x14ac:dyDescent="0.2">
      <c r="AF54121" s="12"/>
    </row>
    <row r="54122" spans="32:32" x14ac:dyDescent="0.2">
      <c r="AF54122" s="12"/>
    </row>
    <row r="54123" spans="32:32" x14ac:dyDescent="0.2">
      <c r="AF54123" s="12"/>
    </row>
    <row r="54124" spans="32:32" x14ac:dyDescent="0.2">
      <c r="AF54124" s="12"/>
    </row>
    <row r="54125" spans="32:32" x14ac:dyDescent="0.2">
      <c r="AF54125" s="12"/>
    </row>
    <row r="54126" spans="32:32" x14ac:dyDescent="0.2">
      <c r="AF54126" s="12"/>
    </row>
    <row r="54127" spans="32:32" x14ac:dyDescent="0.2">
      <c r="AF54127" s="12"/>
    </row>
    <row r="54128" spans="32:32" x14ac:dyDescent="0.2">
      <c r="AF54128" s="12"/>
    </row>
    <row r="54129" spans="32:32" x14ac:dyDescent="0.2">
      <c r="AF54129" s="12"/>
    </row>
    <row r="54130" spans="32:32" x14ac:dyDescent="0.2">
      <c r="AF54130" s="12"/>
    </row>
    <row r="54131" spans="32:32" x14ac:dyDescent="0.2">
      <c r="AF54131" s="12"/>
    </row>
    <row r="54132" spans="32:32" x14ac:dyDescent="0.2">
      <c r="AF54132" s="12"/>
    </row>
    <row r="54133" spans="32:32" x14ac:dyDescent="0.2">
      <c r="AF54133" s="12"/>
    </row>
    <row r="54134" spans="32:32" x14ac:dyDescent="0.2">
      <c r="AF54134" s="12"/>
    </row>
    <row r="54135" spans="32:32" x14ac:dyDescent="0.2">
      <c r="AF54135" s="12"/>
    </row>
    <row r="54136" spans="32:32" x14ac:dyDescent="0.2">
      <c r="AF54136" s="12"/>
    </row>
    <row r="54137" spans="32:32" x14ac:dyDescent="0.2">
      <c r="AF54137" s="12"/>
    </row>
    <row r="54138" spans="32:32" x14ac:dyDescent="0.2">
      <c r="AF54138" s="12"/>
    </row>
    <row r="54139" spans="32:32" x14ac:dyDescent="0.2">
      <c r="AF54139" s="12"/>
    </row>
    <row r="54140" spans="32:32" x14ac:dyDescent="0.2">
      <c r="AF54140" s="12"/>
    </row>
    <row r="54141" spans="32:32" x14ac:dyDescent="0.2">
      <c r="AF54141" s="12"/>
    </row>
    <row r="54142" spans="32:32" x14ac:dyDescent="0.2">
      <c r="AF54142" s="12"/>
    </row>
    <row r="54143" spans="32:32" x14ac:dyDescent="0.2">
      <c r="AF54143" s="12"/>
    </row>
    <row r="54144" spans="32:32" x14ac:dyDescent="0.2">
      <c r="AF54144" s="12"/>
    </row>
    <row r="54145" spans="32:32" x14ac:dyDescent="0.2">
      <c r="AF54145" s="12"/>
    </row>
    <row r="54146" spans="32:32" x14ac:dyDescent="0.2">
      <c r="AF54146" s="12"/>
    </row>
    <row r="54147" spans="32:32" x14ac:dyDescent="0.2">
      <c r="AF54147" s="12"/>
    </row>
    <row r="54148" spans="32:32" x14ac:dyDescent="0.2">
      <c r="AF54148" s="12"/>
    </row>
    <row r="54149" spans="32:32" x14ac:dyDescent="0.2">
      <c r="AF54149" s="12"/>
    </row>
    <row r="54150" spans="32:32" x14ac:dyDescent="0.2">
      <c r="AF54150" s="12"/>
    </row>
    <row r="54151" spans="32:32" x14ac:dyDescent="0.2">
      <c r="AF54151" s="12"/>
    </row>
    <row r="54152" spans="32:32" x14ac:dyDescent="0.2">
      <c r="AF54152" s="12"/>
    </row>
    <row r="54153" spans="32:32" x14ac:dyDescent="0.2">
      <c r="AF54153" s="12"/>
    </row>
    <row r="54154" spans="32:32" x14ac:dyDescent="0.2">
      <c r="AF54154" s="12"/>
    </row>
    <row r="54155" spans="32:32" x14ac:dyDescent="0.2">
      <c r="AF54155" s="12"/>
    </row>
    <row r="54156" spans="32:32" x14ac:dyDescent="0.2">
      <c r="AF54156" s="12"/>
    </row>
    <row r="54157" spans="32:32" x14ac:dyDescent="0.2">
      <c r="AF54157" s="12"/>
    </row>
    <row r="54158" spans="32:32" x14ac:dyDescent="0.2">
      <c r="AF54158" s="12"/>
    </row>
    <row r="54159" spans="32:32" x14ac:dyDescent="0.2">
      <c r="AF54159" s="12"/>
    </row>
    <row r="54160" spans="32:32" x14ac:dyDescent="0.2">
      <c r="AF54160" s="12"/>
    </row>
    <row r="54161" spans="32:32" x14ac:dyDescent="0.2">
      <c r="AF54161" s="12"/>
    </row>
    <row r="54162" spans="32:32" x14ac:dyDescent="0.2">
      <c r="AF54162" s="12"/>
    </row>
    <row r="54163" spans="32:32" x14ac:dyDescent="0.2">
      <c r="AF54163" s="12"/>
    </row>
    <row r="54164" spans="32:32" x14ac:dyDescent="0.2">
      <c r="AF54164" s="12"/>
    </row>
    <row r="54165" spans="32:32" x14ac:dyDescent="0.2">
      <c r="AF54165" s="12"/>
    </row>
    <row r="54166" spans="32:32" x14ac:dyDescent="0.2">
      <c r="AF54166" s="12"/>
    </row>
    <row r="54167" spans="32:32" x14ac:dyDescent="0.2">
      <c r="AF54167" s="12"/>
    </row>
    <row r="54168" spans="32:32" x14ac:dyDescent="0.2">
      <c r="AF54168" s="12"/>
    </row>
    <row r="54169" spans="32:32" x14ac:dyDescent="0.2">
      <c r="AF54169" s="12"/>
    </row>
    <row r="54170" spans="32:32" x14ac:dyDescent="0.2">
      <c r="AF54170" s="12"/>
    </row>
    <row r="54171" spans="32:32" x14ac:dyDescent="0.2">
      <c r="AF54171" s="12"/>
    </row>
    <row r="54172" spans="32:32" x14ac:dyDescent="0.2">
      <c r="AF54172" s="12"/>
    </row>
    <row r="54173" spans="32:32" x14ac:dyDescent="0.2">
      <c r="AF54173" s="12"/>
    </row>
    <row r="54174" spans="32:32" x14ac:dyDescent="0.2">
      <c r="AF54174" s="12"/>
    </row>
    <row r="54175" spans="32:32" x14ac:dyDescent="0.2">
      <c r="AF54175" s="12"/>
    </row>
    <row r="54176" spans="32:32" x14ac:dyDescent="0.2">
      <c r="AF54176" s="12"/>
    </row>
    <row r="54177" spans="32:32" x14ac:dyDescent="0.2">
      <c r="AF54177" s="12"/>
    </row>
    <row r="54178" spans="32:32" x14ac:dyDescent="0.2">
      <c r="AF54178" s="12"/>
    </row>
    <row r="54179" spans="32:32" x14ac:dyDescent="0.2">
      <c r="AF54179" s="12"/>
    </row>
    <row r="54180" spans="32:32" x14ac:dyDescent="0.2">
      <c r="AF54180" s="12"/>
    </row>
    <row r="54181" spans="32:32" x14ac:dyDescent="0.2">
      <c r="AF54181" s="12"/>
    </row>
    <row r="54182" spans="32:32" x14ac:dyDescent="0.2">
      <c r="AF54182" s="12"/>
    </row>
    <row r="54183" spans="32:32" x14ac:dyDescent="0.2">
      <c r="AF54183" s="12"/>
    </row>
    <row r="54184" spans="32:32" x14ac:dyDescent="0.2">
      <c r="AF54184" s="12"/>
    </row>
    <row r="54185" spans="32:32" x14ac:dyDescent="0.2">
      <c r="AF54185" s="12"/>
    </row>
    <row r="54186" spans="32:32" x14ac:dyDescent="0.2">
      <c r="AF54186" s="12"/>
    </row>
    <row r="54187" spans="32:32" x14ac:dyDescent="0.2">
      <c r="AF54187" s="12"/>
    </row>
    <row r="54188" spans="32:32" x14ac:dyDescent="0.2">
      <c r="AF54188" s="12"/>
    </row>
    <row r="54189" spans="32:32" x14ac:dyDescent="0.2">
      <c r="AF54189" s="12"/>
    </row>
    <row r="54190" spans="32:32" x14ac:dyDescent="0.2">
      <c r="AF54190" s="12"/>
    </row>
    <row r="54191" spans="32:32" x14ac:dyDescent="0.2">
      <c r="AF54191" s="12"/>
    </row>
    <row r="54192" spans="32:32" x14ac:dyDescent="0.2">
      <c r="AF54192" s="12"/>
    </row>
    <row r="54193" spans="32:32" x14ac:dyDescent="0.2">
      <c r="AF54193" s="12"/>
    </row>
    <row r="54194" spans="32:32" x14ac:dyDescent="0.2">
      <c r="AF54194" s="12"/>
    </row>
    <row r="54195" spans="32:32" x14ac:dyDescent="0.2">
      <c r="AF54195" s="12"/>
    </row>
    <row r="54196" spans="32:32" x14ac:dyDescent="0.2">
      <c r="AF54196" s="12"/>
    </row>
    <row r="54197" spans="32:32" x14ac:dyDescent="0.2">
      <c r="AF54197" s="12"/>
    </row>
    <row r="54198" spans="32:32" x14ac:dyDescent="0.2">
      <c r="AF54198" s="12"/>
    </row>
    <row r="54199" spans="32:32" x14ac:dyDescent="0.2">
      <c r="AF54199" s="12"/>
    </row>
    <row r="54200" spans="32:32" x14ac:dyDescent="0.2">
      <c r="AF54200" s="12"/>
    </row>
    <row r="54201" spans="32:32" x14ac:dyDescent="0.2">
      <c r="AF54201" s="12"/>
    </row>
    <row r="54202" spans="32:32" x14ac:dyDescent="0.2">
      <c r="AF54202" s="12"/>
    </row>
    <row r="54203" spans="32:32" x14ac:dyDescent="0.2">
      <c r="AF54203" s="12"/>
    </row>
    <row r="54204" spans="32:32" x14ac:dyDescent="0.2">
      <c r="AF54204" s="12"/>
    </row>
    <row r="54205" spans="32:32" x14ac:dyDescent="0.2">
      <c r="AF54205" s="12"/>
    </row>
    <row r="54206" spans="32:32" x14ac:dyDescent="0.2">
      <c r="AF54206" s="12"/>
    </row>
    <row r="54207" spans="32:32" x14ac:dyDescent="0.2">
      <c r="AF54207" s="12"/>
    </row>
    <row r="54208" spans="32:32" x14ac:dyDescent="0.2">
      <c r="AF54208" s="12"/>
    </row>
    <row r="54209" spans="32:32" x14ac:dyDescent="0.2">
      <c r="AF54209" s="12"/>
    </row>
    <row r="54210" spans="32:32" x14ac:dyDescent="0.2">
      <c r="AF54210" s="12"/>
    </row>
    <row r="54211" spans="32:32" x14ac:dyDescent="0.2">
      <c r="AF54211" s="12"/>
    </row>
    <row r="54212" spans="32:32" x14ac:dyDescent="0.2">
      <c r="AF54212" s="12"/>
    </row>
    <row r="54213" spans="32:32" x14ac:dyDescent="0.2">
      <c r="AF54213" s="12"/>
    </row>
    <row r="54214" spans="32:32" x14ac:dyDescent="0.2">
      <c r="AF54214" s="12"/>
    </row>
    <row r="54215" spans="32:32" x14ac:dyDescent="0.2">
      <c r="AF54215" s="12"/>
    </row>
    <row r="54216" spans="32:32" x14ac:dyDescent="0.2">
      <c r="AF54216" s="12"/>
    </row>
    <row r="54217" spans="32:32" x14ac:dyDescent="0.2">
      <c r="AF54217" s="12"/>
    </row>
    <row r="54218" spans="32:32" x14ac:dyDescent="0.2">
      <c r="AF54218" s="12"/>
    </row>
    <row r="54219" spans="32:32" x14ac:dyDescent="0.2">
      <c r="AF54219" s="12"/>
    </row>
    <row r="54220" spans="32:32" x14ac:dyDescent="0.2">
      <c r="AF54220" s="12"/>
    </row>
    <row r="54221" spans="32:32" x14ac:dyDescent="0.2">
      <c r="AF54221" s="12"/>
    </row>
    <row r="54222" spans="32:32" x14ac:dyDescent="0.2">
      <c r="AF54222" s="12"/>
    </row>
    <row r="54223" spans="32:32" x14ac:dyDescent="0.2">
      <c r="AF54223" s="12"/>
    </row>
    <row r="54224" spans="32:32" x14ac:dyDescent="0.2">
      <c r="AF54224" s="12"/>
    </row>
    <row r="54225" spans="32:32" x14ac:dyDescent="0.2">
      <c r="AF54225" s="12"/>
    </row>
    <row r="54226" spans="32:32" x14ac:dyDescent="0.2">
      <c r="AF54226" s="12"/>
    </row>
    <row r="54227" spans="32:32" x14ac:dyDescent="0.2">
      <c r="AF54227" s="12"/>
    </row>
    <row r="54228" spans="32:32" x14ac:dyDescent="0.2">
      <c r="AF54228" s="12"/>
    </row>
    <row r="54229" spans="32:32" x14ac:dyDescent="0.2">
      <c r="AF54229" s="12"/>
    </row>
    <row r="54230" spans="32:32" x14ac:dyDescent="0.2">
      <c r="AF54230" s="12"/>
    </row>
    <row r="54231" spans="32:32" x14ac:dyDescent="0.2">
      <c r="AF54231" s="12"/>
    </row>
    <row r="54232" spans="32:32" x14ac:dyDescent="0.2">
      <c r="AF54232" s="12"/>
    </row>
    <row r="54233" spans="32:32" x14ac:dyDescent="0.2">
      <c r="AF54233" s="12"/>
    </row>
    <row r="54234" spans="32:32" x14ac:dyDescent="0.2">
      <c r="AF54234" s="12"/>
    </row>
    <row r="54235" spans="32:32" x14ac:dyDescent="0.2">
      <c r="AF54235" s="12"/>
    </row>
    <row r="54236" spans="32:32" x14ac:dyDescent="0.2">
      <c r="AF54236" s="12"/>
    </row>
    <row r="54237" spans="32:32" x14ac:dyDescent="0.2">
      <c r="AF54237" s="12"/>
    </row>
    <row r="54238" spans="32:32" x14ac:dyDescent="0.2">
      <c r="AF54238" s="12"/>
    </row>
    <row r="54239" spans="32:32" x14ac:dyDescent="0.2">
      <c r="AF54239" s="12"/>
    </row>
    <row r="54240" spans="32:32" x14ac:dyDescent="0.2">
      <c r="AF54240" s="12"/>
    </row>
    <row r="54241" spans="32:32" x14ac:dyDescent="0.2">
      <c r="AF54241" s="12"/>
    </row>
    <row r="54242" spans="32:32" x14ac:dyDescent="0.2">
      <c r="AF54242" s="12"/>
    </row>
    <row r="54243" spans="32:32" x14ac:dyDescent="0.2">
      <c r="AF54243" s="12"/>
    </row>
    <row r="54244" spans="32:32" x14ac:dyDescent="0.2">
      <c r="AF54244" s="12"/>
    </row>
    <row r="54245" spans="32:32" x14ac:dyDescent="0.2">
      <c r="AF54245" s="12"/>
    </row>
    <row r="54246" spans="32:32" x14ac:dyDescent="0.2">
      <c r="AF54246" s="12"/>
    </row>
    <row r="54247" spans="32:32" x14ac:dyDescent="0.2">
      <c r="AF54247" s="12"/>
    </row>
    <row r="54248" spans="32:32" x14ac:dyDescent="0.2">
      <c r="AF54248" s="12"/>
    </row>
    <row r="54249" spans="32:32" x14ac:dyDescent="0.2">
      <c r="AF54249" s="12"/>
    </row>
    <row r="54250" spans="32:32" x14ac:dyDescent="0.2">
      <c r="AF54250" s="12"/>
    </row>
    <row r="54251" spans="32:32" x14ac:dyDescent="0.2">
      <c r="AF54251" s="12"/>
    </row>
    <row r="54252" spans="32:32" x14ac:dyDescent="0.2">
      <c r="AF54252" s="12"/>
    </row>
    <row r="54253" spans="32:32" x14ac:dyDescent="0.2">
      <c r="AF54253" s="12"/>
    </row>
    <row r="54254" spans="32:32" x14ac:dyDescent="0.2">
      <c r="AF54254" s="12"/>
    </row>
    <row r="54255" spans="32:32" x14ac:dyDescent="0.2">
      <c r="AF54255" s="12"/>
    </row>
    <row r="54256" spans="32:32" x14ac:dyDescent="0.2">
      <c r="AF54256" s="12"/>
    </row>
    <row r="54257" spans="32:32" x14ac:dyDescent="0.2">
      <c r="AF54257" s="12"/>
    </row>
    <row r="54258" spans="32:32" x14ac:dyDescent="0.2">
      <c r="AF54258" s="12"/>
    </row>
    <row r="54259" spans="32:32" x14ac:dyDescent="0.2">
      <c r="AF54259" s="12"/>
    </row>
    <row r="54260" spans="32:32" x14ac:dyDescent="0.2">
      <c r="AF54260" s="12"/>
    </row>
    <row r="54261" spans="32:32" x14ac:dyDescent="0.2">
      <c r="AF54261" s="12"/>
    </row>
    <row r="54262" spans="32:32" x14ac:dyDescent="0.2">
      <c r="AF54262" s="12"/>
    </row>
    <row r="54263" spans="32:32" x14ac:dyDescent="0.2">
      <c r="AF54263" s="12"/>
    </row>
    <row r="54264" spans="32:32" x14ac:dyDescent="0.2">
      <c r="AF54264" s="12"/>
    </row>
    <row r="54265" spans="32:32" x14ac:dyDescent="0.2">
      <c r="AF54265" s="12"/>
    </row>
    <row r="54266" spans="32:32" x14ac:dyDescent="0.2">
      <c r="AF54266" s="12"/>
    </row>
    <row r="54267" spans="32:32" x14ac:dyDescent="0.2">
      <c r="AF54267" s="12"/>
    </row>
    <row r="54268" spans="32:32" x14ac:dyDescent="0.2">
      <c r="AF54268" s="12"/>
    </row>
    <row r="54269" spans="32:32" x14ac:dyDescent="0.2">
      <c r="AF54269" s="12"/>
    </row>
    <row r="54270" spans="32:32" x14ac:dyDescent="0.2">
      <c r="AF54270" s="12"/>
    </row>
    <row r="54271" spans="32:32" x14ac:dyDescent="0.2">
      <c r="AF54271" s="12"/>
    </row>
    <row r="54272" spans="32:32" x14ac:dyDescent="0.2">
      <c r="AF54272" s="12"/>
    </row>
    <row r="54273" spans="32:32" x14ac:dyDescent="0.2">
      <c r="AF54273" s="12"/>
    </row>
    <row r="54274" spans="32:32" x14ac:dyDescent="0.2">
      <c r="AF54274" s="12"/>
    </row>
    <row r="54275" spans="32:32" x14ac:dyDescent="0.2">
      <c r="AF54275" s="12"/>
    </row>
    <row r="54276" spans="32:32" x14ac:dyDescent="0.2">
      <c r="AF54276" s="12"/>
    </row>
    <row r="54277" spans="32:32" x14ac:dyDescent="0.2">
      <c r="AF54277" s="12"/>
    </row>
    <row r="54278" spans="32:32" x14ac:dyDescent="0.2">
      <c r="AF54278" s="12"/>
    </row>
    <row r="54279" spans="32:32" x14ac:dyDescent="0.2">
      <c r="AF54279" s="12"/>
    </row>
    <row r="54280" spans="32:32" x14ac:dyDescent="0.2">
      <c r="AF54280" s="12"/>
    </row>
    <row r="54281" spans="32:32" x14ac:dyDescent="0.2">
      <c r="AF54281" s="12"/>
    </row>
    <row r="54282" spans="32:32" x14ac:dyDescent="0.2">
      <c r="AF54282" s="12"/>
    </row>
    <row r="54283" spans="32:32" x14ac:dyDescent="0.2">
      <c r="AF54283" s="12"/>
    </row>
    <row r="54284" spans="32:32" x14ac:dyDescent="0.2">
      <c r="AF54284" s="12"/>
    </row>
    <row r="54285" spans="32:32" x14ac:dyDescent="0.2">
      <c r="AF54285" s="12"/>
    </row>
    <row r="54286" spans="32:32" x14ac:dyDescent="0.2">
      <c r="AF54286" s="12"/>
    </row>
    <row r="54287" spans="32:32" x14ac:dyDescent="0.2">
      <c r="AF54287" s="12"/>
    </row>
    <row r="54288" spans="32:32" x14ac:dyDescent="0.2">
      <c r="AF54288" s="12"/>
    </row>
    <row r="54289" spans="32:32" x14ac:dyDescent="0.2">
      <c r="AF54289" s="12"/>
    </row>
    <row r="54290" spans="32:32" x14ac:dyDescent="0.2">
      <c r="AF54290" s="12"/>
    </row>
    <row r="54291" spans="32:32" x14ac:dyDescent="0.2">
      <c r="AF54291" s="12"/>
    </row>
    <row r="54292" spans="32:32" x14ac:dyDescent="0.2">
      <c r="AF54292" s="12"/>
    </row>
    <row r="54293" spans="32:32" x14ac:dyDescent="0.2">
      <c r="AF54293" s="12"/>
    </row>
    <row r="54294" spans="32:32" x14ac:dyDescent="0.2">
      <c r="AF54294" s="12"/>
    </row>
    <row r="54295" spans="32:32" x14ac:dyDescent="0.2">
      <c r="AF54295" s="12"/>
    </row>
    <row r="54296" spans="32:32" x14ac:dyDescent="0.2">
      <c r="AF54296" s="12"/>
    </row>
    <row r="54297" spans="32:32" x14ac:dyDescent="0.2">
      <c r="AF54297" s="12"/>
    </row>
    <row r="54298" spans="32:32" x14ac:dyDescent="0.2">
      <c r="AF54298" s="12"/>
    </row>
    <row r="54299" spans="32:32" x14ac:dyDescent="0.2">
      <c r="AF54299" s="12"/>
    </row>
    <row r="54300" spans="32:32" x14ac:dyDescent="0.2">
      <c r="AF54300" s="12"/>
    </row>
    <row r="54301" spans="32:32" x14ac:dyDescent="0.2">
      <c r="AF54301" s="12"/>
    </row>
    <row r="54302" spans="32:32" x14ac:dyDescent="0.2">
      <c r="AF54302" s="12"/>
    </row>
    <row r="54303" spans="32:32" x14ac:dyDescent="0.2">
      <c r="AF54303" s="12"/>
    </row>
    <row r="54304" spans="32:32" x14ac:dyDescent="0.2">
      <c r="AF54304" s="12"/>
    </row>
    <row r="54305" spans="32:32" x14ac:dyDescent="0.2">
      <c r="AF54305" s="12"/>
    </row>
    <row r="54306" spans="32:32" x14ac:dyDescent="0.2">
      <c r="AF54306" s="12"/>
    </row>
    <row r="54307" spans="32:32" x14ac:dyDescent="0.2">
      <c r="AF54307" s="12"/>
    </row>
    <row r="54308" spans="32:32" x14ac:dyDescent="0.2">
      <c r="AF54308" s="12"/>
    </row>
    <row r="54309" spans="32:32" x14ac:dyDescent="0.2">
      <c r="AF54309" s="12"/>
    </row>
    <row r="54310" spans="32:32" x14ac:dyDescent="0.2">
      <c r="AF54310" s="12"/>
    </row>
    <row r="54311" spans="32:32" x14ac:dyDescent="0.2">
      <c r="AF54311" s="12"/>
    </row>
    <row r="54312" spans="32:32" x14ac:dyDescent="0.2">
      <c r="AF54312" s="12"/>
    </row>
    <row r="54313" spans="32:32" x14ac:dyDescent="0.2">
      <c r="AF54313" s="12"/>
    </row>
    <row r="54314" spans="32:32" x14ac:dyDescent="0.2">
      <c r="AF54314" s="12"/>
    </row>
    <row r="54315" spans="32:32" x14ac:dyDescent="0.2">
      <c r="AF54315" s="12"/>
    </row>
    <row r="54316" spans="32:32" x14ac:dyDescent="0.2">
      <c r="AF54316" s="12"/>
    </row>
    <row r="54317" spans="32:32" x14ac:dyDescent="0.2">
      <c r="AF54317" s="12"/>
    </row>
    <row r="54318" spans="32:32" x14ac:dyDescent="0.2">
      <c r="AF54318" s="12"/>
    </row>
    <row r="54319" spans="32:32" x14ac:dyDescent="0.2">
      <c r="AF54319" s="12"/>
    </row>
    <row r="54320" spans="32:32" x14ac:dyDescent="0.2">
      <c r="AF54320" s="12"/>
    </row>
    <row r="54321" spans="32:32" x14ac:dyDescent="0.2">
      <c r="AF54321" s="12"/>
    </row>
    <row r="54322" spans="32:32" x14ac:dyDescent="0.2">
      <c r="AF54322" s="12"/>
    </row>
    <row r="54323" spans="32:32" x14ac:dyDescent="0.2">
      <c r="AF54323" s="12"/>
    </row>
    <row r="54324" spans="32:32" x14ac:dyDescent="0.2">
      <c r="AF54324" s="12"/>
    </row>
    <row r="54325" spans="32:32" x14ac:dyDescent="0.2">
      <c r="AF54325" s="12"/>
    </row>
    <row r="54326" spans="32:32" x14ac:dyDescent="0.2">
      <c r="AF54326" s="12"/>
    </row>
    <row r="54327" spans="32:32" x14ac:dyDescent="0.2">
      <c r="AF54327" s="12"/>
    </row>
    <row r="54328" spans="32:32" x14ac:dyDescent="0.2">
      <c r="AF54328" s="12"/>
    </row>
    <row r="54329" spans="32:32" x14ac:dyDescent="0.2">
      <c r="AF54329" s="12"/>
    </row>
    <row r="54330" spans="32:32" x14ac:dyDescent="0.2">
      <c r="AF54330" s="12"/>
    </row>
    <row r="54331" spans="32:32" x14ac:dyDescent="0.2">
      <c r="AF54331" s="12"/>
    </row>
    <row r="54332" spans="32:32" x14ac:dyDescent="0.2">
      <c r="AF54332" s="12"/>
    </row>
    <row r="54333" spans="32:32" x14ac:dyDescent="0.2">
      <c r="AF54333" s="12"/>
    </row>
    <row r="54334" spans="32:32" x14ac:dyDescent="0.2">
      <c r="AF54334" s="12"/>
    </row>
    <row r="54335" spans="32:32" x14ac:dyDescent="0.2">
      <c r="AF54335" s="12"/>
    </row>
    <row r="54336" spans="32:32" x14ac:dyDescent="0.2">
      <c r="AF54336" s="12"/>
    </row>
    <row r="54337" spans="32:32" x14ac:dyDescent="0.2">
      <c r="AF54337" s="12"/>
    </row>
    <row r="54338" spans="32:32" x14ac:dyDescent="0.2">
      <c r="AF54338" s="12"/>
    </row>
    <row r="54339" spans="32:32" x14ac:dyDescent="0.2">
      <c r="AF54339" s="12"/>
    </row>
    <row r="54340" spans="32:32" x14ac:dyDescent="0.2">
      <c r="AF54340" s="12"/>
    </row>
    <row r="54341" spans="32:32" x14ac:dyDescent="0.2">
      <c r="AF54341" s="12"/>
    </row>
    <row r="54342" spans="32:32" x14ac:dyDescent="0.2">
      <c r="AF54342" s="12"/>
    </row>
    <row r="54343" spans="32:32" x14ac:dyDescent="0.2">
      <c r="AF54343" s="12"/>
    </row>
    <row r="54344" spans="32:32" x14ac:dyDescent="0.2">
      <c r="AF54344" s="12"/>
    </row>
    <row r="54345" spans="32:32" x14ac:dyDescent="0.2">
      <c r="AF54345" s="12"/>
    </row>
    <row r="54346" spans="32:32" x14ac:dyDescent="0.2">
      <c r="AF54346" s="12"/>
    </row>
    <row r="54347" spans="32:32" x14ac:dyDescent="0.2">
      <c r="AF54347" s="12"/>
    </row>
    <row r="54348" spans="32:32" x14ac:dyDescent="0.2">
      <c r="AF54348" s="12"/>
    </row>
    <row r="54349" spans="32:32" x14ac:dyDescent="0.2">
      <c r="AF54349" s="12"/>
    </row>
    <row r="54350" spans="32:32" x14ac:dyDescent="0.2">
      <c r="AF54350" s="12"/>
    </row>
    <row r="54351" spans="32:32" x14ac:dyDescent="0.2">
      <c r="AF54351" s="12"/>
    </row>
    <row r="54352" spans="32:32" x14ac:dyDescent="0.2">
      <c r="AF54352" s="12"/>
    </row>
    <row r="54353" spans="32:32" x14ac:dyDescent="0.2">
      <c r="AF54353" s="12"/>
    </row>
    <row r="54354" spans="32:32" x14ac:dyDescent="0.2">
      <c r="AF54354" s="12"/>
    </row>
    <row r="54355" spans="32:32" x14ac:dyDescent="0.2">
      <c r="AF54355" s="12"/>
    </row>
    <row r="54356" spans="32:32" x14ac:dyDescent="0.2">
      <c r="AF54356" s="12"/>
    </row>
    <row r="54357" spans="32:32" x14ac:dyDescent="0.2">
      <c r="AF54357" s="12"/>
    </row>
    <row r="54358" spans="32:32" x14ac:dyDescent="0.2">
      <c r="AF54358" s="12"/>
    </row>
    <row r="54359" spans="32:32" x14ac:dyDescent="0.2">
      <c r="AF54359" s="12"/>
    </row>
    <row r="54360" spans="32:32" x14ac:dyDescent="0.2">
      <c r="AF54360" s="12"/>
    </row>
    <row r="54361" spans="32:32" x14ac:dyDescent="0.2">
      <c r="AF54361" s="12"/>
    </row>
    <row r="54362" spans="32:32" x14ac:dyDescent="0.2">
      <c r="AF54362" s="12"/>
    </row>
    <row r="54363" spans="32:32" x14ac:dyDescent="0.2">
      <c r="AF54363" s="12"/>
    </row>
    <row r="54364" spans="32:32" x14ac:dyDescent="0.2">
      <c r="AF54364" s="12"/>
    </row>
    <row r="54365" spans="32:32" x14ac:dyDescent="0.2">
      <c r="AF54365" s="12"/>
    </row>
    <row r="54366" spans="32:32" x14ac:dyDescent="0.2">
      <c r="AF54366" s="12"/>
    </row>
    <row r="54367" spans="32:32" x14ac:dyDescent="0.2">
      <c r="AF54367" s="12"/>
    </row>
    <row r="54368" spans="32:32" x14ac:dyDescent="0.2">
      <c r="AF54368" s="12"/>
    </row>
    <row r="54369" spans="32:32" x14ac:dyDescent="0.2">
      <c r="AF54369" s="12"/>
    </row>
    <row r="54370" spans="32:32" x14ac:dyDescent="0.2">
      <c r="AF54370" s="12"/>
    </row>
    <row r="54371" spans="32:32" x14ac:dyDescent="0.2">
      <c r="AF54371" s="12"/>
    </row>
    <row r="54372" spans="32:32" x14ac:dyDescent="0.2">
      <c r="AF54372" s="12"/>
    </row>
    <row r="54373" spans="32:32" x14ac:dyDescent="0.2">
      <c r="AF54373" s="12"/>
    </row>
    <row r="54374" spans="32:32" x14ac:dyDescent="0.2">
      <c r="AF54374" s="12"/>
    </row>
    <row r="54375" spans="32:32" x14ac:dyDescent="0.2">
      <c r="AF54375" s="12"/>
    </row>
    <row r="54376" spans="32:32" x14ac:dyDescent="0.2">
      <c r="AF54376" s="12"/>
    </row>
    <row r="54377" spans="32:32" x14ac:dyDescent="0.2">
      <c r="AF54377" s="12"/>
    </row>
    <row r="54378" spans="32:32" x14ac:dyDescent="0.2">
      <c r="AF54378" s="12"/>
    </row>
    <row r="54379" spans="32:32" x14ac:dyDescent="0.2">
      <c r="AF54379" s="12"/>
    </row>
    <row r="54380" spans="32:32" x14ac:dyDescent="0.2">
      <c r="AF54380" s="12"/>
    </row>
    <row r="54381" spans="32:32" x14ac:dyDescent="0.2">
      <c r="AF54381" s="12"/>
    </row>
    <row r="54382" spans="32:32" x14ac:dyDescent="0.2">
      <c r="AF54382" s="12"/>
    </row>
    <row r="54383" spans="32:32" x14ac:dyDescent="0.2">
      <c r="AF54383" s="12"/>
    </row>
    <row r="54384" spans="32:32" x14ac:dyDescent="0.2">
      <c r="AF54384" s="12"/>
    </row>
    <row r="54385" spans="32:32" x14ac:dyDescent="0.2">
      <c r="AF54385" s="12"/>
    </row>
    <row r="54386" spans="32:32" x14ac:dyDescent="0.2">
      <c r="AF54386" s="12"/>
    </row>
    <row r="54387" spans="32:32" x14ac:dyDescent="0.2">
      <c r="AF54387" s="12"/>
    </row>
    <row r="54388" spans="32:32" x14ac:dyDescent="0.2">
      <c r="AF54388" s="12"/>
    </row>
    <row r="54389" spans="32:32" x14ac:dyDescent="0.2">
      <c r="AF54389" s="12"/>
    </row>
    <row r="54390" spans="32:32" x14ac:dyDescent="0.2">
      <c r="AF54390" s="12"/>
    </row>
    <row r="54391" spans="32:32" x14ac:dyDescent="0.2">
      <c r="AF54391" s="12"/>
    </row>
    <row r="54392" spans="32:32" x14ac:dyDescent="0.2">
      <c r="AF54392" s="12"/>
    </row>
    <row r="54393" spans="32:32" x14ac:dyDescent="0.2">
      <c r="AF54393" s="12"/>
    </row>
    <row r="54394" spans="32:32" x14ac:dyDescent="0.2">
      <c r="AF54394" s="12"/>
    </row>
    <row r="54395" spans="32:32" x14ac:dyDescent="0.2">
      <c r="AF54395" s="12"/>
    </row>
    <row r="54396" spans="32:32" x14ac:dyDescent="0.2">
      <c r="AF54396" s="12"/>
    </row>
    <row r="54397" spans="32:32" x14ac:dyDescent="0.2">
      <c r="AF54397" s="12"/>
    </row>
    <row r="54398" spans="32:32" x14ac:dyDescent="0.2">
      <c r="AF54398" s="12"/>
    </row>
    <row r="54399" spans="32:32" x14ac:dyDescent="0.2">
      <c r="AF54399" s="12"/>
    </row>
    <row r="54400" spans="32:32" x14ac:dyDescent="0.2">
      <c r="AF54400" s="12"/>
    </row>
    <row r="54401" spans="32:32" x14ac:dyDescent="0.2">
      <c r="AF54401" s="12"/>
    </row>
    <row r="54402" spans="32:32" x14ac:dyDescent="0.2">
      <c r="AF54402" s="12"/>
    </row>
    <row r="54403" spans="32:32" x14ac:dyDescent="0.2">
      <c r="AF54403" s="12"/>
    </row>
    <row r="54404" spans="32:32" x14ac:dyDescent="0.2">
      <c r="AF54404" s="12"/>
    </row>
    <row r="54405" spans="32:32" x14ac:dyDescent="0.2">
      <c r="AF54405" s="12"/>
    </row>
    <row r="54406" spans="32:32" x14ac:dyDescent="0.2">
      <c r="AF54406" s="12"/>
    </row>
    <row r="54407" spans="32:32" x14ac:dyDescent="0.2">
      <c r="AF54407" s="12"/>
    </row>
    <row r="54408" spans="32:32" x14ac:dyDescent="0.2">
      <c r="AF54408" s="12"/>
    </row>
    <row r="54409" spans="32:32" x14ac:dyDescent="0.2">
      <c r="AF54409" s="12"/>
    </row>
    <row r="54410" spans="32:32" x14ac:dyDescent="0.2">
      <c r="AF54410" s="12"/>
    </row>
    <row r="54411" spans="32:32" x14ac:dyDescent="0.2">
      <c r="AF54411" s="12"/>
    </row>
    <row r="54412" spans="32:32" x14ac:dyDescent="0.2">
      <c r="AF54412" s="12"/>
    </row>
    <row r="54413" spans="32:32" x14ac:dyDescent="0.2">
      <c r="AF54413" s="12"/>
    </row>
    <row r="54414" spans="32:32" x14ac:dyDescent="0.2">
      <c r="AF54414" s="12"/>
    </row>
    <row r="54415" spans="32:32" x14ac:dyDescent="0.2">
      <c r="AF54415" s="12"/>
    </row>
    <row r="54416" spans="32:32" x14ac:dyDescent="0.2">
      <c r="AF54416" s="12"/>
    </row>
    <row r="54417" spans="32:32" x14ac:dyDescent="0.2">
      <c r="AF54417" s="12"/>
    </row>
    <row r="54418" spans="32:32" x14ac:dyDescent="0.2">
      <c r="AF54418" s="12"/>
    </row>
    <row r="54419" spans="32:32" x14ac:dyDescent="0.2">
      <c r="AF54419" s="12"/>
    </row>
    <row r="54420" spans="32:32" x14ac:dyDescent="0.2">
      <c r="AF54420" s="12"/>
    </row>
    <row r="54421" spans="32:32" x14ac:dyDescent="0.2">
      <c r="AF54421" s="12"/>
    </row>
    <row r="54422" spans="32:32" x14ac:dyDescent="0.2">
      <c r="AF54422" s="12"/>
    </row>
    <row r="54423" spans="32:32" x14ac:dyDescent="0.2">
      <c r="AF54423" s="12"/>
    </row>
    <row r="54424" spans="32:32" x14ac:dyDescent="0.2">
      <c r="AF54424" s="12"/>
    </row>
    <row r="54425" spans="32:32" x14ac:dyDescent="0.2">
      <c r="AF54425" s="12"/>
    </row>
    <row r="54426" spans="32:32" x14ac:dyDescent="0.2">
      <c r="AF54426" s="12"/>
    </row>
    <row r="54427" spans="32:32" x14ac:dyDescent="0.2">
      <c r="AF54427" s="12"/>
    </row>
    <row r="54428" spans="32:32" x14ac:dyDescent="0.2">
      <c r="AF54428" s="12"/>
    </row>
    <row r="54429" spans="32:32" x14ac:dyDescent="0.2">
      <c r="AF54429" s="12"/>
    </row>
    <row r="54430" spans="32:32" x14ac:dyDescent="0.2">
      <c r="AF54430" s="12"/>
    </row>
    <row r="54431" spans="32:32" x14ac:dyDescent="0.2">
      <c r="AF54431" s="12"/>
    </row>
    <row r="54432" spans="32:32" x14ac:dyDescent="0.2">
      <c r="AF54432" s="12"/>
    </row>
    <row r="54433" spans="32:32" x14ac:dyDescent="0.2">
      <c r="AF54433" s="12"/>
    </row>
    <row r="54434" spans="32:32" x14ac:dyDescent="0.2">
      <c r="AF54434" s="12"/>
    </row>
    <row r="54435" spans="32:32" x14ac:dyDescent="0.2">
      <c r="AF54435" s="12"/>
    </row>
    <row r="54436" spans="32:32" x14ac:dyDescent="0.2">
      <c r="AF54436" s="12"/>
    </row>
    <row r="54437" spans="32:32" x14ac:dyDescent="0.2">
      <c r="AF54437" s="12"/>
    </row>
    <row r="54438" spans="32:32" x14ac:dyDescent="0.2">
      <c r="AF54438" s="12"/>
    </row>
    <row r="54439" spans="32:32" x14ac:dyDescent="0.2">
      <c r="AF54439" s="12"/>
    </row>
    <row r="54440" spans="32:32" x14ac:dyDescent="0.2">
      <c r="AF54440" s="12"/>
    </row>
    <row r="54441" spans="32:32" x14ac:dyDescent="0.2">
      <c r="AF54441" s="12"/>
    </row>
    <row r="54442" spans="32:32" x14ac:dyDescent="0.2">
      <c r="AF54442" s="12"/>
    </row>
    <row r="54443" spans="32:32" x14ac:dyDescent="0.2">
      <c r="AF54443" s="12"/>
    </row>
    <row r="54444" spans="32:32" x14ac:dyDescent="0.2">
      <c r="AF54444" s="12"/>
    </row>
    <row r="54445" spans="32:32" x14ac:dyDescent="0.2">
      <c r="AF54445" s="12"/>
    </row>
    <row r="54446" spans="32:32" x14ac:dyDescent="0.2">
      <c r="AF54446" s="12"/>
    </row>
    <row r="54447" spans="32:32" x14ac:dyDescent="0.2">
      <c r="AF54447" s="12"/>
    </row>
    <row r="54448" spans="32:32" x14ac:dyDescent="0.2">
      <c r="AF54448" s="12"/>
    </row>
    <row r="54449" spans="32:32" x14ac:dyDescent="0.2">
      <c r="AF54449" s="12"/>
    </row>
    <row r="54450" spans="32:32" x14ac:dyDescent="0.2">
      <c r="AF54450" s="12"/>
    </row>
    <row r="54451" spans="32:32" x14ac:dyDescent="0.2">
      <c r="AF54451" s="12"/>
    </row>
    <row r="54452" spans="32:32" x14ac:dyDescent="0.2">
      <c r="AF54452" s="12"/>
    </row>
    <row r="54453" spans="32:32" x14ac:dyDescent="0.2">
      <c r="AF54453" s="12"/>
    </row>
    <row r="54454" spans="32:32" x14ac:dyDescent="0.2">
      <c r="AF54454" s="12"/>
    </row>
    <row r="54455" spans="32:32" x14ac:dyDescent="0.2">
      <c r="AF54455" s="12"/>
    </row>
    <row r="54456" spans="32:32" x14ac:dyDescent="0.2">
      <c r="AF54456" s="12"/>
    </row>
    <row r="54457" spans="32:32" x14ac:dyDescent="0.2">
      <c r="AF54457" s="12"/>
    </row>
    <row r="54458" spans="32:32" x14ac:dyDescent="0.2">
      <c r="AF54458" s="12"/>
    </row>
    <row r="54459" spans="32:32" x14ac:dyDescent="0.2">
      <c r="AF54459" s="12"/>
    </row>
    <row r="54460" spans="32:32" x14ac:dyDescent="0.2">
      <c r="AF54460" s="12"/>
    </row>
    <row r="54461" spans="32:32" x14ac:dyDescent="0.2">
      <c r="AF54461" s="12"/>
    </row>
    <row r="54462" spans="32:32" x14ac:dyDescent="0.2">
      <c r="AF54462" s="12"/>
    </row>
    <row r="54463" spans="32:32" x14ac:dyDescent="0.2">
      <c r="AF54463" s="12"/>
    </row>
    <row r="54464" spans="32:32" x14ac:dyDescent="0.2">
      <c r="AF54464" s="12"/>
    </row>
    <row r="54465" spans="32:32" x14ac:dyDescent="0.2">
      <c r="AF54465" s="12"/>
    </row>
    <row r="54466" spans="32:32" x14ac:dyDescent="0.2">
      <c r="AF54466" s="12"/>
    </row>
    <row r="54467" spans="32:32" x14ac:dyDescent="0.2">
      <c r="AF54467" s="12"/>
    </row>
    <row r="54468" spans="32:32" x14ac:dyDescent="0.2">
      <c r="AF54468" s="12"/>
    </row>
    <row r="54469" spans="32:32" x14ac:dyDescent="0.2">
      <c r="AF54469" s="12"/>
    </row>
    <row r="54470" spans="32:32" x14ac:dyDescent="0.2">
      <c r="AF54470" s="12"/>
    </row>
    <row r="54471" spans="32:32" x14ac:dyDescent="0.2">
      <c r="AF54471" s="12"/>
    </row>
    <row r="54472" spans="32:32" x14ac:dyDescent="0.2">
      <c r="AF54472" s="12"/>
    </row>
    <row r="54473" spans="32:32" x14ac:dyDescent="0.2">
      <c r="AF54473" s="12"/>
    </row>
    <row r="54474" spans="32:32" x14ac:dyDescent="0.2">
      <c r="AF54474" s="12"/>
    </row>
    <row r="54475" spans="32:32" x14ac:dyDescent="0.2">
      <c r="AF54475" s="12"/>
    </row>
    <row r="54476" spans="32:32" x14ac:dyDescent="0.2">
      <c r="AF54476" s="12"/>
    </row>
    <row r="54477" spans="32:32" x14ac:dyDescent="0.2">
      <c r="AF54477" s="12"/>
    </row>
    <row r="54478" spans="32:32" x14ac:dyDescent="0.2">
      <c r="AF54478" s="12"/>
    </row>
    <row r="54479" spans="32:32" x14ac:dyDescent="0.2">
      <c r="AF54479" s="12"/>
    </row>
    <row r="54480" spans="32:32" x14ac:dyDescent="0.2">
      <c r="AF54480" s="12"/>
    </row>
    <row r="54481" spans="32:32" x14ac:dyDescent="0.2">
      <c r="AF54481" s="12"/>
    </row>
    <row r="54482" spans="32:32" x14ac:dyDescent="0.2">
      <c r="AF54482" s="12"/>
    </row>
    <row r="54483" spans="32:32" x14ac:dyDescent="0.2">
      <c r="AF54483" s="12"/>
    </row>
    <row r="54484" spans="32:32" x14ac:dyDescent="0.2">
      <c r="AF54484" s="12"/>
    </row>
    <row r="54485" spans="32:32" x14ac:dyDescent="0.2">
      <c r="AF54485" s="12"/>
    </row>
    <row r="54486" spans="32:32" x14ac:dyDescent="0.2">
      <c r="AF54486" s="12"/>
    </row>
    <row r="54487" spans="32:32" x14ac:dyDescent="0.2">
      <c r="AF54487" s="12"/>
    </row>
    <row r="54488" spans="32:32" x14ac:dyDescent="0.2">
      <c r="AF54488" s="12"/>
    </row>
    <row r="54489" spans="32:32" x14ac:dyDescent="0.2">
      <c r="AF54489" s="12"/>
    </row>
    <row r="54490" spans="32:32" x14ac:dyDescent="0.2">
      <c r="AF54490" s="12"/>
    </row>
    <row r="54491" spans="32:32" x14ac:dyDescent="0.2">
      <c r="AF54491" s="12"/>
    </row>
    <row r="54492" spans="32:32" x14ac:dyDescent="0.2">
      <c r="AF54492" s="12"/>
    </row>
    <row r="54493" spans="32:32" x14ac:dyDescent="0.2">
      <c r="AF54493" s="12"/>
    </row>
    <row r="54494" spans="32:32" x14ac:dyDescent="0.2">
      <c r="AF54494" s="12"/>
    </row>
    <row r="54495" spans="32:32" x14ac:dyDescent="0.2">
      <c r="AF54495" s="12"/>
    </row>
    <row r="54496" spans="32:32" x14ac:dyDescent="0.2">
      <c r="AF54496" s="12"/>
    </row>
    <row r="54497" spans="32:32" x14ac:dyDescent="0.2">
      <c r="AF54497" s="12"/>
    </row>
    <row r="54498" spans="32:32" x14ac:dyDescent="0.2">
      <c r="AF54498" s="12"/>
    </row>
    <row r="54499" spans="32:32" x14ac:dyDescent="0.2">
      <c r="AF54499" s="12"/>
    </row>
    <row r="54500" spans="32:32" x14ac:dyDescent="0.2">
      <c r="AF54500" s="12"/>
    </row>
    <row r="54501" spans="32:32" x14ac:dyDescent="0.2">
      <c r="AF54501" s="12"/>
    </row>
    <row r="54502" spans="32:32" x14ac:dyDescent="0.2">
      <c r="AF54502" s="12"/>
    </row>
    <row r="54503" spans="32:32" x14ac:dyDescent="0.2">
      <c r="AF54503" s="12"/>
    </row>
    <row r="54504" spans="32:32" x14ac:dyDescent="0.2">
      <c r="AF54504" s="12"/>
    </row>
    <row r="54505" spans="32:32" x14ac:dyDescent="0.2">
      <c r="AF54505" s="12"/>
    </row>
    <row r="54506" spans="32:32" x14ac:dyDescent="0.2">
      <c r="AF54506" s="12"/>
    </row>
    <row r="54507" spans="32:32" x14ac:dyDescent="0.2">
      <c r="AF54507" s="12"/>
    </row>
    <row r="54508" spans="32:32" x14ac:dyDescent="0.2">
      <c r="AF54508" s="12"/>
    </row>
    <row r="54509" spans="32:32" x14ac:dyDescent="0.2">
      <c r="AF54509" s="12"/>
    </row>
    <row r="54510" spans="32:32" x14ac:dyDescent="0.2">
      <c r="AF54510" s="12"/>
    </row>
    <row r="54511" spans="32:32" x14ac:dyDescent="0.2">
      <c r="AF54511" s="12"/>
    </row>
    <row r="54512" spans="32:32" x14ac:dyDescent="0.2">
      <c r="AF54512" s="12"/>
    </row>
    <row r="54513" spans="32:32" x14ac:dyDescent="0.2">
      <c r="AF54513" s="12"/>
    </row>
    <row r="54514" spans="32:32" x14ac:dyDescent="0.2">
      <c r="AF54514" s="12"/>
    </row>
    <row r="54515" spans="32:32" x14ac:dyDescent="0.2">
      <c r="AF54515" s="12"/>
    </row>
    <row r="54516" spans="32:32" x14ac:dyDescent="0.2">
      <c r="AF54516" s="12"/>
    </row>
    <row r="54517" spans="32:32" x14ac:dyDescent="0.2">
      <c r="AF54517" s="12"/>
    </row>
    <row r="54518" spans="32:32" x14ac:dyDescent="0.2">
      <c r="AF54518" s="12"/>
    </row>
    <row r="54519" spans="32:32" x14ac:dyDescent="0.2">
      <c r="AF54519" s="12"/>
    </row>
    <row r="54520" spans="32:32" x14ac:dyDescent="0.2">
      <c r="AF54520" s="12"/>
    </row>
    <row r="54521" spans="32:32" x14ac:dyDescent="0.2">
      <c r="AF54521" s="12"/>
    </row>
    <row r="54522" spans="32:32" x14ac:dyDescent="0.2">
      <c r="AF54522" s="12"/>
    </row>
    <row r="54523" spans="32:32" x14ac:dyDescent="0.2">
      <c r="AF54523" s="12"/>
    </row>
    <row r="54524" spans="32:32" x14ac:dyDescent="0.2">
      <c r="AF54524" s="12"/>
    </row>
    <row r="54525" spans="32:32" x14ac:dyDescent="0.2">
      <c r="AF54525" s="12"/>
    </row>
    <row r="54526" spans="32:32" x14ac:dyDescent="0.2">
      <c r="AF54526" s="12"/>
    </row>
    <row r="54527" spans="32:32" x14ac:dyDescent="0.2">
      <c r="AF54527" s="12"/>
    </row>
    <row r="54528" spans="32:32" x14ac:dyDescent="0.2">
      <c r="AF54528" s="12"/>
    </row>
    <row r="54529" spans="32:32" x14ac:dyDescent="0.2">
      <c r="AF54529" s="12"/>
    </row>
    <row r="54530" spans="32:32" x14ac:dyDescent="0.2">
      <c r="AF54530" s="12"/>
    </row>
    <row r="54531" spans="32:32" x14ac:dyDescent="0.2">
      <c r="AF54531" s="12"/>
    </row>
    <row r="54532" spans="32:32" x14ac:dyDescent="0.2">
      <c r="AF54532" s="12"/>
    </row>
    <row r="54533" spans="32:32" x14ac:dyDescent="0.2">
      <c r="AF54533" s="12"/>
    </row>
    <row r="54534" spans="32:32" x14ac:dyDescent="0.2">
      <c r="AF54534" s="12"/>
    </row>
    <row r="54535" spans="32:32" x14ac:dyDescent="0.2">
      <c r="AF54535" s="12"/>
    </row>
    <row r="54536" spans="32:32" x14ac:dyDescent="0.2">
      <c r="AF54536" s="12"/>
    </row>
    <row r="54537" spans="32:32" x14ac:dyDescent="0.2">
      <c r="AF54537" s="12"/>
    </row>
    <row r="54538" spans="32:32" x14ac:dyDescent="0.2">
      <c r="AF54538" s="12"/>
    </row>
    <row r="54539" spans="32:32" x14ac:dyDescent="0.2">
      <c r="AF54539" s="12"/>
    </row>
    <row r="54540" spans="32:32" x14ac:dyDescent="0.2">
      <c r="AF54540" s="12"/>
    </row>
    <row r="54541" spans="32:32" x14ac:dyDescent="0.2">
      <c r="AF54541" s="12"/>
    </row>
    <row r="54542" spans="32:32" x14ac:dyDescent="0.2">
      <c r="AF54542" s="12"/>
    </row>
    <row r="54543" spans="32:32" x14ac:dyDescent="0.2">
      <c r="AF54543" s="12"/>
    </row>
    <row r="54544" spans="32:32" x14ac:dyDescent="0.2">
      <c r="AF54544" s="12"/>
    </row>
    <row r="54545" spans="32:32" x14ac:dyDescent="0.2">
      <c r="AF54545" s="12"/>
    </row>
    <row r="54546" spans="32:32" x14ac:dyDescent="0.2">
      <c r="AF54546" s="12"/>
    </row>
    <row r="54547" spans="32:32" x14ac:dyDescent="0.2">
      <c r="AF54547" s="12"/>
    </row>
    <row r="54548" spans="32:32" x14ac:dyDescent="0.2">
      <c r="AF54548" s="12"/>
    </row>
    <row r="54549" spans="32:32" x14ac:dyDescent="0.2">
      <c r="AF54549" s="12"/>
    </row>
    <row r="54550" spans="32:32" x14ac:dyDescent="0.2">
      <c r="AF54550" s="12"/>
    </row>
    <row r="54551" spans="32:32" x14ac:dyDescent="0.2">
      <c r="AF54551" s="12"/>
    </row>
    <row r="54552" spans="32:32" x14ac:dyDescent="0.2">
      <c r="AF54552" s="12"/>
    </row>
    <row r="54553" spans="32:32" x14ac:dyDescent="0.2">
      <c r="AF54553" s="12"/>
    </row>
    <row r="54554" spans="32:32" x14ac:dyDescent="0.2">
      <c r="AF54554" s="12"/>
    </row>
    <row r="54555" spans="32:32" x14ac:dyDescent="0.2">
      <c r="AF54555" s="12"/>
    </row>
    <row r="54556" spans="32:32" x14ac:dyDescent="0.2">
      <c r="AF54556" s="12"/>
    </row>
    <row r="54557" spans="32:32" x14ac:dyDescent="0.2">
      <c r="AF54557" s="12"/>
    </row>
    <row r="54558" spans="32:32" x14ac:dyDescent="0.2">
      <c r="AF54558" s="12"/>
    </row>
    <row r="54559" spans="32:32" x14ac:dyDescent="0.2">
      <c r="AF54559" s="12"/>
    </row>
    <row r="54560" spans="32:32" x14ac:dyDescent="0.2">
      <c r="AF54560" s="12"/>
    </row>
    <row r="54561" spans="32:32" x14ac:dyDescent="0.2">
      <c r="AF54561" s="12"/>
    </row>
    <row r="54562" spans="32:32" x14ac:dyDescent="0.2">
      <c r="AF54562" s="12"/>
    </row>
    <row r="54563" spans="32:32" x14ac:dyDescent="0.2">
      <c r="AF54563" s="12"/>
    </row>
    <row r="54564" spans="32:32" x14ac:dyDescent="0.2">
      <c r="AF54564" s="12"/>
    </row>
    <row r="54565" spans="32:32" x14ac:dyDescent="0.2">
      <c r="AF54565" s="12"/>
    </row>
    <row r="54566" spans="32:32" x14ac:dyDescent="0.2">
      <c r="AF54566" s="12"/>
    </row>
    <row r="54567" spans="32:32" x14ac:dyDescent="0.2">
      <c r="AF54567" s="12"/>
    </row>
    <row r="54568" spans="32:32" x14ac:dyDescent="0.2">
      <c r="AF54568" s="12"/>
    </row>
    <row r="54569" spans="32:32" x14ac:dyDescent="0.2">
      <c r="AF54569" s="12"/>
    </row>
    <row r="54570" spans="32:32" x14ac:dyDescent="0.2">
      <c r="AF54570" s="12"/>
    </row>
    <row r="54571" spans="32:32" x14ac:dyDescent="0.2">
      <c r="AF54571" s="12"/>
    </row>
    <row r="54572" spans="32:32" x14ac:dyDescent="0.2">
      <c r="AF54572" s="12"/>
    </row>
    <row r="54573" spans="32:32" x14ac:dyDescent="0.2">
      <c r="AF54573" s="12"/>
    </row>
    <row r="54574" spans="32:32" x14ac:dyDescent="0.2">
      <c r="AF54574" s="12"/>
    </row>
    <row r="54575" spans="32:32" x14ac:dyDescent="0.2">
      <c r="AF54575" s="12"/>
    </row>
    <row r="54576" spans="32:32" x14ac:dyDescent="0.2">
      <c r="AF54576" s="12"/>
    </row>
    <row r="54577" spans="32:32" x14ac:dyDescent="0.2">
      <c r="AF54577" s="12"/>
    </row>
    <row r="54578" spans="32:32" x14ac:dyDescent="0.2">
      <c r="AF54578" s="12"/>
    </row>
    <row r="54579" spans="32:32" x14ac:dyDescent="0.2">
      <c r="AF54579" s="12"/>
    </row>
    <row r="54580" spans="32:32" x14ac:dyDescent="0.2">
      <c r="AF54580" s="12"/>
    </row>
    <row r="54581" spans="32:32" x14ac:dyDescent="0.2">
      <c r="AF54581" s="12"/>
    </row>
    <row r="54582" spans="32:32" x14ac:dyDescent="0.2">
      <c r="AF54582" s="12"/>
    </row>
    <row r="54583" spans="32:32" x14ac:dyDescent="0.2">
      <c r="AF54583" s="12"/>
    </row>
    <row r="54584" spans="32:32" x14ac:dyDescent="0.2">
      <c r="AF54584" s="12"/>
    </row>
    <row r="54585" spans="32:32" x14ac:dyDescent="0.2">
      <c r="AF54585" s="12"/>
    </row>
    <row r="54586" spans="32:32" x14ac:dyDescent="0.2">
      <c r="AF54586" s="12"/>
    </row>
    <row r="54587" spans="32:32" x14ac:dyDescent="0.2">
      <c r="AF54587" s="12"/>
    </row>
    <row r="54588" spans="32:32" x14ac:dyDescent="0.2">
      <c r="AF54588" s="12"/>
    </row>
    <row r="54589" spans="32:32" x14ac:dyDescent="0.2">
      <c r="AF54589" s="12"/>
    </row>
    <row r="54590" spans="32:32" x14ac:dyDescent="0.2">
      <c r="AF54590" s="12"/>
    </row>
    <row r="54591" spans="32:32" x14ac:dyDescent="0.2">
      <c r="AF54591" s="12"/>
    </row>
    <row r="54592" spans="32:32" x14ac:dyDescent="0.2">
      <c r="AF54592" s="12"/>
    </row>
    <row r="54593" spans="32:32" x14ac:dyDescent="0.2">
      <c r="AF54593" s="12"/>
    </row>
    <row r="54594" spans="32:32" x14ac:dyDescent="0.2">
      <c r="AF54594" s="12"/>
    </row>
    <row r="54595" spans="32:32" x14ac:dyDescent="0.2">
      <c r="AF54595" s="12"/>
    </row>
    <row r="54596" spans="32:32" x14ac:dyDescent="0.2">
      <c r="AF54596" s="12"/>
    </row>
    <row r="54597" spans="32:32" x14ac:dyDescent="0.2">
      <c r="AF54597" s="12"/>
    </row>
    <row r="54598" spans="32:32" x14ac:dyDescent="0.2">
      <c r="AF54598" s="12"/>
    </row>
    <row r="54599" spans="32:32" x14ac:dyDescent="0.2">
      <c r="AF54599" s="12"/>
    </row>
    <row r="54600" spans="32:32" x14ac:dyDescent="0.2">
      <c r="AF54600" s="12"/>
    </row>
    <row r="54601" spans="32:32" x14ac:dyDescent="0.2">
      <c r="AF54601" s="12"/>
    </row>
    <row r="54602" spans="32:32" x14ac:dyDescent="0.2">
      <c r="AF54602" s="12"/>
    </row>
    <row r="54603" spans="32:32" x14ac:dyDescent="0.2">
      <c r="AF54603" s="12"/>
    </row>
    <row r="54604" spans="32:32" x14ac:dyDescent="0.2">
      <c r="AF54604" s="12"/>
    </row>
    <row r="54605" spans="32:32" x14ac:dyDescent="0.2">
      <c r="AF54605" s="12"/>
    </row>
    <row r="54606" spans="32:32" x14ac:dyDescent="0.2">
      <c r="AF54606" s="12"/>
    </row>
    <row r="54607" spans="32:32" x14ac:dyDescent="0.2">
      <c r="AF54607" s="12"/>
    </row>
    <row r="54608" spans="32:32" x14ac:dyDescent="0.2">
      <c r="AF54608" s="12"/>
    </row>
    <row r="54609" spans="32:32" x14ac:dyDescent="0.2">
      <c r="AF54609" s="12"/>
    </row>
    <row r="54610" spans="32:32" x14ac:dyDescent="0.2">
      <c r="AF54610" s="12"/>
    </row>
    <row r="54611" spans="32:32" x14ac:dyDescent="0.2">
      <c r="AF54611" s="12"/>
    </row>
    <row r="54612" spans="32:32" x14ac:dyDescent="0.2">
      <c r="AF54612" s="12"/>
    </row>
    <row r="54613" spans="32:32" x14ac:dyDescent="0.2">
      <c r="AF54613" s="12"/>
    </row>
    <row r="54614" spans="32:32" x14ac:dyDescent="0.2">
      <c r="AF54614" s="12"/>
    </row>
    <row r="54615" spans="32:32" x14ac:dyDescent="0.2">
      <c r="AF54615" s="12"/>
    </row>
    <row r="54616" spans="32:32" x14ac:dyDescent="0.2">
      <c r="AF54616" s="12"/>
    </row>
    <row r="54617" spans="32:32" x14ac:dyDescent="0.2">
      <c r="AF54617" s="12"/>
    </row>
    <row r="54618" spans="32:32" x14ac:dyDescent="0.2">
      <c r="AF54618" s="12"/>
    </row>
    <row r="54619" spans="32:32" x14ac:dyDescent="0.2">
      <c r="AF54619" s="12"/>
    </row>
    <row r="54620" spans="32:32" x14ac:dyDescent="0.2">
      <c r="AF54620" s="12"/>
    </row>
    <row r="54621" spans="32:32" x14ac:dyDescent="0.2">
      <c r="AF54621" s="12"/>
    </row>
    <row r="54622" spans="32:32" x14ac:dyDescent="0.2">
      <c r="AF54622" s="12"/>
    </row>
    <row r="54623" spans="32:32" x14ac:dyDescent="0.2">
      <c r="AF54623" s="12"/>
    </row>
    <row r="54624" spans="32:32" x14ac:dyDescent="0.2">
      <c r="AF54624" s="12"/>
    </row>
    <row r="54625" spans="32:32" x14ac:dyDescent="0.2">
      <c r="AF54625" s="12"/>
    </row>
    <row r="54626" spans="32:32" x14ac:dyDescent="0.2">
      <c r="AF54626" s="12"/>
    </row>
    <row r="54627" spans="32:32" x14ac:dyDescent="0.2">
      <c r="AF54627" s="12"/>
    </row>
    <row r="54628" spans="32:32" x14ac:dyDescent="0.2">
      <c r="AF54628" s="12"/>
    </row>
    <row r="54629" spans="32:32" x14ac:dyDescent="0.2">
      <c r="AF54629" s="12"/>
    </row>
    <row r="54630" spans="32:32" x14ac:dyDescent="0.2">
      <c r="AF54630" s="12"/>
    </row>
    <row r="54631" spans="32:32" x14ac:dyDescent="0.2">
      <c r="AF54631" s="12"/>
    </row>
    <row r="54632" spans="32:32" x14ac:dyDescent="0.2">
      <c r="AF54632" s="12"/>
    </row>
    <row r="54633" spans="32:32" x14ac:dyDescent="0.2">
      <c r="AF54633" s="12"/>
    </row>
    <row r="54634" spans="32:32" x14ac:dyDescent="0.2">
      <c r="AF54634" s="12"/>
    </row>
    <row r="54635" spans="32:32" x14ac:dyDescent="0.2">
      <c r="AF54635" s="12"/>
    </row>
    <row r="54636" spans="32:32" x14ac:dyDescent="0.2">
      <c r="AF54636" s="12"/>
    </row>
    <row r="54637" spans="32:32" x14ac:dyDescent="0.2">
      <c r="AF54637" s="12"/>
    </row>
    <row r="54638" spans="32:32" x14ac:dyDescent="0.2">
      <c r="AF54638" s="12"/>
    </row>
    <row r="54639" spans="32:32" x14ac:dyDescent="0.2">
      <c r="AF54639" s="12"/>
    </row>
    <row r="54640" spans="32:32" x14ac:dyDescent="0.2">
      <c r="AF54640" s="12"/>
    </row>
    <row r="54641" spans="32:32" x14ac:dyDescent="0.2">
      <c r="AF54641" s="12"/>
    </row>
    <row r="54642" spans="32:32" x14ac:dyDescent="0.2">
      <c r="AF54642" s="12"/>
    </row>
    <row r="54643" spans="32:32" x14ac:dyDescent="0.2">
      <c r="AF54643" s="12"/>
    </row>
    <row r="54644" spans="32:32" x14ac:dyDescent="0.2">
      <c r="AF54644" s="12"/>
    </row>
    <row r="54645" spans="32:32" x14ac:dyDescent="0.2">
      <c r="AF54645" s="12"/>
    </row>
    <row r="54646" spans="32:32" x14ac:dyDescent="0.2">
      <c r="AF54646" s="12"/>
    </row>
    <row r="54647" spans="32:32" x14ac:dyDescent="0.2">
      <c r="AF54647" s="12"/>
    </row>
    <row r="54648" spans="32:32" x14ac:dyDescent="0.2">
      <c r="AF54648" s="12"/>
    </row>
    <row r="54649" spans="32:32" x14ac:dyDescent="0.2">
      <c r="AF54649" s="12"/>
    </row>
    <row r="54650" spans="32:32" x14ac:dyDescent="0.2">
      <c r="AF54650" s="12"/>
    </row>
    <row r="54651" spans="32:32" x14ac:dyDescent="0.2">
      <c r="AF54651" s="12"/>
    </row>
    <row r="54652" spans="32:32" x14ac:dyDescent="0.2">
      <c r="AF54652" s="12"/>
    </row>
    <row r="54653" spans="32:32" x14ac:dyDescent="0.2">
      <c r="AF54653" s="12"/>
    </row>
    <row r="54654" spans="32:32" x14ac:dyDescent="0.2">
      <c r="AF54654" s="12"/>
    </row>
    <row r="54655" spans="32:32" x14ac:dyDescent="0.2">
      <c r="AF54655" s="12"/>
    </row>
    <row r="54656" spans="32:32" x14ac:dyDescent="0.2">
      <c r="AF54656" s="12"/>
    </row>
    <row r="54657" spans="32:32" x14ac:dyDescent="0.2">
      <c r="AF54657" s="12"/>
    </row>
    <row r="54658" spans="32:32" x14ac:dyDescent="0.2">
      <c r="AF54658" s="12"/>
    </row>
    <row r="54659" spans="32:32" x14ac:dyDescent="0.2">
      <c r="AF54659" s="12"/>
    </row>
    <row r="54660" spans="32:32" x14ac:dyDescent="0.2">
      <c r="AF54660" s="12"/>
    </row>
    <row r="54661" spans="32:32" x14ac:dyDescent="0.2">
      <c r="AF54661" s="12"/>
    </row>
    <row r="54662" spans="32:32" x14ac:dyDescent="0.2">
      <c r="AF54662" s="12"/>
    </row>
    <row r="54663" spans="32:32" x14ac:dyDescent="0.2">
      <c r="AF54663" s="12"/>
    </row>
    <row r="54664" spans="32:32" x14ac:dyDescent="0.2">
      <c r="AF54664" s="12"/>
    </row>
    <row r="54665" spans="32:32" x14ac:dyDescent="0.2">
      <c r="AF54665" s="12"/>
    </row>
    <row r="54666" spans="32:32" x14ac:dyDescent="0.2">
      <c r="AF54666" s="12"/>
    </row>
    <row r="54667" spans="32:32" x14ac:dyDescent="0.2">
      <c r="AF54667" s="12"/>
    </row>
    <row r="54668" spans="32:32" x14ac:dyDescent="0.2">
      <c r="AF54668" s="12"/>
    </row>
    <row r="54669" spans="32:32" x14ac:dyDescent="0.2">
      <c r="AF54669" s="12"/>
    </row>
    <row r="54670" spans="32:32" x14ac:dyDescent="0.2">
      <c r="AF54670" s="12"/>
    </row>
    <row r="54671" spans="32:32" x14ac:dyDescent="0.2">
      <c r="AF54671" s="12"/>
    </row>
    <row r="54672" spans="32:32" x14ac:dyDescent="0.2">
      <c r="AF54672" s="12"/>
    </row>
    <row r="54673" spans="32:32" x14ac:dyDescent="0.2">
      <c r="AF54673" s="12"/>
    </row>
    <row r="54674" spans="32:32" x14ac:dyDescent="0.2">
      <c r="AF54674" s="12"/>
    </row>
    <row r="54675" spans="32:32" x14ac:dyDescent="0.2">
      <c r="AF54675" s="12"/>
    </row>
    <row r="54676" spans="32:32" x14ac:dyDescent="0.2">
      <c r="AF54676" s="12"/>
    </row>
    <row r="54677" spans="32:32" x14ac:dyDescent="0.2">
      <c r="AF54677" s="12"/>
    </row>
    <row r="54678" spans="32:32" x14ac:dyDescent="0.2">
      <c r="AF54678" s="12"/>
    </row>
    <row r="54679" spans="32:32" x14ac:dyDescent="0.2">
      <c r="AF54679" s="12"/>
    </row>
    <row r="54680" spans="32:32" x14ac:dyDescent="0.2">
      <c r="AF54680" s="12"/>
    </row>
    <row r="54681" spans="32:32" x14ac:dyDescent="0.2">
      <c r="AF54681" s="12"/>
    </row>
    <row r="54682" spans="32:32" x14ac:dyDescent="0.2">
      <c r="AF54682" s="12"/>
    </row>
    <row r="54683" spans="32:32" x14ac:dyDescent="0.2">
      <c r="AF54683" s="12"/>
    </row>
    <row r="54684" spans="32:32" x14ac:dyDescent="0.2">
      <c r="AF54684" s="12"/>
    </row>
    <row r="54685" spans="32:32" x14ac:dyDescent="0.2">
      <c r="AF54685" s="12"/>
    </row>
    <row r="54686" spans="32:32" x14ac:dyDescent="0.2">
      <c r="AF54686" s="12"/>
    </row>
    <row r="54687" spans="32:32" x14ac:dyDescent="0.2">
      <c r="AF54687" s="12"/>
    </row>
    <row r="54688" spans="32:32" x14ac:dyDescent="0.2">
      <c r="AF54688" s="12"/>
    </row>
    <row r="54689" spans="32:32" x14ac:dyDescent="0.2">
      <c r="AF54689" s="12"/>
    </row>
    <row r="54690" spans="32:32" x14ac:dyDescent="0.2">
      <c r="AF54690" s="12"/>
    </row>
    <row r="54691" spans="32:32" x14ac:dyDescent="0.2">
      <c r="AF54691" s="12"/>
    </row>
    <row r="54692" spans="32:32" x14ac:dyDescent="0.2">
      <c r="AF54692" s="12"/>
    </row>
    <row r="54693" spans="32:32" x14ac:dyDescent="0.2">
      <c r="AF54693" s="12"/>
    </row>
    <row r="54694" spans="32:32" x14ac:dyDescent="0.2">
      <c r="AF54694" s="12"/>
    </row>
    <row r="54695" spans="32:32" x14ac:dyDescent="0.2">
      <c r="AF54695" s="12"/>
    </row>
    <row r="54696" spans="32:32" x14ac:dyDescent="0.2">
      <c r="AF54696" s="12"/>
    </row>
    <row r="54697" spans="32:32" x14ac:dyDescent="0.2">
      <c r="AF54697" s="12"/>
    </row>
    <row r="54698" spans="32:32" x14ac:dyDescent="0.2">
      <c r="AF54698" s="12"/>
    </row>
    <row r="54699" spans="32:32" x14ac:dyDescent="0.2">
      <c r="AF54699" s="12"/>
    </row>
    <row r="54700" spans="32:32" x14ac:dyDescent="0.2">
      <c r="AF54700" s="12"/>
    </row>
    <row r="54701" spans="32:32" x14ac:dyDescent="0.2">
      <c r="AF54701" s="12"/>
    </row>
    <row r="54702" spans="32:32" x14ac:dyDescent="0.2">
      <c r="AF54702" s="12"/>
    </row>
    <row r="54703" spans="32:32" x14ac:dyDescent="0.2">
      <c r="AF54703" s="12"/>
    </row>
    <row r="54704" spans="32:32" x14ac:dyDescent="0.2">
      <c r="AF54704" s="12"/>
    </row>
    <row r="54705" spans="32:32" x14ac:dyDescent="0.2">
      <c r="AF54705" s="12"/>
    </row>
    <row r="54706" spans="32:32" x14ac:dyDescent="0.2">
      <c r="AF54706" s="12"/>
    </row>
    <row r="54707" spans="32:32" x14ac:dyDescent="0.2">
      <c r="AF54707" s="12"/>
    </row>
    <row r="54708" spans="32:32" x14ac:dyDescent="0.2">
      <c r="AF54708" s="12"/>
    </row>
    <row r="54709" spans="32:32" x14ac:dyDescent="0.2">
      <c r="AF54709" s="12"/>
    </row>
    <row r="54710" spans="32:32" x14ac:dyDescent="0.2">
      <c r="AF54710" s="12"/>
    </row>
    <row r="54711" spans="32:32" x14ac:dyDescent="0.2">
      <c r="AF54711" s="12"/>
    </row>
    <row r="54712" spans="32:32" x14ac:dyDescent="0.2">
      <c r="AF54712" s="12"/>
    </row>
    <row r="54713" spans="32:32" x14ac:dyDescent="0.2">
      <c r="AF54713" s="12"/>
    </row>
    <row r="54714" spans="32:32" x14ac:dyDescent="0.2">
      <c r="AF54714" s="12"/>
    </row>
    <row r="54715" spans="32:32" x14ac:dyDescent="0.2">
      <c r="AF54715" s="12"/>
    </row>
    <row r="54716" spans="32:32" x14ac:dyDescent="0.2">
      <c r="AF54716" s="12"/>
    </row>
    <row r="54717" spans="32:32" x14ac:dyDescent="0.2">
      <c r="AF54717" s="12"/>
    </row>
    <row r="54718" spans="32:32" x14ac:dyDescent="0.2">
      <c r="AF54718" s="12"/>
    </row>
    <row r="54719" spans="32:32" x14ac:dyDescent="0.2">
      <c r="AF54719" s="12"/>
    </row>
    <row r="54720" spans="32:32" x14ac:dyDescent="0.2">
      <c r="AF54720" s="12"/>
    </row>
    <row r="54721" spans="32:32" x14ac:dyDescent="0.2">
      <c r="AF54721" s="12"/>
    </row>
    <row r="54722" spans="32:32" x14ac:dyDescent="0.2">
      <c r="AF54722" s="12"/>
    </row>
    <row r="54723" spans="32:32" x14ac:dyDescent="0.2">
      <c r="AF54723" s="12"/>
    </row>
    <row r="54724" spans="32:32" x14ac:dyDescent="0.2">
      <c r="AF54724" s="12"/>
    </row>
    <row r="54725" spans="32:32" x14ac:dyDescent="0.2">
      <c r="AF54725" s="12"/>
    </row>
    <row r="54726" spans="32:32" x14ac:dyDescent="0.2">
      <c r="AF54726" s="12"/>
    </row>
    <row r="54727" spans="32:32" x14ac:dyDescent="0.2">
      <c r="AF54727" s="12"/>
    </row>
    <row r="54728" spans="32:32" x14ac:dyDescent="0.2">
      <c r="AF54728" s="12"/>
    </row>
    <row r="54729" spans="32:32" x14ac:dyDescent="0.2">
      <c r="AF54729" s="12"/>
    </row>
    <row r="54730" spans="32:32" x14ac:dyDescent="0.2">
      <c r="AF54730" s="12"/>
    </row>
    <row r="54731" spans="32:32" x14ac:dyDescent="0.2">
      <c r="AF54731" s="12"/>
    </row>
    <row r="54732" spans="32:32" x14ac:dyDescent="0.2">
      <c r="AF54732" s="12"/>
    </row>
    <row r="54733" spans="32:32" x14ac:dyDescent="0.2">
      <c r="AF54733" s="12"/>
    </row>
    <row r="54734" spans="32:32" x14ac:dyDescent="0.2">
      <c r="AF54734" s="12"/>
    </row>
    <row r="54735" spans="32:32" x14ac:dyDescent="0.2">
      <c r="AF54735" s="12"/>
    </row>
    <row r="54736" spans="32:32" x14ac:dyDescent="0.2">
      <c r="AF54736" s="12"/>
    </row>
    <row r="54737" spans="32:32" x14ac:dyDescent="0.2">
      <c r="AF54737" s="12"/>
    </row>
    <row r="54738" spans="32:32" x14ac:dyDescent="0.2">
      <c r="AF54738" s="12"/>
    </row>
    <row r="54739" spans="32:32" x14ac:dyDescent="0.2">
      <c r="AF54739" s="12"/>
    </row>
    <row r="54740" spans="32:32" x14ac:dyDescent="0.2">
      <c r="AF54740" s="12"/>
    </row>
    <row r="54741" spans="32:32" x14ac:dyDescent="0.2">
      <c r="AF54741" s="12"/>
    </row>
    <row r="54742" spans="32:32" x14ac:dyDescent="0.2">
      <c r="AF54742" s="12"/>
    </row>
    <row r="54743" spans="32:32" x14ac:dyDescent="0.2">
      <c r="AF54743" s="12"/>
    </row>
    <row r="54744" spans="32:32" x14ac:dyDescent="0.2">
      <c r="AF54744" s="12"/>
    </row>
    <row r="54745" spans="32:32" x14ac:dyDescent="0.2">
      <c r="AF54745" s="12"/>
    </row>
    <row r="54746" spans="32:32" x14ac:dyDescent="0.2">
      <c r="AF54746" s="12"/>
    </row>
    <row r="54747" spans="32:32" x14ac:dyDescent="0.2">
      <c r="AF54747" s="12"/>
    </row>
    <row r="54748" spans="32:32" x14ac:dyDescent="0.2">
      <c r="AF54748" s="12"/>
    </row>
    <row r="54749" spans="32:32" x14ac:dyDescent="0.2">
      <c r="AF54749" s="12"/>
    </row>
    <row r="54750" spans="32:32" x14ac:dyDescent="0.2">
      <c r="AF54750" s="12"/>
    </row>
    <row r="54751" spans="32:32" x14ac:dyDescent="0.2">
      <c r="AF54751" s="12"/>
    </row>
    <row r="54752" spans="32:32" x14ac:dyDescent="0.2">
      <c r="AF54752" s="12"/>
    </row>
    <row r="54753" spans="32:32" x14ac:dyDescent="0.2">
      <c r="AF54753" s="12"/>
    </row>
    <row r="54754" spans="32:32" x14ac:dyDescent="0.2">
      <c r="AF54754" s="12"/>
    </row>
    <row r="54755" spans="32:32" x14ac:dyDescent="0.2">
      <c r="AF54755" s="12"/>
    </row>
    <row r="54756" spans="32:32" x14ac:dyDescent="0.2">
      <c r="AF54756" s="12"/>
    </row>
    <row r="54757" spans="32:32" x14ac:dyDescent="0.2">
      <c r="AF54757" s="12"/>
    </row>
    <row r="54758" spans="32:32" x14ac:dyDescent="0.2">
      <c r="AF54758" s="12"/>
    </row>
    <row r="54759" spans="32:32" x14ac:dyDescent="0.2">
      <c r="AF54759" s="12"/>
    </row>
    <row r="54760" spans="32:32" x14ac:dyDescent="0.2">
      <c r="AF54760" s="12"/>
    </row>
    <row r="54761" spans="32:32" x14ac:dyDescent="0.2">
      <c r="AF54761" s="12"/>
    </row>
    <row r="54762" spans="32:32" x14ac:dyDescent="0.2">
      <c r="AF54762" s="12"/>
    </row>
    <row r="54763" spans="32:32" x14ac:dyDescent="0.2">
      <c r="AF54763" s="12"/>
    </row>
    <row r="54764" spans="32:32" x14ac:dyDescent="0.2">
      <c r="AF54764" s="12"/>
    </row>
    <row r="54765" spans="32:32" x14ac:dyDescent="0.2">
      <c r="AF54765" s="12"/>
    </row>
    <row r="54766" spans="32:32" x14ac:dyDescent="0.2">
      <c r="AF54766" s="12"/>
    </row>
    <row r="54767" spans="32:32" x14ac:dyDescent="0.2">
      <c r="AF54767" s="12"/>
    </row>
    <row r="54768" spans="32:32" x14ac:dyDescent="0.2">
      <c r="AF54768" s="12"/>
    </row>
    <row r="54769" spans="32:32" x14ac:dyDescent="0.2">
      <c r="AF54769" s="12"/>
    </row>
    <row r="54770" spans="32:32" x14ac:dyDescent="0.2">
      <c r="AF54770" s="12"/>
    </row>
    <row r="54771" spans="32:32" x14ac:dyDescent="0.2">
      <c r="AF54771" s="12"/>
    </row>
    <row r="54772" spans="32:32" x14ac:dyDescent="0.2">
      <c r="AF54772" s="12"/>
    </row>
    <row r="54773" spans="32:32" x14ac:dyDescent="0.2">
      <c r="AF54773" s="12"/>
    </row>
    <row r="54774" spans="32:32" x14ac:dyDescent="0.2">
      <c r="AF54774" s="12"/>
    </row>
    <row r="54775" spans="32:32" x14ac:dyDescent="0.2">
      <c r="AF54775" s="12"/>
    </row>
    <row r="54776" spans="32:32" x14ac:dyDescent="0.2">
      <c r="AF54776" s="12"/>
    </row>
    <row r="54777" spans="32:32" x14ac:dyDescent="0.2">
      <c r="AF54777" s="12"/>
    </row>
    <row r="54778" spans="32:32" x14ac:dyDescent="0.2">
      <c r="AF54778" s="12"/>
    </row>
    <row r="54779" spans="32:32" x14ac:dyDescent="0.2">
      <c r="AF54779" s="12"/>
    </row>
    <row r="54780" spans="32:32" x14ac:dyDescent="0.2">
      <c r="AF54780" s="12"/>
    </row>
    <row r="54781" spans="32:32" x14ac:dyDescent="0.2">
      <c r="AF54781" s="12"/>
    </row>
    <row r="54782" spans="32:32" x14ac:dyDescent="0.2">
      <c r="AF54782" s="12"/>
    </row>
    <row r="54783" spans="32:32" x14ac:dyDescent="0.2">
      <c r="AF54783" s="12"/>
    </row>
    <row r="54784" spans="32:32" x14ac:dyDescent="0.2">
      <c r="AF54784" s="12"/>
    </row>
    <row r="54785" spans="32:32" x14ac:dyDescent="0.2">
      <c r="AF54785" s="12"/>
    </row>
    <row r="54786" spans="32:32" x14ac:dyDescent="0.2">
      <c r="AF54786" s="12"/>
    </row>
    <row r="54787" spans="32:32" x14ac:dyDescent="0.2">
      <c r="AF54787" s="12"/>
    </row>
    <row r="54788" spans="32:32" x14ac:dyDescent="0.2">
      <c r="AF54788" s="12"/>
    </row>
    <row r="54789" spans="32:32" x14ac:dyDescent="0.2">
      <c r="AF54789" s="12"/>
    </row>
    <row r="54790" spans="32:32" x14ac:dyDescent="0.2">
      <c r="AF54790" s="12"/>
    </row>
    <row r="54791" spans="32:32" x14ac:dyDescent="0.2">
      <c r="AF54791" s="12"/>
    </row>
    <row r="54792" spans="32:32" x14ac:dyDescent="0.2">
      <c r="AF54792" s="12"/>
    </row>
    <row r="54793" spans="32:32" x14ac:dyDescent="0.2">
      <c r="AF54793" s="12"/>
    </row>
    <row r="54794" spans="32:32" x14ac:dyDescent="0.2">
      <c r="AF54794" s="12"/>
    </row>
    <row r="54795" spans="32:32" x14ac:dyDescent="0.2">
      <c r="AF54795" s="12"/>
    </row>
    <row r="54796" spans="32:32" x14ac:dyDescent="0.2">
      <c r="AF54796" s="12"/>
    </row>
    <row r="54797" spans="32:32" x14ac:dyDescent="0.2">
      <c r="AF54797" s="12"/>
    </row>
    <row r="54798" spans="32:32" x14ac:dyDescent="0.2">
      <c r="AF54798" s="12"/>
    </row>
    <row r="54799" spans="32:32" x14ac:dyDescent="0.2">
      <c r="AF54799" s="12"/>
    </row>
    <row r="54800" spans="32:32" x14ac:dyDescent="0.2">
      <c r="AF54800" s="12"/>
    </row>
    <row r="54801" spans="32:32" x14ac:dyDescent="0.2">
      <c r="AF54801" s="12"/>
    </row>
    <row r="54802" spans="32:32" x14ac:dyDescent="0.2">
      <c r="AF54802" s="12"/>
    </row>
    <row r="54803" spans="32:32" x14ac:dyDescent="0.2">
      <c r="AF54803" s="12"/>
    </row>
    <row r="54804" spans="32:32" x14ac:dyDescent="0.2">
      <c r="AF54804" s="12"/>
    </row>
    <row r="54805" spans="32:32" x14ac:dyDescent="0.2">
      <c r="AF54805" s="12"/>
    </row>
    <row r="54806" spans="32:32" x14ac:dyDescent="0.2">
      <c r="AF54806" s="12"/>
    </row>
    <row r="54807" spans="32:32" x14ac:dyDescent="0.2">
      <c r="AF54807" s="12"/>
    </row>
    <row r="54808" spans="32:32" x14ac:dyDescent="0.2">
      <c r="AF54808" s="12"/>
    </row>
    <row r="54809" spans="32:32" x14ac:dyDescent="0.2">
      <c r="AF54809" s="12"/>
    </row>
    <row r="54810" spans="32:32" x14ac:dyDescent="0.2">
      <c r="AF54810" s="12"/>
    </row>
    <row r="54811" spans="32:32" x14ac:dyDescent="0.2">
      <c r="AF54811" s="12"/>
    </row>
    <row r="54812" spans="32:32" x14ac:dyDescent="0.2">
      <c r="AF54812" s="12"/>
    </row>
    <row r="54813" spans="32:32" x14ac:dyDescent="0.2">
      <c r="AF54813" s="12"/>
    </row>
    <row r="54814" spans="32:32" x14ac:dyDescent="0.2">
      <c r="AF54814" s="12"/>
    </row>
    <row r="54815" spans="32:32" x14ac:dyDescent="0.2">
      <c r="AF54815" s="12"/>
    </row>
    <row r="54816" spans="32:32" x14ac:dyDescent="0.2">
      <c r="AF54816" s="12"/>
    </row>
    <row r="54817" spans="32:32" x14ac:dyDescent="0.2">
      <c r="AF54817" s="12"/>
    </row>
    <row r="54818" spans="32:32" x14ac:dyDescent="0.2">
      <c r="AF54818" s="12"/>
    </row>
    <row r="54819" spans="32:32" x14ac:dyDescent="0.2">
      <c r="AF54819" s="12"/>
    </row>
    <row r="54820" spans="32:32" x14ac:dyDescent="0.2">
      <c r="AF54820" s="12"/>
    </row>
    <row r="54821" spans="32:32" x14ac:dyDescent="0.2">
      <c r="AF54821" s="12"/>
    </row>
    <row r="54822" spans="32:32" x14ac:dyDescent="0.2">
      <c r="AF54822" s="12"/>
    </row>
    <row r="54823" spans="32:32" x14ac:dyDescent="0.2">
      <c r="AF54823" s="12"/>
    </row>
    <row r="54824" spans="32:32" x14ac:dyDescent="0.2">
      <c r="AF54824" s="12"/>
    </row>
    <row r="54825" spans="32:32" x14ac:dyDescent="0.2">
      <c r="AF54825" s="12"/>
    </row>
    <row r="54826" spans="32:32" x14ac:dyDescent="0.2">
      <c r="AF54826" s="12"/>
    </row>
    <row r="54827" spans="32:32" x14ac:dyDescent="0.2">
      <c r="AF54827" s="12"/>
    </row>
    <row r="54828" spans="32:32" x14ac:dyDescent="0.2">
      <c r="AF54828" s="12"/>
    </row>
    <row r="54829" spans="32:32" x14ac:dyDescent="0.2">
      <c r="AF54829" s="12"/>
    </row>
    <row r="54830" spans="32:32" x14ac:dyDescent="0.2">
      <c r="AF54830" s="12"/>
    </row>
    <row r="54831" spans="32:32" x14ac:dyDescent="0.2">
      <c r="AF54831" s="12"/>
    </row>
    <row r="54832" spans="32:32" x14ac:dyDescent="0.2">
      <c r="AF54832" s="12"/>
    </row>
    <row r="54833" spans="32:32" x14ac:dyDescent="0.2">
      <c r="AF54833" s="12"/>
    </row>
    <row r="54834" spans="32:32" x14ac:dyDescent="0.2">
      <c r="AF54834" s="12"/>
    </row>
    <row r="54835" spans="32:32" x14ac:dyDescent="0.2">
      <c r="AF54835" s="12"/>
    </row>
    <row r="54836" spans="32:32" x14ac:dyDescent="0.2">
      <c r="AF54836" s="12"/>
    </row>
    <row r="54837" spans="32:32" x14ac:dyDescent="0.2">
      <c r="AF54837" s="12"/>
    </row>
    <row r="54838" spans="32:32" x14ac:dyDescent="0.2">
      <c r="AF54838" s="12"/>
    </row>
    <row r="54839" spans="32:32" x14ac:dyDescent="0.2">
      <c r="AF54839" s="12"/>
    </row>
    <row r="54840" spans="32:32" x14ac:dyDescent="0.2">
      <c r="AF54840" s="12"/>
    </row>
    <row r="54841" spans="32:32" x14ac:dyDescent="0.2">
      <c r="AF54841" s="12"/>
    </row>
    <row r="54842" spans="32:32" x14ac:dyDescent="0.2">
      <c r="AF54842" s="12"/>
    </row>
    <row r="54843" spans="32:32" x14ac:dyDescent="0.2">
      <c r="AF54843" s="12"/>
    </row>
    <row r="54844" spans="32:32" x14ac:dyDescent="0.2">
      <c r="AF54844" s="12"/>
    </row>
    <row r="54845" spans="32:32" x14ac:dyDescent="0.2">
      <c r="AF54845" s="12"/>
    </row>
    <row r="54846" spans="32:32" x14ac:dyDescent="0.2">
      <c r="AF54846" s="12"/>
    </row>
    <row r="54847" spans="32:32" x14ac:dyDescent="0.2">
      <c r="AF54847" s="12"/>
    </row>
    <row r="54848" spans="32:32" x14ac:dyDescent="0.2">
      <c r="AF54848" s="12"/>
    </row>
    <row r="54849" spans="32:32" x14ac:dyDescent="0.2">
      <c r="AF54849" s="12"/>
    </row>
    <row r="54850" spans="32:32" x14ac:dyDescent="0.2">
      <c r="AF54850" s="12"/>
    </row>
    <row r="54851" spans="32:32" x14ac:dyDescent="0.2">
      <c r="AF54851" s="12"/>
    </row>
    <row r="54852" spans="32:32" x14ac:dyDescent="0.2">
      <c r="AF54852" s="12"/>
    </row>
    <row r="54853" spans="32:32" x14ac:dyDescent="0.2">
      <c r="AF54853" s="12"/>
    </row>
    <row r="54854" spans="32:32" x14ac:dyDescent="0.2">
      <c r="AF54854" s="12"/>
    </row>
    <row r="54855" spans="32:32" x14ac:dyDescent="0.2">
      <c r="AF54855" s="12"/>
    </row>
    <row r="54856" spans="32:32" x14ac:dyDescent="0.2">
      <c r="AF54856" s="12"/>
    </row>
    <row r="54857" spans="32:32" x14ac:dyDescent="0.2">
      <c r="AF54857" s="12"/>
    </row>
    <row r="54858" spans="32:32" x14ac:dyDescent="0.2">
      <c r="AF54858" s="12"/>
    </row>
    <row r="54859" spans="32:32" x14ac:dyDescent="0.2">
      <c r="AF54859" s="12"/>
    </row>
    <row r="54860" spans="32:32" x14ac:dyDescent="0.2">
      <c r="AF54860" s="12"/>
    </row>
    <row r="54861" spans="32:32" x14ac:dyDescent="0.2">
      <c r="AF54861" s="12"/>
    </row>
    <row r="54862" spans="32:32" x14ac:dyDescent="0.2">
      <c r="AF54862" s="12"/>
    </row>
    <row r="54863" spans="32:32" x14ac:dyDescent="0.2">
      <c r="AF54863" s="12"/>
    </row>
    <row r="54864" spans="32:32" x14ac:dyDescent="0.2">
      <c r="AF54864" s="12"/>
    </row>
    <row r="54865" spans="32:32" x14ac:dyDescent="0.2">
      <c r="AF54865" s="12"/>
    </row>
    <row r="54866" spans="32:32" x14ac:dyDescent="0.2">
      <c r="AF54866" s="12"/>
    </row>
    <row r="54867" spans="32:32" x14ac:dyDescent="0.2">
      <c r="AF54867" s="12"/>
    </row>
    <row r="54868" spans="32:32" x14ac:dyDescent="0.2">
      <c r="AF54868" s="12"/>
    </row>
    <row r="54869" spans="32:32" x14ac:dyDescent="0.2">
      <c r="AF54869" s="12"/>
    </row>
    <row r="54870" spans="32:32" x14ac:dyDescent="0.2">
      <c r="AF54870" s="12"/>
    </row>
    <row r="54871" spans="32:32" x14ac:dyDescent="0.2">
      <c r="AF54871" s="12"/>
    </row>
    <row r="54872" spans="32:32" x14ac:dyDescent="0.2">
      <c r="AF54872" s="12"/>
    </row>
    <row r="54873" spans="32:32" x14ac:dyDescent="0.2">
      <c r="AF54873" s="12"/>
    </row>
    <row r="54874" spans="32:32" x14ac:dyDescent="0.2">
      <c r="AF54874" s="12"/>
    </row>
    <row r="54875" spans="32:32" x14ac:dyDescent="0.2">
      <c r="AF54875" s="12"/>
    </row>
    <row r="54876" spans="32:32" x14ac:dyDescent="0.2">
      <c r="AF54876" s="12"/>
    </row>
    <row r="54877" spans="32:32" x14ac:dyDescent="0.2">
      <c r="AF54877" s="12"/>
    </row>
    <row r="54878" spans="32:32" x14ac:dyDescent="0.2">
      <c r="AF54878" s="12"/>
    </row>
    <row r="54879" spans="32:32" x14ac:dyDescent="0.2">
      <c r="AF54879" s="12"/>
    </row>
    <row r="54880" spans="32:32" x14ac:dyDescent="0.2">
      <c r="AF54880" s="12"/>
    </row>
    <row r="54881" spans="32:32" x14ac:dyDescent="0.2">
      <c r="AF54881" s="12"/>
    </row>
    <row r="54882" spans="32:32" x14ac:dyDescent="0.2">
      <c r="AF54882" s="12"/>
    </row>
    <row r="54883" spans="32:32" x14ac:dyDescent="0.2">
      <c r="AF54883" s="12"/>
    </row>
    <row r="54884" spans="32:32" x14ac:dyDescent="0.2">
      <c r="AF54884" s="12"/>
    </row>
    <row r="54885" spans="32:32" x14ac:dyDescent="0.2">
      <c r="AF54885" s="12"/>
    </row>
    <row r="54886" spans="32:32" x14ac:dyDescent="0.2">
      <c r="AF54886" s="12"/>
    </row>
    <row r="54887" spans="32:32" x14ac:dyDescent="0.2">
      <c r="AF54887" s="12"/>
    </row>
    <row r="54888" spans="32:32" x14ac:dyDescent="0.2">
      <c r="AF54888" s="12"/>
    </row>
    <row r="54889" spans="32:32" x14ac:dyDescent="0.2">
      <c r="AF54889" s="12"/>
    </row>
    <row r="54890" spans="32:32" x14ac:dyDescent="0.2">
      <c r="AF54890" s="12"/>
    </row>
    <row r="54891" spans="32:32" x14ac:dyDescent="0.2">
      <c r="AF54891" s="12"/>
    </row>
    <row r="54892" spans="32:32" x14ac:dyDescent="0.2">
      <c r="AF54892" s="12"/>
    </row>
    <row r="54893" spans="32:32" x14ac:dyDescent="0.2">
      <c r="AF54893" s="12"/>
    </row>
    <row r="54894" spans="32:32" x14ac:dyDescent="0.2">
      <c r="AF54894" s="12"/>
    </row>
    <row r="54895" spans="32:32" x14ac:dyDescent="0.2">
      <c r="AF54895" s="12"/>
    </row>
    <row r="54896" spans="32:32" x14ac:dyDescent="0.2">
      <c r="AF54896" s="12"/>
    </row>
    <row r="54897" spans="32:32" x14ac:dyDescent="0.2">
      <c r="AF54897" s="12"/>
    </row>
    <row r="54898" spans="32:32" x14ac:dyDescent="0.2">
      <c r="AF54898" s="12"/>
    </row>
    <row r="54899" spans="32:32" x14ac:dyDescent="0.2">
      <c r="AF54899" s="12"/>
    </row>
    <row r="54900" spans="32:32" x14ac:dyDescent="0.2">
      <c r="AF54900" s="12"/>
    </row>
    <row r="54901" spans="32:32" x14ac:dyDescent="0.2">
      <c r="AF54901" s="12"/>
    </row>
    <row r="54902" spans="32:32" x14ac:dyDescent="0.2">
      <c r="AF54902" s="12"/>
    </row>
    <row r="54903" spans="32:32" x14ac:dyDescent="0.2">
      <c r="AF54903" s="12"/>
    </row>
    <row r="54904" spans="32:32" x14ac:dyDescent="0.2">
      <c r="AF54904" s="12"/>
    </row>
    <row r="54905" spans="32:32" x14ac:dyDescent="0.2">
      <c r="AF54905" s="12"/>
    </row>
    <row r="54906" spans="32:32" x14ac:dyDescent="0.2">
      <c r="AF54906" s="12"/>
    </row>
    <row r="54907" spans="32:32" x14ac:dyDescent="0.2">
      <c r="AF54907" s="12"/>
    </row>
    <row r="54908" spans="32:32" x14ac:dyDescent="0.2">
      <c r="AF54908" s="12"/>
    </row>
    <row r="54909" spans="32:32" x14ac:dyDescent="0.2">
      <c r="AF54909" s="12"/>
    </row>
    <row r="54910" spans="32:32" x14ac:dyDescent="0.2">
      <c r="AF54910" s="12"/>
    </row>
    <row r="54911" spans="32:32" x14ac:dyDescent="0.2">
      <c r="AF54911" s="12"/>
    </row>
    <row r="54912" spans="32:32" x14ac:dyDescent="0.2">
      <c r="AF54912" s="12"/>
    </row>
    <row r="54913" spans="32:32" x14ac:dyDescent="0.2">
      <c r="AF54913" s="12"/>
    </row>
    <row r="54914" spans="32:32" x14ac:dyDescent="0.2">
      <c r="AF54914" s="12"/>
    </row>
    <row r="54915" spans="32:32" x14ac:dyDescent="0.2">
      <c r="AF54915" s="12"/>
    </row>
    <row r="54916" spans="32:32" x14ac:dyDescent="0.2">
      <c r="AF54916" s="12"/>
    </row>
    <row r="54917" spans="32:32" x14ac:dyDescent="0.2">
      <c r="AF54917" s="12"/>
    </row>
    <row r="54918" spans="32:32" x14ac:dyDescent="0.2">
      <c r="AF54918" s="12"/>
    </row>
    <row r="54919" spans="32:32" x14ac:dyDescent="0.2">
      <c r="AF54919" s="12"/>
    </row>
    <row r="54920" spans="32:32" x14ac:dyDescent="0.2">
      <c r="AF54920" s="12"/>
    </row>
    <row r="54921" spans="32:32" x14ac:dyDescent="0.2">
      <c r="AF54921" s="12"/>
    </row>
    <row r="54922" spans="32:32" x14ac:dyDescent="0.2">
      <c r="AF54922" s="12"/>
    </row>
    <row r="54923" spans="32:32" x14ac:dyDescent="0.2">
      <c r="AF54923" s="12"/>
    </row>
    <row r="54924" spans="32:32" x14ac:dyDescent="0.2">
      <c r="AF54924" s="12"/>
    </row>
    <row r="54925" spans="32:32" x14ac:dyDescent="0.2">
      <c r="AF54925" s="12"/>
    </row>
    <row r="54926" spans="32:32" x14ac:dyDescent="0.2">
      <c r="AF54926" s="12"/>
    </row>
    <row r="54927" spans="32:32" x14ac:dyDescent="0.2">
      <c r="AF54927" s="12"/>
    </row>
    <row r="54928" spans="32:32" x14ac:dyDescent="0.2">
      <c r="AF54928" s="12"/>
    </row>
    <row r="54929" spans="32:32" x14ac:dyDescent="0.2">
      <c r="AF54929" s="12"/>
    </row>
    <row r="54930" spans="32:32" x14ac:dyDescent="0.2">
      <c r="AF54930" s="12"/>
    </row>
    <row r="54931" spans="32:32" x14ac:dyDescent="0.2">
      <c r="AF54931" s="12"/>
    </row>
    <row r="54932" spans="32:32" x14ac:dyDescent="0.2">
      <c r="AF54932" s="12"/>
    </row>
    <row r="54933" spans="32:32" x14ac:dyDescent="0.2">
      <c r="AF54933" s="12"/>
    </row>
    <row r="54934" spans="32:32" x14ac:dyDescent="0.2">
      <c r="AF54934" s="12"/>
    </row>
    <row r="54935" spans="32:32" x14ac:dyDescent="0.2">
      <c r="AF54935" s="12"/>
    </row>
    <row r="54936" spans="32:32" x14ac:dyDescent="0.2">
      <c r="AF54936" s="12"/>
    </row>
    <row r="54937" spans="32:32" x14ac:dyDescent="0.2">
      <c r="AF54937" s="12"/>
    </row>
    <row r="54938" spans="32:32" x14ac:dyDescent="0.2">
      <c r="AF54938" s="12"/>
    </row>
    <row r="54939" spans="32:32" x14ac:dyDescent="0.2">
      <c r="AF54939" s="12"/>
    </row>
    <row r="54940" spans="32:32" x14ac:dyDescent="0.2">
      <c r="AF54940" s="12"/>
    </row>
    <row r="54941" spans="32:32" x14ac:dyDescent="0.2">
      <c r="AF54941" s="12"/>
    </row>
    <row r="54942" spans="32:32" x14ac:dyDescent="0.2">
      <c r="AF54942" s="12"/>
    </row>
    <row r="54943" spans="32:32" x14ac:dyDescent="0.2">
      <c r="AF54943" s="12"/>
    </row>
    <row r="54944" spans="32:32" x14ac:dyDescent="0.2">
      <c r="AF54944" s="12"/>
    </row>
    <row r="54945" spans="32:32" x14ac:dyDescent="0.2">
      <c r="AF54945" s="12"/>
    </row>
    <row r="54946" spans="32:32" x14ac:dyDescent="0.2">
      <c r="AF54946" s="12"/>
    </row>
    <row r="54947" spans="32:32" x14ac:dyDescent="0.2">
      <c r="AF54947" s="12"/>
    </row>
    <row r="54948" spans="32:32" x14ac:dyDescent="0.2">
      <c r="AF54948" s="12"/>
    </row>
    <row r="54949" spans="32:32" x14ac:dyDescent="0.2">
      <c r="AF54949" s="12"/>
    </row>
    <row r="54950" spans="32:32" x14ac:dyDescent="0.2">
      <c r="AF54950" s="12"/>
    </row>
    <row r="54951" spans="32:32" x14ac:dyDescent="0.2">
      <c r="AF54951" s="12"/>
    </row>
    <row r="54952" spans="32:32" x14ac:dyDescent="0.2">
      <c r="AF54952" s="12"/>
    </row>
    <row r="54953" spans="32:32" x14ac:dyDescent="0.2">
      <c r="AF54953" s="12"/>
    </row>
    <row r="54954" spans="32:32" x14ac:dyDescent="0.2">
      <c r="AF54954" s="12"/>
    </row>
    <row r="54955" spans="32:32" x14ac:dyDescent="0.2">
      <c r="AF54955" s="12"/>
    </row>
    <row r="54956" spans="32:32" x14ac:dyDescent="0.2">
      <c r="AF54956" s="12"/>
    </row>
    <row r="54957" spans="32:32" x14ac:dyDescent="0.2">
      <c r="AF54957" s="12"/>
    </row>
    <row r="54958" spans="32:32" x14ac:dyDescent="0.2">
      <c r="AF54958" s="12"/>
    </row>
    <row r="54959" spans="32:32" x14ac:dyDescent="0.2">
      <c r="AF54959" s="12"/>
    </row>
    <row r="54960" spans="32:32" x14ac:dyDescent="0.2">
      <c r="AF54960" s="12"/>
    </row>
    <row r="54961" spans="32:32" x14ac:dyDescent="0.2">
      <c r="AF54961" s="12"/>
    </row>
    <row r="54962" spans="32:32" x14ac:dyDescent="0.2">
      <c r="AF54962" s="12"/>
    </row>
    <row r="54963" spans="32:32" x14ac:dyDescent="0.2">
      <c r="AF54963" s="12"/>
    </row>
    <row r="54964" spans="32:32" x14ac:dyDescent="0.2">
      <c r="AF54964" s="12"/>
    </row>
    <row r="54965" spans="32:32" x14ac:dyDescent="0.2">
      <c r="AF54965" s="12"/>
    </row>
    <row r="54966" spans="32:32" x14ac:dyDescent="0.2">
      <c r="AF54966" s="12"/>
    </row>
    <row r="54967" spans="32:32" x14ac:dyDescent="0.2">
      <c r="AF54967" s="12"/>
    </row>
    <row r="54968" spans="32:32" x14ac:dyDescent="0.2">
      <c r="AF54968" s="12"/>
    </row>
    <row r="54969" spans="32:32" x14ac:dyDescent="0.2">
      <c r="AF54969" s="12"/>
    </row>
    <row r="54970" spans="32:32" x14ac:dyDescent="0.2">
      <c r="AF54970" s="12"/>
    </row>
    <row r="54971" spans="32:32" x14ac:dyDescent="0.2">
      <c r="AF54971" s="12"/>
    </row>
    <row r="54972" spans="32:32" x14ac:dyDescent="0.2">
      <c r="AF54972" s="12"/>
    </row>
    <row r="54973" spans="32:32" x14ac:dyDescent="0.2">
      <c r="AF54973" s="12"/>
    </row>
    <row r="54974" spans="32:32" x14ac:dyDescent="0.2">
      <c r="AF54974" s="12"/>
    </row>
    <row r="54975" spans="32:32" x14ac:dyDescent="0.2">
      <c r="AF54975" s="12"/>
    </row>
    <row r="54976" spans="32:32" x14ac:dyDescent="0.2">
      <c r="AF54976" s="12"/>
    </row>
    <row r="54977" spans="32:32" x14ac:dyDescent="0.2">
      <c r="AF54977" s="12"/>
    </row>
    <row r="54978" spans="32:32" x14ac:dyDescent="0.2">
      <c r="AF54978" s="12"/>
    </row>
    <row r="54979" spans="32:32" x14ac:dyDescent="0.2">
      <c r="AF54979" s="12"/>
    </row>
    <row r="54980" spans="32:32" x14ac:dyDescent="0.2">
      <c r="AF54980" s="12"/>
    </row>
    <row r="54981" spans="32:32" x14ac:dyDescent="0.2">
      <c r="AF54981" s="12"/>
    </row>
    <row r="54982" spans="32:32" x14ac:dyDescent="0.2">
      <c r="AF54982" s="12"/>
    </row>
    <row r="54983" spans="32:32" x14ac:dyDescent="0.2">
      <c r="AF54983" s="12"/>
    </row>
    <row r="54984" spans="32:32" x14ac:dyDescent="0.2">
      <c r="AF54984" s="12"/>
    </row>
    <row r="54985" spans="32:32" x14ac:dyDescent="0.2">
      <c r="AF54985" s="12"/>
    </row>
    <row r="54986" spans="32:32" x14ac:dyDescent="0.2">
      <c r="AF54986" s="12"/>
    </row>
    <row r="54987" spans="32:32" x14ac:dyDescent="0.2">
      <c r="AF54987" s="12"/>
    </row>
    <row r="54988" spans="32:32" x14ac:dyDescent="0.2">
      <c r="AF54988" s="12"/>
    </row>
    <row r="54989" spans="32:32" x14ac:dyDescent="0.2">
      <c r="AF54989" s="12"/>
    </row>
    <row r="54990" spans="32:32" x14ac:dyDescent="0.2">
      <c r="AF54990" s="12"/>
    </row>
    <row r="54991" spans="32:32" x14ac:dyDescent="0.2">
      <c r="AF54991" s="12"/>
    </row>
    <row r="54992" spans="32:32" x14ac:dyDescent="0.2">
      <c r="AF54992" s="12"/>
    </row>
    <row r="54993" spans="32:32" x14ac:dyDescent="0.2">
      <c r="AF54993" s="12"/>
    </row>
    <row r="54994" spans="32:32" x14ac:dyDescent="0.2">
      <c r="AF54994" s="12"/>
    </row>
    <row r="54995" spans="32:32" x14ac:dyDescent="0.2">
      <c r="AF54995" s="12"/>
    </row>
    <row r="54996" spans="32:32" x14ac:dyDescent="0.2">
      <c r="AF54996" s="12"/>
    </row>
    <row r="54997" spans="32:32" x14ac:dyDescent="0.2">
      <c r="AF54997" s="12"/>
    </row>
    <row r="54998" spans="32:32" x14ac:dyDescent="0.2">
      <c r="AF54998" s="12"/>
    </row>
    <row r="54999" spans="32:32" x14ac:dyDescent="0.2">
      <c r="AF54999" s="12"/>
    </row>
    <row r="55000" spans="32:32" x14ac:dyDescent="0.2">
      <c r="AF55000" s="12"/>
    </row>
    <row r="55001" spans="32:32" x14ac:dyDescent="0.2">
      <c r="AF55001" s="12"/>
    </row>
    <row r="55002" spans="32:32" x14ac:dyDescent="0.2">
      <c r="AF55002" s="12"/>
    </row>
    <row r="55003" spans="32:32" x14ac:dyDescent="0.2">
      <c r="AF55003" s="12"/>
    </row>
    <row r="55004" spans="32:32" x14ac:dyDescent="0.2">
      <c r="AF55004" s="12"/>
    </row>
    <row r="55005" spans="32:32" x14ac:dyDescent="0.2">
      <c r="AF55005" s="12"/>
    </row>
    <row r="55006" spans="32:32" x14ac:dyDescent="0.2">
      <c r="AF55006" s="12"/>
    </row>
    <row r="55007" spans="32:32" x14ac:dyDescent="0.2">
      <c r="AF55007" s="12"/>
    </row>
    <row r="55008" spans="32:32" x14ac:dyDescent="0.2">
      <c r="AF55008" s="12"/>
    </row>
    <row r="55009" spans="32:32" x14ac:dyDescent="0.2">
      <c r="AF55009" s="12"/>
    </row>
    <row r="55010" spans="32:32" x14ac:dyDescent="0.2">
      <c r="AF55010" s="12"/>
    </row>
    <row r="55011" spans="32:32" x14ac:dyDescent="0.2">
      <c r="AF55011" s="12"/>
    </row>
    <row r="55012" spans="32:32" x14ac:dyDescent="0.2">
      <c r="AF55012" s="12"/>
    </row>
    <row r="55013" spans="32:32" x14ac:dyDescent="0.2">
      <c r="AF55013" s="12"/>
    </row>
    <row r="55014" spans="32:32" x14ac:dyDescent="0.2">
      <c r="AF55014" s="12"/>
    </row>
    <row r="55015" spans="32:32" x14ac:dyDescent="0.2">
      <c r="AF55015" s="12"/>
    </row>
    <row r="55016" spans="32:32" x14ac:dyDescent="0.2">
      <c r="AF55016" s="12"/>
    </row>
    <row r="55017" spans="32:32" x14ac:dyDescent="0.2">
      <c r="AF55017" s="12"/>
    </row>
    <row r="55018" spans="32:32" x14ac:dyDescent="0.2">
      <c r="AF55018" s="12"/>
    </row>
    <row r="55019" spans="32:32" x14ac:dyDescent="0.2">
      <c r="AF55019" s="12"/>
    </row>
    <row r="55020" spans="32:32" x14ac:dyDescent="0.2">
      <c r="AF55020" s="12"/>
    </row>
    <row r="55021" spans="32:32" x14ac:dyDescent="0.2">
      <c r="AF55021" s="12"/>
    </row>
    <row r="55022" spans="32:32" x14ac:dyDescent="0.2">
      <c r="AF55022" s="12"/>
    </row>
    <row r="55023" spans="32:32" x14ac:dyDescent="0.2">
      <c r="AF55023" s="12"/>
    </row>
    <row r="55024" spans="32:32" x14ac:dyDescent="0.2">
      <c r="AF55024" s="12"/>
    </row>
    <row r="55025" spans="32:32" x14ac:dyDescent="0.2">
      <c r="AF55025" s="12"/>
    </row>
    <row r="55026" spans="32:32" x14ac:dyDescent="0.2">
      <c r="AF55026" s="12"/>
    </row>
    <row r="55027" spans="32:32" x14ac:dyDescent="0.2">
      <c r="AF55027" s="12"/>
    </row>
    <row r="55028" spans="32:32" x14ac:dyDescent="0.2">
      <c r="AF55028" s="12"/>
    </row>
    <row r="55029" spans="32:32" x14ac:dyDescent="0.2">
      <c r="AF55029" s="12"/>
    </row>
    <row r="55030" spans="32:32" x14ac:dyDescent="0.2">
      <c r="AF55030" s="12"/>
    </row>
    <row r="55031" spans="32:32" x14ac:dyDescent="0.2">
      <c r="AF55031" s="12"/>
    </row>
    <row r="55032" spans="32:32" x14ac:dyDescent="0.2">
      <c r="AF55032" s="12"/>
    </row>
    <row r="55033" spans="32:32" x14ac:dyDescent="0.2">
      <c r="AF55033" s="12"/>
    </row>
    <row r="55034" spans="32:32" x14ac:dyDescent="0.2">
      <c r="AF55034" s="12"/>
    </row>
    <row r="55035" spans="32:32" x14ac:dyDescent="0.2">
      <c r="AF55035" s="12"/>
    </row>
    <row r="55036" spans="32:32" x14ac:dyDescent="0.2">
      <c r="AF55036" s="12"/>
    </row>
    <row r="55037" spans="32:32" x14ac:dyDescent="0.2">
      <c r="AF55037" s="12"/>
    </row>
    <row r="55038" spans="32:32" x14ac:dyDescent="0.2">
      <c r="AF55038" s="12"/>
    </row>
    <row r="55039" spans="32:32" x14ac:dyDescent="0.2">
      <c r="AF55039" s="12"/>
    </row>
    <row r="55040" spans="32:32" x14ac:dyDescent="0.2">
      <c r="AF55040" s="12"/>
    </row>
    <row r="55041" spans="32:32" x14ac:dyDescent="0.2">
      <c r="AF55041" s="12"/>
    </row>
    <row r="55042" spans="32:32" x14ac:dyDescent="0.2">
      <c r="AF55042" s="12"/>
    </row>
    <row r="55043" spans="32:32" x14ac:dyDescent="0.2">
      <c r="AF55043" s="12"/>
    </row>
    <row r="55044" spans="32:32" x14ac:dyDescent="0.2">
      <c r="AF55044" s="12"/>
    </row>
    <row r="55045" spans="32:32" x14ac:dyDescent="0.2">
      <c r="AF55045" s="12"/>
    </row>
    <row r="55046" spans="32:32" x14ac:dyDescent="0.2">
      <c r="AF55046" s="12"/>
    </row>
    <row r="55047" spans="32:32" x14ac:dyDescent="0.2">
      <c r="AF55047" s="12"/>
    </row>
    <row r="55048" spans="32:32" x14ac:dyDescent="0.2">
      <c r="AF55048" s="12"/>
    </row>
    <row r="55049" spans="32:32" x14ac:dyDescent="0.2">
      <c r="AF55049" s="12"/>
    </row>
    <row r="55050" spans="32:32" x14ac:dyDescent="0.2">
      <c r="AF55050" s="12"/>
    </row>
    <row r="55051" spans="32:32" x14ac:dyDescent="0.2">
      <c r="AF55051" s="12"/>
    </row>
    <row r="55052" spans="32:32" x14ac:dyDescent="0.2">
      <c r="AF55052" s="12"/>
    </row>
    <row r="55053" spans="32:32" x14ac:dyDescent="0.2">
      <c r="AF55053" s="12"/>
    </row>
    <row r="55054" spans="32:32" x14ac:dyDescent="0.2">
      <c r="AF55054" s="12"/>
    </row>
    <row r="55055" spans="32:32" x14ac:dyDescent="0.2">
      <c r="AF55055" s="12"/>
    </row>
    <row r="55056" spans="32:32" x14ac:dyDescent="0.2">
      <c r="AF55056" s="12"/>
    </row>
    <row r="55057" spans="32:32" x14ac:dyDescent="0.2">
      <c r="AF55057" s="12"/>
    </row>
    <row r="55058" spans="32:32" x14ac:dyDescent="0.2">
      <c r="AF55058" s="12"/>
    </row>
    <row r="55059" spans="32:32" x14ac:dyDescent="0.2">
      <c r="AF55059" s="12"/>
    </row>
    <row r="55060" spans="32:32" x14ac:dyDescent="0.2">
      <c r="AF55060" s="12"/>
    </row>
    <row r="55061" spans="32:32" x14ac:dyDescent="0.2">
      <c r="AF55061" s="12"/>
    </row>
    <row r="55062" spans="32:32" x14ac:dyDescent="0.2">
      <c r="AF55062" s="12"/>
    </row>
    <row r="55063" spans="32:32" x14ac:dyDescent="0.2">
      <c r="AF55063" s="12"/>
    </row>
    <row r="55064" spans="32:32" x14ac:dyDescent="0.2">
      <c r="AF55064" s="12"/>
    </row>
    <row r="55065" spans="32:32" x14ac:dyDescent="0.2">
      <c r="AF55065" s="12"/>
    </row>
    <row r="55066" spans="32:32" x14ac:dyDescent="0.2">
      <c r="AF55066" s="12"/>
    </row>
    <row r="55067" spans="32:32" x14ac:dyDescent="0.2">
      <c r="AF55067" s="12"/>
    </row>
    <row r="55068" spans="32:32" x14ac:dyDescent="0.2">
      <c r="AF55068" s="12"/>
    </row>
    <row r="55069" spans="32:32" x14ac:dyDescent="0.2">
      <c r="AF55069" s="12"/>
    </row>
    <row r="55070" spans="32:32" x14ac:dyDescent="0.2">
      <c r="AF55070" s="12"/>
    </row>
    <row r="55071" spans="32:32" x14ac:dyDescent="0.2">
      <c r="AF55071" s="12"/>
    </row>
    <row r="55072" spans="32:32" x14ac:dyDescent="0.2">
      <c r="AF55072" s="12"/>
    </row>
    <row r="55073" spans="32:32" x14ac:dyDescent="0.2">
      <c r="AF55073" s="12"/>
    </row>
    <row r="55074" spans="32:32" x14ac:dyDescent="0.2">
      <c r="AF55074" s="12"/>
    </row>
    <row r="55075" spans="32:32" x14ac:dyDescent="0.2">
      <c r="AF55075" s="12"/>
    </row>
    <row r="55076" spans="32:32" x14ac:dyDescent="0.2">
      <c r="AF55076" s="12"/>
    </row>
    <row r="55077" spans="32:32" x14ac:dyDescent="0.2">
      <c r="AF55077" s="12"/>
    </row>
    <row r="55078" spans="32:32" x14ac:dyDescent="0.2">
      <c r="AF55078" s="12"/>
    </row>
    <row r="55079" spans="32:32" x14ac:dyDescent="0.2">
      <c r="AF55079" s="12"/>
    </row>
    <row r="55080" spans="32:32" x14ac:dyDescent="0.2">
      <c r="AF55080" s="12"/>
    </row>
    <row r="55081" spans="32:32" x14ac:dyDescent="0.2">
      <c r="AF55081" s="12"/>
    </row>
    <row r="55082" spans="32:32" x14ac:dyDescent="0.2">
      <c r="AF55082" s="12"/>
    </row>
    <row r="55083" spans="32:32" x14ac:dyDescent="0.2">
      <c r="AF55083" s="12"/>
    </row>
    <row r="55084" spans="32:32" x14ac:dyDescent="0.2">
      <c r="AF55084" s="12"/>
    </row>
    <row r="55085" spans="32:32" x14ac:dyDescent="0.2">
      <c r="AF55085" s="12"/>
    </row>
    <row r="55086" spans="32:32" x14ac:dyDescent="0.2">
      <c r="AF55086" s="12"/>
    </row>
    <row r="55087" spans="32:32" x14ac:dyDescent="0.2">
      <c r="AF55087" s="12"/>
    </row>
    <row r="55088" spans="32:32" x14ac:dyDescent="0.2">
      <c r="AF55088" s="12"/>
    </row>
    <row r="55089" spans="32:32" x14ac:dyDescent="0.2">
      <c r="AF55089" s="12"/>
    </row>
    <row r="55090" spans="32:32" x14ac:dyDescent="0.2">
      <c r="AF55090" s="12"/>
    </row>
    <row r="55091" spans="32:32" x14ac:dyDescent="0.2">
      <c r="AF55091" s="12"/>
    </row>
    <row r="55092" spans="32:32" x14ac:dyDescent="0.2">
      <c r="AF55092" s="12"/>
    </row>
    <row r="55093" spans="32:32" x14ac:dyDescent="0.2">
      <c r="AF55093" s="12"/>
    </row>
    <row r="55094" spans="32:32" x14ac:dyDescent="0.2">
      <c r="AF55094" s="12"/>
    </row>
    <row r="55095" spans="32:32" x14ac:dyDescent="0.2">
      <c r="AF55095" s="12"/>
    </row>
    <row r="55096" spans="32:32" x14ac:dyDescent="0.2">
      <c r="AF55096" s="12"/>
    </row>
    <row r="55097" spans="32:32" x14ac:dyDescent="0.2">
      <c r="AF55097" s="12"/>
    </row>
    <row r="55098" spans="32:32" x14ac:dyDescent="0.2">
      <c r="AF55098" s="12"/>
    </row>
    <row r="55099" spans="32:32" x14ac:dyDescent="0.2">
      <c r="AF55099" s="12"/>
    </row>
    <row r="55100" spans="32:32" x14ac:dyDescent="0.2">
      <c r="AF55100" s="12"/>
    </row>
    <row r="55101" spans="32:32" x14ac:dyDescent="0.2">
      <c r="AF55101" s="12"/>
    </row>
    <row r="55102" spans="32:32" x14ac:dyDescent="0.2">
      <c r="AF55102" s="12"/>
    </row>
    <row r="55103" spans="32:32" x14ac:dyDescent="0.2">
      <c r="AF55103" s="12"/>
    </row>
    <row r="55104" spans="32:32" x14ac:dyDescent="0.2">
      <c r="AF55104" s="12"/>
    </row>
    <row r="55105" spans="32:32" x14ac:dyDescent="0.2">
      <c r="AF55105" s="12"/>
    </row>
    <row r="55106" spans="32:32" x14ac:dyDescent="0.2">
      <c r="AF55106" s="12"/>
    </row>
    <row r="55107" spans="32:32" x14ac:dyDescent="0.2">
      <c r="AF55107" s="12"/>
    </row>
    <row r="55108" spans="32:32" x14ac:dyDescent="0.2">
      <c r="AF55108" s="12"/>
    </row>
    <row r="55109" spans="32:32" x14ac:dyDescent="0.2">
      <c r="AF55109" s="12"/>
    </row>
    <row r="55110" spans="32:32" x14ac:dyDescent="0.2">
      <c r="AF55110" s="12"/>
    </row>
    <row r="55111" spans="32:32" x14ac:dyDescent="0.2">
      <c r="AF55111" s="12"/>
    </row>
    <row r="55112" spans="32:32" x14ac:dyDescent="0.2">
      <c r="AF55112" s="12"/>
    </row>
    <row r="55113" spans="32:32" x14ac:dyDescent="0.2">
      <c r="AF55113" s="12"/>
    </row>
    <row r="55114" spans="32:32" x14ac:dyDescent="0.2">
      <c r="AF55114" s="12"/>
    </row>
    <row r="55115" spans="32:32" x14ac:dyDescent="0.2">
      <c r="AF55115" s="12"/>
    </row>
    <row r="55116" spans="32:32" x14ac:dyDescent="0.2">
      <c r="AF55116" s="12"/>
    </row>
    <row r="55117" spans="32:32" x14ac:dyDescent="0.2">
      <c r="AF55117" s="12"/>
    </row>
    <row r="55118" spans="32:32" x14ac:dyDescent="0.2">
      <c r="AF55118" s="12"/>
    </row>
    <row r="55119" spans="32:32" x14ac:dyDescent="0.2">
      <c r="AF55119" s="12"/>
    </row>
    <row r="55120" spans="32:32" x14ac:dyDescent="0.2">
      <c r="AF55120" s="12"/>
    </row>
    <row r="55121" spans="32:32" x14ac:dyDescent="0.2">
      <c r="AF55121" s="12"/>
    </row>
    <row r="55122" spans="32:32" x14ac:dyDescent="0.2">
      <c r="AF55122" s="12"/>
    </row>
    <row r="55123" spans="32:32" x14ac:dyDescent="0.2">
      <c r="AF55123" s="12"/>
    </row>
    <row r="55124" spans="32:32" x14ac:dyDescent="0.2">
      <c r="AF55124" s="12"/>
    </row>
    <row r="55125" spans="32:32" x14ac:dyDescent="0.2">
      <c r="AF55125" s="12"/>
    </row>
    <row r="55126" spans="32:32" x14ac:dyDescent="0.2">
      <c r="AF55126" s="12"/>
    </row>
    <row r="55127" spans="32:32" x14ac:dyDescent="0.2">
      <c r="AF55127" s="12"/>
    </row>
    <row r="55128" spans="32:32" x14ac:dyDescent="0.2">
      <c r="AF55128" s="12"/>
    </row>
    <row r="55129" spans="32:32" x14ac:dyDescent="0.2">
      <c r="AF55129" s="12"/>
    </row>
    <row r="55130" spans="32:32" x14ac:dyDescent="0.2">
      <c r="AF55130" s="12"/>
    </row>
    <row r="55131" spans="32:32" x14ac:dyDescent="0.2">
      <c r="AF55131" s="12"/>
    </row>
    <row r="55132" spans="32:32" x14ac:dyDescent="0.2">
      <c r="AF55132" s="12"/>
    </row>
    <row r="55133" spans="32:32" x14ac:dyDescent="0.2">
      <c r="AF55133" s="12"/>
    </row>
    <row r="55134" spans="32:32" x14ac:dyDescent="0.2">
      <c r="AF55134" s="12"/>
    </row>
    <row r="55135" spans="32:32" x14ac:dyDescent="0.2">
      <c r="AF55135" s="12"/>
    </row>
    <row r="55136" spans="32:32" x14ac:dyDescent="0.2">
      <c r="AF55136" s="12"/>
    </row>
    <row r="55137" spans="32:32" x14ac:dyDescent="0.2">
      <c r="AF55137" s="12"/>
    </row>
    <row r="55138" spans="32:32" x14ac:dyDescent="0.2">
      <c r="AF55138" s="12"/>
    </row>
    <row r="55139" spans="32:32" x14ac:dyDescent="0.2">
      <c r="AF55139" s="12"/>
    </row>
    <row r="55140" spans="32:32" x14ac:dyDescent="0.2">
      <c r="AF55140" s="12"/>
    </row>
    <row r="55141" spans="32:32" x14ac:dyDescent="0.2">
      <c r="AF55141" s="12"/>
    </row>
    <row r="55142" spans="32:32" x14ac:dyDescent="0.2">
      <c r="AF55142" s="12"/>
    </row>
    <row r="55143" spans="32:32" x14ac:dyDescent="0.2">
      <c r="AF55143" s="12"/>
    </row>
    <row r="55144" spans="32:32" x14ac:dyDescent="0.2">
      <c r="AF55144" s="12"/>
    </row>
    <row r="55145" spans="32:32" x14ac:dyDescent="0.2">
      <c r="AF55145" s="12"/>
    </row>
    <row r="55146" spans="32:32" x14ac:dyDescent="0.2">
      <c r="AF55146" s="12"/>
    </row>
    <row r="55147" spans="32:32" x14ac:dyDescent="0.2">
      <c r="AF55147" s="12"/>
    </row>
    <row r="55148" spans="32:32" x14ac:dyDescent="0.2">
      <c r="AF55148" s="12"/>
    </row>
    <row r="55149" spans="32:32" x14ac:dyDescent="0.2">
      <c r="AF55149" s="12"/>
    </row>
    <row r="55150" spans="32:32" x14ac:dyDescent="0.2">
      <c r="AF55150" s="12"/>
    </row>
    <row r="55151" spans="32:32" x14ac:dyDescent="0.2">
      <c r="AF55151" s="12"/>
    </row>
    <row r="55152" spans="32:32" x14ac:dyDescent="0.2">
      <c r="AF55152" s="12"/>
    </row>
    <row r="55153" spans="32:32" x14ac:dyDescent="0.2">
      <c r="AF55153" s="12"/>
    </row>
    <row r="55154" spans="32:32" x14ac:dyDescent="0.2">
      <c r="AF55154" s="12"/>
    </row>
    <row r="55155" spans="32:32" x14ac:dyDescent="0.2">
      <c r="AF55155" s="12"/>
    </row>
    <row r="55156" spans="32:32" x14ac:dyDescent="0.2">
      <c r="AF55156" s="12"/>
    </row>
    <row r="55157" spans="32:32" x14ac:dyDescent="0.2">
      <c r="AF55157" s="12"/>
    </row>
    <row r="55158" spans="32:32" x14ac:dyDescent="0.2">
      <c r="AF55158" s="12"/>
    </row>
    <row r="55159" spans="32:32" x14ac:dyDescent="0.2">
      <c r="AF55159" s="12"/>
    </row>
    <row r="55160" spans="32:32" x14ac:dyDescent="0.2">
      <c r="AF55160" s="12"/>
    </row>
    <row r="55161" spans="32:32" x14ac:dyDescent="0.2">
      <c r="AF55161" s="12"/>
    </row>
    <row r="55162" spans="32:32" x14ac:dyDescent="0.2">
      <c r="AF55162" s="12"/>
    </row>
    <row r="55163" spans="32:32" x14ac:dyDescent="0.2">
      <c r="AF55163" s="12"/>
    </row>
    <row r="55164" spans="32:32" x14ac:dyDescent="0.2">
      <c r="AF55164" s="12"/>
    </row>
    <row r="55165" spans="32:32" x14ac:dyDescent="0.2">
      <c r="AF55165" s="12"/>
    </row>
    <row r="55166" spans="32:32" x14ac:dyDescent="0.2">
      <c r="AF55166" s="12"/>
    </row>
    <row r="55167" spans="32:32" x14ac:dyDescent="0.2">
      <c r="AF55167" s="12"/>
    </row>
    <row r="55168" spans="32:32" x14ac:dyDescent="0.2">
      <c r="AF55168" s="12"/>
    </row>
    <row r="55169" spans="32:32" x14ac:dyDescent="0.2">
      <c r="AF55169" s="12"/>
    </row>
    <row r="55170" spans="32:32" x14ac:dyDescent="0.2">
      <c r="AF55170" s="12"/>
    </row>
    <row r="55171" spans="32:32" x14ac:dyDescent="0.2">
      <c r="AF55171" s="12"/>
    </row>
    <row r="55172" spans="32:32" x14ac:dyDescent="0.2">
      <c r="AF55172" s="12"/>
    </row>
    <row r="55173" spans="32:32" x14ac:dyDescent="0.2">
      <c r="AF55173" s="12"/>
    </row>
    <row r="55174" spans="32:32" x14ac:dyDescent="0.2">
      <c r="AF55174" s="12"/>
    </row>
    <row r="55175" spans="32:32" x14ac:dyDescent="0.2">
      <c r="AF55175" s="12"/>
    </row>
    <row r="55176" spans="32:32" x14ac:dyDescent="0.2">
      <c r="AF55176" s="12"/>
    </row>
    <row r="55177" spans="32:32" x14ac:dyDescent="0.2">
      <c r="AF55177" s="12"/>
    </row>
    <row r="55178" spans="32:32" x14ac:dyDescent="0.2">
      <c r="AF55178" s="12"/>
    </row>
    <row r="55179" spans="32:32" x14ac:dyDescent="0.2">
      <c r="AF55179" s="12"/>
    </row>
    <row r="55180" spans="32:32" x14ac:dyDescent="0.2">
      <c r="AF55180" s="12"/>
    </row>
    <row r="55181" spans="32:32" x14ac:dyDescent="0.2">
      <c r="AF55181" s="12"/>
    </row>
    <row r="55182" spans="32:32" x14ac:dyDescent="0.2">
      <c r="AF55182" s="12"/>
    </row>
    <row r="55183" spans="32:32" x14ac:dyDescent="0.2">
      <c r="AF55183" s="12"/>
    </row>
    <row r="55184" spans="32:32" x14ac:dyDescent="0.2">
      <c r="AF55184" s="12"/>
    </row>
    <row r="55185" spans="32:32" x14ac:dyDescent="0.2">
      <c r="AF55185" s="12"/>
    </row>
    <row r="55186" spans="32:32" x14ac:dyDescent="0.2">
      <c r="AF55186" s="12"/>
    </row>
    <row r="55187" spans="32:32" x14ac:dyDescent="0.2">
      <c r="AF55187" s="12"/>
    </row>
    <row r="55188" spans="32:32" x14ac:dyDescent="0.2">
      <c r="AF55188" s="12"/>
    </row>
    <row r="55189" spans="32:32" x14ac:dyDescent="0.2">
      <c r="AF55189" s="12"/>
    </row>
    <row r="55190" spans="32:32" x14ac:dyDescent="0.2">
      <c r="AF55190" s="12"/>
    </row>
    <row r="55191" spans="32:32" x14ac:dyDescent="0.2">
      <c r="AF55191" s="12"/>
    </row>
    <row r="55192" spans="32:32" x14ac:dyDescent="0.2">
      <c r="AF55192" s="12"/>
    </row>
    <row r="55193" spans="32:32" x14ac:dyDescent="0.2">
      <c r="AF55193" s="12"/>
    </row>
    <row r="55194" spans="32:32" x14ac:dyDescent="0.2">
      <c r="AF55194" s="12"/>
    </row>
    <row r="55195" spans="32:32" x14ac:dyDescent="0.2">
      <c r="AF55195" s="12"/>
    </row>
    <row r="55196" spans="32:32" x14ac:dyDescent="0.2">
      <c r="AF55196" s="12"/>
    </row>
    <row r="55197" spans="32:32" x14ac:dyDescent="0.2">
      <c r="AF55197" s="12"/>
    </row>
    <row r="55198" spans="32:32" x14ac:dyDescent="0.2">
      <c r="AF55198" s="12"/>
    </row>
    <row r="55199" spans="32:32" x14ac:dyDescent="0.2">
      <c r="AF55199" s="12"/>
    </row>
    <row r="55200" spans="32:32" x14ac:dyDescent="0.2">
      <c r="AF55200" s="12"/>
    </row>
    <row r="55201" spans="32:32" x14ac:dyDescent="0.2">
      <c r="AF55201" s="12"/>
    </row>
    <row r="55202" spans="32:32" x14ac:dyDescent="0.2">
      <c r="AF55202" s="12"/>
    </row>
    <row r="55203" spans="32:32" x14ac:dyDescent="0.2">
      <c r="AF55203" s="12"/>
    </row>
    <row r="55204" spans="32:32" x14ac:dyDescent="0.2">
      <c r="AF55204" s="12"/>
    </row>
    <row r="55205" spans="32:32" x14ac:dyDescent="0.2">
      <c r="AF55205" s="12"/>
    </row>
    <row r="55206" spans="32:32" x14ac:dyDescent="0.2">
      <c r="AF55206" s="12"/>
    </row>
    <row r="55207" spans="32:32" x14ac:dyDescent="0.2">
      <c r="AF55207" s="12"/>
    </row>
    <row r="55208" spans="32:32" x14ac:dyDescent="0.2">
      <c r="AF55208" s="12"/>
    </row>
    <row r="55209" spans="32:32" x14ac:dyDescent="0.2">
      <c r="AF55209" s="12"/>
    </row>
    <row r="55210" spans="32:32" x14ac:dyDescent="0.2">
      <c r="AF55210" s="12"/>
    </row>
    <row r="55211" spans="32:32" x14ac:dyDescent="0.2">
      <c r="AF55211" s="12"/>
    </row>
    <row r="55212" spans="32:32" x14ac:dyDescent="0.2">
      <c r="AF55212" s="12"/>
    </row>
    <row r="55213" spans="32:32" x14ac:dyDescent="0.2">
      <c r="AF55213" s="12"/>
    </row>
    <row r="55214" spans="32:32" x14ac:dyDescent="0.2">
      <c r="AF55214" s="12"/>
    </row>
    <row r="55215" spans="32:32" x14ac:dyDescent="0.2">
      <c r="AF55215" s="12"/>
    </row>
    <row r="55216" spans="32:32" x14ac:dyDescent="0.2">
      <c r="AF55216" s="12"/>
    </row>
    <row r="55217" spans="32:32" x14ac:dyDescent="0.2">
      <c r="AF55217" s="12"/>
    </row>
    <row r="55218" spans="32:32" x14ac:dyDescent="0.2">
      <c r="AF55218" s="12"/>
    </row>
    <row r="55219" spans="32:32" x14ac:dyDescent="0.2">
      <c r="AF55219" s="12"/>
    </row>
    <row r="55220" spans="32:32" x14ac:dyDescent="0.2">
      <c r="AF55220" s="12"/>
    </row>
    <row r="55221" spans="32:32" x14ac:dyDescent="0.2">
      <c r="AF55221" s="12"/>
    </row>
    <row r="55222" spans="32:32" x14ac:dyDescent="0.2">
      <c r="AF55222" s="12"/>
    </row>
    <row r="55223" spans="32:32" x14ac:dyDescent="0.2">
      <c r="AF55223" s="12"/>
    </row>
    <row r="55224" spans="32:32" x14ac:dyDescent="0.2">
      <c r="AF55224" s="12"/>
    </row>
    <row r="55225" spans="32:32" x14ac:dyDescent="0.2">
      <c r="AF55225" s="12"/>
    </row>
    <row r="55226" spans="32:32" x14ac:dyDescent="0.2">
      <c r="AF55226" s="12"/>
    </row>
    <row r="55227" spans="32:32" x14ac:dyDescent="0.2">
      <c r="AF55227" s="12"/>
    </row>
    <row r="55228" spans="32:32" x14ac:dyDescent="0.2">
      <c r="AF55228" s="12"/>
    </row>
    <row r="55229" spans="32:32" x14ac:dyDescent="0.2">
      <c r="AF55229" s="12"/>
    </row>
    <row r="55230" spans="32:32" x14ac:dyDescent="0.2">
      <c r="AF55230" s="12"/>
    </row>
    <row r="55231" spans="32:32" x14ac:dyDescent="0.2">
      <c r="AF55231" s="12"/>
    </row>
    <row r="55232" spans="32:32" x14ac:dyDescent="0.2">
      <c r="AF55232" s="12"/>
    </row>
    <row r="55233" spans="32:32" x14ac:dyDescent="0.2">
      <c r="AF55233" s="12"/>
    </row>
    <row r="55234" spans="32:32" x14ac:dyDescent="0.2">
      <c r="AF55234" s="12"/>
    </row>
    <row r="55235" spans="32:32" x14ac:dyDescent="0.2">
      <c r="AF55235" s="12"/>
    </row>
    <row r="55236" spans="32:32" x14ac:dyDescent="0.2">
      <c r="AF55236" s="12"/>
    </row>
    <row r="55237" spans="32:32" x14ac:dyDescent="0.2">
      <c r="AF55237" s="12"/>
    </row>
    <row r="55238" spans="32:32" x14ac:dyDescent="0.2">
      <c r="AF55238" s="12"/>
    </row>
    <row r="55239" spans="32:32" x14ac:dyDescent="0.2">
      <c r="AF55239" s="12"/>
    </row>
    <row r="55240" spans="32:32" x14ac:dyDescent="0.2">
      <c r="AF55240" s="12"/>
    </row>
    <row r="55241" spans="32:32" x14ac:dyDescent="0.2">
      <c r="AF55241" s="12"/>
    </row>
    <row r="55242" spans="32:32" x14ac:dyDescent="0.2">
      <c r="AF55242" s="12"/>
    </row>
    <row r="55243" spans="32:32" x14ac:dyDescent="0.2">
      <c r="AF55243" s="12"/>
    </row>
    <row r="55244" spans="32:32" x14ac:dyDescent="0.2">
      <c r="AF55244" s="12"/>
    </row>
    <row r="55245" spans="32:32" x14ac:dyDescent="0.2">
      <c r="AF55245" s="12"/>
    </row>
    <row r="55246" spans="32:32" x14ac:dyDescent="0.2">
      <c r="AF55246" s="12"/>
    </row>
    <row r="55247" spans="32:32" x14ac:dyDescent="0.2">
      <c r="AF55247" s="12"/>
    </row>
    <row r="55248" spans="32:32" x14ac:dyDescent="0.2">
      <c r="AF55248" s="12"/>
    </row>
    <row r="55249" spans="32:32" x14ac:dyDescent="0.2">
      <c r="AF55249" s="12"/>
    </row>
    <row r="55250" spans="32:32" x14ac:dyDescent="0.2">
      <c r="AF55250" s="12"/>
    </row>
    <row r="55251" spans="32:32" x14ac:dyDescent="0.2">
      <c r="AF55251" s="12"/>
    </row>
    <row r="55252" spans="32:32" x14ac:dyDescent="0.2">
      <c r="AF55252" s="12"/>
    </row>
    <row r="55253" spans="32:32" x14ac:dyDescent="0.2">
      <c r="AF55253" s="12"/>
    </row>
    <row r="55254" spans="32:32" x14ac:dyDescent="0.2">
      <c r="AF55254" s="12"/>
    </row>
    <row r="55255" spans="32:32" x14ac:dyDescent="0.2">
      <c r="AF55255" s="12"/>
    </row>
    <row r="55256" spans="32:32" x14ac:dyDescent="0.2">
      <c r="AF55256" s="12"/>
    </row>
    <row r="55257" spans="32:32" x14ac:dyDescent="0.2">
      <c r="AF55257" s="12"/>
    </row>
    <row r="55258" spans="32:32" x14ac:dyDescent="0.2">
      <c r="AF55258" s="12"/>
    </row>
    <row r="55259" spans="32:32" x14ac:dyDescent="0.2">
      <c r="AF55259" s="12"/>
    </row>
    <row r="55260" spans="32:32" x14ac:dyDescent="0.2">
      <c r="AF55260" s="12"/>
    </row>
    <row r="55261" spans="32:32" x14ac:dyDescent="0.2">
      <c r="AF55261" s="12"/>
    </row>
    <row r="55262" spans="32:32" x14ac:dyDescent="0.2">
      <c r="AF55262" s="12"/>
    </row>
    <row r="55263" spans="32:32" x14ac:dyDescent="0.2">
      <c r="AF55263" s="12"/>
    </row>
    <row r="55264" spans="32:32" x14ac:dyDescent="0.2">
      <c r="AF55264" s="12"/>
    </row>
    <row r="55265" spans="32:32" x14ac:dyDescent="0.2">
      <c r="AF55265" s="12"/>
    </row>
    <row r="55266" spans="32:32" x14ac:dyDescent="0.2">
      <c r="AF55266" s="12"/>
    </row>
    <row r="55267" spans="32:32" x14ac:dyDescent="0.2">
      <c r="AF55267" s="12"/>
    </row>
    <row r="55268" spans="32:32" x14ac:dyDescent="0.2">
      <c r="AF55268" s="12"/>
    </row>
    <row r="55269" spans="32:32" x14ac:dyDescent="0.2">
      <c r="AF55269" s="12"/>
    </row>
    <row r="55270" spans="32:32" x14ac:dyDescent="0.2">
      <c r="AF55270" s="12"/>
    </row>
    <row r="55271" spans="32:32" x14ac:dyDescent="0.2">
      <c r="AF55271" s="12"/>
    </row>
    <row r="55272" spans="32:32" x14ac:dyDescent="0.2">
      <c r="AF55272" s="12"/>
    </row>
    <row r="55273" spans="32:32" x14ac:dyDescent="0.2">
      <c r="AF55273" s="12"/>
    </row>
    <row r="55274" spans="32:32" x14ac:dyDescent="0.2">
      <c r="AF55274" s="12"/>
    </row>
    <row r="55275" spans="32:32" x14ac:dyDescent="0.2">
      <c r="AF55275" s="12"/>
    </row>
    <row r="55276" spans="32:32" x14ac:dyDescent="0.2">
      <c r="AF55276" s="12"/>
    </row>
    <row r="55277" spans="32:32" x14ac:dyDescent="0.2">
      <c r="AF55277" s="12"/>
    </row>
    <row r="55278" spans="32:32" x14ac:dyDescent="0.2">
      <c r="AF55278" s="12"/>
    </row>
    <row r="55279" spans="32:32" x14ac:dyDescent="0.2">
      <c r="AF55279" s="12"/>
    </row>
    <row r="55280" spans="32:32" x14ac:dyDescent="0.2">
      <c r="AF55280" s="12"/>
    </row>
    <row r="55281" spans="32:32" x14ac:dyDescent="0.2">
      <c r="AF55281" s="12"/>
    </row>
    <row r="55282" spans="32:32" x14ac:dyDescent="0.2">
      <c r="AF55282" s="12"/>
    </row>
    <row r="55283" spans="32:32" x14ac:dyDescent="0.2">
      <c r="AF55283" s="12"/>
    </row>
    <row r="55284" spans="32:32" x14ac:dyDescent="0.2">
      <c r="AF55284" s="12"/>
    </row>
    <row r="55285" spans="32:32" x14ac:dyDescent="0.2">
      <c r="AF55285" s="12"/>
    </row>
    <row r="55286" spans="32:32" x14ac:dyDescent="0.2">
      <c r="AF55286" s="12"/>
    </row>
    <row r="55287" spans="32:32" x14ac:dyDescent="0.2">
      <c r="AF55287" s="12"/>
    </row>
    <row r="55288" spans="32:32" x14ac:dyDescent="0.2">
      <c r="AF55288" s="12"/>
    </row>
    <row r="55289" spans="32:32" x14ac:dyDescent="0.2">
      <c r="AF55289" s="12"/>
    </row>
    <row r="55290" spans="32:32" x14ac:dyDescent="0.2">
      <c r="AF55290" s="12"/>
    </row>
    <row r="55291" spans="32:32" x14ac:dyDescent="0.2">
      <c r="AF55291" s="12"/>
    </row>
    <row r="55292" spans="32:32" x14ac:dyDescent="0.2">
      <c r="AF55292" s="12"/>
    </row>
    <row r="55293" spans="32:32" x14ac:dyDescent="0.2">
      <c r="AF55293" s="12"/>
    </row>
    <row r="55294" spans="32:32" x14ac:dyDescent="0.2">
      <c r="AF55294" s="12"/>
    </row>
    <row r="55295" spans="32:32" x14ac:dyDescent="0.2">
      <c r="AF55295" s="12"/>
    </row>
    <row r="55296" spans="32:32" x14ac:dyDescent="0.2">
      <c r="AF55296" s="12"/>
    </row>
    <row r="55297" spans="32:32" x14ac:dyDescent="0.2">
      <c r="AF55297" s="12"/>
    </row>
    <row r="55298" spans="32:32" x14ac:dyDescent="0.2">
      <c r="AF55298" s="12"/>
    </row>
    <row r="55299" spans="32:32" x14ac:dyDescent="0.2">
      <c r="AF55299" s="12"/>
    </row>
    <row r="55300" spans="32:32" x14ac:dyDescent="0.2">
      <c r="AF55300" s="12"/>
    </row>
    <row r="55301" spans="32:32" x14ac:dyDescent="0.2">
      <c r="AF55301" s="12"/>
    </row>
    <row r="55302" spans="32:32" x14ac:dyDescent="0.2">
      <c r="AF55302" s="12"/>
    </row>
    <row r="55303" spans="32:32" x14ac:dyDescent="0.2">
      <c r="AF55303" s="12"/>
    </row>
    <row r="55304" spans="32:32" x14ac:dyDescent="0.2">
      <c r="AF55304" s="12"/>
    </row>
    <row r="55305" spans="32:32" x14ac:dyDescent="0.2">
      <c r="AF55305" s="12"/>
    </row>
    <row r="55306" spans="32:32" x14ac:dyDescent="0.2">
      <c r="AF55306" s="12"/>
    </row>
    <row r="55307" spans="32:32" x14ac:dyDescent="0.2">
      <c r="AF55307" s="12"/>
    </row>
    <row r="55308" spans="32:32" x14ac:dyDescent="0.2">
      <c r="AF55308" s="12"/>
    </row>
    <row r="55309" spans="32:32" x14ac:dyDescent="0.2">
      <c r="AF55309" s="12"/>
    </row>
    <row r="55310" spans="32:32" x14ac:dyDescent="0.2">
      <c r="AF55310" s="12"/>
    </row>
    <row r="55311" spans="32:32" x14ac:dyDescent="0.2">
      <c r="AF55311" s="12"/>
    </row>
    <row r="55312" spans="32:32" x14ac:dyDescent="0.2">
      <c r="AF55312" s="12"/>
    </row>
    <row r="55313" spans="32:32" x14ac:dyDescent="0.2">
      <c r="AF55313" s="12"/>
    </row>
    <row r="55314" spans="32:32" x14ac:dyDescent="0.2">
      <c r="AF55314" s="12"/>
    </row>
    <row r="55315" spans="32:32" x14ac:dyDescent="0.2">
      <c r="AF55315" s="12"/>
    </row>
    <row r="55316" spans="32:32" x14ac:dyDescent="0.2">
      <c r="AF55316" s="12"/>
    </row>
    <row r="55317" spans="32:32" x14ac:dyDescent="0.2">
      <c r="AF55317" s="12"/>
    </row>
    <row r="55318" spans="32:32" x14ac:dyDescent="0.2">
      <c r="AF55318" s="12"/>
    </row>
    <row r="55319" spans="32:32" x14ac:dyDescent="0.2">
      <c r="AF55319" s="12"/>
    </row>
    <row r="55320" spans="32:32" x14ac:dyDescent="0.2">
      <c r="AF55320" s="12"/>
    </row>
    <row r="55321" spans="32:32" x14ac:dyDescent="0.2">
      <c r="AF55321" s="12"/>
    </row>
    <row r="55322" spans="32:32" x14ac:dyDescent="0.2">
      <c r="AF55322" s="12"/>
    </row>
    <row r="55323" spans="32:32" x14ac:dyDescent="0.2">
      <c r="AF55323" s="12"/>
    </row>
    <row r="55324" spans="32:32" x14ac:dyDescent="0.2">
      <c r="AF55324" s="12"/>
    </row>
    <row r="55325" spans="32:32" x14ac:dyDescent="0.2">
      <c r="AF55325" s="12"/>
    </row>
    <row r="55326" spans="32:32" x14ac:dyDescent="0.2">
      <c r="AF55326" s="12"/>
    </row>
    <row r="55327" spans="32:32" x14ac:dyDescent="0.2">
      <c r="AF55327" s="12"/>
    </row>
    <row r="55328" spans="32:32" x14ac:dyDescent="0.2">
      <c r="AF55328" s="12"/>
    </row>
    <row r="55329" spans="32:32" x14ac:dyDescent="0.2">
      <c r="AF55329" s="12"/>
    </row>
    <row r="55330" spans="32:32" x14ac:dyDescent="0.2">
      <c r="AF55330" s="12"/>
    </row>
    <row r="55331" spans="32:32" x14ac:dyDescent="0.2">
      <c r="AF55331" s="12"/>
    </row>
    <row r="55332" spans="32:32" x14ac:dyDescent="0.2">
      <c r="AF55332" s="12"/>
    </row>
    <row r="55333" spans="32:32" x14ac:dyDescent="0.2">
      <c r="AF55333" s="12"/>
    </row>
    <row r="55334" spans="32:32" x14ac:dyDescent="0.2">
      <c r="AF55334" s="12"/>
    </row>
    <row r="55335" spans="32:32" x14ac:dyDescent="0.2">
      <c r="AF55335" s="12"/>
    </row>
    <row r="55336" spans="32:32" x14ac:dyDescent="0.2">
      <c r="AF55336" s="12"/>
    </row>
    <row r="55337" spans="32:32" x14ac:dyDescent="0.2">
      <c r="AF55337" s="12"/>
    </row>
    <row r="55338" spans="32:32" x14ac:dyDescent="0.2">
      <c r="AF55338" s="12"/>
    </row>
    <row r="55339" spans="32:32" x14ac:dyDescent="0.2">
      <c r="AF55339" s="12"/>
    </row>
    <row r="55340" spans="32:32" x14ac:dyDescent="0.2">
      <c r="AF55340" s="12"/>
    </row>
    <row r="55341" spans="32:32" x14ac:dyDescent="0.2">
      <c r="AF55341" s="12"/>
    </row>
    <row r="55342" spans="32:32" x14ac:dyDescent="0.2">
      <c r="AF55342" s="12"/>
    </row>
    <row r="55343" spans="32:32" x14ac:dyDescent="0.2">
      <c r="AF55343" s="12"/>
    </row>
    <row r="55344" spans="32:32" x14ac:dyDescent="0.2">
      <c r="AF55344" s="12"/>
    </row>
    <row r="55345" spans="32:32" x14ac:dyDescent="0.2">
      <c r="AF55345" s="12"/>
    </row>
    <row r="55346" spans="32:32" x14ac:dyDescent="0.2">
      <c r="AF55346" s="12"/>
    </row>
    <row r="55347" spans="32:32" x14ac:dyDescent="0.2">
      <c r="AF55347" s="12"/>
    </row>
    <row r="55348" spans="32:32" x14ac:dyDescent="0.2">
      <c r="AF55348" s="12"/>
    </row>
    <row r="55349" spans="32:32" x14ac:dyDescent="0.2">
      <c r="AF55349" s="12"/>
    </row>
    <row r="55350" spans="32:32" x14ac:dyDescent="0.2">
      <c r="AF55350" s="12"/>
    </row>
    <row r="55351" spans="32:32" x14ac:dyDescent="0.2">
      <c r="AF55351" s="12"/>
    </row>
    <row r="55352" spans="32:32" x14ac:dyDescent="0.2">
      <c r="AF55352" s="12"/>
    </row>
    <row r="55353" spans="32:32" x14ac:dyDescent="0.2">
      <c r="AF55353" s="12"/>
    </row>
    <row r="55354" spans="32:32" x14ac:dyDescent="0.2">
      <c r="AF55354" s="12"/>
    </row>
    <row r="55355" spans="32:32" x14ac:dyDescent="0.2">
      <c r="AF55355" s="12"/>
    </row>
    <row r="55356" spans="32:32" x14ac:dyDescent="0.2">
      <c r="AF55356" s="12"/>
    </row>
    <row r="55357" spans="32:32" x14ac:dyDescent="0.2">
      <c r="AF55357" s="12"/>
    </row>
    <row r="55358" spans="32:32" x14ac:dyDescent="0.2">
      <c r="AF55358" s="12"/>
    </row>
    <row r="55359" spans="32:32" x14ac:dyDescent="0.2">
      <c r="AF55359" s="12"/>
    </row>
    <row r="55360" spans="32:32" x14ac:dyDescent="0.2">
      <c r="AF55360" s="12"/>
    </row>
    <row r="55361" spans="32:32" x14ac:dyDescent="0.2">
      <c r="AF55361" s="12"/>
    </row>
    <row r="55362" spans="32:32" x14ac:dyDescent="0.2">
      <c r="AF55362" s="12"/>
    </row>
    <row r="55363" spans="32:32" x14ac:dyDescent="0.2">
      <c r="AF55363" s="12"/>
    </row>
    <row r="55364" spans="32:32" x14ac:dyDescent="0.2">
      <c r="AF55364" s="12"/>
    </row>
    <row r="55365" spans="32:32" x14ac:dyDescent="0.2">
      <c r="AF55365" s="12"/>
    </row>
    <row r="55366" spans="32:32" x14ac:dyDescent="0.2">
      <c r="AF55366" s="12"/>
    </row>
    <row r="55367" spans="32:32" x14ac:dyDescent="0.2">
      <c r="AF55367" s="12"/>
    </row>
    <row r="55368" spans="32:32" x14ac:dyDescent="0.2">
      <c r="AF55368" s="12"/>
    </row>
    <row r="55369" spans="32:32" x14ac:dyDescent="0.2">
      <c r="AF55369" s="12"/>
    </row>
    <row r="55370" spans="32:32" x14ac:dyDescent="0.2">
      <c r="AF55370" s="12"/>
    </row>
    <row r="55371" spans="32:32" x14ac:dyDescent="0.2">
      <c r="AF55371" s="12"/>
    </row>
    <row r="55372" spans="32:32" x14ac:dyDescent="0.2">
      <c r="AF55372" s="12"/>
    </row>
    <row r="55373" spans="32:32" x14ac:dyDescent="0.2">
      <c r="AF55373" s="12"/>
    </row>
    <row r="55374" spans="32:32" x14ac:dyDescent="0.2">
      <c r="AF55374" s="12"/>
    </row>
    <row r="55375" spans="32:32" x14ac:dyDescent="0.2">
      <c r="AF55375" s="12"/>
    </row>
    <row r="55376" spans="32:32" x14ac:dyDescent="0.2">
      <c r="AF55376" s="12"/>
    </row>
    <row r="55377" spans="32:32" x14ac:dyDescent="0.2">
      <c r="AF55377" s="12"/>
    </row>
    <row r="55378" spans="32:32" x14ac:dyDescent="0.2">
      <c r="AF55378" s="12"/>
    </row>
    <row r="55379" spans="32:32" x14ac:dyDescent="0.2">
      <c r="AF55379" s="12"/>
    </row>
    <row r="55380" spans="32:32" x14ac:dyDescent="0.2">
      <c r="AF55380" s="12"/>
    </row>
    <row r="55381" spans="32:32" x14ac:dyDescent="0.2">
      <c r="AF55381" s="12"/>
    </row>
    <row r="55382" spans="32:32" x14ac:dyDescent="0.2">
      <c r="AF55382" s="12"/>
    </row>
    <row r="55383" spans="32:32" x14ac:dyDescent="0.2">
      <c r="AF55383" s="12"/>
    </row>
    <row r="55384" spans="32:32" x14ac:dyDescent="0.2">
      <c r="AF55384" s="12"/>
    </row>
    <row r="55385" spans="32:32" x14ac:dyDescent="0.2">
      <c r="AF55385" s="12"/>
    </row>
    <row r="55386" spans="32:32" x14ac:dyDescent="0.2">
      <c r="AF55386" s="12"/>
    </row>
    <row r="55387" spans="32:32" x14ac:dyDescent="0.2">
      <c r="AF55387" s="12"/>
    </row>
    <row r="55388" spans="32:32" x14ac:dyDescent="0.2">
      <c r="AF55388" s="12"/>
    </row>
    <row r="55389" spans="32:32" x14ac:dyDescent="0.2">
      <c r="AF55389" s="12"/>
    </row>
    <row r="55390" spans="32:32" x14ac:dyDescent="0.2">
      <c r="AF55390" s="12"/>
    </row>
    <row r="55391" spans="32:32" x14ac:dyDescent="0.2">
      <c r="AF55391" s="12"/>
    </row>
    <row r="55392" spans="32:32" x14ac:dyDescent="0.2">
      <c r="AF55392" s="12"/>
    </row>
    <row r="55393" spans="32:32" x14ac:dyDescent="0.2">
      <c r="AF55393" s="12"/>
    </row>
    <row r="55394" spans="32:32" x14ac:dyDescent="0.2">
      <c r="AF55394" s="12"/>
    </row>
    <row r="55395" spans="32:32" x14ac:dyDescent="0.2">
      <c r="AF55395" s="12"/>
    </row>
    <row r="55396" spans="32:32" x14ac:dyDescent="0.2">
      <c r="AF55396" s="12"/>
    </row>
    <row r="55397" spans="32:32" x14ac:dyDescent="0.2">
      <c r="AF55397" s="12"/>
    </row>
    <row r="55398" spans="32:32" x14ac:dyDescent="0.2">
      <c r="AF55398" s="12"/>
    </row>
    <row r="55399" spans="32:32" x14ac:dyDescent="0.2">
      <c r="AF55399" s="12"/>
    </row>
    <row r="55400" spans="32:32" x14ac:dyDescent="0.2">
      <c r="AF55400" s="12"/>
    </row>
    <row r="55401" spans="32:32" x14ac:dyDescent="0.2">
      <c r="AF55401" s="12"/>
    </row>
    <row r="55402" spans="32:32" x14ac:dyDescent="0.2">
      <c r="AF55402" s="12"/>
    </row>
    <row r="55403" spans="32:32" x14ac:dyDescent="0.2">
      <c r="AF55403" s="12"/>
    </row>
    <row r="55404" spans="32:32" x14ac:dyDescent="0.2">
      <c r="AF55404" s="12"/>
    </row>
    <row r="55405" spans="32:32" x14ac:dyDescent="0.2">
      <c r="AF55405" s="12"/>
    </row>
    <row r="55406" spans="32:32" x14ac:dyDescent="0.2">
      <c r="AF55406" s="12"/>
    </row>
    <row r="55407" spans="32:32" x14ac:dyDescent="0.2">
      <c r="AF55407" s="12"/>
    </row>
    <row r="55408" spans="32:32" x14ac:dyDescent="0.2">
      <c r="AF55408" s="12"/>
    </row>
    <row r="55409" spans="32:32" x14ac:dyDescent="0.2">
      <c r="AF55409" s="12"/>
    </row>
    <row r="55410" spans="32:32" x14ac:dyDescent="0.2">
      <c r="AF55410" s="12"/>
    </row>
    <row r="55411" spans="32:32" x14ac:dyDescent="0.2">
      <c r="AF55411" s="12"/>
    </row>
    <row r="55412" spans="32:32" x14ac:dyDescent="0.2">
      <c r="AF55412" s="12"/>
    </row>
    <row r="55413" spans="32:32" x14ac:dyDescent="0.2">
      <c r="AF55413" s="12"/>
    </row>
    <row r="55414" spans="32:32" x14ac:dyDescent="0.2">
      <c r="AF55414" s="12"/>
    </row>
    <row r="55415" spans="32:32" x14ac:dyDescent="0.2">
      <c r="AF55415" s="12"/>
    </row>
    <row r="55416" spans="32:32" x14ac:dyDescent="0.2">
      <c r="AF55416" s="12"/>
    </row>
    <row r="55417" spans="32:32" x14ac:dyDescent="0.2">
      <c r="AF55417" s="12"/>
    </row>
    <row r="55418" spans="32:32" x14ac:dyDescent="0.2">
      <c r="AF55418" s="12"/>
    </row>
    <row r="55419" spans="32:32" x14ac:dyDescent="0.2">
      <c r="AF55419" s="12"/>
    </row>
    <row r="55420" spans="32:32" x14ac:dyDescent="0.2">
      <c r="AF55420" s="12"/>
    </row>
    <row r="55421" spans="32:32" x14ac:dyDescent="0.2">
      <c r="AF55421" s="12"/>
    </row>
    <row r="55422" spans="32:32" x14ac:dyDescent="0.2">
      <c r="AF55422" s="12"/>
    </row>
    <row r="55423" spans="32:32" x14ac:dyDescent="0.2">
      <c r="AF55423" s="12"/>
    </row>
    <row r="55424" spans="32:32" x14ac:dyDescent="0.2">
      <c r="AF55424" s="12"/>
    </row>
    <row r="55425" spans="32:32" x14ac:dyDescent="0.2">
      <c r="AF55425" s="12"/>
    </row>
    <row r="55426" spans="32:32" x14ac:dyDescent="0.2">
      <c r="AF55426" s="12"/>
    </row>
    <row r="55427" spans="32:32" x14ac:dyDescent="0.2">
      <c r="AF55427" s="12"/>
    </row>
    <row r="55428" spans="32:32" x14ac:dyDescent="0.2">
      <c r="AF55428" s="12"/>
    </row>
    <row r="55429" spans="32:32" x14ac:dyDescent="0.2">
      <c r="AF55429" s="12"/>
    </row>
    <row r="55430" spans="32:32" x14ac:dyDescent="0.2">
      <c r="AF55430" s="12"/>
    </row>
    <row r="55431" spans="32:32" x14ac:dyDescent="0.2">
      <c r="AF55431" s="12"/>
    </row>
    <row r="55432" spans="32:32" x14ac:dyDescent="0.2">
      <c r="AF55432" s="12"/>
    </row>
    <row r="55433" spans="32:32" x14ac:dyDescent="0.2">
      <c r="AF55433" s="12"/>
    </row>
    <row r="55434" spans="32:32" x14ac:dyDescent="0.2">
      <c r="AF55434" s="12"/>
    </row>
    <row r="55435" spans="32:32" x14ac:dyDescent="0.2">
      <c r="AF55435" s="12"/>
    </row>
    <row r="55436" spans="32:32" x14ac:dyDescent="0.2">
      <c r="AF55436" s="12"/>
    </row>
    <row r="55437" spans="32:32" x14ac:dyDescent="0.2">
      <c r="AF55437" s="12"/>
    </row>
    <row r="55438" spans="32:32" x14ac:dyDescent="0.2">
      <c r="AF55438" s="12"/>
    </row>
    <row r="55439" spans="32:32" x14ac:dyDescent="0.2">
      <c r="AF55439" s="12"/>
    </row>
    <row r="55440" spans="32:32" x14ac:dyDescent="0.2">
      <c r="AF55440" s="12"/>
    </row>
    <row r="55441" spans="32:32" x14ac:dyDescent="0.2">
      <c r="AF55441" s="12"/>
    </row>
    <row r="55442" spans="32:32" x14ac:dyDescent="0.2">
      <c r="AF55442" s="12"/>
    </row>
    <row r="55443" spans="32:32" x14ac:dyDescent="0.2">
      <c r="AF55443" s="12"/>
    </row>
    <row r="55444" spans="32:32" x14ac:dyDescent="0.2">
      <c r="AF55444" s="12"/>
    </row>
    <row r="55445" spans="32:32" x14ac:dyDescent="0.2">
      <c r="AF55445" s="12"/>
    </row>
    <row r="55446" spans="32:32" x14ac:dyDescent="0.2">
      <c r="AF55446" s="12"/>
    </row>
    <row r="55447" spans="32:32" x14ac:dyDescent="0.2">
      <c r="AF55447" s="12"/>
    </row>
    <row r="55448" spans="32:32" x14ac:dyDescent="0.2">
      <c r="AF55448" s="12"/>
    </row>
    <row r="55449" spans="32:32" x14ac:dyDescent="0.2">
      <c r="AF55449" s="12"/>
    </row>
    <row r="55450" spans="32:32" x14ac:dyDescent="0.2">
      <c r="AF55450" s="12"/>
    </row>
    <row r="55451" spans="32:32" x14ac:dyDescent="0.2">
      <c r="AF55451" s="12"/>
    </row>
    <row r="55452" spans="32:32" x14ac:dyDescent="0.2">
      <c r="AF55452" s="12"/>
    </row>
    <row r="55453" spans="32:32" x14ac:dyDescent="0.2">
      <c r="AF55453" s="12"/>
    </row>
    <row r="55454" spans="32:32" x14ac:dyDescent="0.2">
      <c r="AF55454" s="12"/>
    </row>
    <row r="55455" spans="32:32" x14ac:dyDescent="0.2">
      <c r="AF55455" s="12"/>
    </row>
    <row r="55456" spans="32:32" x14ac:dyDescent="0.2">
      <c r="AF55456" s="12"/>
    </row>
    <row r="55457" spans="32:32" x14ac:dyDescent="0.2">
      <c r="AF55457" s="12"/>
    </row>
    <row r="55458" spans="32:32" x14ac:dyDescent="0.2">
      <c r="AF55458" s="12"/>
    </row>
    <row r="55459" spans="32:32" x14ac:dyDescent="0.2">
      <c r="AF55459" s="12"/>
    </row>
    <row r="55460" spans="32:32" x14ac:dyDescent="0.2">
      <c r="AF55460" s="12"/>
    </row>
    <row r="55461" spans="32:32" x14ac:dyDescent="0.2">
      <c r="AF55461" s="12"/>
    </row>
    <row r="55462" spans="32:32" x14ac:dyDescent="0.2">
      <c r="AF55462" s="12"/>
    </row>
    <row r="55463" spans="32:32" x14ac:dyDescent="0.2">
      <c r="AF55463" s="12"/>
    </row>
    <row r="55464" spans="32:32" x14ac:dyDescent="0.2">
      <c r="AF55464" s="12"/>
    </row>
    <row r="55465" spans="32:32" x14ac:dyDescent="0.2">
      <c r="AF55465" s="12"/>
    </row>
    <row r="55466" spans="32:32" x14ac:dyDescent="0.2">
      <c r="AF55466" s="12"/>
    </row>
    <row r="55467" spans="32:32" x14ac:dyDescent="0.2">
      <c r="AF55467" s="12"/>
    </row>
    <row r="55468" spans="32:32" x14ac:dyDescent="0.2">
      <c r="AF55468" s="12"/>
    </row>
    <row r="55469" spans="32:32" x14ac:dyDescent="0.2">
      <c r="AF55469" s="12"/>
    </row>
    <row r="55470" spans="32:32" x14ac:dyDescent="0.2">
      <c r="AF55470" s="12"/>
    </row>
    <row r="55471" spans="32:32" x14ac:dyDescent="0.2">
      <c r="AF55471" s="12"/>
    </row>
    <row r="55472" spans="32:32" x14ac:dyDescent="0.2">
      <c r="AF55472" s="12"/>
    </row>
    <row r="55473" spans="32:32" x14ac:dyDescent="0.2">
      <c r="AF55473" s="12"/>
    </row>
    <row r="55474" spans="32:32" x14ac:dyDescent="0.2">
      <c r="AF55474" s="12"/>
    </row>
    <row r="55475" spans="32:32" x14ac:dyDescent="0.2">
      <c r="AF55475" s="12"/>
    </row>
    <row r="55476" spans="32:32" x14ac:dyDescent="0.2">
      <c r="AF55476" s="12"/>
    </row>
    <row r="55477" spans="32:32" x14ac:dyDescent="0.2">
      <c r="AF55477" s="12"/>
    </row>
    <row r="55478" spans="32:32" x14ac:dyDescent="0.2">
      <c r="AF55478" s="12"/>
    </row>
    <row r="55479" spans="32:32" x14ac:dyDescent="0.2">
      <c r="AF55479" s="12"/>
    </row>
    <row r="55480" spans="32:32" x14ac:dyDescent="0.2">
      <c r="AF55480" s="12"/>
    </row>
    <row r="55481" spans="32:32" x14ac:dyDescent="0.2">
      <c r="AF55481" s="12"/>
    </row>
    <row r="55482" spans="32:32" x14ac:dyDescent="0.2">
      <c r="AF55482" s="12"/>
    </row>
    <row r="55483" spans="32:32" x14ac:dyDescent="0.2">
      <c r="AF55483" s="12"/>
    </row>
    <row r="55484" spans="32:32" x14ac:dyDescent="0.2">
      <c r="AF55484" s="12"/>
    </row>
    <row r="55485" spans="32:32" x14ac:dyDescent="0.2">
      <c r="AF55485" s="12"/>
    </row>
    <row r="55486" spans="32:32" x14ac:dyDescent="0.2">
      <c r="AF55486" s="12"/>
    </row>
    <row r="55487" spans="32:32" x14ac:dyDescent="0.2">
      <c r="AF55487" s="12"/>
    </row>
    <row r="55488" spans="32:32" x14ac:dyDescent="0.2">
      <c r="AF55488" s="12"/>
    </row>
    <row r="55489" spans="32:32" x14ac:dyDescent="0.2">
      <c r="AF55489" s="12"/>
    </row>
    <row r="55490" spans="32:32" x14ac:dyDescent="0.2">
      <c r="AF55490" s="12"/>
    </row>
    <row r="55491" spans="32:32" x14ac:dyDescent="0.2">
      <c r="AF55491" s="12"/>
    </row>
    <row r="55492" spans="32:32" x14ac:dyDescent="0.2">
      <c r="AF55492" s="12"/>
    </row>
    <row r="55493" spans="32:32" x14ac:dyDescent="0.2">
      <c r="AF55493" s="12"/>
    </row>
    <row r="55494" spans="32:32" x14ac:dyDescent="0.2">
      <c r="AF55494" s="12"/>
    </row>
    <row r="55495" spans="32:32" x14ac:dyDescent="0.2">
      <c r="AF55495" s="12"/>
    </row>
    <row r="55496" spans="32:32" x14ac:dyDescent="0.2">
      <c r="AF55496" s="12"/>
    </row>
    <row r="55497" spans="32:32" x14ac:dyDescent="0.2">
      <c r="AF55497" s="12"/>
    </row>
    <row r="55498" spans="32:32" x14ac:dyDescent="0.2">
      <c r="AF55498" s="12"/>
    </row>
    <row r="55499" spans="32:32" x14ac:dyDescent="0.2">
      <c r="AF55499" s="12"/>
    </row>
    <row r="55500" spans="32:32" x14ac:dyDescent="0.2">
      <c r="AF55500" s="12"/>
    </row>
    <row r="55501" spans="32:32" x14ac:dyDescent="0.2">
      <c r="AF55501" s="12"/>
    </row>
    <row r="55502" spans="32:32" x14ac:dyDescent="0.2">
      <c r="AF55502" s="12"/>
    </row>
    <row r="55503" spans="32:32" x14ac:dyDescent="0.2">
      <c r="AF55503" s="12"/>
    </row>
    <row r="55504" spans="32:32" x14ac:dyDescent="0.2">
      <c r="AF55504" s="12"/>
    </row>
    <row r="55505" spans="32:32" x14ac:dyDescent="0.2">
      <c r="AF55505" s="12"/>
    </row>
    <row r="55506" spans="32:32" x14ac:dyDescent="0.2">
      <c r="AF55506" s="12"/>
    </row>
    <row r="55507" spans="32:32" x14ac:dyDescent="0.2">
      <c r="AF55507" s="12"/>
    </row>
    <row r="55508" spans="32:32" x14ac:dyDescent="0.2">
      <c r="AF55508" s="12"/>
    </row>
    <row r="55509" spans="32:32" x14ac:dyDescent="0.2">
      <c r="AF55509" s="12"/>
    </row>
    <row r="55510" spans="32:32" x14ac:dyDescent="0.2">
      <c r="AF55510" s="12"/>
    </row>
    <row r="55511" spans="32:32" x14ac:dyDescent="0.2">
      <c r="AF55511" s="12"/>
    </row>
    <row r="55512" spans="32:32" x14ac:dyDescent="0.2">
      <c r="AF55512" s="12"/>
    </row>
    <row r="55513" spans="32:32" x14ac:dyDescent="0.2">
      <c r="AF55513" s="12"/>
    </row>
    <row r="55514" spans="32:32" x14ac:dyDescent="0.2">
      <c r="AF55514" s="12"/>
    </row>
    <row r="55515" spans="32:32" x14ac:dyDescent="0.2">
      <c r="AF55515" s="12"/>
    </row>
    <row r="55516" spans="32:32" x14ac:dyDescent="0.2">
      <c r="AF55516" s="12"/>
    </row>
    <row r="55517" spans="32:32" x14ac:dyDescent="0.2">
      <c r="AF55517" s="12"/>
    </row>
    <row r="55518" spans="32:32" x14ac:dyDescent="0.2">
      <c r="AF55518" s="12"/>
    </row>
    <row r="55519" spans="32:32" x14ac:dyDescent="0.2">
      <c r="AF55519" s="12"/>
    </row>
    <row r="55520" spans="32:32" x14ac:dyDescent="0.2">
      <c r="AF55520" s="12"/>
    </row>
    <row r="55521" spans="32:32" x14ac:dyDescent="0.2">
      <c r="AF55521" s="12"/>
    </row>
    <row r="55522" spans="32:32" x14ac:dyDescent="0.2">
      <c r="AF55522" s="12"/>
    </row>
    <row r="55523" spans="32:32" x14ac:dyDescent="0.2">
      <c r="AF55523" s="12"/>
    </row>
    <row r="55524" spans="32:32" x14ac:dyDescent="0.2">
      <c r="AF55524" s="12"/>
    </row>
    <row r="55525" spans="32:32" x14ac:dyDescent="0.2">
      <c r="AF55525" s="12"/>
    </row>
    <row r="55526" spans="32:32" x14ac:dyDescent="0.2">
      <c r="AF55526" s="12"/>
    </row>
    <row r="55527" spans="32:32" x14ac:dyDescent="0.2">
      <c r="AF55527" s="12"/>
    </row>
    <row r="55528" spans="32:32" x14ac:dyDescent="0.2">
      <c r="AF55528" s="12"/>
    </row>
    <row r="55529" spans="32:32" x14ac:dyDescent="0.2">
      <c r="AF55529" s="12"/>
    </row>
    <row r="55530" spans="32:32" x14ac:dyDescent="0.2">
      <c r="AF55530" s="12"/>
    </row>
    <row r="55531" spans="32:32" x14ac:dyDescent="0.2">
      <c r="AF55531" s="12"/>
    </row>
    <row r="55532" spans="32:32" x14ac:dyDescent="0.2">
      <c r="AF55532" s="12"/>
    </row>
    <row r="55533" spans="32:32" x14ac:dyDescent="0.2">
      <c r="AF55533" s="12"/>
    </row>
    <row r="55534" spans="32:32" x14ac:dyDescent="0.2">
      <c r="AF55534" s="12"/>
    </row>
    <row r="55535" spans="32:32" x14ac:dyDescent="0.2">
      <c r="AF55535" s="12"/>
    </row>
    <row r="55536" spans="32:32" x14ac:dyDescent="0.2">
      <c r="AF55536" s="12"/>
    </row>
    <row r="55537" spans="32:32" x14ac:dyDescent="0.2">
      <c r="AF55537" s="12"/>
    </row>
    <row r="55538" spans="32:32" x14ac:dyDescent="0.2">
      <c r="AF55538" s="12"/>
    </row>
    <row r="55539" spans="32:32" x14ac:dyDescent="0.2">
      <c r="AF55539" s="12"/>
    </row>
    <row r="55540" spans="32:32" x14ac:dyDescent="0.2">
      <c r="AF55540" s="12"/>
    </row>
    <row r="55541" spans="32:32" x14ac:dyDescent="0.2">
      <c r="AF55541" s="12"/>
    </row>
    <row r="55542" spans="32:32" x14ac:dyDescent="0.2">
      <c r="AF55542" s="12"/>
    </row>
    <row r="55543" spans="32:32" x14ac:dyDescent="0.2">
      <c r="AF55543" s="12"/>
    </row>
    <row r="55544" spans="32:32" x14ac:dyDescent="0.2">
      <c r="AF55544" s="12"/>
    </row>
    <row r="55545" spans="32:32" x14ac:dyDescent="0.2">
      <c r="AF55545" s="12"/>
    </row>
    <row r="55546" spans="32:32" x14ac:dyDescent="0.2">
      <c r="AF55546" s="12"/>
    </row>
    <row r="55547" spans="32:32" x14ac:dyDescent="0.2">
      <c r="AF55547" s="12"/>
    </row>
    <row r="55548" spans="32:32" x14ac:dyDescent="0.2">
      <c r="AF55548" s="12"/>
    </row>
    <row r="55549" spans="32:32" x14ac:dyDescent="0.2">
      <c r="AF55549" s="12"/>
    </row>
    <row r="55550" spans="32:32" x14ac:dyDescent="0.2">
      <c r="AF55550" s="12"/>
    </row>
    <row r="55551" spans="32:32" x14ac:dyDescent="0.2">
      <c r="AF55551" s="12"/>
    </row>
    <row r="55552" spans="32:32" x14ac:dyDescent="0.2">
      <c r="AF55552" s="12"/>
    </row>
    <row r="55553" spans="32:32" x14ac:dyDescent="0.2">
      <c r="AF55553" s="12"/>
    </row>
    <row r="55554" spans="32:32" x14ac:dyDescent="0.2">
      <c r="AF55554" s="12"/>
    </row>
    <row r="55555" spans="32:32" x14ac:dyDescent="0.2">
      <c r="AF55555" s="12"/>
    </row>
    <row r="55556" spans="32:32" x14ac:dyDescent="0.2">
      <c r="AF55556" s="12"/>
    </row>
    <row r="55557" spans="32:32" x14ac:dyDescent="0.2">
      <c r="AF55557" s="12"/>
    </row>
    <row r="55558" spans="32:32" x14ac:dyDescent="0.2">
      <c r="AF55558" s="12"/>
    </row>
    <row r="55559" spans="32:32" x14ac:dyDescent="0.2">
      <c r="AF55559" s="12"/>
    </row>
    <row r="55560" spans="32:32" x14ac:dyDescent="0.2">
      <c r="AF55560" s="12"/>
    </row>
    <row r="55561" spans="32:32" x14ac:dyDescent="0.2">
      <c r="AF55561" s="12"/>
    </row>
    <row r="55562" spans="32:32" x14ac:dyDescent="0.2">
      <c r="AF55562" s="12"/>
    </row>
    <row r="55563" spans="32:32" x14ac:dyDescent="0.2">
      <c r="AF55563" s="12"/>
    </row>
    <row r="55564" spans="32:32" x14ac:dyDescent="0.2">
      <c r="AF55564" s="12"/>
    </row>
    <row r="55565" spans="32:32" x14ac:dyDescent="0.2">
      <c r="AF55565" s="12"/>
    </row>
    <row r="55566" spans="32:32" x14ac:dyDescent="0.2">
      <c r="AF55566" s="12"/>
    </row>
    <row r="55567" spans="32:32" x14ac:dyDescent="0.2">
      <c r="AF55567" s="12"/>
    </row>
    <row r="55568" spans="32:32" x14ac:dyDescent="0.2">
      <c r="AF55568" s="12"/>
    </row>
    <row r="55569" spans="32:32" x14ac:dyDescent="0.2">
      <c r="AF55569" s="12"/>
    </row>
    <row r="55570" spans="32:32" x14ac:dyDescent="0.2">
      <c r="AF55570" s="12"/>
    </row>
    <row r="55571" spans="32:32" x14ac:dyDescent="0.2">
      <c r="AF55571" s="12"/>
    </row>
    <row r="55572" spans="32:32" x14ac:dyDescent="0.2">
      <c r="AF55572" s="12"/>
    </row>
    <row r="55573" spans="32:32" x14ac:dyDescent="0.2">
      <c r="AF55573" s="12"/>
    </row>
    <row r="55574" spans="32:32" x14ac:dyDescent="0.2">
      <c r="AF55574" s="12"/>
    </row>
    <row r="55575" spans="32:32" x14ac:dyDescent="0.2">
      <c r="AF55575" s="12"/>
    </row>
    <row r="55576" spans="32:32" x14ac:dyDescent="0.2">
      <c r="AF55576" s="12"/>
    </row>
    <row r="55577" spans="32:32" x14ac:dyDescent="0.2">
      <c r="AF55577" s="12"/>
    </row>
    <row r="55578" spans="32:32" x14ac:dyDescent="0.2">
      <c r="AF55578" s="12"/>
    </row>
    <row r="55579" spans="32:32" x14ac:dyDescent="0.2">
      <c r="AF55579" s="12"/>
    </row>
    <row r="55580" spans="32:32" x14ac:dyDescent="0.2">
      <c r="AF55580" s="12"/>
    </row>
    <row r="55581" spans="32:32" x14ac:dyDescent="0.2">
      <c r="AF55581" s="12"/>
    </row>
    <row r="55582" spans="32:32" x14ac:dyDescent="0.2">
      <c r="AF55582" s="12"/>
    </row>
    <row r="55583" spans="32:32" x14ac:dyDescent="0.2">
      <c r="AF55583" s="12"/>
    </row>
    <row r="55584" spans="32:32" x14ac:dyDescent="0.2">
      <c r="AF55584" s="12"/>
    </row>
    <row r="55585" spans="32:32" x14ac:dyDescent="0.2">
      <c r="AF55585" s="12"/>
    </row>
    <row r="55586" spans="32:32" x14ac:dyDescent="0.2">
      <c r="AF55586" s="12"/>
    </row>
    <row r="55587" spans="32:32" x14ac:dyDescent="0.2">
      <c r="AF55587" s="12"/>
    </row>
    <row r="55588" spans="32:32" x14ac:dyDescent="0.2">
      <c r="AF55588" s="12"/>
    </row>
    <row r="55589" spans="32:32" x14ac:dyDescent="0.2">
      <c r="AF55589" s="12"/>
    </row>
    <row r="55590" spans="32:32" x14ac:dyDescent="0.2">
      <c r="AF55590" s="12"/>
    </row>
    <row r="55591" spans="32:32" x14ac:dyDescent="0.2">
      <c r="AF55591" s="12"/>
    </row>
    <row r="55592" spans="32:32" x14ac:dyDescent="0.2">
      <c r="AF55592" s="12"/>
    </row>
    <row r="55593" spans="32:32" x14ac:dyDescent="0.2">
      <c r="AF55593" s="12"/>
    </row>
    <row r="55594" spans="32:32" x14ac:dyDescent="0.2">
      <c r="AF55594" s="12"/>
    </row>
    <row r="55595" spans="32:32" x14ac:dyDescent="0.2">
      <c r="AF55595" s="12"/>
    </row>
    <row r="55596" spans="32:32" x14ac:dyDescent="0.2">
      <c r="AF55596" s="12"/>
    </row>
    <row r="55597" spans="32:32" x14ac:dyDescent="0.2">
      <c r="AF55597" s="12"/>
    </row>
    <row r="55598" spans="32:32" x14ac:dyDescent="0.2">
      <c r="AF55598" s="12"/>
    </row>
    <row r="55599" spans="32:32" x14ac:dyDescent="0.2">
      <c r="AF55599" s="12"/>
    </row>
    <row r="55600" spans="32:32" x14ac:dyDescent="0.2">
      <c r="AF55600" s="12"/>
    </row>
    <row r="55601" spans="32:32" x14ac:dyDescent="0.2">
      <c r="AF55601" s="12"/>
    </row>
    <row r="55602" spans="32:32" x14ac:dyDescent="0.2">
      <c r="AF55602" s="12"/>
    </row>
    <row r="55603" spans="32:32" x14ac:dyDescent="0.2">
      <c r="AF55603" s="12"/>
    </row>
    <row r="55604" spans="32:32" x14ac:dyDescent="0.2">
      <c r="AF55604" s="12"/>
    </row>
    <row r="55605" spans="32:32" x14ac:dyDescent="0.2">
      <c r="AF55605" s="12"/>
    </row>
    <row r="55606" spans="32:32" x14ac:dyDescent="0.2">
      <c r="AF55606" s="12"/>
    </row>
    <row r="55607" spans="32:32" x14ac:dyDescent="0.2">
      <c r="AF55607" s="12"/>
    </row>
    <row r="55608" spans="32:32" x14ac:dyDescent="0.2">
      <c r="AF55608" s="12"/>
    </row>
    <row r="55609" spans="32:32" x14ac:dyDescent="0.2">
      <c r="AF55609" s="12"/>
    </row>
    <row r="55610" spans="32:32" x14ac:dyDescent="0.2">
      <c r="AF55610" s="12"/>
    </row>
    <row r="55611" spans="32:32" x14ac:dyDescent="0.2">
      <c r="AF55611" s="12"/>
    </row>
    <row r="55612" spans="32:32" x14ac:dyDescent="0.2">
      <c r="AF55612" s="12"/>
    </row>
    <row r="55613" spans="32:32" x14ac:dyDescent="0.2">
      <c r="AF55613" s="12"/>
    </row>
    <row r="55614" spans="32:32" x14ac:dyDescent="0.2">
      <c r="AF55614" s="12"/>
    </row>
    <row r="55615" spans="32:32" x14ac:dyDescent="0.2">
      <c r="AF55615" s="12"/>
    </row>
    <row r="55616" spans="32:32" x14ac:dyDescent="0.2">
      <c r="AF55616" s="12"/>
    </row>
    <row r="55617" spans="32:32" x14ac:dyDescent="0.2">
      <c r="AF55617" s="12"/>
    </row>
    <row r="55618" spans="32:32" x14ac:dyDescent="0.2">
      <c r="AF55618" s="12"/>
    </row>
    <row r="55619" spans="32:32" x14ac:dyDescent="0.2">
      <c r="AF55619" s="12"/>
    </row>
    <row r="55620" spans="32:32" x14ac:dyDescent="0.2">
      <c r="AF55620" s="12"/>
    </row>
    <row r="55621" spans="32:32" x14ac:dyDescent="0.2">
      <c r="AF55621" s="12"/>
    </row>
    <row r="55622" spans="32:32" x14ac:dyDescent="0.2">
      <c r="AF55622" s="12"/>
    </row>
    <row r="55623" spans="32:32" x14ac:dyDescent="0.2">
      <c r="AF55623" s="12"/>
    </row>
    <row r="55624" spans="32:32" x14ac:dyDescent="0.2">
      <c r="AF55624" s="12"/>
    </row>
    <row r="55625" spans="32:32" x14ac:dyDescent="0.2">
      <c r="AF55625" s="12"/>
    </row>
    <row r="55626" spans="32:32" x14ac:dyDescent="0.2">
      <c r="AF55626" s="12"/>
    </row>
    <row r="55627" spans="32:32" x14ac:dyDescent="0.2">
      <c r="AF55627" s="12"/>
    </row>
    <row r="55628" spans="32:32" x14ac:dyDescent="0.2">
      <c r="AF55628" s="12"/>
    </row>
    <row r="55629" spans="32:32" x14ac:dyDescent="0.2">
      <c r="AF55629" s="12"/>
    </row>
    <row r="55630" spans="32:32" x14ac:dyDescent="0.2">
      <c r="AF55630" s="12"/>
    </row>
    <row r="55631" spans="32:32" x14ac:dyDescent="0.2">
      <c r="AF55631" s="12"/>
    </row>
    <row r="55632" spans="32:32" x14ac:dyDescent="0.2">
      <c r="AF55632" s="12"/>
    </row>
    <row r="55633" spans="32:32" x14ac:dyDescent="0.2">
      <c r="AF55633" s="12"/>
    </row>
    <row r="55634" spans="32:32" x14ac:dyDescent="0.2">
      <c r="AF55634" s="12"/>
    </row>
    <row r="55635" spans="32:32" x14ac:dyDescent="0.2">
      <c r="AF55635" s="12"/>
    </row>
    <row r="55636" spans="32:32" x14ac:dyDescent="0.2">
      <c r="AF55636" s="12"/>
    </row>
    <row r="55637" spans="32:32" x14ac:dyDescent="0.2">
      <c r="AF55637" s="12"/>
    </row>
    <row r="55638" spans="32:32" x14ac:dyDescent="0.2">
      <c r="AF55638" s="12"/>
    </row>
    <row r="55639" spans="32:32" x14ac:dyDescent="0.2">
      <c r="AF55639" s="12"/>
    </row>
    <row r="55640" spans="32:32" x14ac:dyDescent="0.2">
      <c r="AF55640" s="12"/>
    </row>
    <row r="55641" spans="32:32" x14ac:dyDescent="0.2">
      <c r="AF55641" s="12"/>
    </row>
    <row r="55642" spans="32:32" x14ac:dyDescent="0.2">
      <c r="AF55642" s="12"/>
    </row>
    <row r="55643" spans="32:32" x14ac:dyDescent="0.2">
      <c r="AF55643" s="12"/>
    </row>
    <row r="55644" spans="32:32" x14ac:dyDescent="0.2">
      <c r="AF55644" s="12"/>
    </row>
    <row r="55645" spans="32:32" x14ac:dyDescent="0.2">
      <c r="AF55645" s="12"/>
    </row>
    <row r="55646" spans="32:32" x14ac:dyDescent="0.2">
      <c r="AF55646" s="12"/>
    </row>
    <row r="55647" spans="32:32" x14ac:dyDescent="0.2">
      <c r="AF55647" s="12"/>
    </row>
    <row r="55648" spans="32:32" x14ac:dyDescent="0.2">
      <c r="AF55648" s="12"/>
    </row>
    <row r="55649" spans="32:32" x14ac:dyDescent="0.2">
      <c r="AF55649" s="12"/>
    </row>
    <row r="55650" spans="32:32" x14ac:dyDescent="0.2">
      <c r="AF55650" s="12"/>
    </row>
    <row r="55651" spans="32:32" x14ac:dyDescent="0.2">
      <c r="AF55651" s="12"/>
    </row>
    <row r="55652" spans="32:32" x14ac:dyDescent="0.2">
      <c r="AF55652" s="12"/>
    </row>
    <row r="55653" spans="32:32" x14ac:dyDescent="0.2">
      <c r="AF55653" s="12"/>
    </row>
    <row r="55654" spans="32:32" x14ac:dyDescent="0.2">
      <c r="AF55654" s="12"/>
    </row>
    <row r="55655" spans="32:32" x14ac:dyDescent="0.2">
      <c r="AF55655" s="12"/>
    </row>
    <row r="55656" spans="32:32" x14ac:dyDescent="0.2">
      <c r="AF55656" s="12"/>
    </row>
    <row r="55657" spans="32:32" x14ac:dyDescent="0.2">
      <c r="AF55657" s="12"/>
    </row>
    <row r="55658" spans="32:32" x14ac:dyDescent="0.2">
      <c r="AF55658" s="12"/>
    </row>
    <row r="55659" spans="32:32" x14ac:dyDescent="0.2">
      <c r="AF55659" s="12"/>
    </row>
    <row r="55660" spans="32:32" x14ac:dyDescent="0.2">
      <c r="AF55660" s="12"/>
    </row>
    <row r="55661" spans="32:32" x14ac:dyDescent="0.2">
      <c r="AF55661" s="12"/>
    </row>
    <row r="55662" spans="32:32" x14ac:dyDescent="0.2">
      <c r="AF55662" s="12"/>
    </row>
    <row r="55663" spans="32:32" x14ac:dyDescent="0.2">
      <c r="AF55663" s="12"/>
    </row>
    <row r="55664" spans="32:32" x14ac:dyDescent="0.2">
      <c r="AF55664" s="12"/>
    </row>
    <row r="55665" spans="32:32" x14ac:dyDescent="0.2">
      <c r="AF55665" s="12"/>
    </row>
    <row r="55666" spans="32:32" x14ac:dyDescent="0.2">
      <c r="AF55666" s="12"/>
    </row>
    <row r="55667" spans="32:32" x14ac:dyDescent="0.2">
      <c r="AF55667" s="12"/>
    </row>
    <row r="55668" spans="32:32" x14ac:dyDescent="0.2">
      <c r="AF55668" s="12"/>
    </row>
    <row r="55669" spans="32:32" x14ac:dyDescent="0.2">
      <c r="AF55669" s="12"/>
    </row>
    <row r="55670" spans="32:32" x14ac:dyDescent="0.2">
      <c r="AF55670" s="12"/>
    </row>
    <row r="55671" spans="32:32" x14ac:dyDescent="0.2">
      <c r="AF55671" s="12"/>
    </row>
    <row r="55672" spans="32:32" x14ac:dyDescent="0.2">
      <c r="AF55672" s="12"/>
    </row>
    <row r="55673" spans="32:32" x14ac:dyDescent="0.2">
      <c r="AF55673" s="12"/>
    </row>
    <row r="55674" spans="32:32" x14ac:dyDescent="0.2">
      <c r="AF55674" s="12"/>
    </row>
    <row r="55675" spans="32:32" x14ac:dyDescent="0.2">
      <c r="AF55675" s="12"/>
    </row>
    <row r="55676" spans="32:32" x14ac:dyDescent="0.2">
      <c r="AF55676" s="12"/>
    </row>
    <row r="55677" spans="32:32" x14ac:dyDescent="0.2">
      <c r="AF55677" s="12"/>
    </row>
    <row r="55678" spans="32:32" x14ac:dyDescent="0.2">
      <c r="AF55678" s="12"/>
    </row>
    <row r="55679" spans="32:32" x14ac:dyDescent="0.2">
      <c r="AF55679" s="12"/>
    </row>
    <row r="55680" spans="32:32" x14ac:dyDescent="0.2">
      <c r="AF55680" s="12"/>
    </row>
    <row r="55681" spans="32:32" x14ac:dyDescent="0.2">
      <c r="AF55681" s="12"/>
    </row>
    <row r="55682" spans="32:32" x14ac:dyDescent="0.2">
      <c r="AF55682" s="12"/>
    </row>
    <row r="55683" spans="32:32" x14ac:dyDescent="0.2">
      <c r="AF55683" s="12"/>
    </row>
    <row r="55684" spans="32:32" x14ac:dyDescent="0.2">
      <c r="AF55684" s="12"/>
    </row>
    <row r="55685" spans="32:32" x14ac:dyDescent="0.2">
      <c r="AF55685" s="12"/>
    </row>
    <row r="55686" spans="32:32" x14ac:dyDescent="0.2">
      <c r="AF55686" s="12"/>
    </row>
    <row r="55687" spans="32:32" x14ac:dyDescent="0.2">
      <c r="AF55687" s="12"/>
    </row>
    <row r="55688" spans="32:32" x14ac:dyDescent="0.2">
      <c r="AF55688" s="12"/>
    </row>
    <row r="55689" spans="32:32" x14ac:dyDescent="0.2">
      <c r="AF55689" s="12"/>
    </row>
    <row r="55690" spans="32:32" x14ac:dyDescent="0.2">
      <c r="AF55690" s="12"/>
    </row>
    <row r="55691" spans="32:32" x14ac:dyDescent="0.2">
      <c r="AF55691" s="12"/>
    </row>
    <row r="55692" spans="32:32" x14ac:dyDescent="0.2">
      <c r="AF55692" s="12"/>
    </row>
    <row r="55693" spans="32:32" x14ac:dyDescent="0.2">
      <c r="AF55693" s="12"/>
    </row>
    <row r="55694" spans="32:32" x14ac:dyDescent="0.2">
      <c r="AF55694" s="12"/>
    </row>
    <row r="55695" spans="32:32" x14ac:dyDescent="0.2">
      <c r="AF55695" s="12"/>
    </row>
    <row r="55696" spans="32:32" x14ac:dyDescent="0.2">
      <c r="AF55696" s="12"/>
    </row>
    <row r="55697" spans="32:32" x14ac:dyDescent="0.2">
      <c r="AF55697" s="12"/>
    </row>
    <row r="55698" spans="32:32" x14ac:dyDescent="0.2">
      <c r="AF55698" s="12"/>
    </row>
    <row r="55699" spans="32:32" x14ac:dyDescent="0.2">
      <c r="AF55699" s="12"/>
    </row>
    <row r="55700" spans="32:32" x14ac:dyDescent="0.2">
      <c r="AF55700" s="12"/>
    </row>
    <row r="55701" spans="32:32" x14ac:dyDescent="0.2">
      <c r="AF55701" s="12"/>
    </row>
    <row r="55702" spans="32:32" x14ac:dyDescent="0.2">
      <c r="AF55702" s="12"/>
    </row>
    <row r="55703" spans="32:32" x14ac:dyDescent="0.2">
      <c r="AF55703" s="12"/>
    </row>
    <row r="55704" spans="32:32" x14ac:dyDescent="0.2">
      <c r="AF55704" s="12"/>
    </row>
    <row r="55705" spans="32:32" x14ac:dyDescent="0.2">
      <c r="AF55705" s="12"/>
    </row>
    <row r="55706" spans="32:32" x14ac:dyDescent="0.2">
      <c r="AF55706" s="12"/>
    </row>
    <row r="55707" spans="32:32" x14ac:dyDescent="0.2">
      <c r="AF55707" s="12"/>
    </row>
    <row r="55708" spans="32:32" x14ac:dyDescent="0.2">
      <c r="AF55708" s="12"/>
    </row>
    <row r="55709" spans="32:32" x14ac:dyDescent="0.2">
      <c r="AF55709" s="12"/>
    </row>
    <row r="55710" spans="32:32" x14ac:dyDescent="0.2">
      <c r="AF55710" s="12"/>
    </row>
    <row r="55711" spans="32:32" x14ac:dyDescent="0.2">
      <c r="AF55711" s="12"/>
    </row>
    <row r="55712" spans="32:32" x14ac:dyDescent="0.2">
      <c r="AF55712" s="12"/>
    </row>
    <row r="55713" spans="32:32" x14ac:dyDescent="0.2">
      <c r="AF55713" s="12"/>
    </row>
    <row r="55714" spans="32:32" x14ac:dyDescent="0.2">
      <c r="AF55714" s="12"/>
    </row>
    <row r="55715" spans="32:32" x14ac:dyDescent="0.2">
      <c r="AF55715" s="12"/>
    </row>
    <row r="55716" spans="32:32" x14ac:dyDescent="0.2">
      <c r="AF55716" s="12"/>
    </row>
    <row r="55717" spans="32:32" x14ac:dyDescent="0.2">
      <c r="AF55717" s="12"/>
    </row>
    <row r="55718" spans="32:32" x14ac:dyDescent="0.2">
      <c r="AF55718" s="12"/>
    </row>
    <row r="55719" spans="32:32" x14ac:dyDescent="0.2">
      <c r="AF55719" s="12"/>
    </row>
    <row r="55720" spans="32:32" x14ac:dyDescent="0.2">
      <c r="AF55720" s="12"/>
    </row>
    <row r="55721" spans="32:32" x14ac:dyDescent="0.2">
      <c r="AF55721" s="12"/>
    </row>
    <row r="55722" spans="32:32" x14ac:dyDescent="0.2">
      <c r="AF55722" s="12"/>
    </row>
    <row r="55723" spans="32:32" x14ac:dyDescent="0.2">
      <c r="AF55723" s="12"/>
    </row>
    <row r="55724" spans="32:32" x14ac:dyDescent="0.2">
      <c r="AF55724" s="12"/>
    </row>
    <row r="55725" spans="32:32" x14ac:dyDescent="0.2">
      <c r="AF55725" s="12"/>
    </row>
    <row r="55726" spans="32:32" x14ac:dyDescent="0.2">
      <c r="AF55726" s="12"/>
    </row>
    <row r="55727" spans="32:32" x14ac:dyDescent="0.2">
      <c r="AF55727" s="12"/>
    </row>
    <row r="55728" spans="32:32" x14ac:dyDescent="0.2">
      <c r="AF55728" s="12"/>
    </row>
    <row r="55729" spans="32:32" x14ac:dyDescent="0.2">
      <c r="AF55729" s="12"/>
    </row>
    <row r="55730" spans="32:32" x14ac:dyDescent="0.2">
      <c r="AF55730" s="12"/>
    </row>
    <row r="55731" spans="32:32" x14ac:dyDescent="0.2">
      <c r="AF55731" s="12"/>
    </row>
    <row r="55732" spans="32:32" x14ac:dyDescent="0.2">
      <c r="AF55732" s="12"/>
    </row>
    <row r="55733" spans="32:32" x14ac:dyDescent="0.2">
      <c r="AF55733" s="12"/>
    </row>
    <row r="55734" spans="32:32" x14ac:dyDescent="0.2">
      <c r="AF55734" s="12"/>
    </row>
    <row r="55735" spans="32:32" x14ac:dyDescent="0.2">
      <c r="AF55735" s="12"/>
    </row>
    <row r="55736" spans="32:32" x14ac:dyDescent="0.2">
      <c r="AF55736" s="12"/>
    </row>
    <row r="55737" spans="32:32" x14ac:dyDescent="0.2">
      <c r="AF55737" s="12"/>
    </row>
    <row r="55738" spans="32:32" x14ac:dyDescent="0.2">
      <c r="AF55738" s="12"/>
    </row>
    <row r="55739" spans="32:32" x14ac:dyDescent="0.2">
      <c r="AF55739" s="12"/>
    </row>
    <row r="55740" spans="32:32" x14ac:dyDescent="0.2">
      <c r="AF55740" s="12"/>
    </row>
    <row r="55741" spans="32:32" x14ac:dyDescent="0.2">
      <c r="AF55741" s="12"/>
    </row>
    <row r="55742" spans="32:32" x14ac:dyDescent="0.2">
      <c r="AF55742" s="12"/>
    </row>
    <row r="55743" spans="32:32" x14ac:dyDescent="0.2">
      <c r="AF55743" s="12"/>
    </row>
    <row r="55744" spans="32:32" x14ac:dyDescent="0.2">
      <c r="AF55744" s="12"/>
    </row>
    <row r="55745" spans="32:32" x14ac:dyDescent="0.2">
      <c r="AF55745" s="12"/>
    </row>
    <row r="55746" spans="32:32" x14ac:dyDescent="0.2">
      <c r="AF55746" s="12"/>
    </row>
    <row r="55747" spans="32:32" x14ac:dyDescent="0.2">
      <c r="AF55747" s="12"/>
    </row>
    <row r="55748" spans="32:32" x14ac:dyDescent="0.2">
      <c r="AF55748" s="12"/>
    </row>
    <row r="55749" spans="32:32" x14ac:dyDescent="0.2">
      <c r="AF55749" s="12"/>
    </row>
    <row r="55750" spans="32:32" x14ac:dyDescent="0.2">
      <c r="AF55750" s="12"/>
    </row>
    <row r="55751" spans="32:32" x14ac:dyDescent="0.2">
      <c r="AF55751" s="12"/>
    </row>
    <row r="55752" spans="32:32" x14ac:dyDescent="0.2">
      <c r="AF55752" s="12"/>
    </row>
    <row r="55753" spans="32:32" x14ac:dyDescent="0.2">
      <c r="AF55753" s="12"/>
    </row>
    <row r="55754" spans="32:32" x14ac:dyDescent="0.2">
      <c r="AF55754" s="12"/>
    </row>
    <row r="55755" spans="32:32" x14ac:dyDescent="0.2">
      <c r="AF55755" s="12"/>
    </row>
    <row r="55756" spans="32:32" x14ac:dyDescent="0.2">
      <c r="AF55756" s="12"/>
    </row>
    <row r="55757" spans="32:32" x14ac:dyDescent="0.2">
      <c r="AF55757" s="12"/>
    </row>
    <row r="55758" spans="32:32" x14ac:dyDescent="0.2">
      <c r="AF55758" s="12"/>
    </row>
    <row r="55759" spans="32:32" x14ac:dyDescent="0.2">
      <c r="AF55759" s="12"/>
    </row>
    <row r="55760" spans="32:32" x14ac:dyDescent="0.2">
      <c r="AF55760" s="12"/>
    </row>
    <row r="55761" spans="32:32" x14ac:dyDescent="0.2">
      <c r="AF55761" s="12"/>
    </row>
    <row r="55762" spans="32:32" x14ac:dyDescent="0.2">
      <c r="AF55762" s="12"/>
    </row>
    <row r="55763" spans="32:32" x14ac:dyDescent="0.2">
      <c r="AF55763" s="12"/>
    </row>
    <row r="55764" spans="32:32" x14ac:dyDescent="0.2">
      <c r="AF55764" s="12"/>
    </row>
    <row r="55765" spans="32:32" x14ac:dyDescent="0.2">
      <c r="AF55765" s="12"/>
    </row>
    <row r="55766" spans="32:32" x14ac:dyDescent="0.2">
      <c r="AF55766" s="12"/>
    </row>
    <row r="55767" spans="32:32" x14ac:dyDescent="0.2">
      <c r="AF55767" s="12"/>
    </row>
    <row r="55768" spans="32:32" x14ac:dyDescent="0.2">
      <c r="AF55768" s="12"/>
    </row>
    <row r="55769" spans="32:32" x14ac:dyDescent="0.2">
      <c r="AF55769" s="12"/>
    </row>
    <row r="55770" spans="32:32" x14ac:dyDescent="0.2">
      <c r="AF55770" s="12"/>
    </row>
    <row r="55771" spans="32:32" x14ac:dyDescent="0.2">
      <c r="AF55771" s="12"/>
    </row>
    <row r="55772" spans="32:32" x14ac:dyDescent="0.2">
      <c r="AF55772" s="12"/>
    </row>
    <row r="55773" spans="32:32" x14ac:dyDescent="0.2">
      <c r="AF55773" s="12"/>
    </row>
    <row r="55774" spans="32:32" x14ac:dyDescent="0.2">
      <c r="AF55774" s="12"/>
    </row>
    <row r="55775" spans="32:32" x14ac:dyDescent="0.2">
      <c r="AF55775" s="12"/>
    </row>
    <row r="55776" spans="32:32" x14ac:dyDescent="0.2">
      <c r="AF55776" s="12"/>
    </row>
    <row r="55777" spans="32:32" x14ac:dyDescent="0.2">
      <c r="AF55777" s="12"/>
    </row>
    <row r="55778" spans="32:32" x14ac:dyDescent="0.2">
      <c r="AF55778" s="12"/>
    </row>
    <row r="55779" spans="32:32" x14ac:dyDescent="0.2">
      <c r="AF55779" s="12"/>
    </row>
    <row r="55780" spans="32:32" x14ac:dyDescent="0.2">
      <c r="AF55780" s="12"/>
    </row>
    <row r="55781" spans="32:32" x14ac:dyDescent="0.2">
      <c r="AF55781" s="12"/>
    </row>
    <row r="55782" spans="32:32" x14ac:dyDescent="0.2">
      <c r="AF55782" s="12"/>
    </row>
    <row r="55783" spans="32:32" x14ac:dyDescent="0.2">
      <c r="AF55783" s="12"/>
    </row>
    <row r="55784" spans="32:32" x14ac:dyDescent="0.2">
      <c r="AF55784" s="12"/>
    </row>
    <row r="55785" spans="32:32" x14ac:dyDescent="0.2">
      <c r="AF55785" s="12"/>
    </row>
    <row r="55786" spans="32:32" x14ac:dyDescent="0.2">
      <c r="AF55786" s="12"/>
    </row>
    <row r="55787" spans="32:32" x14ac:dyDescent="0.2">
      <c r="AF55787" s="12"/>
    </row>
    <row r="55788" spans="32:32" x14ac:dyDescent="0.2">
      <c r="AF55788" s="12"/>
    </row>
    <row r="55789" spans="32:32" x14ac:dyDescent="0.2">
      <c r="AF55789" s="12"/>
    </row>
    <row r="55790" spans="32:32" x14ac:dyDescent="0.2">
      <c r="AF55790" s="12"/>
    </row>
    <row r="55791" spans="32:32" x14ac:dyDescent="0.2">
      <c r="AF55791" s="12"/>
    </row>
    <row r="55792" spans="32:32" x14ac:dyDescent="0.2">
      <c r="AF55792" s="12"/>
    </row>
    <row r="55793" spans="32:32" x14ac:dyDescent="0.2">
      <c r="AF55793" s="12"/>
    </row>
    <row r="55794" spans="32:32" x14ac:dyDescent="0.2">
      <c r="AF55794" s="12"/>
    </row>
    <row r="55795" spans="32:32" x14ac:dyDescent="0.2">
      <c r="AF55795" s="12"/>
    </row>
    <row r="55796" spans="32:32" x14ac:dyDescent="0.2">
      <c r="AF55796" s="12"/>
    </row>
    <row r="55797" spans="32:32" x14ac:dyDescent="0.2">
      <c r="AF55797" s="12"/>
    </row>
    <row r="55798" spans="32:32" x14ac:dyDescent="0.2">
      <c r="AF55798" s="12"/>
    </row>
    <row r="55799" spans="32:32" x14ac:dyDescent="0.2">
      <c r="AF55799" s="12"/>
    </row>
    <row r="55800" spans="32:32" x14ac:dyDescent="0.2">
      <c r="AF55800" s="12"/>
    </row>
    <row r="55801" spans="32:32" x14ac:dyDescent="0.2">
      <c r="AF55801" s="12"/>
    </row>
    <row r="55802" spans="32:32" x14ac:dyDescent="0.2">
      <c r="AF55802" s="12"/>
    </row>
    <row r="55803" spans="32:32" x14ac:dyDescent="0.2">
      <c r="AF55803" s="12"/>
    </row>
    <row r="55804" spans="32:32" x14ac:dyDescent="0.2">
      <c r="AF55804" s="12"/>
    </row>
    <row r="55805" spans="32:32" x14ac:dyDescent="0.2">
      <c r="AF55805" s="12"/>
    </row>
    <row r="55806" spans="32:32" x14ac:dyDescent="0.2">
      <c r="AF55806" s="12"/>
    </row>
    <row r="55807" spans="32:32" x14ac:dyDescent="0.2">
      <c r="AF55807" s="12"/>
    </row>
    <row r="55808" spans="32:32" x14ac:dyDescent="0.2">
      <c r="AF55808" s="12"/>
    </row>
    <row r="55809" spans="32:32" x14ac:dyDescent="0.2">
      <c r="AF55809" s="12"/>
    </row>
    <row r="55810" spans="32:32" x14ac:dyDescent="0.2">
      <c r="AF55810" s="12"/>
    </row>
    <row r="55811" spans="32:32" x14ac:dyDescent="0.2">
      <c r="AF55811" s="12"/>
    </row>
    <row r="55812" spans="32:32" x14ac:dyDescent="0.2">
      <c r="AF55812" s="12"/>
    </row>
    <row r="55813" spans="32:32" x14ac:dyDescent="0.2">
      <c r="AF55813" s="12"/>
    </row>
    <row r="55814" spans="32:32" x14ac:dyDescent="0.2">
      <c r="AF55814" s="12"/>
    </row>
    <row r="55815" spans="32:32" x14ac:dyDescent="0.2">
      <c r="AF55815" s="12"/>
    </row>
    <row r="55816" spans="32:32" x14ac:dyDescent="0.2">
      <c r="AF55816" s="12"/>
    </row>
    <row r="55817" spans="32:32" x14ac:dyDescent="0.2">
      <c r="AF55817" s="12"/>
    </row>
    <row r="55818" spans="32:32" x14ac:dyDescent="0.2">
      <c r="AF55818" s="12"/>
    </row>
    <row r="55819" spans="32:32" x14ac:dyDescent="0.2">
      <c r="AF55819" s="12"/>
    </row>
    <row r="55820" spans="32:32" x14ac:dyDescent="0.2">
      <c r="AF55820" s="12"/>
    </row>
    <row r="55821" spans="32:32" x14ac:dyDescent="0.2">
      <c r="AF55821" s="12"/>
    </row>
    <row r="55822" spans="32:32" x14ac:dyDescent="0.2">
      <c r="AF55822" s="12"/>
    </row>
    <row r="55823" spans="32:32" x14ac:dyDescent="0.2">
      <c r="AF55823" s="12"/>
    </row>
    <row r="55824" spans="32:32" x14ac:dyDescent="0.2">
      <c r="AF55824" s="12"/>
    </row>
    <row r="55825" spans="32:32" x14ac:dyDescent="0.2">
      <c r="AF55825" s="12"/>
    </row>
    <row r="55826" spans="32:32" x14ac:dyDescent="0.2">
      <c r="AF55826" s="12"/>
    </row>
    <row r="55827" spans="32:32" x14ac:dyDescent="0.2">
      <c r="AF55827" s="12"/>
    </row>
    <row r="55828" spans="32:32" x14ac:dyDescent="0.2">
      <c r="AF55828" s="12"/>
    </row>
    <row r="55829" spans="32:32" x14ac:dyDescent="0.2">
      <c r="AF55829" s="12"/>
    </row>
    <row r="55830" spans="32:32" x14ac:dyDescent="0.2">
      <c r="AF55830" s="12"/>
    </row>
    <row r="55831" spans="32:32" x14ac:dyDescent="0.2">
      <c r="AF55831" s="12"/>
    </row>
    <row r="55832" spans="32:32" x14ac:dyDescent="0.2">
      <c r="AF55832" s="12"/>
    </row>
    <row r="55833" spans="32:32" x14ac:dyDescent="0.2">
      <c r="AF55833" s="12"/>
    </row>
    <row r="55834" spans="32:32" x14ac:dyDescent="0.2">
      <c r="AF55834" s="12"/>
    </row>
    <row r="55835" spans="32:32" x14ac:dyDescent="0.2">
      <c r="AF55835" s="12"/>
    </row>
    <row r="55836" spans="32:32" x14ac:dyDescent="0.2">
      <c r="AF55836" s="12"/>
    </row>
    <row r="55837" spans="32:32" x14ac:dyDescent="0.2">
      <c r="AF55837" s="12"/>
    </row>
    <row r="55838" spans="32:32" x14ac:dyDescent="0.2">
      <c r="AF55838" s="12"/>
    </row>
    <row r="55839" spans="32:32" x14ac:dyDescent="0.2">
      <c r="AF55839" s="12"/>
    </row>
    <row r="55840" spans="32:32" x14ac:dyDescent="0.2">
      <c r="AF55840" s="12"/>
    </row>
    <row r="55841" spans="32:32" x14ac:dyDescent="0.2">
      <c r="AF55841" s="12"/>
    </row>
    <row r="55842" spans="32:32" x14ac:dyDescent="0.2">
      <c r="AF55842" s="12"/>
    </row>
    <row r="55843" spans="32:32" x14ac:dyDescent="0.2">
      <c r="AF55843" s="12"/>
    </row>
    <row r="55844" spans="32:32" x14ac:dyDescent="0.2">
      <c r="AF55844" s="12"/>
    </row>
    <row r="55845" spans="32:32" x14ac:dyDescent="0.2">
      <c r="AF55845" s="12"/>
    </row>
    <row r="55846" spans="32:32" x14ac:dyDescent="0.2">
      <c r="AF55846" s="12"/>
    </row>
    <row r="55847" spans="32:32" x14ac:dyDescent="0.2">
      <c r="AF55847" s="12"/>
    </row>
    <row r="55848" spans="32:32" x14ac:dyDescent="0.2">
      <c r="AF55848" s="12"/>
    </row>
    <row r="55849" spans="32:32" x14ac:dyDescent="0.2">
      <c r="AF55849" s="12"/>
    </row>
    <row r="55850" spans="32:32" x14ac:dyDescent="0.2">
      <c r="AF55850" s="12"/>
    </row>
    <row r="55851" spans="32:32" x14ac:dyDescent="0.2">
      <c r="AF55851" s="12"/>
    </row>
    <row r="55852" spans="32:32" x14ac:dyDescent="0.2">
      <c r="AF55852" s="12"/>
    </row>
    <row r="55853" spans="32:32" x14ac:dyDescent="0.2">
      <c r="AF55853" s="12"/>
    </row>
    <row r="55854" spans="32:32" x14ac:dyDescent="0.2">
      <c r="AF55854" s="12"/>
    </row>
    <row r="55855" spans="32:32" x14ac:dyDescent="0.2">
      <c r="AF55855" s="12"/>
    </row>
    <row r="55856" spans="32:32" x14ac:dyDescent="0.2">
      <c r="AF55856" s="12"/>
    </row>
    <row r="55857" spans="32:32" x14ac:dyDescent="0.2">
      <c r="AF55857" s="12"/>
    </row>
    <row r="55858" spans="32:32" x14ac:dyDescent="0.2">
      <c r="AF55858" s="12"/>
    </row>
    <row r="55859" spans="32:32" x14ac:dyDescent="0.2">
      <c r="AF55859" s="12"/>
    </row>
    <row r="55860" spans="32:32" x14ac:dyDescent="0.2">
      <c r="AF55860" s="12"/>
    </row>
    <row r="55861" spans="32:32" x14ac:dyDescent="0.2">
      <c r="AF55861" s="12"/>
    </row>
    <row r="55862" spans="32:32" x14ac:dyDescent="0.2">
      <c r="AF55862" s="12"/>
    </row>
    <row r="55863" spans="32:32" x14ac:dyDescent="0.2">
      <c r="AF55863" s="12"/>
    </row>
    <row r="55864" spans="32:32" x14ac:dyDescent="0.2">
      <c r="AF55864" s="12"/>
    </row>
    <row r="55865" spans="32:32" x14ac:dyDescent="0.2">
      <c r="AF55865" s="12"/>
    </row>
    <row r="55866" spans="32:32" x14ac:dyDescent="0.2">
      <c r="AF55866" s="12"/>
    </row>
    <row r="55867" spans="32:32" x14ac:dyDescent="0.2">
      <c r="AF55867" s="12"/>
    </row>
    <row r="55868" spans="32:32" x14ac:dyDescent="0.2">
      <c r="AF55868" s="12"/>
    </row>
    <row r="55869" spans="32:32" x14ac:dyDescent="0.2">
      <c r="AF55869" s="12"/>
    </row>
    <row r="55870" spans="32:32" x14ac:dyDescent="0.2">
      <c r="AF55870" s="12"/>
    </row>
    <row r="55871" spans="32:32" x14ac:dyDescent="0.2">
      <c r="AF55871" s="12"/>
    </row>
    <row r="55872" spans="32:32" x14ac:dyDescent="0.2">
      <c r="AF55872" s="12"/>
    </row>
    <row r="55873" spans="32:32" x14ac:dyDescent="0.2">
      <c r="AF55873" s="12"/>
    </row>
    <row r="55874" spans="32:32" x14ac:dyDescent="0.2">
      <c r="AF55874" s="12"/>
    </row>
    <row r="55875" spans="32:32" x14ac:dyDescent="0.2">
      <c r="AF55875" s="12"/>
    </row>
    <row r="55876" spans="32:32" x14ac:dyDescent="0.2">
      <c r="AF55876" s="12"/>
    </row>
    <row r="55877" spans="32:32" x14ac:dyDescent="0.2">
      <c r="AF55877" s="12"/>
    </row>
    <row r="55878" spans="32:32" x14ac:dyDescent="0.2">
      <c r="AF55878" s="12"/>
    </row>
    <row r="55879" spans="32:32" x14ac:dyDescent="0.2">
      <c r="AF55879" s="12"/>
    </row>
    <row r="55880" spans="32:32" x14ac:dyDescent="0.2">
      <c r="AF55880" s="12"/>
    </row>
    <row r="55881" spans="32:32" x14ac:dyDescent="0.2">
      <c r="AF55881" s="12"/>
    </row>
    <row r="55882" spans="32:32" x14ac:dyDescent="0.2">
      <c r="AF55882" s="12"/>
    </row>
    <row r="55883" spans="32:32" x14ac:dyDescent="0.2">
      <c r="AF55883" s="12"/>
    </row>
    <row r="55884" spans="32:32" x14ac:dyDescent="0.2">
      <c r="AF55884" s="12"/>
    </row>
    <row r="55885" spans="32:32" x14ac:dyDescent="0.2">
      <c r="AF55885" s="12"/>
    </row>
    <row r="55886" spans="32:32" x14ac:dyDescent="0.2">
      <c r="AF55886" s="12"/>
    </row>
    <row r="55887" spans="32:32" x14ac:dyDescent="0.2">
      <c r="AF55887" s="12"/>
    </row>
    <row r="55888" spans="32:32" x14ac:dyDescent="0.2">
      <c r="AF55888" s="12"/>
    </row>
    <row r="55889" spans="32:32" x14ac:dyDescent="0.2">
      <c r="AF55889" s="12"/>
    </row>
    <row r="55890" spans="32:32" x14ac:dyDescent="0.2">
      <c r="AF55890" s="12"/>
    </row>
    <row r="55891" spans="32:32" x14ac:dyDescent="0.2">
      <c r="AF55891" s="12"/>
    </row>
    <row r="55892" spans="32:32" x14ac:dyDescent="0.2">
      <c r="AF55892" s="12"/>
    </row>
    <row r="55893" spans="32:32" x14ac:dyDescent="0.2">
      <c r="AF55893" s="12"/>
    </row>
    <row r="55894" spans="32:32" x14ac:dyDescent="0.2">
      <c r="AF55894" s="12"/>
    </row>
    <row r="55895" spans="32:32" x14ac:dyDescent="0.2">
      <c r="AF55895" s="12"/>
    </row>
    <row r="55896" spans="32:32" x14ac:dyDescent="0.2">
      <c r="AF55896" s="12"/>
    </row>
    <row r="55897" spans="32:32" x14ac:dyDescent="0.2">
      <c r="AF55897" s="12"/>
    </row>
    <row r="55898" spans="32:32" x14ac:dyDescent="0.2">
      <c r="AF55898" s="12"/>
    </row>
    <row r="55899" spans="32:32" x14ac:dyDescent="0.2">
      <c r="AF55899" s="12"/>
    </row>
    <row r="55900" spans="32:32" x14ac:dyDescent="0.2">
      <c r="AF55900" s="12"/>
    </row>
    <row r="55901" spans="32:32" x14ac:dyDescent="0.2">
      <c r="AF55901" s="12"/>
    </row>
    <row r="55902" spans="32:32" x14ac:dyDescent="0.2">
      <c r="AF55902" s="12"/>
    </row>
    <row r="55903" spans="32:32" x14ac:dyDescent="0.2">
      <c r="AF55903" s="12"/>
    </row>
    <row r="55904" spans="32:32" x14ac:dyDescent="0.2">
      <c r="AF55904" s="12"/>
    </row>
    <row r="55905" spans="32:32" x14ac:dyDescent="0.2">
      <c r="AF55905" s="12"/>
    </row>
    <row r="55906" spans="32:32" x14ac:dyDescent="0.2">
      <c r="AF55906" s="12"/>
    </row>
    <row r="55907" spans="32:32" x14ac:dyDescent="0.2">
      <c r="AF55907" s="12"/>
    </row>
    <row r="55908" spans="32:32" x14ac:dyDescent="0.2">
      <c r="AF55908" s="12"/>
    </row>
    <row r="55909" spans="32:32" x14ac:dyDescent="0.2">
      <c r="AF55909" s="12"/>
    </row>
    <row r="55910" spans="32:32" x14ac:dyDescent="0.2">
      <c r="AF55910" s="12"/>
    </row>
    <row r="55911" spans="32:32" x14ac:dyDescent="0.2">
      <c r="AF55911" s="12"/>
    </row>
    <row r="55912" spans="32:32" x14ac:dyDescent="0.2">
      <c r="AF55912" s="12"/>
    </row>
    <row r="55913" spans="32:32" x14ac:dyDescent="0.2">
      <c r="AF55913" s="12"/>
    </row>
    <row r="55914" spans="32:32" x14ac:dyDescent="0.2">
      <c r="AF55914" s="12"/>
    </row>
    <row r="55915" spans="32:32" x14ac:dyDescent="0.2">
      <c r="AF55915" s="12"/>
    </row>
    <row r="55916" spans="32:32" x14ac:dyDescent="0.2">
      <c r="AF55916" s="12"/>
    </row>
    <row r="55917" spans="32:32" x14ac:dyDescent="0.2">
      <c r="AF55917" s="12"/>
    </row>
    <row r="55918" spans="32:32" x14ac:dyDescent="0.2">
      <c r="AF55918" s="12"/>
    </row>
    <row r="55919" spans="32:32" x14ac:dyDescent="0.2">
      <c r="AF55919" s="12"/>
    </row>
    <row r="55920" spans="32:32" x14ac:dyDescent="0.2">
      <c r="AF55920" s="12"/>
    </row>
    <row r="55921" spans="32:32" x14ac:dyDescent="0.2">
      <c r="AF55921" s="12"/>
    </row>
    <row r="55922" spans="32:32" x14ac:dyDescent="0.2">
      <c r="AF55922" s="12"/>
    </row>
    <row r="55923" spans="32:32" x14ac:dyDescent="0.2">
      <c r="AF55923" s="12"/>
    </row>
    <row r="55924" spans="32:32" x14ac:dyDescent="0.2">
      <c r="AF55924" s="12"/>
    </row>
    <row r="55925" spans="32:32" x14ac:dyDescent="0.2">
      <c r="AF55925" s="12"/>
    </row>
    <row r="55926" spans="32:32" x14ac:dyDescent="0.2">
      <c r="AF55926" s="12"/>
    </row>
    <row r="55927" spans="32:32" x14ac:dyDescent="0.2">
      <c r="AF55927" s="12"/>
    </row>
    <row r="55928" spans="32:32" x14ac:dyDescent="0.2">
      <c r="AF55928" s="12"/>
    </row>
    <row r="55929" spans="32:32" x14ac:dyDescent="0.2">
      <c r="AF55929" s="12"/>
    </row>
    <row r="55930" spans="32:32" x14ac:dyDescent="0.2">
      <c r="AF55930" s="12"/>
    </row>
    <row r="55931" spans="32:32" x14ac:dyDescent="0.2">
      <c r="AF55931" s="12"/>
    </row>
    <row r="55932" spans="32:32" x14ac:dyDescent="0.2">
      <c r="AF55932" s="12"/>
    </row>
    <row r="55933" spans="32:32" x14ac:dyDescent="0.2">
      <c r="AF55933" s="12"/>
    </row>
    <row r="55934" spans="32:32" x14ac:dyDescent="0.2">
      <c r="AF55934" s="12"/>
    </row>
    <row r="55935" spans="32:32" x14ac:dyDescent="0.2">
      <c r="AF55935" s="12"/>
    </row>
    <row r="55936" spans="32:32" x14ac:dyDescent="0.2">
      <c r="AF55936" s="12"/>
    </row>
    <row r="55937" spans="32:32" x14ac:dyDescent="0.2">
      <c r="AF55937" s="12"/>
    </row>
    <row r="55938" spans="32:32" x14ac:dyDescent="0.2">
      <c r="AF55938" s="12"/>
    </row>
    <row r="55939" spans="32:32" x14ac:dyDescent="0.2">
      <c r="AF55939" s="12"/>
    </row>
    <row r="55940" spans="32:32" x14ac:dyDescent="0.2">
      <c r="AF55940" s="12"/>
    </row>
    <row r="55941" spans="32:32" x14ac:dyDescent="0.2">
      <c r="AF55941" s="12"/>
    </row>
    <row r="55942" spans="32:32" x14ac:dyDescent="0.2">
      <c r="AF55942" s="12"/>
    </row>
    <row r="55943" spans="32:32" x14ac:dyDescent="0.2">
      <c r="AF55943" s="12"/>
    </row>
    <row r="55944" spans="32:32" x14ac:dyDescent="0.2">
      <c r="AF55944" s="12"/>
    </row>
    <row r="55945" spans="32:32" x14ac:dyDescent="0.2">
      <c r="AF55945" s="12"/>
    </row>
    <row r="55946" spans="32:32" x14ac:dyDescent="0.2">
      <c r="AF55946" s="12"/>
    </row>
    <row r="55947" spans="32:32" x14ac:dyDescent="0.2">
      <c r="AF55947" s="12"/>
    </row>
    <row r="55948" spans="32:32" x14ac:dyDescent="0.2">
      <c r="AF55948" s="12"/>
    </row>
    <row r="55949" spans="32:32" x14ac:dyDescent="0.2">
      <c r="AF55949" s="12"/>
    </row>
    <row r="55950" spans="32:32" x14ac:dyDescent="0.2">
      <c r="AF55950" s="12"/>
    </row>
    <row r="55951" spans="32:32" x14ac:dyDescent="0.2">
      <c r="AF55951" s="12"/>
    </row>
    <row r="55952" spans="32:32" x14ac:dyDescent="0.2">
      <c r="AF55952" s="12"/>
    </row>
    <row r="55953" spans="32:32" x14ac:dyDescent="0.2">
      <c r="AF55953" s="12"/>
    </row>
    <row r="55954" spans="32:32" x14ac:dyDescent="0.2">
      <c r="AF55954" s="12"/>
    </row>
    <row r="55955" spans="32:32" x14ac:dyDescent="0.2">
      <c r="AF55955" s="12"/>
    </row>
    <row r="55956" spans="32:32" x14ac:dyDescent="0.2">
      <c r="AF55956" s="12"/>
    </row>
    <row r="55957" spans="32:32" x14ac:dyDescent="0.2">
      <c r="AF55957" s="12"/>
    </row>
    <row r="55958" spans="32:32" x14ac:dyDescent="0.2">
      <c r="AF55958" s="12"/>
    </row>
    <row r="55959" spans="32:32" x14ac:dyDescent="0.2">
      <c r="AF55959" s="12"/>
    </row>
    <row r="55960" spans="32:32" x14ac:dyDescent="0.2">
      <c r="AF55960" s="12"/>
    </row>
    <row r="55961" spans="32:32" x14ac:dyDescent="0.2">
      <c r="AF55961" s="12"/>
    </row>
    <row r="55962" spans="32:32" x14ac:dyDescent="0.2">
      <c r="AF55962" s="12"/>
    </row>
    <row r="55963" spans="32:32" x14ac:dyDescent="0.2">
      <c r="AF55963" s="12"/>
    </row>
    <row r="55964" spans="32:32" x14ac:dyDescent="0.2">
      <c r="AF55964" s="12"/>
    </row>
    <row r="55965" spans="32:32" x14ac:dyDescent="0.2">
      <c r="AF55965" s="12"/>
    </row>
    <row r="55966" spans="32:32" x14ac:dyDescent="0.2">
      <c r="AF55966" s="12"/>
    </row>
    <row r="55967" spans="32:32" x14ac:dyDescent="0.2">
      <c r="AF55967" s="12"/>
    </row>
    <row r="55968" spans="32:32" x14ac:dyDescent="0.2">
      <c r="AF55968" s="12"/>
    </row>
    <row r="55969" spans="32:32" x14ac:dyDescent="0.2">
      <c r="AF55969" s="12"/>
    </row>
    <row r="55970" spans="32:32" x14ac:dyDescent="0.2">
      <c r="AF55970" s="12"/>
    </row>
    <row r="55971" spans="32:32" x14ac:dyDescent="0.2">
      <c r="AF55971" s="12"/>
    </row>
    <row r="55972" spans="32:32" x14ac:dyDescent="0.2">
      <c r="AF55972" s="12"/>
    </row>
    <row r="55973" spans="32:32" x14ac:dyDescent="0.2">
      <c r="AF55973" s="12"/>
    </row>
    <row r="55974" spans="32:32" x14ac:dyDescent="0.2">
      <c r="AF55974" s="12"/>
    </row>
    <row r="55975" spans="32:32" x14ac:dyDescent="0.2">
      <c r="AF55975" s="12"/>
    </row>
    <row r="55976" spans="32:32" x14ac:dyDescent="0.2">
      <c r="AF55976" s="12"/>
    </row>
    <row r="55977" spans="32:32" x14ac:dyDescent="0.2">
      <c r="AF55977" s="12"/>
    </row>
    <row r="55978" spans="32:32" x14ac:dyDescent="0.2">
      <c r="AF55978" s="12"/>
    </row>
    <row r="55979" spans="32:32" x14ac:dyDescent="0.2">
      <c r="AF55979" s="12"/>
    </row>
    <row r="55980" spans="32:32" x14ac:dyDescent="0.2">
      <c r="AF55980" s="12"/>
    </row>
    <row r="55981" spans="32:32" x14ac:dyDescent="0.2">
      <c r="AF55981" s="12"/>
    </row>
    <row r="55982" spans="32:32" x14ac:dyDescent="0.2">
      <c r="AF55982" s="12"/>
    </row>
    <row r="55983" spans="32:32" x14ac:dyDescent="0.2">
      <c r="AF55983" s="12"/>
    </row>
    <row r="55984" spans="32:32" x14ac:dyDescent="0.2">
      <c r="AF55984" s="12"/>
    </row>
    <row r="55985" spans="32:32" x14ac:dyDescent="0.2">
      <c r="AF55985" s="12"/>
    </row>
    <row r="55986" spans="32:32" x14ac:dyDescent="0.2">
      <c r="AF55986" s="12"/>
    </row>
    <row r="55987" spans="32:32" x14ac:dyDescent="0.2">
      <c r="AF55987" s="12"/>
    </row>
    <row r="55988" spans="32:32" x14ac:dyDescent="0.2">
      <c r="AF55988" s="12"/>
    </row>
    <row r="55989" spans="32:32" x14ac:dyDescent="0.2">
      <c r="AF55989" s="12"/>
    </row>
    <row r="55990" spans="32:32" x14ac:dyDescent="0.2">
      <c r="AF55990" s="12"/>
    </row>
    <row r="55991" spans="32:32" x14ac:dyDescent="0.2">
      <c r="AF55991" s="12"/>
    </row>
    <row r="55992" spans="32:32" x14ac:dyDescent="0.2">
      <c r="AF55992" s="12"/>
    </row>
    <row r="55993" spans="32:32" x14ac:dyDescent="0.2">
      <c r="AF55993" s="12"/>
    </row>
    <row r="55994" spans="32:32" x14ac:dyDescent="0.2">
      <c r="AF55994" s="12"/>
    </row>
    <row r="55995" spans="32:32" x14ac:dyDescent="0.2">
      <c r="AF55995" s="12"/>
    </row>
    <row r="55996" spans="32:32" x14ac:dyDescent="0.2">
      <c r="AF55996" s="12"/>
    </row>
    <row r="55997" spans="32:32" x14ac:dyDescent="0.2">
      <c r="AF55997" s="12"/>
    </row>
    <row r="55998" spans="32:32" x14ac:dyDescent="0.2">
      <c r="AF55998" s="12"/>
    </row>
    <row r="55999" spans="32:32" x14ac:dyDescent="0.2">
      <c r="AF55999" s="12"/>
    </row>
    <row r="56000" spans="32:32" x14ac:dyDescent="0.2">
      <c r="AF56000" s="12"/>
    </row>
    <row r="56001" spans="32:32" x14ac:dyDescent="0.2">
      <c r="AF56001" s="12"/>
    </row>
    <row r="56002" spans="32:32" x14ac:dyDescent="0.2">
      <c r="AF56002" s="12"/>
    </row>
    <row r="56003" spans="32:32" x14ac:dyDescent="0.2">
      <c r="AF56003" s="12"/>
    </row>
    <row r="56004" spans="32:32" x14ac:dyDescent="0.2">
      <c r="AF56004" s="12"/>
    </row>
    <row r="56005" spans="32:32" x14ac:dyDescent="0.2">
      <c r="AF56005" s="12"/>
    </row>
    <row r="56006" spans="32:32" x14ac:dyDescent="0.2">
      <c r="AF56006" s="12"/>
    </row>
    <row r="56007" spans="32:32" x14ac:dyDescent="0.2">
      <c r="AF56007" s="12"/>
    </row>
    <row r="56008" spans="32:32" x14ac:dyDescent="0.2">
      <c r="AF56008" s="12"/>
    </row>
    <row r="56009" spans="32:32" x14ac:dyDescent="0.2">
      <c r="AF56009" s="12"/>
    </row>
    <row r="56010" spans="32:32" x14ac:dyDescent="0.2">
      <c r="AF56010" s="12"/>
    </row>
    <row r="56011" spans="32:32" x14ac:dyDescent="0.2">
      <c r="AF56011" s="12"/>
    </row>
    <row r="56012" spans="32:32" x14ac:dyDescent="0.2">
      <c r="AF56012" s="12"/>
    </row>
    <row r="56013" spans="32:32" x14ac:dyDescent="0.2">
      <c r="AF56013" s="12"/>
    </row>
    <row r="56014" spans="32:32" x14ac:dyDescent="0.2">
      <c r="AF56014" s="12"/>
    </row>
    <row r="56015" spans="32:32" x14ac:dyDescent="0.2">
      <c r="AF56015" s="12"/>
    </row>
    <row r="56016" spans="32:32" x14ac:dyDescent="0.2">
      <c r="AF56016" s="12"/>
    </row>
    <row r="56017" spans="32:32" x14ac:dyDescent="0.2">
      <c r="AF56017" s="12"/>
    </row>
    <row r="56018" spans="32:32" x14ac:dyDescent="0.2">
      <c r="AF56018" s="12"/>
    </row>
    <row r="56019" spans="32:32" x14ac:dyDescent="0.2">
      <c r="AF56019" s="12"/>
    </row>
    <row r="56020" spans="32:32" x14ac:dyDescent="0.2">
      <c r="AF56020" s="12"/>
    </row>
    <row r="56021" spans="32:32" x14ac:dyDescent="0.2">
      <c r="AF56021" s="12"/>
    </row>
    <row r="56022" spans="32:32" x14ac:dyDescent="0.2">
      <c r="AF56022" s="12"/>
    </row>
    <row r="56023" spans="32:32" x14ac:dyDescent="0.2">
      <c r="AF56023" s="12"/>
    </row>
    <row r="56024" spans="32:32" x14ac:dyDescent="0.2">
      <c r="AF56024" s="12"/>
    </row>
    <row r="56025" spans="32:32" x14ac:dyDescent="0.2">
      <c r="AF56025" s="12"/>
    </row>
    <row r="56026" spans="32:32" x14ac:dyDescent="0.2">
      <c r="AF56026" s="12"/>
    </row>
    <row r="56027" spans="32:32" x14ac:dyDescent="0.2">
      <c r="AF56027" s="12"/>
    </row>
    <row r="56028" spans="32:32" x14ac:dyDescent="0.2">
      <c r="AF56028" s="12"/>
    </row>
    <row r="56029" spans="32:32" x14ac:dyDescent="0.2">
      <c r="AF56029" s="12"/>
    </row>
    <row r="56030" spans="32:32" x14ac:dyDescent="0.2">
      <c r="AF56030" s="12"/>
    </row>
    <row r="56031" spans="32:32" x14ac:dyDescent="0.2">
      <c r="AF56031" s="12"/>
    </row>
    <row r="56032" spans="32:32" x14ac:dyDescent="0.2">
      <c r="AF56032" s="12"/>
    </row>
    <row r="56033" spans="32:32" x14ac:dyDescent="0.2">
      <c r="AF56033" s="12"/>
    </row>
    <row r="56034" spans="32:32" x14ac:dyDescent="0.2">
      <c r="AF56034" s="12"/>
    </row>
    <row r="56035" spans="32:32" x14ac:dyDescent="0.2">
      <c r="AF56035" s="12"/>
    </row>
    <row r="56036" spans="32:32" x14ac:dyDescent="0.2">
      <c r="AF56036" s="12"/>
    </row>
    <row r="56037" spans="32:32" x14ac:dyDescent="0.2">
      <c r="AF56037" s="12"/>
    </row>
    <row r="56038" spans="32:32" x14ac:dyDescent="0.2">
      <c r="AF56038" s="12"/>
    </row>
    <row r="56039" spans="32:32" x14ac:dyDescent="0.2">
      <c r="AF56039" s="12"/>
    </row>
    <row r="56040" spans="32:32" x14ac:dyDescent="0.2">
      <c r="AF56040" s="12"/>
    </row>
    <row r="56041" spans="32:32" x14ac:dyDescent="0.2">
      <c r="AF56041" s="12"/>
    </row>
    <row r="56042" spans="32:32" x14ac:dyDescent="0.2">
      <c r="AF56042" s="12"/>
    </row>
    <row r="56043" spans="32:32" x14ac:dyDescent="0.2">
      <c r="AF56043" s="12"/>
    </row>
    <row r="56044" spans="32:32" x14ac:dyDescent="0.2">
      <c r="AF56044" s="12"/>
    </row>
    <row r="56045" spans="32:32" x14ac:dyDescent="0.2">
      <c r="AF56045" s="12"/>
    </row>
    <row r="56046" spans="32:32" x14ac:dyDescent="0.2">
      <c r="AF56046" s="12"/>
    </row>
    <row r="56047" spans="32:32" x14ac:dyDescent="0.2">
      <c r="AF56047" s="12"/>
    </row>
    <row r="56048" spans="32:32" x14ac:dyDescent="0.2">
      <c r="AF56048" s="12"/>
    </row>
    <row r="56049" spans="32:32" x14ac:dyDescent="0.2">
      <c r="AF56049" s="12"/>
    </row>
    <row r="56050" spans="32:32" x14ac:dyDescent="0.2">
      <c r="AF56050" s="12"/>
    </row>
    <row r="56051" spans="32:32" x14ac:dyDescent="0.2">
      <c r="AF56051" s="12"/>
    </row>
    <row r="56052" spans="32:32" x14ac:dyDescent="0.2">
      <c r="AF56052" s="12"/>
    </row>
    <row r="56053" spans="32:32" x14ac:dyDescent="0.2">
      <c r="AF56053" s="12"/>
    </row>
    <row r="56054" spans="32:32" x14ac:dyDescent="0.2">
      <c r="AF56054" s="12"/>
    </row>
    <row r="56055" spans="32:32" x14ac:dyDescent="0.2">
      <c r="AF56055" s="12"/>
    </row>
    <row r="56056" spans="32:32" x14ac:dyDescent="0.2">
      <c r="AF56056" s="12"/>
    </row>
    <row r="56057" spans="32:32" x14ac:dyDescent="0.2">
      <c r="AF56057" s="12"/>
    </row>
    <row r="56058" spans="32:32" x14ac:dyDescent="0.2">
      <c r="AF56058" s="12"/>
    </row>
    <row r="56059" spans="32:32" x14ac:dyDescent="0.2">
      <c r="AF56059" s="12"/>
    </row>
    <row r="56060" spans="32:32" x14ac:dyDescent="0.2">
      <c r="AF56060" s="12"/>
    </row>
    <row r="56061" spans="32:32" x14ac:dyDescent="0.2">
      <c r="AF56061" s="12"/>
    </row>
    <row r="56062" spans="32:32" x14ac:dyDescent="0.2">
      <c r="AF56062" s="12"/>
    </row>
    <row r="56063" spans="32:32" x14ac:dyDescent="0.2">
      <c r="AF56063" s="12"/>
    </row>
    <row r="56064" spans="32:32" x14ac:dyDescent="0.2">
      <c r="AF56064" s="12"/>
    </row>
    <row r="56065" spans="32:32" x14ac:dyDescent="0.2">
      <c r="AF56065" s="12"/>
    </row>
    <row r="56066" spans="32:32" x14ac:dyDescent="0.2">
      <c r="AF56066" s="12"/>
    </row>
    <row r="56067" spans="32:32" x14ac:dyDescent="0.2">
      <c r="AF56067" s="12"/>
    </row>
    <row r="56068" spans="32:32" x14ac:dyDescent="0.2">
      <c r="AF56068" s="12"/>
    </row>
    <row r="56069" spans="32:32" x14ac:dyDescent="0.2">
      <c r="AF56069" s="12"/>
    </row>
    <row r="56070" spans="32:32" x14ac:dyDescent="0.2">
      <c r="AF56070" s="12"/>
    </row>
    <row r="56071" spans="32:32" x14ac:dyDescent="0.2">
      <c r="AF56071" s="12"/>
    </row>
    <row r="56072" spans="32:32" x14ac:dyDescent="0.2">
      <c r="AF56072" s="12"/>
    </row>
    <row r="56073" spans="32:32" x14ac:dyDescent="0.2">
      <c r="AF56073" s="12"/>
    </row>
    <row r="56074" spans="32:32" x14ac:dyDescent="0.2">
      <c r="AF56074" s="12"/>
    </row>
    <row r="56075" spans="32:32" x14ac:dyDescent="0.2">
      <c r="AF56075" s="12"/>
    </row>
    <row r="56076" spans="32:32" x14ac:dyDescent="0.2">
      <c r="AF56076" s="12"/>
    </row>
    <row r="56077" spans="32:32" x14ac:dyDescent="0.2">
      <c r="AF56077" s="12"/>
    </row>
    <row r="56078" spans="32:32" x14ac:dyDescent="0.2">
      <c r="AF56078" s="12"/>
    </row>
    <row r="56079" spans="32:32" x14ac:dyDescent="0.2">
      <c r="AF56079" s="12"/>
    </row>
    <row r="56080" spans="32:32" x14ac:dyDescent="0.2">
      <c r="AF56080" s="12"/>
    </row>
    <row r="56081" spans="32:32" x14ac:dyDescent="0.2">
      <c r="AF56081" s="12"/>
    </row>
    <row r="56082" spans="32:32" x14ac:dyDescent="0.2">
      <c r="AF56082" s="12"/>
    </row>
    <row r="56083" spans="32:32" x14ac:dyDescent="0.2">
      <c r="AF56083" s="12"/>
    </row>
    <row r="56084" spans="32:32" x14ac:dyDescent="0.2">
      <c r="AF56084" s="12"/>
    </row>
    <row r="56085" spans="32:32" x14ac:dyDescent="0.2">
      <c r="AF56085" s="12"/>
    </row>
    <row r="56086" spans="32:32" x14ac:dyDescent="0.2">
      <c r="AF56086" s="12"/>
    </row>
    <row r="56087" spans="32:32" x14ac:dyDescent="0.2">
      <c r="AF56087" s="12"/>
    </row>
    <row r="56088" spans="32:32" x14ac:dyDescent="0.2">
      <c r="AF56088" s="12"/>
    </row>
    <row r="56089" spans="32:32" x14ac:dyDescent="0.2">
      <c r="AF56089" s="12"/>
    </row>
    <row r="56090" spans="32:32" x14ac:dyDescent="0.2">
      <c r="AF56090" s="12"/>
    </row>
    <row r="56091" spans="32:32" x14ac:dyDescent="0.2">
      <c r="AF56091" s="12"/>
    </row>
    <row r="56092" spans="32:32" x14ac:dyDescent="0.2">
      <c r="AF56092" s="12"/>
    </row>
    <row r="56093" spans="32:32" x14ac:dyDescent="0.2">
      <c r="AF56093" s="12"/>
    </row>
    <row r="56094" spans="32:32" x14ac:dyDescent="0.2">
      <c r="AF56094" s="12"/>
    </row>
    <row r="56095" spans="32:32" x14ac:dyDescent="0.2">
      <c r="AF56095" s="12"/>
    </row>
    <row r="56096" spans="32:32" x14ac:dyDescent="0.2">
      <c r="AF56096" s="12"/>
    </row>
    <row r="56097" spans="32:32" x14ac:dyDescent="0.2">
      <c r="AF56097" s="12"/>
    </row>
    <row r="56098" spans="32:32" x14ac:dyDescent="0.2">
      <c r="AF56098" s="12"/>
    </row>
    <row r="56099" spans="32:32" x14ac:dyDescent="0.2">
      <c r="AF56099" s="12"/>
    </row>
    <row r="56100" spans="32:32" x14ac:dyDescent="0.2">
      <c r="AF56100" s="12"/>
    </row>
    <row r="56101" spans="32:32" x14ac:dyDescent="0.2">
      <c r="AF56101" s="12"/>
    </row>
    <row r="56102" spans="32:32" x14ac:dyDescent="0.2">
      <c r="AF56102" s="12"/>
    </row>
    <row r="56103" spans="32:32" x14ac:dyDescent="0.2">
      <c r="AF56103" s="12"/>
    </row>
    <row r="56104" spans="32:32" x14ac:dyDescent="0.2">
      <c r="AF56104" s="12"/>
    </row>
    <row r="56105" spans="32:32" x14ac:dyDescent="0.2">
      <c r="AF56105" s="12"/>
    </row>
    <row r="56106" spans="32:32" x14ac:dyDescent="0.2">
      <c r="AF56106" s="12"/>
    </row>
    <row r="56107" spans="32:32" x14ac:dyDescent="0.2">
      <c r="AF56107" s="12"/>
    </row>
    <row r="56108" spans="32:32" x14ac:dyDescent="0.2">
      <c r="AF56108" s="12"/>
    </row>
    <row r="56109" spans="32:32" x14ac:dyDescent="0.2">
      <c r="AF56109" s="12"/>
    </row>
    <row r="56110" spans="32:32" x14ac:dyDescent="0.2">
      <c r="AF56110" s="12"/>
    </row>
    <row r="56111" spans="32:32" x14ac:dyDescent="0.2">
      <c r="AF56111" s="12"/>
    </row>
    <row r="56112" spans="32:32" x14ac:dyDescent="0.2">
      <c r="AF56112" s="12"/>
    </row>
    <row r="56113" spans="32:32" x14ac:dyDescent="0.2">
      <c r="AF56113" s="12"/>
    </row>
    <row r="56114" spans="32:32" x14ac:dyDescent="0.2">
      <c r="AF56114" s="12"/>
    </row>
    <row r="56115" spans="32:32" x14ac:dyDescent="0.2">
      <c r="AF56115" s="12"/>
    </row>
    <row r="56116" spans="32:32" x14ac:dyDescent="0.2">
      <c r="AF56116" s="12"/>
    </row>
    <row r="56117" spans="32:32" x14ac:dyDescent="0.2">
      <c r="AF56117" s="12"/>
    </row>
    <row r="56118" spans="32:32" x14ac:dyDescent="0.2">
      <c r="AF56118" s="12"/>
    </row>
    <row r="56119" spans="32:32" x14ac:dyDescent="0.2">
      <c r="AF56119" s="12"/>
    </row>
    <row r="56120" spans="32:32" x14ac:dyDescent="0.2">
      <c r="AF56120" s="12"/>
    </row>
    <row r="56121" spans="32:32" x14ac:dyDescent="0.2">
      <c r="AF56121" s="12"/>
    </row>
    <row r="56122" spans="32:32" x14ac:dyDescent="0.2">
      <c r="AF56122" s="12"/>
    </row>
    <row r="56123" spans="32:32" x14ac:dyDescent="0.2">
      <c r="AF56123" s="12"/>
    </row>
    <row r="56124" spans="32:32" x14ac:dyDescent="0.2">
      <c r="AF56124" s="12"/>
    </row>
    <row r="56125" spans="32:32" x14ac:dyDescent="0.2">
      <c r="AF56125" s="12"/>
    </row>
    <row r="56126" spans="32:32" x14ac:dyDescent="0.2">
      <c r="AF56126" s="12"/>
    </row>
    <row r="56127" spans="32:32" x14ac:dyDescent="0.2">
      <c r="AF56127" s="12"/>
    </row>
    <row r="56128" spans="32:32" x14ac:dyDescent="0.2">
      <c r="AF56128" s="12"/>
    </row>
    <row r="56129" spans="32:32" x14ac:dyDescent="0.2">
      <c r="AF56129" s="12"/>
    </row>
    <row r="56130" spans="32:32" x14ac:dyDescent="0.2">
      <c r="AF56130" s="12"/>
    </row>
    <row r="56131" spans="32:32" x14ac:dyDescent="0.2">
      <c r="AF56131" s="12"/>
    </row>
    <row r="56132" spans="32:32" x14ac:dyDescent="0.2">
      <c r="AF56132" s="12"/>
    </row>
    <row r="56133" spans="32:32" x14ac:dyDescent="0.2">
      <c r="AF56133" s="12"/>
    </row>
    <row r="56134" spans="32:32" x14ac:dyDescent="0.2">
      <c r="AF56134" s="12"/>
    </row>
    <row r="56135" spans="32:32" x14ac:dyDescent="0.2">
      <c r="AF56135" s="12"/>
    </row>
    <row r="56136" spans="32:32" x14ac:dyDescent="0.2">
      <c r="AF56136" s="12"/>
    </row>
    <row r="56137" spans="32:32" x14ac:dyDescent="0.2">
      <c r="AF56137" s="12"/>
    </row>
    <row r="56138" spans="32:32" x14ac:dyDescent="0.2">
      <c r="AF56138" s="12"/>
    </row>
    <row r="56139" spans="32:32" x14ac:dyDescent="0.2">
      <c r="AF56139" s="12"/>
    </row>
    <row r="56140" spans="32:32" x14ac:dyDescent="0.2">
      <c r="AF56140" s="12"/>
    </row>
    <row r="56141" spans="32:32" x14ac:dyDescent="0.2">
      <c r="AF56141" s="12"/>
    </row>
    <row r="56142" spans="32:32" x14ac:dyDescent="0.2">
      <c r="AF56142" s="12"/>
    </row>
    <row r="56143" spans="32:32" x14ac:dyDescent="0.2">
      <c r="AF56143" s="12"/>
    </row>
    <row r="56144" spans="32:32" x14ac:dyDescent="0.2">
      <c r="AF56144" s="12"/>
    </row>
    <row r="56145" spans="32:32" x14ac:dyDescent="0.2">
      <c r="AF56145" s="12"/>
    </row>
    <row r="56146" spans="32:32" x14ac:dyDescent="0.2">
      <c r="AF56146" s="12"/>
    </row>
    <row r="56147" spans="32:32" x14ac:dyDescent="0.2">
      <c r="AF56147" s="12"/>
    </row>
    <row r="56148" spans="32:32" x14ac:dyDescent="0.2">
      <c r="AF56148" s="12"/>
    </row>
    <row r="56149" spans="32:32" x14ac:dyDescent="0.2">
      <c r="AF56149" s="12"/>
    </row>
    <row r="56150" spans="32:32" x14ac:dyDescent="0.2">
      <c r="AF56150" s="12"/>
    </row>
    <row r="56151" spans="32:32" x14ac:dyDescent="0.2">
      <c r="AF56151" s="12"/>
    </row>
    <row r="56152" spans="32:32" x14ac:dyDescent="0.2">
      <c r="AF56152" s="12"/>
    </row>
    <row r="56153" spans="32:32" x14ac:dyDescent="0.2">
      <c r="AF56153" s="12"/>
    </row>
    <row r="56154" spans="32:32" x14ac:dyDescent="0.2">
      <c r="AF56154" s="12"/>
    </row>
    <row r="56155" spans="32:32" x14ac:dyDescent="0.2">
      <c r="AF56155" s="12"/>
    </row>
    <row r="56156" spans="32:32" x14ac:dyDescent="0.2">
      <c r="AF56156" s="12"/>
    </row>
    <row r="56157" spans="32:32" x14ac:dyDescent="0.2">
      <c r="AF56157" s="12"/>
    </row>
    <row r="56158" spans="32:32" x14ac:dyDescent="0.2">
      <c r="AF56158" s="12"/>
    </row>
    <row r="56159" spans="32:32" x14ac:dyDescent="0.2">
      <c r="AF56159" s="12"/>
    </row>
    <row r="56160" spans="32:32" x14ac:dyDescent="0.2">
      <c r="AF56160" s="12"/>
    </row>
    <row r="56161" spans="32:32" x14ac:dyDescent="0.2">
      <c r="AF56161" s="12"/>
    </row>
    <row r="56162" spans="32:32" x14ac:dyDescent="0.2">
      <c r="AF56162" s="12"/>
    </row>
    <row r="56163" spans="32:32" x14ac:dyDescent="0.2">
      <c r="AF56163" s="12"/>
    </row>
    <row r="56164" spans="32:32" x14ac:dyDescent="0.2">
      <c r="AF56164" s="12"/>
    </row>
    <row r="56165" spans="32:32" x14ac:dyDescent="0.2">
      <c r="AF56165" s="12"/>
    </row>
    <row r="56166" spans="32:32" x14ac:dyDescent="0.2">
      <c r="AF56166" s="12"/>
    </row>
    <row r="56167" spans="32:32" x14ac:dyDescent="0.2">
      <c r="AF56167" s="12"/>
    </row>
    <row r="56168" spans="32:32" x14ac:dyDescent="0.2">
      <c r="AF56168" s="12"/>
    </row>
    <row r="56169" spans="32:32" x14ac:dyDescent="0.2">
      <c r="AF56169" s="12"/>
    </row>
    <row r="56170" spans="32:32" x14ac:dyDescent="0.2">
      <c r="AF56170" s="12"/>
    </row>
    <row r="56171" spans="32:32" x14ac:dyDescent="0.2">
      <c r="AF56171" s="12"/>
    </row>
    <row r="56172" spans="32:32" x14ac:dyDescent="0.2">
      <c r="AF56172" s="12"/>
    </row>
    <row r="56173" spans="32:32" x14ac:dyDescent="0.2">
      <c r="AF56173" s="12"/>
    </row>
    <row r="56174" spans="32:32" x14ac:dyDescent="0.2">
      <c r="AF56174" s="12"/>
    </row>
    <row r="56175" spans="32:32" x14ac:dyDescent="0.2">
      <c r="AF56175" s="12"/>
    </row>
    <row r="56176" spans="32:32" x14ac:dyDescent="0.2">
      <c r="AF56176" s="12"/>
    </row>
    <row r="56177" spans="32:32" x14ac:dyDescent="0.2">
      <c r="AF56177" s="12"/>
    </row>
    <row r="56178" spans="32:32" x14ac:dyDescent="0.2">
      <c r="AF56178" s="12"/>
    </row>
    <row r="56179" spans="32:32" x14ac:dyDescent="0.2">
      <c r="AF56179" s="12"/>
    </row>
    <row r="56180" spans="32:32" x14ac:dyDescent="0.2">
      <c r="AF56180" s="12"/>
    </row>
    <row r="56181" spans="32:32" x14ac:dyDescent="0.2">
      <c r="AF56181" s="12"/>
    </row>
    <row r="56182" spans="32:32" x14ac:dyDescent="0.2">
      <c r="AF56182" s="12"/>
    </row>
    <row r="56183" spans="32:32" x14ac:dyDescent="0.2">
      <c r="AF56183" s="12"/>
    </row>
    <row r="56184" spans="32:32" x14ac:dyDescent="0.2">
      <c r="AF56184" s="12"/>
    </row>
    <row r="56185" spans="32:32" x14ac:dyDescent="0.2">
      <c r="AF56185" s="12"/>
    </row>
    <row r="56186" spans="32:32" x14ac:dyDescent="0.2">
      <c r="AF56186" s="12"/>
    </row>
    <row r="56187" spans="32:32" x14ac:dyDescent="0.2">
      <c r="AF56187" s="12"/>
    </row>
    <row r="56188" spans="32:32" x14ac:dyDescent="0.2">
      <c r="AF56188" s="12"/>
    </row>
    <row r="56189" spans="32:32" x14ac:dyDescent="0.2">
      <c r="AF56189" s="12"/>
    </row>
    <row r="56190" spans="32:32" x14ac:dyDescent="0.2">
      <c r="AF56190" s="12"/>
    </row>
    <row r="56191" spans="32:32" x14ac:dyDescent="0.2">
      <c r="AF56191" s="12"/>
    </row>
    <row r="56192" spans="32:32" x14ac:dyDescent="0.2">
      <c r="AF56192" s="12"/>
    </row>
    <row r="56193" spans="32:32" x14ac:dyDescent="0.2">
      <c r="AF56193" s="12"/>
    </row>
    <row r="56194" spans="32:32" x14ac:dyDescent="0.2">
      <c r="AF56194" s="12"/>
    </row>
    <row r="56195" spans="32:32" x14ac:dyDescent="0.2">
      <c r="AF56195" s="12"/>
    </row>
    <row r="56196" spans="32:32" x14ac:dyDescent="0.2">
      <c r="AF56196" s="12"/>
    </row>
    <row r="56197" spans="32:32" x14ac:dyDescent="0.2">
      <c r="AF56197" s="12"/>
    </row>
    <row r="56198" spans="32:32" x14ac:dyDescent="0.2">
      <c r="AF56198" s="12"/>
    </row>
    <row r="56199" spans="32:32" x14ac:dyDescent="0.2">
      <c r="AF56199" s="12"/>
    </row>
    <row r="56200" spans="32:32" x14ac:dyDescent="0.2">
      <c r="AF56200" s="12"/>
    </row>
    <row r="56201" spans="32:32" x14ac:dyDescent="0.2">
      <c r="AF56201" s="12"/>
    </row>
    <row r="56202" spans="32:32" x14ac:dyDescent="0.2">
      <c r="AF56202" s="12"/>
    </row>
    <row r="56203" spans="32:32" x14ac:dyDescent="0.2">
      <c r="AF56203" s="12"/>
    </row>
    <row r="56204" spans="32:32" x14ac:dyDescent="0.2">
      <c r="AF56204" s="12"/>
    </row>
    <row r="56205" spans="32:32" x14ac:dyDescent="0.2">
      <c r="AF56205" s="12"/>
    </row>
    <row r="56206" spans="32:32" x14ac:dyDescent="0.2">
      <c r="AF56206" s="12"/>
    </row>
    <row r="56207" spans="32:32" x14ac:dyDescent="0.2">
      <c r="AF56207" s="12"/>
    </row>
    <row r="56208" spans="32:32" x14ac:dyDescent="0.2">
      <c r="AF56208" s="12"/>
    </row>
    <row r="56209" spans="32:32" x14ac:dyDescent="0.2">
      <c r="AF56209" s="12"/>
    </row>
    <row r="56210" spans="32:32" x14ac:dyDescent="0.2">
      <c r="AF56210" s="12"/>
    </row>
    <row r="56211" spans="32:32" x14ac:dyDescent="0.2">
      <c r="AF56211" s="12"/>
    </row>
    <row r="56212" spans="32:32" x14ac:dyDescent="0.2">
      <c r="AF56212" s="12"/>
    </row>
    <row r="56213" spans="32:32" x14ac:dyDescent="0.2">
      <c r="AF56213" s="12"/>
    </row>
    <row r="56214" spans="32:32" x14ac:dyDescent="0.2">
      <c r="AF56214" s="12"/>
    </row>
    <row r="56215" spans="32:32" x14ac:dyDescent="0.2">
      <c r="AF56215" s="12"/>
    </row>
    <row r="56216" spans="32:32" x14ac:dyDescent="0.2">
      <c r="AF56216" s="12"/>
    </row>
    <row r="56217" spans="32:32" x14ac:dyDescent="0.2">
      <c r="AF56217" s="12"/>
    </row>
    <row r="56218" spans="32:32" x14ac:dyDescent="0.2">
      <c r="AF56218" s="12"/>
    </row>
    <row r="56219" spans="32:32" x14ac:dyDescent="0.2">
      <c r="AF56219" s="12"/>
    </row>
    <row r="56220" spans="32:32" x14ac:dyDescent="0.2">
      <c r="AF56220" s="12"/>
    </row>
    <row r="56221" spans="32:32" x14ac:dyDescent="0.2">
      <c r="AF56221" s="12"/>
    </row>
    <row r="56222" spans="32:32" x14ac:dyDescent="0.2">
      <c r="AF56222" s="12"/>
    </row>
    <row r="56223" spans="32:32" x14ac:dyDescent="0.2">
      <c r="AF56223" s="12"/>
    </row>
    <row r="56224" spans="32:32" x14ac:dyDescent="0.2">
      <c r="AF56224" s="12"/>
    </row>
    <row r="56225" spans="32:32" x14ac:dyDescent="0.2">
      <c r="AF56225" s="12"/>
    </row>
    <row r="56226" spans="32:32" x14ac:dyDescent="0.2">
      <c r="AF56226" s="12"/>
    </row>
    <row r="56227" spans="32:32" x14ac:dyDescent="0.2">
      <c r="AF56227" s="12"/>
    </row>
    <row r="56228" spans="32:32" x14ac:dyDescent="0.2">
      <c r="AF56228" s="12"/>
    </row>
    <row r="56229" spans="32:32" x14ac:dyDescent="0.2">
      <c r="AF56229" s="12"/>
    </row>
    <row r="56230" spans="32:32" x14ac:dyDescent="0.2">
      <c r="AF56230" s="12"/>
    </row>
    <row r="56231" spans="32:32" x14ac:dyDescent="0.2">
      <c r="AF56231" s="12"/>
    </row>
    <row r="56232" spans="32:32" x14ac:dyDescent="0.2">
      <c r="AF56232" s="12"/>
    </row>
    <row r="56233" spans="32:32" x14ac:dyDescent="0.2">
      <c r="AF56233" s="12"/>
    </row>
    <row r="56234" spans="32:32" x14ac:dyDescent="0.2">
      <c r="AF56234" s="12"/>
    </row>
    <row r="56235" spans="32:32" x14ac:dyDescent="0.2">
      <c r="AF56235" s="12"/>
    </row>
    <row r="56236" spans="32:32" x14ac:dyDescent="0.2">
      <c r="AF56236" s="12"/>
    </row>
    <row r="56237" spans="32:32" x14ac:dyDescent="0.2">
      <c r="AF56237" s="12"/>
    </row>
    <row r="56238" spans="32:32" x14ac:dyDescent="0.2">
      <c r="AF56238" s="12"/>
    </row>
    <row r="56239" spans="32:32" x14ac:dyDescent="0.2">
      <c r="AF56239" s="12"/>
    </row>
    <row r="56240" spans="32:32" x14ac:dyDescent="0.2">
      <c r="AF56240" s="12"/>
    </row>
    <row r="56241" spans="32:32" x14ac:dyDescent="0.2">
      <c r="AF56241" s="12"/>
    </row>
    <row r="56242" spans="32:32" x14ac:dyDescent="0.2">
      <c r="AF56242" s="12"/>
    </row>
    <row r="56243" spans="32:32" x14ac:dyDescent="0.2">
      <c r="AF56243" s="12"/>
    </row>
    <row r="56244" spans="32:32" x14ac:dyDescent="0.2">
      <c r="AF56244" s="12"/>
    </row>
    <row r="56245" spans="32:32" x14ac:dyDescent="0.2">
      <c r="AF56245" s="12"/>
    </row>
    <row r="56246" spans="32:32" x14ac:dyDescent="0.2">
      <c r="AF56246" s="12"/>
    </row>
    <row r="56247" spans="32:32" x14ac:dyDescent="0.2">
      <c r="AF56247" s="12"/>
    </row>
    <row r="56248" spans="32:32" x14ac:dyDescent="0.2">
      <c r="AF56248" s="12"/>
    </row>
    <row r="56249" spans="32:32" x14ac:dyDescent="0.2">
      <c r="AF56249" s="12"/>
    </row>
    <row r="56250" spans="32:32" x14ac:dyDescent="0.2">
      <c r="AF56250" s="12"/>
    </row>
    <row r="56251" spans="32:32" x14ac:dyDescent="0.2">
      <c r="AF56251" s="12"/>
    </row>
    <row r="56252" spans="32:32" x14ac:dyDescent="0.2">
      <c r="AF56252" s="12"/>
    </row>
    <row r="56253" spans="32:32" x14ac:dyDescent="0.2">
      <c r="AF56253" s="12"/>
    </row>
    <row r="56254" spans="32:32" x14ac:dyDescent="0.2">
      <c r="AF56254" s="12"/>
    </row>
    <row r="56255" spans="32:32" x14ac:dyDescent="0.2">
      <c r="AF56255" s="12"/>
    </row>
    <row r="56256" spans="32:32" x14ac:dyDescent="0.2">
      <c r="AF56256" s="12"/>
    </row>
    <row r="56257" spans="32:32" x14ac:dyDescent="0.2">
      <c r="AF56257" s="12"/>
    </row>
    <row r="56258" spans="32:32" x14ac:dyDescent="0.2">
      <c r="AF56258" s="12"/>
    </row>
    <row r="56259" spans="32:32" x14ac:dyDescent="0.2">
      <c r="AF56259" s="12"/>
    </row>
    <row r="56260" spans="32:32" x14ac:dyDescent="0.2">
      <c r="AF56260" s="12"/>
    </row>
    <row r="56261" spans="32:32" x14ac:dyDescent="0.2">
      <c r="AF56261" s="12"/>
    </row>
    <row r="56262" spans="32:32" x14ac:dyDescent="0.2">
      <c r="AF56262" s="12"/>
    </row>
    <row r="56263" spans="32:32" x14ac:dyDescent="0.2">
      <c r="AF56263" s="12"/>
    </row>
    <row r="56264" spans="32:32" x14ac:dyDescent="0.2">
      <c r="AF56264" s="12"/>
    </row>
    <row r="56265" spans="32:32" x14ac:dyDescent="0.2">
      <c r="AF56265" s="12"/>
    </row>
    <row r="56266" spans="32:32" x14ac:dyDescent="0.2">
      <c r="AF56266" s="12"/>
    </row>
    <row r="56267" spans="32:32" x14ac:dyDescent="0.2">
      <c r="AF56267" s="12"/>
    </row>
    <row r="56268" spans="32:32" x14ac:dyDescent="0.2">
      <c r="AF56268" s="12"/>
    </row>
    <row r="56269" spans="32:32" x14ac:dyDescent="0.2">
      <c r="AF56269" s="12"/>
    </row>
    <row r="56270" spans="32:32" x14ac:dyDescent="0.2">
      <c r="AF56270" s="12"/>
    </row>
    <row r="56271" spans="32:32" x14ac:dyDescent="0.2">
      <c r="AF56271" s="12"/>
    </row>
    <row r="56272" spans="32:32" x14ac:dyDescent="0.2">
      <c r="AF56272" s="12"/>
    </row>
    <row r="56273" spans="32:32" x14ac:dyDescent="0.2">
      <c r="AF56273" s="12"/>
    </row>
    <row r="56274" spans="32:32" x14ac:dyDescent="0.2">
      <c r="AF56274" s="12"/>
    </row>
    <row r="56275" spans="32:32" x14ac:dyDescent="0.2">
      <c r="AF56275" s="12"/>
    </row>
    <row r="56276" spans="32:32" x14ac:dyDescent="0.2">
      <c r="AF56276" s="12"/>
    </row>
    <row r="56277" spans="32:32" x14ac:dyDescent="0.2">
      <c r="AF56277" s="12"/>
    </row>
    <row r="56278" spans="32:32" x14ac:dyDescent="0.2">
      <c r="AF56278" s="12"/>
    </row>
    <row r="56279" spans="32:32" x14ac:dyDescent="0.2">
      <c r="AF56279" s="12"/>
    </row>
    <row r="56280" spans="32:32" x14ac:dyDescent="0.2">
      <c r="AF56280" s="12"/>
    </row>
    <row r="56281" spans="32:32" x14ac:dyDescent="0.2">
      <c r="AF56281" s="12"/>
    </row>
    <row r="56282" spans="32:32" x14ac:dyDescent="0.2">
      <c r="AF56282" s="12"/>
    </row>
    <row r="56283" spans="32:32" x14ac:dyDescent="0.2">
      <c r="AF56283" s="12"/>
    </row>
    <row r="56284" spans="32:32" x14ac:dyDescent="0.2">
      <c r="AF56284" s="12"/>
    </row>
    <row r="56285" spans="32:32" x14ac:dyDescent="0.2">
      <c r="AF56285" s="12"/>
    </row>
    <row r="56286" spans="32:32" x14ac:dyDescent="0.2">
      <c r="AF56286" s="12"/>
    </row>
    <row r="56287" spans="32:32" x14ac:dyDescent="0.2">
      <c r="AF56287" s="12"/>
    </row>
    <row r="56288" spans="32:32" x14ac:dyDescent="0.2">
      <c r="AF56288" s="12"/>
    </row>
    <row r="56289" spans="32:32" x14ac:dyDescent="0.2">
      <c r="AF56289" s="12"/>
    </row>
    <row r="56290" spans="32:32" x14ac:dyDescent="0.2">
      <c r="AF56290" s="12"/>
    </row>
    <row r="56291" spans="32:32" x14ac:dyDescent="0.2">
      <c r="AF56291" s="12"/>
    </row>
    <row r="56292" spans="32:32" x14ac:dyDescent="0.2">
      <c r="AF56292" s="12"/>
    </row>
    <row r="56293" spans="32:32" x14ac:dyDescent="0.2">
      <c r="AF56293" s="12"/>
    </row>
    <row r="56294" spans="32:32" x14ac:dyDescent="0.2">
      <c r="AF56294" s="12"/>
    </row>
    <row r="56295" spans="32:32" x14ac:dyDescent="0.2">
      <c r="AF56295" s="12"/>
    </row>
    <row r="56296" spans="32:32" x14ac:dyDescent="0.2">
      <c r="AF56296" s="12"/>
    </row>
    <row r="56297" spans="32:32" x14ac:dyDescent="0.2">
      <c r="AF56297" s="12"/>
    </row>
    <row r="56298" spans="32:32" x14ac:dyDescent="0.2">
      <c r="AF56298" s="12"/>
    </row>
    <row r="56299" spans="32:32" x14ac:dyDescent="0.2">
      <c r="AF56299" s="12"/>
    </row>
    <row r="56300" spans="32:32" x14ac:dyDescent="0.2">
      <c r="AF56300" s="12"/>
    </row>
    <row r="56301" spans="32:32" x14ac:dyDescent="0.2">
      <c r="AF56301" s="12"/>
    </row>
    <row r="56302" spans="32:32" x14ac:dyDescent="0.2">
      <c r="AF56302" s="12"/>
    </row>
    <row r="56303" spans="32:32" x14ac:dyDescent="0.2">
      <c r="AF56303" s="12"/>
    </row>
    <row r="56304" spans="32:32" x14ac:dyDescent="0.2">
      <c r="AF56304" s="12"/>
    </row>
    <row r="56305" spans="32:32" x14ac:dyDescent="0.2">
      <c r="AF56305" s="12"/>
    </row>
    <row r="56306" spans="32:32" x14ac:dyDescent="0.2">
      <c r="AF56306" s="12"/>
    </row>
    <row r="56307" spans="32:32" x14ac:dyDescent="0.2">
      <c r="AF56307" s="12"/>
    </row>
    <row r="56308" spans="32:32" x14ac:dyDescent="0.2">
      <c r="AF56308" s="12"/>
    </row>
    <row r="56309" spans="32:32" x14ac:dyDescent="0.2">
      <c r="AF56309" s="12"/>
    </row>
    <row r="56310" spans="32:32" x14ac:dyDescent="0.2">
      <c r="AF56310" s="12"/>
    </row>
    <row r="56311" spans="32:32" x14ac:dyDescent="0.2">
      <c r="AF56311" s="12"/>
    </row>
    <row r="56312" spans="32:32" x14ac:dyDescent="0.2">
      <c r="AF56312" s="12"/>
    </row>
    <row r="56313" spans="32:32" x14ac:dyDescent="0.2">
      <c r="AF56313" s="12"/>
    </row>
    <row r="56314" spans="32:32" x14ac:dyDescent="0.2">
      <c r="AF56314" s="12"/>
    </row>
    <row r="56315" spans="32:32" x14ac:dyDescent="0.2">
      <c r="AF56315" s="12"/>
    </row>
    <row r="56316" spans="32:32" x14ac:dyDescent="0.2">
      <c r="AF56316" s="12"/>
    </row>
    <row r="56317" spans="32:32" x14ac:dyDescent="0.2">
      <c r="AF56317" s="12"/>
    </row>
    <row r="56318" spans="32:32" x14ac:dyDescent="0.2">
      <c r="AF56318" s="12"/>
    </row>
    <row r="56319" spans="32:32" x14ac:dyDescent="0.2">
      <c r="AF56319" s="12"/>
    </row>
    <row r="56320" spans="32:32" x14ac:dyDescent="0.2">
      <c r="AF56320" s="12"/>
    </row>
    <row r="56321" spans="32:32" x14ac:dyDescent="0.2">
      <c r="AF56321" s="12"/>
    </row>
    <row r="56322" spans="32:32" x14ac:dyDescent="0.2">
      <c r="AF56322" s="12"/>
    </row>
    <row r="56323" spans="32:32" x14ac:dyDescent="0.2">
      <c r="AF56323" s="12"/>
    </row>
    <row r="56324" spans="32:32" x14ac:dyDescent="0.2">
      <c r="AF56324" s="12"/>
    </row>
    <row r="56325" spans="32:32" x14ac:dyDescent="0.2">
      <c r="AF56325" s="12"/>
    </row>
    <row r="56326" spans="32:32" x14ac:dyDescent="0.2">
      <c r="AF56326" s="12"/>
    </row>
    <row r="56327" spans="32:32" x14ac:dyDescent="0.2">
      <c r="AF56327" s="12"/>
    </row>
    <row r="56328" spans="32:32" x14ac:dyDescent="0.2">
      <c r="AF56328" s="12"/>
    </row>
    <row r="56329" spans="32:32" x14ac:dyDescent="0.2">
      <c r="AF56329" s="12"/>
    </row>
    <row r="56330" spans="32:32" x14ac:dyDescent="0.2">
      <c r="AF56330" s="12"/>
    </row>
    <row r="56331" spans="32:32" x14ac:dyDescent="0.2">
      <c r="AF56331" s="12"/>
    </row>
    <row r="56332" spans="32:32" x14ac:dyDescent="0.2">
      <c r="AF56332" s="12"/>
    </row>
    <row r="56333" spans="32:32" x14ac:dyDescent="0.2">
      <c r="AF56333" s="12"/>
    </row>
    <row r="56334" spans="32:32" x14ac:dyDescent="0.2">
      <c r="AF56334" s="12"/>
    </row>
    <row r="56335" spans="32:32" x14ac:dyDescent="0.2">
      <c r="AF56335" s="12"/>
    </row>
    <row r="56336" spans="32:32" x14ac:dyDescent="0.2">
      <c r="AF56336" s="12"/>
    </row>
    <row r="56337" spans="32:32" x14ac:dyDescent="0.2">
      <c r="AF56337" s="12"/>
    </row>
    <row r="56338" spans="32:32" x14ac:dyDescent="0.2">
      <c r="AF56338" s="12"/>
    </row>
    <row r="56339" spans="32:32" x14ac:dyDescent="0.2">
      <c r="AF56339" s="12"/>
    </row>
    <row r="56340" spans="32:32" x14ac:dyDescent="0.2">
      <c r="AF56340" s="12"/>
    </row>
    <row r="56341" spans="32:32" x14ac:dyDescent="0.2">
      <c r="AF56341" s="12"/>
    </row>
    <row r="56342" spans="32:32" x14ac:dyDescent="0.2">
      <c r="AF56342" s="12"/>
    </row>
    <row r="56343" spans="32:32" x14ac:dyDescent="0.2">
      <c r="AF56343" s="12"/>
    </row>
    <row r="56344" spans="32:32" x14ac:dyDescent="0.2">
      <c r="AF56344" s="12"/>
    </row>
    <row r="56345" spans="32:32" x14ac:dyDescent="0.2">
      <c r="AF56345" s="12"/>
    </row>
    <row r="56346" spans="32:32" x14ac:dyDescent="0.2">
      <c r="AF56346" s="12"/>
    </row>
    <row r="56347" spans="32:32" x14ac:dyDescent="0.2">
      <c r="AF56347" s="12"/>
    </row>
    <row r="56348" spans="32:32" x14ac:dyDescent="0.2">
      <c r="AF56348" s="12"/>
    </row>
    <row r="56349" spans="32:32" x14ac:dyDescent="0.2">
      <c r="AF56349" s="12"/>
    </row>
    <row r="56350" spans="32:32" x14ac:dyDescent="0.2">
      <c r="AF56350" s="12"/>
    </row>
    <row r="56351" spans="32:32" x14ac:dyDescent="0.2">
      <c r="AF56351" s="12"/>
    </row>
    <row r="56352" spans="32:32" x14ac:dyDescent="0.2">
      <c r="AF56352" s="12"/>
    </row>
    <row r="56353" spans="32:32" x14ac:dyDescent="0.2">
      <c r="AF56353" s="12"/>
    </row>
    <row r="56354" spans="32:32" x14ac:dyDescent="0.2">
      <c r="AF56354" s="12"/>
    </row>
    <row r="56355" spans="32:32" x14ac:dyDescent="0.2">
      <c r="AF56355" s="12"/>
    </row>
    <row r="56356" spans="32:32" x14ac:dyDescent="0.2">
      <c r="AF56356" s="12"/>
    </row>
    <row r="56357" spans="32:32" x14ac:dyDescent="0.2">
      <c r="AF56357" s="12"/>
    </row>
    <row r="56358" spans="32:32" x14ac:dyDescent="0.2">
      <c r="AF56358" s="12"/>
    </row>
    <row r="56359" spans="32:32" x14ac:dyDescent="0.2">
      <c r="AF56359" s="12"/>
    </row>
    <row r="56360" spans="32:32" x14ac:dyDescent="0.2">
      <c r="AF56360" s="12"/>
    </row>
    <row r="56361" spans="32:32" x14ac:dyDescent="0.2">
      <c r="AF56361" s="12"/>
    </row>
    <row r="56362" spans="32:32" x14ac:dyDescent="0.2">
      <c r="AF56362" s="12"/>
    </row>
    <row r="56363" spans="32:32" x14ac:dyDescent="0.2">
      <c r="AF56363" s="12"/>
    </row>
    <row r="56364" spans="32:32" x14ac:dyDescent="0.2">
      <c r="AF56364" s="12"/>
    </row>
    <row r="56365" spans="32:32" x14ac:dyDescent="0.2">
      <c r="AF56365" s="12"/>
    </row>
    <row r="56366" spans="32:32" x14ac:dyDescent="0.2">
      <c r="AF56366" s="12"/>
    </row>
    <row r="56367" spans="32:32" x14ac:dyDescent="0.2">
      <c r="AF56367" s="12"/>
    </row>
    <row r="56368" spans="32:32" x14ac:dyDescent="0.2">
      <c r="AF56368" s="12"/>
    </row>
    <row r="56369" spans="32:32" x14ac:dyDescent="0.2">
      <c r="AF56369" s="12"/>
    </row>
    <row r="56370" spans="32:32" x14ac:dyDescent="0.2">
      <c r="AF56370" s="12"/>
    </row>
    <row r="56371" spans="32:32" x14ac:dyDescent="0.2">
      <c r="AF56371" s="12"/>
    </row>
    <row r="56372" spans="32:32" x14ac:dyDescent="0.2">
      <c r="AF56372" s="12"/>
    </row>
    <row r="56373" spans="32:32" x14ac:dyDescent="0.2">
      <c r="AF56373" s="12"/>
    </row>
    <row r="56374" spans="32:32" x14ac:dyDescent="0.2">
      <c r="AF56374" s="12"/>
    </row>
    <row r="56375" spans="32:32" x14ac:dyDescent="0.2">
      <c r="AF56375" s="12"/>
    </row>
    <row r="56376" spans="32:32" x14ac:dyDescent="0.2">
      <c r="AF56376" s="12"/>
    </row>
    <row r="56377" spans="32:32" x14ac:dyDescent="0.2">
      <c r="AF56377" s="12"/>
    </row>
    <row r="56378" spans="32:32" x14ac:dyDescent="0.2">
      <c r="AF56378" s="12"/>
    </row>
    <row r="56379" spans="32:32" x14ac:dyDescent="0.2">
      <c r="AF56379" s="12"/>
    </row>
    <row r="56380" spans="32:32" x14ac:dyDescent="0.2">
      <c r="AF56380" s="12"/>
    </row>
    <row r="56381" spans="32:32" x14ac:dyDescent="0.2">
      <c r="AF56381" s="12"/>
    </row>
    <row r="56382" spans="32:32" x14ac:dyDescent="0.2">
      <c r="AF56382" s="12"/>
    </row>
    <row r="56383" spans="32:32" x14ac:dyDescent="0.2">
      <c r="AF56383" s="12"/>
    </row>
    <row r="56384" spans="32:32" x14ac:dyDescent="0.2">
      <c r="AF56384" s="12"/>
    </row>
    <row r="56385" spans="32:32" x14ac:dyDescent="0.2">
      <c r="AF56385" s="12"/>
    </row>
    <row r="56386" spans="32:32" x14ac:dyDescent="0.2">
      <c r="AF56386" s="12"/>
    </row>
    <row r="56387" spans="32:32" x14ac:dyDescent="0.2">
      <c r="AF56387" s="12"/>
    </row>
    <row r="56388" spans="32:32" x14ac:dyDescent="0.2">
      <c r="AF56388" s="12"/>
    </row>
    <row r="56389" spans="32:32" x14ac:dyDescent="0.2">
      <c r="AF56389" s="12"/>
    </row>
    <row r="56390" spans="32:32" x14ac:dyDescent="0.2">
      <c r="AF56390" s="12"/>
    </row>
    <row r="56391" spans="32:32" x14ac:dyDescent="0.2">
      <c r="AF56391" s="12"/>
    </row>
    <row r="56392" spans="32:32" x14ac:dyDescent="0.2">
      <c r="AF56392" s="12"/>
    </row>
    <row r="56393" spans="32:32" x14ac:dyDescent="0.2">
      <c r="AF56393" s="12"/>
    </row>
    <row r="56394" spans="32:32" x14ac:dyDescent="0.2">
      <c r="AF56394" s="12"/>
    </row>
    <row r="56395" spans="32:32" x14ac:dyDescent="0.2">
      <c r="AF56395" s="12"/>
    </row>
    <row r="56396" spans="32:32" x14ac:dyDescent="0.2">
      <c r="AF56396" s="12"/>
    </row>
    <row r="56397" spans="32:32" x14ac:dyDescent="0.2">
      <c r="AF56397" s="12"/>
    </row>
    <row r="56398" spans="32:32" x14ac:dyDescent="0.2">
      <c r="AF56398" s="12"/>
    </row>
    <row r="56399" spans="32:32" x14ac:dyDescent="0.2">
      <c r="AF56399" s="12"/>
    </row>
    <row r="56400" spans="32:32" x14ac:dyDescent="0.2">
      <c r="AF56400" s="12"/>
    </row>
    <row r="56401" spans="32:32" x14ac:dyDescent="0.2">
      <c r="AF56401" s="12"/>
    </row>
    <row r="56402" spans="32:32" x14ac:dyDescent="0.2">
      <c r="AF56402" s="12"/>
    </row>
    <row r="56403" spans="32:32" x14ac:dyDescent="0.2">
      <c r="AF56403" s="12"/>
    </row>
    <row r="56404" spans="32:32" x14ac:dyDescent="0.2">
      <c r="AF56404" s="12"/>
    </row>
    <row r="56405" spans="32:32" x14ac:dyDescent="0.2">
      <c r="AF56405" s="12"/>
    </row>
    <row r="56406" spans="32:32" x14ac:dyDescent="0.2">
      <c r="AF56406" s="12"/>
    </row>
    <row r="56407" spans="32:32" x14ac:dyDescent="0.2">
      <c r="AF56407" s="12"/>
    </row>
    <row r="56408" spans="32:32" x14ac:dyDescent="0.2">
      <c r="AF56408" s="12"/>
    </row>
    <row r="56409" spans="32:32" x14ac:dyDescent="0.2">
      <c r="AF56409" s="12"/>
    </row>
    <row r="56410" spans="32:32" x14ac:dyDescent="0.2">
      <c r="AF56410" s="12"/>
    </row>
    <row r="56411" spans="32:32" x14ac:dyDescent="0.2">
      <c r="AF56411" s="12"/>
    </row>
    <row r="56412" spans="32:32" x14ac:dyDescent="0.2">
      <c r="AF56412" s="12"/>
    </row>
    <row r="56413" spans="32:32" x14ac:dyDescent="0.2">
      <c r="AF56413" s="12"/>
    </row>
    <row r="56414" spans="32:32" x14ac:dyDescent="0.2">
      <c r="AF56414" s="12"/>
    </row>
    <row r="56415" spans="32:32" x14ac:dyDescent="0.2">
      <c r="AF56415" s="12"/>
    </row>
    <row r="56416" spans="32:32" x14ac:dyDescent="0.2">
      <c r="AF56416" s="12"/>
    </row>
    <row r="56417" spans="32:32" x14ac:dyDescent="0.2">
      <c r="AF56417" s="12"/>
    </row>
    <row r="56418" spans="32:32" x14ac:dyDescent="0.2">
      <c r="AF56418" s="12"/>
    </row>
    <row r="56419" spans="32:32" x14ac:dyDescent="0.2">
      <c r="AF56419" s="12"/>
    </row>
    <row r="56420" spans="32:32" x14ac:dyDescent="0.2">
      <c r="AF56420" s="12"/>
    </row>
    <row r="56421" spans="32:32" x14ac:dyDescent="0.2">
      <c r="AF56421" s="12"/>
    </row>
    <row r="56422" spans="32:32" x14ac:dyDescent="0.2">
      <c r="AF56422" s="12"/>
    </row>
    <row r="56423" spans="32:32" x14ac:dyDescent="0.2">
      <c r="AF56423" s="12"/>
    </row>
    <row r="56424" spans="32:32" x14ac:dyDescent="0.2">
      <c r="AF56424" s="12"/>
    </row>
    <row r="56425" spans="32:32" x14ac:dyDescent="0.2">
      <c r="AF56425" s="12"/>
    </row>
    <row r="56426" spans="32:32" x14ac:dyDescent="0.2">
      <c r="AF56426" s="12"/>
    </row>
    <row r="56427" spans="32:32" x14ac:dyDescent="0.2">
      <c r="AF56427" s="12"/>
    </row>
    <row r="56428" spans="32:32" x14ac:dyDescent="0.2">
      <c r="AF56428" s="12"/>
    </row>
    <row r="56429" spans="32:32" x14ac:dyDescent="0.2">
      <c r="AF56429" s="12"/>
    </row>
    <row r="56430" spans="32:32" x14ac:dyDescent="0.2">
      <c r="AF56430" s="12"/>
    </row>
    <row r="56431" spans="32:32" x14ac:dyDescent="0.2">
      <c r="AF56431" s="12"/>
    </row>
    <row r="56432" spans="32:32" x14ac:dyDescent="0.2">
      <c r="AF56432" s="12"/>
    </row>
    <row r="56433" spans="32:32" x14ac:dyDescent="0.2">
      <c r="AF56433" s="12"/>
    </row>
    <row r="56434" spans="32:32" x14ac:dyDescent="0.2">
      <c r="AF56434" s="12"/>
    </row>
    <row r="56435" spans="32:32" x14ac:dyDescent="0.2">
      <c r="AF56435" s="12"/>
    </row>
    <row r="56436" spans="32:32" x14ac:dyDescent="0.2">
      <c r="AF56436" s="12"/>
    </row>
    <row r="56437" spans="32:32" x14ac:dyDescent="0.2">
      <c r="AF56437" s="12"/>
    </row>
    <row r="56438" spans="32:32" x14ac:dyDescent="0.2">
      <c r="AF56438" s="12"/>
    </row>
    <row r="56439" spans="32:32" x14ac:dyDescent="0.2">
      <c r="AF56439" s="12"/>
    </row>
    <row r="56440" spans="32:32" x14ac:dyDescent="0.2">
      <c r="AF56440" s="12"/>
    </row>
    <row r="56441" spans="32:32" x14ac:dyDescent="0.2">
      <c r="AF56441" s="12"/>
    </row>
    <row r="56442" spans="32:32" x14ac:dyDescent="0.2">
      <c r="AF56442" s="12"/>
    </row>
    <row r="56443" spans="32:32" x14ac:dyDescent="0.2">
      <c r="AF56443" s="12"/>
    </row>
    <row r="56444" spans="32:32" x14ac:dyDescent="0.2">
      <c r="AF56444" s="12"/>
    </row>
    <row r="56445" spans="32:32" x14ac:dyDescent="0.2">
      <c r="AF56445" s="12"/>
    </row>
    <row r="56446" spans="32:32" x14ac:dyDescent="0.2">
      <c r="AF56446" s="12"/>
    </row>
    <row r="56447" spans="32:32" x14ac:dyDescent="0.2">
      <c r="AF56447" s="12"/>
    </row>
    <row r="56448" spans="32:32" x14ac:dyDescent="0.2">
      <c r="AF56448" s="12"/>
    </row>
    <row r="56449" spans="32:32" x14ac:dyDescent="0.2">
      <c r="AF56449" s="12"/>
    </row>
    <row r="56450" spans="32:32" x14ac:dyDescent="0.2">
      <c r="AF56450" s="12"/>
    </row>
    <row r="56451" spans="32:32" x14ac:dyDescent="0.2">
      <c r="AF56451" s="12"/>
    </row>
    <row r="56452" spans="32:32" x14ac:dyDescent="0.2">
      <c r="AF56452" s="12"/>
    </row>
    <row r="56453" spans="32:32" x14ac:dyDescent="0.2">
      <c r="AF56453" s="12"/>
    </row>
    <row r="56454" spans="32:32" x14ac:dyDescent="0.2">
      <c r="AF56454" s="12"/>
    </row>
    <row r="56455" spans="32:32" x14ac:dyDescent="0.2">
      <c r="AF56455" s="12"/>
    </row>
    <row r="56456" spans="32:32" x14ac:dyDescent="0.2">
      <c r="AF56456" s="12"/>
    </row>
    <row r="56457" spans="32:32" x14ac:dyDescent="0.2">
      <c r="AF56457" s="12"/>
    </row>
    <row r="56458" spans="32:32" x14ac:dyDescent="0.2">
      <c r="AF56458" s="12"/>
    </row>
    <row r="56459" spans="32:32" x14ac:dyDescent="0.2">
      <c r="AF56459" s="12"/>
    </row>
    <row r="56460" spans="32:32" x14ac:dyDescent="0.2">
      <c r="AF56460" s="12"/>
    </row>
    <row r="56461" spans="32:32" x14ac:dyDescent="0.2">
      <c r="AF56461" s="12"/>
    </row>
    <row r="56462" spans="32:32" x14ac:dyDescent="0.2">
      <c r="AF56462" s="12"/>
    </row>
    <row r="56463" spans="32:32" x14ac:dyDescent="0.2">
      <c r="AF56463" s="12"/>
    </row>
    <row r="56464" spans="32:32" x14ac:dyDescent="0.2">
      <c r="AF56464" s="12"/>
    </row>
    <row r="56465" spans="32:32" x14ac:dyDescent="0.2">
      <c r="AF56465" s="12"/>
    </row>
    <row r="56466" spans="32:32" x14ac:dyDescent="0.2">
      <c r="AF56466" s="12"/>
    </row>
    <row r="56467" spans="32:32" x14ac:dyDescent="0.2">
      <c r="AF56467" s="12"/>
    </row>
    <row r="56468" spans="32:32" x14ac:dyDescent="0.2">
      <c r="AF56468" s="12"/>
    </row>
    <row r="56469" spans="32:32" x14ac:dyDescent="0.2">
      <c r="AF56469" s="12"/>
    </row>
    <row r="56470" spans="32:32" x14ac:dyDescent="0.2">
      <c r="AF56470" s="12"/>
    </row>
    <row r="56471" spans="32:32" x14ac:dyDescent="0.2">
      <c r="AF56471" s="12"/>
    </row>
    <row r="56472" spans="32:32" x14ac:dyDescent="0.2">
      <c r="AF56472" s="12"/>
    </row>
    <row r="56473" spans="32:32" x14ac:dyDescent="0.2">
      <c r="AF56473" s="12"/>
    </row>
    <row r="56474" spans="32:32" x14ac:dyDescent="0.2">
      <c r="AF56474" s="12"/>
    </row>
    <row r="56475" spans="32:32" x14ac:dyDescent="0.2">
      <c r="AF56475" s="12"/>
    </row>
    <row r="56476" spans="32:32" x14ac:dyDescent="0.2">
      <c r="AF56476" s="12"/>
    </row>
    <row r="56477" spans="32:32" x14ac:dyDescent="0.2">
      <c r="AF56477" s="12"/>
    </row>
    <row r="56478" spans="32:32" x14ac:dyDescent="0.2">
      <c r="AF56478" s="12"/>
    </row>
    <row r="56479" spans="32:32" x14ac:dyDescent="0.2">
      <c r="AF56479" s="12"/>
    </row>
    <row r="56480" spans="32:32" x14ac:dyDescent="0.2">
      <c r="AF56480" s="12"/>
    </row>
    <row r="56481" spans="32:32" x14ac:dyDescent="0.2">
      <c r="AF56481" s="12"/>
    </row>
    <row r="56482" spans="32:32" x14ac:dyDescent="0.2">
      <c r="AF56482" s="12"/>
    </row>
    <row r="56483" spans="32:32" x14ac:dyDescent="0.2">
      <c r="AF56483" s="12"/>
    </row>
    <row r="56484" spans="32:32" x14ac:dyDescent="0.2">
      <c r="AF56484" s="12"/>
    </row>
    <row r="56485" spans="32:32" x14ac:dyDescent="0.2">
      <c r="AF56485" s="12"/>
    </row>
    <row r="56486" spans="32:32" x14ac:dyDescent="0.2">
      <c r="AF56486" s="12"/>
    </row>
    <row r="56487" spans="32:32" x14ac:dyDescent="0.2">
      <c r="AF56487" s="12"/>
    </row>
    <row r="56488" spans="32:32" x14ac:dyDescent="0.2">
      <c r="AF56488" s="12"/>
    </row>
    <row r="56489" spans="32:32" x14ac:dyDescent="0.2">
      <c r="AF56489" s="12"/>
    </row>
    <row r="56490" spans="32:32" x14ac:dyDescent="0.2">
      <c r="AF56490" s="12"/>
    </row>
    <row r="56491" spans="32:32" x14ac:dyDescent="0.2">
      <c r="AF56491" s="12"/>
    </row>
    <row r="56492" spans="32:32" x14ac:dyDescent="0.2">
      <c r="AF56492" s="12"/>
    </row>
    <row r="56493" spans="32:32" x14ac:dyDescent="0.2">
      <c r="AF56493" s="12"/>
    </row>
    <row r="56494" spans="32:32" x14ac:dyDescent="0.2">
      <c r="AF56494" s="12"/>
    </row>
    <row r="56495" spans="32:32" x14ac:dyDescent="0.2">
      <c r="AF56495" s="12"/>
    </row>
    <row r="56496" spans="32:32" x14ac:dyDescent="0.2">
      <c r="AF56496" s="12"/>
    </row>
    <row r="56497" spans="32:32" x14ac:dyDescent="0.2">
      <c r="AF56497" s="12"/>
    </row>
    <row r="56498" spans="32:32" x14ac:dyDescent="0.2">
      <c r="AF56498" s="12"/>
    </row>
    <row r="56499" spans="32:32" x14ac:dyDescent="0.2">
      <c r="AF56499" s="12"/>
    </row>
    <row r="56500" spans="32:32" x14ac:dyDescent="0.2">
      <c r="AF56500" s="12"/>
    </row>
    <row r="56501" spans="32:32" x14ac:dyDescent="0.2">
      <c r="AF56501" s="12"/>
    </row>
    <row r="56502" spans="32:32" x14ac:dyDescent="0.2">
      <c r="AF56502" s="12"/>
    </row>
    <row r="56503" spans="32:32" x14ac:dyDescent="0.2">
      <c r="AF56503" s="12"/>
    </row>
    <row r="56504" spans="32:32" x14ac:dyDescent="0.2">
      <c r="AF56504" s="12"/>
    </row>
    <row r="56505" spans="32:32" x14ac:dyDescent="0.2">
      <c r="AF56505" s="12"/>
    </row>
    <row r="56506" spans="32:32" x14ac:dyDescent="0.2">
      <c r="AF56506" s="12"/>
    </row>
    <row r="56507" spans="32:32" x14ac:dyDescent="0.2">
      <c r="AF56507" s="12"/>
    </row>
    <row r="56508" spans="32:32" x14ac:dyDescent="0.2">
      <c r="AF56508" s="12"/>
    </row>
    <row r="56509" spans="32:32" x14ac:dyDescent="0.2">
      <c r="AF56509" s="12"/>
    </row>
    <row r="56510" spans="32:32" x14ac:dyDescent="0.2">
      <c r="AF56510" s="12"/>
    </row>
    <row r="56511" spans="32:32" x14ac:dyDescent="0.2">
      <c r="AF56511" s="12"/>
    </row>
    <row r="56512" spans="32:32" x14ac:dyDescent="0.2">
      <c r="AF56512" s="12"/>
    </row>
    <row r="56513" spans="32:32" x14ac:dyDescent="0.2">
      <c r="AF56513" s="12"/>
    </row>
    <row r="56514" spans="32:32" x14ac:dyDescent="0.2">
      <c r="AF56514" s="12"/>
    </row>
    <row r="56515" spans="32:32" x14ac:dyDescent="0.2">
      <c r="AF56515" s="12"/>
    </row>
    <row r="56516" spans="32:32" x14ac:dyDescent="0.2">
      <c r="AF56516" s="12"/>
    </row>
    <row r="56517" spans="32:32" x14ac:dyDescent="0.2">
      <c r="AF56517" s="12"/>
    </row>
    <row r="56518" spans="32:32" x14ac:dyDescent="0.2">
      <c r="AF56518" s="12"/>
    </row>
    <row r="56519" spans="32:32" x14ac:dyDescent="0.2">
      <c r="AF56519" s="12"/>
    </row>
    <row r="56520" spans="32:32" x14ac:dyDescent="0.2">
      <c r="AF56520" s="12"/>
    </row>
    <row r="56521" spans="32:32" x14ac:dyDescent="0.2">
      <c r="AF56521" s="12"/>
    </row>
    <row r="56522" spans="32:32" x14ac:dyDescent="0.2">
      <c r="AF56522" s="12"/>
    </row>
    <row r="56523" spans="32:32" x14ac:dyDescent="0.2">
      <c r="AF56523" s="12"/>
    </row>
    <row r="56524" spans="32:32" x14ac:dyDescent="0.2">
      <c r="AF56524" s="12"/>
    </row>
    <row r="56525" spans="32:32" x14ac:dyDescent="0.2">
      <c r="AF56525" s="12"/>
    </row>
    <row r="56526" spans="32:32" x14ac:dyDescent="0.2">
      <c r="AF56526" s="12"/>
    </row>
    <row r="56527" spans="32:32" x14ac:dyDescent="0.2">
      <c r="AF56527" s="12"/>
    </row>
    <row r="56528" spans="32:32" x14ac:dyDescent="0.2">
      <c r="AF56528" s="12"/>
    </row>
    <row r="56529" spans="32:32" x14ac:dyDescent="0.2">
      <c r="AF56529" s="12"/>
    </row>
    <row r="56530" spans="32:32" x14ac:dyDescent="0.2">
      <c r="AF56530" s="12"/>
    </row>
    <row r="56531" spans="32:32" x14ac:dyDescent="0.2">
      <c r="AF56531" s="12"/>
    </row>
    <row r="56532" spans="32:32" x14ac:dyDescent="0.2">
      <c r="AF56532" s="12"/>
    </row>
    <row r="56533" spans="32:32" x14ac:dyDescent="0.2">
      <c r="AF56533" s="12"/>
    </row>
    <row r="56534" spans="32:32" x14ac:dyDescent="0.2">
      <c r="AF56534" s="12"/>
    </row>
    <row r="56535" spans="32:32" x14ac:dyDescent="0.2">
      <c r="AF56535" s="12"/>
    </row>
    <row r="56536" spans="32:32" x14ac:dyDescent="0.2">
      <c r="AF56536" s="12"/>
    </row>
    <row r="56537" spans="32:32" x14ac:dyDescent="0.2">
      <c r="AF56537" s="12"/>
    </row>
    <row r="56538" spans="32:32" x14ac:dyDescent="0.2">
      <c r="AF56538" s="12"/>
    </row>
    <row r="56539" spans="32:32" x14ac:dyDescent="0.2">
      <c r="AF56539" s="12"/>
    </row>
    <row r="56540" spans="32:32" x14ac:dyDescent="0.2">
      <c r="AF56540" s="12"/>
    </row>
    <row r="56541" spans="32:32" x14ac:dyDescent="0.2">
      <c r="AF56541" s="12"/>
    </row>
    <row r="56542" spans="32:32" x14ac:dyDescent="0.2">
      <c r="AF56542" s="12"/>
    </row>
    <row r="56543" spans="32:32" x14ac:dyDescent="0.2">
      <c r="AF56543" s="12"/>
    </row>
    <row r="56544" spans="32:32" x14ac:dyDescent="0.2">
      <c r="AF56544" s="12"/>
    </row>
    <row r="56545" spans="32:32" x14ac:dyDescent="0.2">
      <c r="AF56545" s="12"/>
    </row>
    <row r="56546" spans="32:32" x14ac:dyDescent="0.2">
      <c r="AF56546" s="12"/>
    </row>
    <row r="56547" spans="32:32" x14ac:dyDescent="0.2">
      <c r="AF56547" s="12"/>
    </row>
    <row r="56548" spans="32:32" x14ac:dyDescent="0.2">
      <c r="AF56548" s="12"/>
    </row>
    <row r="56549" spans="32:32" x14ac:dyDescent="0.2">
      <c r="AF56549" s="12"/>
    </row>
    <row r="56550" spans="32:32" x14ac:dyDescent="0.2">
      <c r="AF56550" s="12"/>
    </row>
    <row r="56551" spans="32:32" x14ac:dyDescent="0.2">
      <c r="AF56551" s="12"/>
    </row>
    <row r="56552" spans="32:32" x14ac:dyDescent="0.2">
      <c r="AF56552" s="12"/>
    </row>
    <row r="56553" spans="32:32" x14ac:dyDescent="0.2">
      <c r="AF56553" s="12"/>
    </row>
    <row r="56554" spans="32:32" x14ac:dyDescent="0.2">
      <c r="AF56554" s="12"/>
    </row>
    <row r="56555" spans="32:32" x14ac:dyDescent="0.2">
      <c r="AF56555" s="12"/>
    </row>
    <row r="56556" spans="32:32" x14ac:dyDescent="0.2">
      <c r="AF56556" s="12"/>
    </row>
    <row r="56557" spans="32:32" x14ac:dyDescent="0.2">
      <c r="AF56557" s="12"/>
    </row>
    <row r="56558" spans="32:32" x14ac:dyDescent="0.2">
      <c r="AF56558" s="12"/>
    </row>
    <row r="56559" spans="32:32" x14ac:dyDescent="0.2">
      <c r="AF56559" s="12"/>
    </row>
    <row r="56560" spans="32:32" x14ac:dyDescent="0.2">
      <c r="AF56560" s="12"/>
    </row>
    <row r="56561" spans="32:32" x14ac:dyDescent="0.2">
      <c r="AF56561" s="12"/>
    </row>
    <row r="56562" spans="32:32" x14ac:dyDescent="0.2">
      <c r="AF56562" s="12"/>
    </row>
    <row r="56563" spans="32:32" x14ac:dyDescent="0.2">
      <c r="AF56563" s="12"/>
    </row>
    <row r="56564" spans="32:32" x14ac:dyDescent="0.2">
      <c r="AF56564" s="12"/>
    </row>
    <row r="56565" spans="32:32" x14ac:dyDescent="0.2">
      <c r="AF56565" s="12"/>
    </row>
    <row r="56566" spans="32:32" x14ac:dyDescent="0.2">
      <c r="AF56566" s="12"/>
    </row>
    <row r="56567" spans="32:32" x14ac:dyDescent="0.2">
      <c r="AF56567" s="12"/>
    </row>
    <row r="56568" spans="32:32" x14ac:dyDescent="0.2">
      <c r="AF56568" s="12"/>
    </row>
    <row r="56569" spans="32:32" x14ac:dyDescent="0.2">
      <c r="AF56569" s="12"/>
    </row>
    <row r="56570" spans="32:32" x14ac:dyDescent="0.2">
      <c r="AF56570" s="12"/>
    </row>
    <row r="56571" spans="32:32" x14ac:dyDescent="0.2">
      <c r="AF56571" s="12"/>
    </row>
    <row r="56572" spans="32:32" x14ac:dyDescent="0.2">
      <c r="AF56572" s="12"/>
    </row>
    <row r="56573" spans="32:32" x14ac:dyDescent="0.2">
      <c r="AF56573" s="12"/>
    </row>
    <row r="56574" spans="32:32" x14ac:dyDescent="0.2">
      <c r="AF56574" s="12"/>
    </row>
    <row r="56575" spans="32:32" x14ac:dyDescent="0.2">
      <c r="AF56575" s="12"/>
    </row>
    <row r="56576" spans="32:32" x14ac:dyDescent="0.2">
      <c r="AF56576" s="12"/>
    </row>
    <row r="56577" spans="32:32" x14ac:dyDescent="0.2">
      <c r="AF56577" s="12"/>
    </row>
    <row r="56578" spans="32:32" x14ac:dyDescent="0.2">
      <c r="AF56578" s="12"/>
    </row>
    <row r="56579" spans="32:32" x14ac:dyDescent="0.2">
      <c r="AF56579" s="12"/>
    </row>
    <row r="56580" spans="32:32" x14ac:dyDescent="0.2">
      <c r="AF56580" s="12"/>
    </row>
    <row r="56581" spans="32:32" x14ac:dyDescent="0.2">
      <c r="AF56581" s="12"/>
    </row>
    <row r="56582" spans="32:32" x14ac:dyDescent="0.2">
      <c r="AF56582" s="12"/>
    </row>
    <row r="56583" spans="32:32" x14ac:dyDescent="0.2">
      <c r="AF56583" s="12"/>
    </row>
    <row r="56584" spans="32:32" x14ac:dyDescent="0.2">
      <c r="AF56584" s="12"/>
    </row>
    <row r="56585" spans="32:32" x14ac:dyDescent="0.2">
      <c r="AF56585" s="12"/>
    </row>
    <row r="56586" spans="32:32" x14ac:dyDescent="0.2">
      <c r="AF56586" s="12"/>
    </row>
    <row r="56587" spans="32:32" x14ac:dyDescent="0.2">
      <c r="AF56587" s="12"/>
    </row>
    <row r="56588" spans="32:32" x14ac:dyDescent="0.2">
      <c r="AF56588" s="12"/>
    </row>
    <row r="56589" spans="32:32" x14ac:dyDescent="0.2">
      <c r="AF56589" s="12"/>
    </row>
    <row r="56590" spans="32:32" x14ac:dyDescent="0.2">
      <c r="AF56590" s="12"/>
    </row>
    <row r="56591" spans="32:32" x14ac:dyDescent="0.2">
      <c r="AF56591" s="12"/>
    </row>
    <row r="56592" spans="32:32" x14ac:dyDescent="0.2">
      <c r="AF56592" s="12"/>
    </row>
    <row r="56593" spans="32:32" x14ac:dyDescent="0.2">
      <c r="AF56593" s="12"/>
    </row>
    <row r="56594" spans="32:32" x14ac:dyDescent="0.2">
      <c r="AF56594" s="12"/>
    </row>
    <row r="56595" spans="32:32" x14ac:dyDescent="0.2">
      <c r="AF56595" s="12"/>
    </row>
    <row r="56596" spans="32:32" x14ac:dyDescent="0.2">
      <c r="AF56596" s="12"/>
    </row>
    <row r="56597" spans="32:32" x14ac:dyDescent="0.2">
      <c r="AF56597" s="12"/>
    </row>
    <row r="56598" spans="32:32" x14ac:dyDescent="0.2">
      <c r="AF56598" s="12"/>
    </row>
    <row r="56599" spans="32:32" x14ac:dyDescent="0.2">
      <c r="AF56599" s="12"/>
    </row>
    <row r="56600" spans="32:32" x14ac:dyDescent="0.2">
      <c r="AF56600" s="12"/>
    </row>
    <row r="56601" spans="32:32" x14ac:dyDescent="0.2">
      <c r="AF56601" s="12"/>
    </row>
    <row r="56602" spans="32:32" x14ac:dyDescent="0.2">
      <c r="AF56602" s="12"/>
    </row>
    <row r="56603" spans="32:32" x14ac:dyDescent="0.2">
      <c r="AF56603" s="12"/>
    </row>
    <row r="56604" spans="32:32" x14ac:dyDescent="0.2">
      <c r="AF56604" s="12"/>
    </row>
    <row r="56605" spans="32:32" x14ac:dyDescent="0.2">
      <c r="AF56605" s="12"/>
    </row>
    <row r="56606" spans="32:32" x14ac:dyDescent="0.2">
      <c r="AF56606" s="12"/>
    </row>
    <row r="56607" spans="32:32" x14ac:dyDescent="0.2">
      <c r="AF56607" s="12"/>
    </row>
    <row r="56608" spans="32:32" x14ac:dyDescent="0.2">
      <c r="AF56608" s="12"/>
    </row>
    <row r="56609" spans="32:32" x14ac:dyDescent="0.2">
      <c r="AF56609" s="12"/>
    </row>
    <row r="56610" spans="32:32" x14ac:dyDescent="0.2">
      <c r="AF56610" s="12"/>
    </row>
    <row r="56611" spans="32:32" x14ac:dyDescent="0.2">
      <c r="AF56611" s="12"/>
    </row>
    <row r="56612" spans="32:32" x14ac:dyDescent="0.2">
      <c r="AF56612" s="12"/>
    </row>
    <row r="56613" spans="32:32" x14ac:dyDescent="0.2">
      <c r="AF56613" s="12"/>
    </row>
    <row r="56614" spans="32:32" x14ac:dyDescent="0.2">
      <c r="AF56614" s="12"/>
    </row>
    <row r="56615" spans="32:32" x14ac:dyDescent="0.2">
      <c r="AF56615" s="12"/>
    </row>
    <row r="56616" spans="32:32" x14ac:dyDescent="0.2">
      <c r="AF56616" s="12"/>
    </row>
    <row r="56617" spans="32:32" x14ac:dyDescent="0.2">
      <c r="AF56617" s="12"/>
    </row>
    <row r="56618" spans="32:32" x14ac:dyDescent="0.2">
      <c r="AF56618" s="12"/>
    </row>
    <row r="56619" spans="32:32" x14ac:dyDescent="0.2">
      <c r="AF56619" s="12"/>
    </row>
    <row r="56620" spans="32:32" x14ac:dyDescent="0.2">
      <c r="AF56620" s="12"/>
    </row>
    <row r="56621" spans="32:32" x14ac:dyDescent="0.2">
      <c r="AF56621" s="12"/>
    </row>
    <row r="56622" spans="32:32" x14ac:dyDescent="0.2">
      <c r="AF56622" s="12"/>
    </row>
    <row r="56623" spans="32:32" x14ac:dyDescent="0.2">
      <c r="AF56623" s="12"/>
    </row>
    <row r="56624" spans="32:32" x14ac:dyDescent="0.2">
      <c r="AF56624" s="12"/>
    </row>
    <row r="56625" spans="32:32" x14ac:dyDescent="0.2">
      <c r="AF56625" s="12"/>
    </row>
    <row r="56626" spans="32:32" x14ac:dyDescent="0.2">
      <c r="AF56626" s="12"/>
    </row>
    <row r="56627" spans="32:32" x14ac:dyDescent="0.2">
      <c r="AF56627" s="12"/>
    </row>
    <row r="56628" spans="32:32" x14ac:dyDescent="0.2">
      <c r="AF56628" s="12"/>
    </row>
    <row r="56629" spans="32:32" x14ac:dyDescent="0.2">
      <c r="AF56629" s="12"/>
    </row>
    <row r="56630" spans="32:32" x14ac:dyDescent="0.2">
      <c r="AF56630" s="12"/>
    </row>
    <row r="56631" spans="32:32" x14ac:dyDescent="0.2">
      <c r="AF56631" s="12"/>
    </row>
    <row r="56632" spans="32:32" x14ac:dyDescent="0.2">
      <c r="AF56632" s="12"/>
    </row>
    <row r="56633" spans="32:32" x14ac:dyDescent="0.2">
      <c r="AF56633" s="12"/>
    </row>
    <row r="56634" spans="32:32" x14ac:dyDescent="0.2">
      <c r="AF56634" s="12"/>
    </row>
    <row r="56635" spans="32:32" x14ac:dyDescent="0.2">
      <c r="AF56635" s="12"/>
    </row>
    <row r="56636" spans="32:32" x14ac:dyDescent="0.2">
      <c r="AF56636" s="12"/>
    </row>
    <row r="56637" spans="32:32" x14ac:dyDescent="0.2">
      <c r="AF56637" s="12"/>
    </row>
    <row r="56638" spans="32:32" x14ac:dyDescent="0.2">
      <c r="AF56638" s="12"/>
    </row>
    <row r="56639" spans="32:32" x14ac:dyDescent="0.2">
      <c r="AF56639" s="12"/>
    </row>
    <row r="56640" spans="32:32" x14ac:dyDescent="0.2">
      <c r="AF56640" s="12"/>
    </row>
    <row r="56641" spans="32:32" x14ac:dyDescent="0.2">
      <c r="AF56641" s="12"/>
    </row>
    <row r="56642" spans="32:32" x14ac:dyDescent="0.2">
      <c r="AF56642" s="12"/>
    </row>
    <row r="56643" spans="32:32" x14ac:dyDescent="0.2">
      <c r="AF56643" s="12"/>
    </row>
    <row r="56644" spans="32:32" x14ac:dyDescent="0.2">
      <c r="AF56644" s="12"/>
    </row>
    <row r="56645" spans="32:32" x14ac:dyDescent="0.2">
      <c r="AF56645" s="12"/>
    </row>
    <row r="56646" spans="32:32" x14ac:dyDescent="0.2">
      <c r="AF56646" s="12"/>
    </row>
    <row r="56647" spans="32:32" x14ac:dyDescent="0.2">
      <c r="AF56647" s="12"/>
    </row>
    <row r="56648" spans="32:32" x14ac:dyDescent="0.2">
      <c r="AF56648" s="12"/>
    </row>
    <row r="56649" spans="32:32" x14ac:dyDescent="0.2">
      <c r="AF56649" s="12"/>
    </row>
    <row r="56650" spans="32:32" x14ac:dyDescent="0.2">
      <c r="AF56650" s="12"/>
    </row>
    <row r="56651" spans="32:32" x14ac:dyDescent="0.2">
      <c r="AF56651" s="12"/>
    </row>
    <row r="56652" spans="32:32" x14ac:dyDescent="0.2">
      <c r="AF56652" s="12"/>
    </row>
    <row r="56653" spans="32:32" x14ac:dyDescent="0.2">
      <c r="AF56653" s="12"/>
    </row>
    <row r="56654" spans="32:32" x14ac:dyDescent="0.2">
      <c r="AF56654" s="12"/>
    </row>
    <row r="56655" spans="32:32" x14ac:dyDescent="0.2">
      <c r="AF56655" s="12"/>
    </row>
    <row r="56656" spans="32:32" x14ac:dyDescent="0.2">
      <c r="AF56656" s="12"/>
    </row>
    <row r="56657" spans="32:32" x14ac:dyDescent="0.2">
      <c r="AF56657" s="12"/>
    </row>
    <row r="56658" spans="32:32" x14ac:dyDescent="0.2">
      <c r="AF56658" s="12"/>
    </row>
    <row r="56659" spans="32:32" x14ac:dyDescent="0.2">
      <c r="AF56659" s="12"/>
    </row>
    <row r="56660" spans="32:32" x14ac:dyDescent="0.2">
      <c r="AF56660" s="12"/>
    </row>
    <row r="56661" spans="32:32" x14ac:dyDescent="0.2">
      <c r="AF56661" s="12"/>
    </row>
    <row r="56662" spans="32:32" x14ac:dyDescent="0.2">
      <c r="AF56662" s="12"/>
    </row>
    <row r="56663" spans="32:32" x14ac:dyDescent="0.2">
      <c r="AF56663" s="12"/>
    </row>
    <row r="56664" spans="32:32" x14ac:dyDescent="0.2">
      <c r="AF56664" s="12"/>
    </row>
    <row r="56665" spans="32:32" x14ac:dyDescent="0.2">
      <c r="AF56665" s="12"/>
    </row>
    <row r="56666" spans="32:32" x14ac:dyDescent="0.2">
      <c r="AF56666" s="12"/>
    </row>
    <row r="56667" spans="32:32" x14ac:dyDescent="0.2">
      <c r="AF56667" s="12"/>
    </row>
    <row r="56668" spans="32:32" x14ac:dyDescent="0.2">
      <c r="AF56668" s="12"/>
    </row>
    <row r="56669" spans="32:32" x14ac:dyDescent="0.2">
      <c r="AF56669" s="12"/>
    </row>
    <row r="56670" spans="32:32" x14ac:dyDescent="0.2">
      <c r="AF56670" s="12"/>
    </row>
    <row r="56671" spans="32:32" x14ac:dyDescent="0.2">
      <c r="AF56671" s="12"/>
    </row>
    <row r="56672" spans="32:32" x14ac:dyDescent="0.2">
      <c r="AF56672" s="12"/>
    </row>
    <row r="56673" spans="32:32" x14ac:dyDescent="0.2">
      <c r="AF56673" s="12"/>
    </row>
    <row r="56674" spans="32:32" x14ac:dyDescent="0.2">
      <c r="AF56674" s="12"/>
    </row>
    <row r="56675" spans="32:32" x14ac:dyDescent="0.2">
      <c r="AF56675" s="12"/>
    </row>
    <row r="56676" spans="32:32" x14ac:dyDescent="0.2">
      <c r="AF56676" s="12"/>
    </row>
    <row r="56677" spans="32:32" x14ac:dyDescent="0.2">
      <c r="AF56677" s="12"/>
    </row>
    <row r="56678" spans="32:32" x14ac:dyDescent="0.2">
      <c r="AF56678" s="12"/>
    </row>
    <row r="56679" spans="32:32" x14ac:dyDescent="0.2">
      <c r="AF56679" s="12"/>
    </row>
    <row r="56680" spans="32:32" x14ac:dyDescent="0.2">
      <c r="AF56680" s="12"/>
    </row>
    <row r="56681" spans="32:32" x14ac:dyDescent="0.2">
      <c r="AF56681" s="12"/>
    </row>
    <row r="56682" spans="32:32" x14ac:dyDescent="0.2">
      <c r="AF56682" s="12"/>
    </row>
    <row r="56683" spans="32:32" x14ac:dyDescent="0.2">
      <c r="AF56683" s="12"/>
    </row>
    <row r="56684" spans="32:32" x14ac:dyDescent="0.2">
      <c r="AF56684" s="12"/>
    </row>
    <row r="56685" spans="32:32" x14ac:dyDescent="0.2">
      <c r="AF56685" s="12"/>
    </row>
    <row r="56686" spans="32:32" x14ac:dyDescent="0.2">
      <c r="AF56686" s="12"/>
    </row>
    <row r="56687" spans="32:32" x14ac:dyDescent="0.2">
      <c r="AF56687" s="12"/>
    </row>
    <row r="56688" spans="32:32" x14ac:dyDescent="0.2">
      <c r="AF56688" s="12"/>
    </row>
    <row r="56689" spans="32:32" x14ac:dyDescent="0.2">
      <c r="AF56689" s="12"/>
    </row>
    <row r="56690" spans="32:32" x14ac:dyDescent="0.2">
      <c r="AF56690" s="12"/>
    </row>
    <row r="56691" spans="32:32" x14ac:dyDescent="0.2">
      <c r="AF56691" s="12"/>
    </row>
    <row r="56692" spans="32:32" x14ac:dyDescent="0.2">
      <c r="AF56692" s="12"/>
    </row>
    <row r="56693" spans="32:32" x14ac:dyDescent="0.2">
      <c r="AF56693" s="12"/>
    </row>
    <row r="56694" spans="32:32" x14ac:dyDescent="0.2">
      <c r="AF56694" s="12"/>
    </row>
    <row r="56695" spans="32:32" x14ac:dyDescent="0.2">
      <c r="AF56695" s="12"/>
    </row>
    <row r="56696" spans="32:32" x14ac:dyDescent="0.2">
      <c r="AF56696" s="12"/>
    </row>
    <row r="56697" spans="32:32" x14ac:dyDescent="0.2">
      <c r="AF56697" s="12"/>
    </row>
    <row r="56698" spans="32:32" x14ac:dyDescent="0.2">
      <c r="AF56698" s="12"/>
    </row>
    <row r="56699" spans="32:32" x14ac:dyDescent="0.2">
      <c r="AF56699" s="12"/>
    </row>
    <row r="56700" spans="32:32" x14ac:dyDescent="0.2">
      <c r="AF56700" s="12"/>
    </row>
    <row r="56701" spans="32:32" x14ac:dyDescent="0.2">
      <c r="AF56701" s="12"/>
    </row>
    <row r="56702" spans="32:32" x14ac:dyDescent="0.2">
      <c r="AF56702" s="12"/>
    </row>
    <row r="56703" spans="32:32" x14ac:dyDescent="0.2">
      <c r="AF56703" s="12"/>
    </row>
    <row r="56704" spans="32:32" x14ac:dyDescent="0.2">
      <c r="AF56704" s="12"/>
    </row>
    <row r="56705" spans="32:32" x14ac:dyDescent="0.2">
      <c r="AF56705" s="12"/>
    </row>
    <row r="56706" spans="32:32" x14ac:dyDescent="0.2">
      <c r="AF56706" s="12"/>
    </row>
    <row r="56707" spans="32:32" x14ac:dyDescent="0.2">
      <c r="AF56707" s="12"/>
    </row>
    <row r="56708" spans="32:32" x14ac:dyDescent="0.2">
      <c r="AF56708" s="12"/>
    </row>
    <row r="56709" spans="32:32" x14ac:dyDescent="0.2">
      <c r="AF56709" s="12"/>
    </row>
    <row r="56710" spans="32:32" x14ac:dyDescent="0.2">
      <c r="AF56710" s="12"/>
    </row>
    <row r="56711" spans="32:32" x14ac:dyDescent="0.2">
      <c r="AF56711" s="12"/>
    </row>
    <row r="56712" spans="32:32" x14ac:dyDescent="0.2">
      <c r="AF56712" s="12"/>
    </row>
    <row r="56713" spans="32:32" x14ac:dyDescent="0.2">
      <c r="AF56713" s="12"/>
    </row>
    <row r="56714" spans="32:32" x14ac:dyDescent="0.2">
      <c r="AF56714" s="12"/>
    </row>
    <row r="56715" spans="32:32" x14ac:dyDescent="0.2">
      <c r="AF56715" s="12"/>
    </row>
    <row r="56716" spans="32:32" x14ac:dyDescent="0.2">
      <c r="AF56716" s="12"/>
    </row>
    <row r="56717" spans="32:32" x14ac:dyDescent="0.2">
      <c r="AF56717" s="12"/>
    </row>
    <row r="56718" spans="32:32" x14ac:dyDescent="0.2">
      <c r="AF56718" s="12"/>
    </row>
    <row r="56719" spans="32:32" x14ac:dyDescent="0.2">
      <c r="AF56719" s="12"/>
    </row>
    <row r="56720" spans="32:32" x14ac:dyDescent="0.2">
      <c r="AF56720" s="12"/>
    </row>
    <row r="56721" spans="32:32" x14ac:dyDescent="0.2">
      <c r="AF56721" s="12"/>
    </row>
    <row r="56722" spans="32:32" x14ac:dyDescent="0.2">
      <c r="AF56722" s="12"/>
    </row>
    <row r="56723" spans="32:32" x14ac:dyDescent="0.2">
      <c r="AF56723" s="12"/>
    </row>
    <row r="56724" spans="32:32" x14ac:dyDescent="0.2">
      <c r="AF56724" s="12"/>
    </row>
    <row r="56725" spans="32:32" x14ac:dyDescent="0.2">
      <c r="AF56725" s="12"/>
    </row>
    <row r="56726" spans="32:32" x14ac:dyDescent="0.2">
      <c r="AF56726" s="12"/>
    </row>
    <row r="56727" spans="32:32" x14ac:dyDescent="0.2">
      <c r="AF56727" s="12"/>
    </row>
    <row r="56728" spans="32:32" x14ac:dyDescent="0.2">
      <c r="AF56728" s="12"/>
    </row>
    <row r="56729" spans="32:32" x14ac:dyDescent="0.2">
      <c r="AF56729" s="12"/>
    </row>
    <row r="56730" spans="32:32" x14ac:dyDescent="0.2">
      <c r="AF56730" s="12"/>
    </row>
    <row r="56731" spans="32:32" x14ac:dyDescent="0.2">
      <c r="AF56731" s="12"/>
    </row>
    <row r="56732" spans="32:32" x14ac:dyDescent="0.2">
      <c r="AF56732" s="12"/>
    </row>
    <row r="56733" spans="32:32" x14ac:dyDescent="0.2">
      <c r="AF56733" s="12"/>
    </row>
    <row r="56734" spans="32:32" x14ac:dyDescent="0.2">
      <c r="AF56734" s="12"/>
    </row>
    <row r="56735" spans="32:32" x14ac:dyDescent="0.2">
      <c r="AF56735" s="12"/>
    </row>
    <row r="56736" spans="32:32" x14ac:dyDescent="0.2">
      <c r="AF56736" s="12"/>
    </row>
    <row r="56737" spans="32:32" x14ac:dyDescent="0.2">
      <c r="AF56737" s="12"/>
    </row>
    <row r="56738" spans="32:32" x14ac:dyDescent="0.2">
      <c r="AF56738" s="12"/>
    </row>
    <row r="56739" spans="32:32" x14ac:dyDescent="0.2">
      <c r="AF56739" s="12"/>
    </row>
    <row r="56740" spans="32:32" x14ac:dyDescent="0.2">
      <c r="AF56740" s="12"/>
    </row>
    <row r="56741" spans="32:32" x14ac:dyDescent="0.2">
      <c r="AF56741" s="12"/>
    </row>
    <row r="56742" spans="32:32" x14ac:dyDescent="0.2">
      <c r="AF56742" s="12"/>
    </row>
    <row r="56743" spans="32:32" x14ac:dyDescent="0.2">
      <c r="AF56743" s="12"/>
    </row>
    <row r="56744" spans="32:32" x14ac:dyDescent="0.2">
      <c r="AF56744" s="12"/>
    </row>
    <row r="56745" spans="32:32" x14ac:dyDescent="0.2">
      <c r="AF56745" s="12"/>
    </row>
    <row r="56746" spans="32:32" x14ac:dyDescent="0.2">
      <c r="AF56746" s="12"/>
    </row>
    <row r="56747" spans="32:32" x14ac:dyDescent="0.2">
      <c r="AF56747" s="12"/>
    </row>
    <row r="56748" spans="32:32" x14ac:dyDescent="0.2">
      <c r="AF56748" s="12"/>
    </row>
    <row r="56749" spans="32:32" x14ac:dyDescent="0.2">
      <c r="AF56749" s="12"/>
    </row>
    <row r="56750" spans="32:32" x14ac:dyDescent="0.2">
      <c r="AF56750" s="12"/>
    </row>
    <row r="56751" spans="32:32" x14ac:dyDescent="0.2">
      <c r="AF56751" s="12"/>
    </row>
    <row r="56752" spans="32:32" x14ac:dyDescent="0.2">
      <c r="AF56752" s="12"/>
    </row>
    <row r="56753" spans="32:32" x14ac:dyDescent="0.2">
      <c r="AF56753" s="12"/>
    </row>
    <row r="56754" spans="32:32" x14ac:dyDescent="0.2">
      <c r="AF56754" s="12"/>
    </row>
    <row r="56755" spans="32:32" x14ac:dyDescent="0.2">
      <c r="AF56755" s="12"/>
    </row>
    <row r="56756" spans="32:32" x14ac:dyDescent="0.2">
      <c r="AF56756" s="12"/>
    </row>
    <row r="56757" spans="32:32" x14ac:dyDescent="0.2">
      <c r="AF56757" s="12"/>
    </row>
    <row r="56758" spans="32:32" x14ac:dyDescent="0.2">
      <c r="AF56758" s="12"/>
    </row>
    <row r="56759" spans="32:32" x14ac:dyDescent="0.2">
      <c r="AF56759" s="12"/>
    </row>
    <row r="56760" spans="32:32" x14ac:dyDescent="0.2">
      <c r="AF56760" s="12"/>
    </row>
    <row r="56761" spans="32:32" x14ac:dyDescent="0.2">
      <c r="AF56761" s="12"/>
    </row>
    <row r="56762" spans="32:32" x14ac:dyDescent="0.2">
      <c r="AF56762" s="12"/>
    </row>
    <row r="56763" spans="32:32" x14ac:dyDescent="0.2">
      <c r="AF56763" s="12"/>
    </row>
    <row r="56764" spans="32:32" x14ac:dyDescent="0.2">
      <c r="AF56764" s="12"/>
    </row>
    <row r="56765" spans="32:32" x14ac:dyDescent="0.2">
      <c r="AF56765" s="12"/>
    </row>
    <row r="56766" spans="32:32" x14ac:dyDescent="0.2">
      <c r="AF56766" s="12"/>
    </row>
    <row r="56767" spans="32:32" x14ac:dyDescent="0.2">
      <c r="AF56767" s="12"/>
    </row>
    <row r="56768" spans="32:32" x14ac:dyDescent="0.2">
      <c r="AF56768" s="12"/>
    </row>
    <row r="56769" spans="32:32" x14ac:dyDescent="0.2">
      <c r="AF56769" s="12"/>
    </row>
    <row r="56770" spans="32:32" x14ac:dyDescent="0.2">
      <c r="AF56770" s="12"/>
    </row>
    <row r="56771" spans="32:32" x14ac:dyDescent="0.2">
      <c r="AF56771" s="12"/>
    </row>
    <row r="56772" spans="32:32" x14ac:dyDescent="0.2">
      <c r="AF56772" s="12"/>
    </row>
    <row r="56773" spans="32:32" x14ac:dyDescent="0.2">
      <c r="AF56773" s="12"/>
    </row>
    <row r="56774" spans="32:32" x14ac:dyDescent="0.2">
      <c r="AF56774" s="12"/>
    </row>
    <row r="56775" spans="32:32" x14ac:dyDescent="0.2">
      <c r="AF56775" s="12"/>
    </row>
    <row r="56776" spans="32:32" x14ac:dyDescent="0.2">
      <c r="AF56776" s="12"/>
    </row>
    <row r="56777" spans="32:32" x14ac:dyDescent="0.2">
      <c r="AF56777" s="12"/>
    </row>
    <row r="56778" spans="32:32" x14ac:dyDescent="0.2">
      <c r="AF56778" s="12"/>
    </row>
    <row r="56779" spans="32:32" x14ac:dyDescent="0.2">
      <c r="AF56779" s="12"/>
    </row>
    <row r="56780" spans="32:32" x14ac:dyDescent="0.2">
      <c r="AF56780" s="12"/>
    </row>
    <row r="56781" spans="32:32" x14ac:dyDescent="0.2">
      <c r="AF56781" s="12"/>
    </row>
    <row r="56782" spans="32:32" x14ac:dyDescent="0.2">
      <c r="AF56782" s="12"/>
    </row>
    <row r="56783" spans="32:32" x14ac:dyDescent="0.2">
      <c r="AF56783" s="12"/>
    </row>
    <row r="56784" spans="32:32" x14ac:dyDescent="0.2">
      <c r="AF56784" s="12"/>
    </row>
    <row r="56785" spans="32:32" x14ac:dyDescent="0.2">
      <c r="AF56785" s="12"/>
    </row>
    <row r="56786" spans="32:32" x14ac:dyDescent="0.2">
      <c r="AF56786" s="12"/>
    </row>
    <row r="56787" spans="32:32" x14ac:dyDescent="0.2">
      <c r="AF56787" s="12"/>
    </row>
    <row r="56788" spans="32:32" x14ac:dyDescent="0.2">
      <c r="AF56788" s="12"/>
    </row>
    <row r="56789" spans="32:32" x14ac:dyDescent="0.2">
      <c r="AF56789" s="12"/>
    </row>
    <row r="56790" spans="32:32" x14ac:dyDescent="0.2">
      <c r="AF56790" s="12"/>
    </row>
    <row r="56791" spans="32:32" x14ac:dyDescent="0.2">
      <c r="AF56791" s="12"/>
    </row>
    <row r="56792" spans="32:32" x14ac:dyDescent="0.2">
      <c r="AF56792" s="12"/>
    </row>
    <row r="56793" spans="32:32" x14ac:dyDescent="0.2">
      <c r="AF56793" s="12"/>
    </row>
    <row r="56794" spans="32:32" x14ac:dyDescent="0.2">
      <c r="AF56794" s="12"/>
    </row>
    <row r="56795" spans="32:32" x14ac:dyDescent="0.2">
      <c r="AF56795" s="12"/>
    </row>
    <row r="56796" spans="32:32" x14ac:dyDescent="0.2">
      <c r="AF56796" s="12"/>
    </row>
    <row r="56797" spans="32:32" x14ac:dyDescent="0.2">
      <c r="AF56797" s="12"/>
    </row>
    <row r="56798" spans="32:32" x14ac:dyDescent="0.2">
      <c r="AF56798" s="12"/>
    </row>
    <row r="56799" spans="32:32" x14ac:dyDescent="0.2">
      <c r="AF56799" s="12"/>
    </row>
    <row r="56800" spans="32:32" x14ac:dyDescent="0.2">
      <c r="AF56800" s="12"/>
    </row>
    <row r="56801" spans="32:32" x14ac:dyDescent="0.2">
      <c r="AF56801" s="12"/>
    </row>
    <row r="56802" spans="32:32" x14ac:dyDescent="0.2">
      <c r="AF56802" s="12"/>
    </row>
    <row r="56803" spans="32:32" x14ac:dyDescent="0.2">
      <c r="AF56803" s="12"/>
    </row>
    <row r="56804" spans="32:32" x14ac:dyDescent="0.2">
      <c r="AF56804" s="12"/>
    </row>
    <row r="56805" spans="32:32" x14ac:dyDescent="0.2">
      <c r="AF56805" s="12"/>
    </row>
    <row r="56806" spans="32:32" x14ac:dyDescent="0.2">
      <c r="AF56806" s="12"/>
    </row>
    <row r="56807" spans="32:32" x14ac:dyDescent="0.2">
      <c r="AF56807" s="12"/>
    </row>
    <row r="56808" spans="32:32" x14ac:dyDescent="0.2">
      <c r="AF56808" s="12"/>
    </row>
    <row r="56809" spans="32:32" x14ac:dyDescent="0.2">
      <c r="AF56809" s="12"/>
    </row>
    <row r="56810" spans="32:32" x14ac:dyDescent="0.2">
      <c r="AF56810" s="12"/>
    </row>
    <row r="56811" spans="32:32" x14ac:dyDescent="0.2">
      <c r="AF56811" s="12"/>
    </row>
    <row r="56812" spans="32:32" x14ac:dyDescent="0.2">
      <c r="AF56812" s="12"/>
    </row>
    <row r="56813" spans="32:32" x14ac:dyDescent="0.2">
      <c r="AF56813" s="12"/>
    </row>
    <row r="56814" spans="32:32" x14ac:dyDescent="0.2">
      <c r="AF56814" s="12"/>
    </row>
    <row r="56815" spans="32:32" x14ac:dyDescent="0.2">
      <c r="AF56815" s="12"/>
    </row>
    <row r="56816" spans="32:32" x14ac:dyDescent="0.2">
      <c r="AF56816" s="12"/>
    </row>
    <row r="56817" spans="32:32" x14ac:dyDescent="0.2">
      <c r="AF56817" s="12"/>
    </row>
    <row r="56818" spans="32:32" x14ac:dyDescent="0.2">
      <c r="AF56818" s="12"/>
    </row>
    <row r="56819" spans="32:32" x14ac:dyDescent="0.2">
      <c r="AF56819" s="12"/>
    </row>
    <row r="56820" spans="32:32" x14ac:dyDescent="0.2">
      <c r="AF56820" s="12"/>
    </row>
    <row r="56821" spans="32:32" x14ac:dyDescent="0.2">
      <c r="AF56821" s="12"/>
    </row>
    <row r="56822" spans="32:32" x14ac:dyDescent="0.2">
      <c r="AF56822" s="12"/>
    </row>
    <row r="56823" spans="32:32" x14ac:dyDescent="0.2">
      <c r="AF56823" s="12"/>
    </row>
    <row r="56824" spans="32:32" x14ac:dyDescent="0.2">
      <c r="AF56824" s="12"/>
    </row>
    <row r="56825" spans="32:32" x14ac:dyDescent="0.2">
      <c r="AF56825" s="12"/>
    </row>
    <row r="56826" spans="32:32" x14ac:dyDescent="0.2">
      <c r="AF56826" s="12"/>
    </row>
    <row r="56827" spans="32:32" x14ac:dyDescent="0.2">
      <c r="AF56827" s="12"/>
    </row>
    <row r="56828" spans="32:32" x14ac:dyDescent="0.2">
      <c r="AF56828" s="12"/>
    </row>
    <row r="56829" spans="32:32" x14ac:dyDescent="0.2">
      <c r="AF56829" s="12"/>
    </row>
    <row r="56830" spans="32:32" x14ac:dyDescent="0.2">
      <c r="AF56830" s="12"/>
    </row>
    <row r="56831" spans="32:32" x14ac:dyDescent="0.2">
      <c r="AF56831" s="12"/>
    </row>
    <row r="56832" spans="32:32" x14ac:dyDescent="0.2">
      <c r="AF56832" s="12"/>
    </row>
    <row r="56833" spans="32:32" x14ac:dyDescent="0.2">
      <c r="AF56833" s="12"/>
    </row>
    <row r="56834" spans="32:32" x14ac:dyDescent="0.2">
      <c r="AF56834" s="12"/>
    </row>
    <row r="56835" spans="32:32" x14ac:dyDescent="0.2">
      <c r="AF56835" s="12"/>
    </row>
    <row r="56836" spans="32:32" x14ac:dyDescent="0.2">
      <c r="AF56836" s="12"/>
    </row>
    <row r="56837" spans="32:32" x14ac:dyDescent="0.2">
      <c r="AF56837" s="12"/>
    </row>
    <row r="56838" spans="32:32" x14ac:dyDescent="0.2">
      <c r="AF56838" s="12"/>
    </row>
    <row r="56839" spans="32:32" x14ac:dyDescent="0.2">
      <c r="AF56839" s="12"/>
    </row>
    <row r="56840" spans="32:32" x14ac:dyDescent="0.2">
      <c r="AF56840" s="12"/>
    </row>
    <row r="56841" spans="32:32" x14ac:dyDescent="0.2">
      <c r="AF56841" s="12"/>
    </row>
    <row r="56842" spans="32:32" x14ac:dyDescent="0.2">
      <c r="AF56842" s="12"/>
    </row>
    <row r="56843" spans="32:32" x14ac:dyDescent="0.2">
      <c r="AF56843" s="12"/>
    </row>
    <row r="56844" spans="32:32" x14ac:dyDescent="0.2">
      <c r="AF56844" s="12"/>
    </row>
    <row r="56845" spans="32:32" x14ac:dyDescent="0.2">
      <c r="AF56845" s="12"/>
    </row>
    <row r="56846" spans="32:32" x14ac:dyDescent="0.2">
      <c r="AF56846" s="12"/>
    </row>
    <row r="56847" spans="32:32" x14ac:dyDescent="0.2">
      <c r="AF56847" s="12"/>
    </row>
    <row r="56848" spans="32:32" x14ac:dyDescent="0.2">
      <c r="AF56848" s="12"/>
    </row>
    <row r="56849" spans="32:32" x14ac:dyDescent="0.2">
      <c r="AF56849" s="12"/>
    </row>
    <row r="56850" spans="32:32" x14ac:dyDescent="0.2">
      <c r="AF56850" s="12"/>
    </row>
    <row r="56851" spans="32:32" x14ac:dyDescent="0.2">
      <c r="AF56851" s="12"/>
    </row>
    <row r="56852" spans="32:32" x14ac:dyDescent="0.2">
      <c r="AF56852" s="12"/>
    </row>
    <row r="56853" spans="32:32" x14ac:dyDescent="0.2">
      <c r="AF56853" s="12"/>
    </row>
    <row r="56854" spans="32:32" x14ac:dyDescent="0.2">
      <c r="AF56854" s="12"/>
    </row>
    <row r="56855" spans="32:32" x14ac:dyDescent="0.2">
      <c r="AF56855" s="12"/>
    </row>
    <row r="56856" spans="32:32" x14ac:dyDescent="0.2">
      <c r="AF56856" s="12"/>
    </row>
    <row r="56857" spans="32:32" x14ac:dyDescent="0.2">
      <c r="AF56857" s="12"/>
    </row>
    <row r="56858" spans="32:32" x14ac:dyDescent="0.2">
      <c r="AF56858" s="12"/>
    </row>
    <row r="56859" spans="32:32" x14ac:dyDescent="0.2">
      <c r="AF56859" s="12"/>
    </row>
    <row r="56860" spans="32:32" x14ac:dyDescent="0.2">
      <c r="AF56860" s="12"/>
    </row>
    <row r="56861" spans="32:32" x14ac:dyDescent="0.2">
      <c r="AF56861" s="12"/>
    </row>
    <row r="56862" spans="32:32" x14ac:dyDescent="0.2">
      <c r="AF56862" s="12"/>
    </row>
    <row r="56863" spans="32:32" x14ac:dyDescent="0.2">
      <c r="AF56863" s="12"/>
    </row>
    <row r="56864" spans="32:32" x14ac:dyDescent="0.2">
      <c r="AF56864" s="12"/>
    </row>
    <row r="56865" spans="32:32" x14ac:dyDescent="0.2">
      <c r="AF56865" s="12"/>
    </row>
    <row r="56866" spans="32:32" x14ac:dyDescent="0.2">
      <c r="AF56866" s="12"/>
    </row>
    <row r="56867" spans="32:32" x14ac:dyDescent="0.2">
      <c r="AF56867" s="12"/>
    </row>
    <row r="56868" spans="32:32" x14ac:dyDescent="0.2">
      <c r="AF56868" s="12"/>
    </row>
    <row r="56869" spans="32:32" x14ac:dyDescent="0.2">
      <c r="AF56869" s="12"/>
    </row>
    <row r="56870" spans="32:32" x14ac:dyDescent="0.2">
      <c r="AF56870" s="12"/>
    </row>
    <row r="56871" spans="32:32" x14ac:dyDescent="0.2">
      <c r="AF56871" s="12"/>
    </row>
    <row r="56872" spans="32:32" x14ac:dyDescent="0.2">
      <c r="AF56872" s="12"/>
    </row>
    <row r="56873" spans="32:32" x14ac:dyDescent="0.2">
      <c r="AF56873" s="12"/>
    </row>
    <row r="56874" spans="32:32" x14ac:dyDescent="0.2">
      <c r="AF56874" s="12"/>
    </row>
    <row r="56875" spans="32:32" x14ac:dyDescent="0.2">
      <c r="AF56875" s="12"/>
    </row>
    <row r="56876" spans="32:32" x14ac:dyDescent="0.2">
      <c r="AF56876" s="12"/>
    </row>
    <row r="56877" spans="32:32" x14ac:dyDescent="0.2">
      <c r="AF56877" s="12"/>
    </row>
    <row r="56878" spans="32:32" x14ac:dyDescent="0.2">
      <c r="AF56878" s="12"/>
    </row>
    <row r="56879" spans="32:32" x14ac:dyDescent="0.2">
      <c r="AF56879" s="12"/>
    </row>
    <row r="56880" spans="32:32" x14ac:dyDescent="0.2">
      <c r="AF56880" s="12"/>
    </row>
    <row r="56881" spans="32:32" x14ac:dyDescent="0.2">
      <c r="AF56881" s="12"/>
    </row>
    <row r="56882" spans="32:32" x14ac:dyDescent="0.2">
      <c r="AF56882" s="12"/>
    </row>
    <row r="56883" spans="32:32" x14ac:dyDescent="0.2">
      <c r="AF56883" s="12"/>
    </row>
    <row r="56884" spans="32:32" x14ac:dyDescent="0.2">
      <c r="AF56884" s="12"/>
    </row>
    <row r="56885" spans="32:32" x14ac:dyDescent="0.2">
      <c r="AF56885" s="12"/>
    </row>
    <row r="56886" spans="32:32" x14ac:dyDescent="0.2">
      <c r="AF56886" s="12"/>
    </row>
    <row r="56887" spans="32:32" x14ac:dyDescent="0.2">
      <c r="AF56887" s="12"/>
    </row>
    <row r="56888" spans="32:32" x14ac:dyDescent="0.2">
      <c r="AF56888" s="12"/>
    </row>
    <row r="56889" spans="32:32" x14ac:dyDescent="0.2">
      <c r="AF56889" s="12"/>
    </row>
    <row r="56890" spans="32:32" x14ac:dyDescent="0.2">
      <c r="AF56890" s="12"/>
    </row>
    <row r="56891" spans="32:32" x14ac:dyDescent="0.2">
      <c r="AF56891" s="12"/>
    </row>
    <row r="56892" spans="32:32" x14ac:dyDescent="0.2">
      <c r="AF56892" s="12"/>
    </row>
    <row r="56893" spans="32:32" x14ac:dyDescent="0.2">
      <c r="AF56893" s="12"/>
    </row>
    <row r="56894" spans="32:32" x14ac:dyDescent="0.2">
      <c r="AF56894" s="12"/>
    </row>
    <row r="56895" spans="32:32" x14ac:dyDescent="0.2">
      <c r="AF56895" s="12"/>
    </row>
    <row r="56896" spans="32:32" x14ac:dyDescent="0.2">
      <c r="AF56896" s="12"/>
    </row>
    <row r="56897" spans="32:32" x14ac:dyDescent="0.2">
      <c r="AF56897" s="12"/>
    </row>
    <row r="56898" spans="32:32" x14ac:dyDescent="0.2">
      <c r="AF56898" s="12"/>
    </row>
    <row r="56899" spans="32:32" x14ac:dyDescent="0.2">
      <c r="AF56899" s="12"/>
    </row>
    <row r="56900" spans="32:32" x14ac:dyDescent="0.2">
      <c r="AF56900" s="12"/>
    </row>
    <row r="56901" spans="32:32" x14ac:dyDescent="0.2">
      <c r="AF56901" s="12"/>
    </row>
    <row r="56902" spans="32:32" x14ac:dyDescent="0.2">
      <c r="AF56902" s="12"/>
    </row>
    <row r="56903" spans="32:32" x14ac:dyDescent="0.2">
      <c r="AF56903" s="12"/>
    </row>
    <row r="56904" spans="32:32" x14ac:dyDescent="0.2">
      <c r="AF56904" s="12"/>
    </row>
    <row r="56905" spans="32:32" x14ac:dyDescent="0.2">
      <c r="AF56905" s="12"/>
    </row>
    <row r="56906" spans="32:32" x14ac:dyDescent="0.2">
      <c r="AF56906" s="12"/>
    </row>
    <row r="56907" spans="32:32" x14ac:dyDescent="0.2">
      <c r="AF56907" s="12"/>
    </row>
    <row r="56908" spans="32:32" x14ac:dyDescent="0.2">
      <c r="AF56908" s="12"/>
    </row>
    <row r="56909" spans="32:32" x14ac:dyDescent="0.2">
      <c r="AF56909" s="12"/>
    </row>
    <row r="56910" spans="32:32" x14ac:dyDescent="0.2">
      <c r="AF56910" s="12"/>
    </row>
    <row r="56911" spans="32:32" x14ac:dyDescent="0.2">
      <c r="AF56911" s="12"/>
    </row>
    <row r="56912" spans="32:32" x14ac:dyDescent="0.2">
      <c r="AF56912" s="12"/>
    </row>
    <row r="56913" spans="32:32" x14ac:dyDescent="0.2">
      <c r="AF56913" s="12"/>
    </row>
    <row r="56914" spans="32:32" x14ac:dyDescent="0.2">
      <c r="AF56914" s="12"/>
    </row>
    <row r="56915" spans="32:32" x14ac:dyDescent="0.2">
      <c r="AF56915" s="12"/>
    </row>
    <row r="56916" spans="32:32" x14ac:dyDescent="0.2">
      <c r="AF56916" s="12"/>
    </row>
    <row r="56917" spans="32:32" x14ac:dyDescent="0.2">
      <c r="AF56917" s="12"/>
    </row>
    <row r="56918" spans="32:32" x14ac:dyDescent="0.2">
      <c r="AF56918" s="12"/>
    </row>
    <row r="56919" spans="32:32" x14ac:dyDescent="0.2">
      <c r="AF56919" s="12"/>
    </row>
    <row r="56920" spans="32:32" x14ac:dyDescent="0.2">
      <c r="AF56920" s="12"/>
    </row>
    <row r="56921" spans="32:32" x14ac:dyDescent="0.2">
      <c r="AF56921" s="12"/>
    </row>
    <row r="56922" spans="32:32" x14ac:dyDescent="0.2">
      <c r="AF56922" s="12"/>
    </row>
    <row r="56923" spans="32:32" x14ac:dyDescent="0.2">
      <c r="AF56923" s="12"/>
    </row>
    <row r="56924" spans="32:32" x14ac:dyDescent="0.2">
      <c r="AF56924" s="12"/>
    </row>
    <row r="56925" spans="32:32" x14ac:dyDescent="0.2">
      <c r="AF56925" s="12"/>
    </row>
    <row r="56926" spans="32:32" x14ac:dyDescent="0.2">
      <c r="AF56926" s="12"/>
    </row>
    <row r="56927" spans="32:32" x14ac:dyDescent="0.2">
      <c r="AF56927" s="12"/>
    </row>
    <row r="56928" spans="32:32" x14ac:dyDescent="0.2">
      <c r="AF56928" s="12"/>
    </row>
    <row r="56929" spans="32:32" x14ac:dyDescent="0.2">
      <c r="AF56929" s="12"/>
    </row>
    <row r="56930" spans="32:32" x14ac:dyDescent="0.2">
      <c r="AF56930" s="12"/>
    </row>
    <row r="56931" spans="32:32" x14ac:dyDescent="0.2">
      <c r="AF56931" s="12"/>
    </row>
    <row r="56932" spans="32:32" x14ac:dyDescent="0.2">
      <c r="AF56932" s="12"/>
    </row>
    <row r="56933" spans="32:32" x14ac:dyDescent="0.2">
      <c r="AF56933" s="12"/>
    </row>
    <row r="56934" spans="32:32" x14ac:dyDescent="0.2">
      <c r="AF56934" s="12"/>
    </row>
    <row r="56935" spans="32:32" x14ac:dyDescent="0.2">
      <c r="AF56935" s="12"/>
    </row>
    <row r="56936" spans="32:32" x14ac:dyDescent="0.2">
      <c r="AF56936" s="12"/>
    </row>
    <row r="56937" spans="32:32" x14ac:dyDescent="0.2">
      <c r="AF56937" s="12"/>
    </row>
    <row r="56938" spans="32:32" x14ac:dyDescent="0.2">
      <c r="AF56938" s="12"/>
    </row>
    <row r="56939" spans="32:32" x14ac:dyDescent="0.2">
      <c r="AF56939" s="12"/>
    </row>
    <row r="56940" spans="32:32" x14ac:dyDescent="0.2">
      <c r="AF56940" s="12"/>
    </row>
    <row r="56941" spans="32:32" x14ac:dyDescent="0.2">
      <c r="AF56941" s="12"/>
    </row>
    <row r="56942" spans="32:32" x14ac:dyDescent="0.2">
      <c r="AF56942" s="12"/>
    </row>
    <row r="56943" spans="32:32" x14ac:dyDescent="0.2">
      <c r="AF56943" s="12"/>
    </row>
    <row r="56944" spans="32:32" x14ac:dyDescent="0.2">
      <c r="AF56944" s="12"/>
    </row>
    <row r="56945" spans="32:32" x14ac:dyDescent="0.2">
      <c r="AF56945" s="12"/>
    </row>
    <row r="56946" spans="32:32" x14ac:dyDescent="0.2">
      <c r="AF56946" s="12"/>
    </row>
    <row r="56947" spans="32:32" x14ac:dyDescent="0.2">
      <c r="AF56947" s="12"/>
    </row>
    <row r="56948" spans="32:32" x14ac:dyDescent="0.2">
      <c r="AF56948" s="12"/>
    </row>
    <row r="56949" spans="32:32" x14ac:dyDescent="0.2">
      <c r="AF56949" s="12"/>
    </row>
    <row r="56950" spans="32:32" x14ac:dyDescent="0.2">
      <c r="AF56950" s="12"/>
    </row>
    <row r="56951" spans="32:32" x14ac:dyDescent="0.2">
      <c r="AF56951" s="12"/>
    </row>
    <row r="56952" spans="32:32" x14ac:dyDescent="0.2">
      <c r="AF56952" s="12"/>
    </row>
    <row r="56953" spans="32:32" x14ac:dyDescent="0.2">
      <c r="AF56953" s="12"/>
    </row>
    <row r="56954" spans="32:32" x14ac:dyDescent="0.2">
      <c r="AF56954" s="12"/>
    </row>
    <row r="56955" spans="32:32" x14ac:dyDescent="0.2">
      <c r="AF56955" s="12"/>
    </row>
    <row r="56956" spans="32:32" x14ac:dyDescent="0.2">
      <c r="AF56956" s="12"/>
    </row>
    <row r="56957" spans="32:32" x14ac:dyDescent="0.2">
      <c r="AF56957" s="12"/>
    </row>
    <row r="56958" spans="32:32" x14ac:dyDescent="0.2">
      <c r="AF56958" s="12"/>
    </row>
    <row r="56959" spans="32:32" x14ac:dyDescent="0.2">
      <c r="AF56959" s="12"/>
    </row>
    <row r="56960" spans="32:32" x14ac:dyDescent="0.2">
      <c r="AF56960" s="12"/>
    </row>
    <row r="56961" spans="32:32" x14ac:dyDescent="0.2">
      <c r="AF56961" s="12"/>
    </row>
    <row r="56962" spans="32:32" x14ac:dyDescent="0.2">
      <c r="AF56962" s="12"/>
    </row>
    <row r="56963" spans="32:32" x14ac:dyDescent="0.2">
      <c r="AF56963" s="12"/>
    </row>
    <row r="56964" spans="32:32" x14ac:dyDescent="0.2">
      <c r="AF56964" s="12"/>
    </row>
    <row r="56965" spans="32:32" x14ac:dyDescent="0.2">
      <c r="AF56965" s="12"/>
    </row>
    <row r="56966" spans="32:32" x14ac:dyDescent="0.2">
      <c r="AF56966" s="12"/>
    </row>
    <row r="56967" spans="32:32" x14ac:dyDescent="0.2">
      <c r="AF56967" s="12"/>
    </row>
    <row r="56968" spans="32:32" x14ac:dyDescent="0.2">
      <c r="AF56968" s="12"/>
    </row>
    <row r="56969" spans="32:32" x14ac:dyDescent="0.2">
      <c r="AF56969" s="12"/>
    </row>
    <row r="56970" spans="32:32" x14ac:dyDescent="0.2">
      <c r="AF56970" s="12"/>
    </row>
    <row r="56971" spans="32:32" x14ac:dyDescent="0.2">
      <c r="AF56971" s="12"/>
    </row>
    <row r="56972" spans="32:32" x14ac:dyDescent="0.2">
      <c r="AF56972" s="12"/>
    </row>
    <row r="56973" spans="32:32" x14ac:dyDescent="0.2">
      <c r="AF56973" s="12"/>
    </row>
    <row r="56974" spans="32:32" x14ac:dyDescent="0.2">
      <c r="AF56974" s="12"/>
    </row>
    <row r="56975" spans="32:32" x14ac:dyDescent="0.2">
      <c r="AF56975" s="12"/>
    </row>
    <row r="56976" spans="32:32" x14ac:dyDescent="0.2">
      <c r="AF56976" s="12"/>
    </row>
    <row r="56977" spans="32:32" x14ac:dyDescent="0.2">
      <c r="AF56977" s="12"/>
    </row>
    <row r="56978" spans="32:32" x14ac:dyDescent="0.2">
      <c r="AF56978" s="12"/>
    </row>
    <row r="56979" spans="32:32" x14ac:dyDescent="0.2">
      <c r="AF56979" s="12"/>
    </row>
    <row r="56980" spans="32:32" x14ac:dyDescent="0.2">
      <c r="AF56980" s="12"/>
    </row>
    <row r="56981" spans="32:32" x14ac:dyDescent="0.2">
      <c r="AF56981" s="12"/>
    </row>
    <row r="56982" spans="32:32" x14ac:dyDescent="0.2">
      <c r="AF56982" s="12"/>
    </row>
    <row r="56983" spans="32:32" x14ac:dyDescent="0.2">
      <c r="AF56983" s="12"/>
    </row>
    <row r="56984" spans="32:32" x14ac:dyDescent="0.2">
      <c r="AF56984" s="12"/>
    </row>
    <row r="56985" spans="32:32" x14ac:dyDescent="0.2">
      <c r="AF56985" s="12"/>
    </row>
    <row r="56986" spans="32:32" x14ac:dyDescent="0.2">
      <c r="AF56986" s="12"/>
    </row>
    <row r="56987" spans="32:32" x14ac:dyDescent="0.2">
      <c r="AF56987" s="12"/>
    </row>
    <row r="56988" spans="32:32" x14ac:dyDescent="0.2">
      <c r="AF56988" s="12"/>
    </row>
    <row r="56989" spans="32:32" x14ac:dyDescent="0.2">
      <c r="AF56989" s="12"/>
    </row>
    <row r="56990" spans="32:32" x14ac:dyDescent="0.2">
      <c r="AF56990" s="12"/>
    </row>
    <row r="56991" spans="32:32" x14ac:dyDescent="0.2">
      <c r="AF56991" s="12"/>
    </row>
    <row r="56992" spans="32:32" x14ac:dyDescent="0.2">
      <c r="AF56992" s="12"/>
    </row>
    <row r="56993" spans="32:32" x14ac:dyDescent="0.2">
      <c r="AF56993" s="12"/>
    </row>
    <row r="56994" spans="32:32" x14ac:dyDescent="0.2">
      <c r="AF56994" s="12"/>
    </row>
    <row r="56995" spans="32:32" x14ac:dyDescent="0.2">
      <c r="AF56995" s="12"/>
    </row>
    <row r="56996" spans="32:32" x14ac:dyDescent="0.2">
      <c r="AF56996" s="12"/>
    </row>
    <row r="56997" spans="32:32" x14ac:dyDescent="0.2">
      <c r="AF56997" s="12"/>
    </row>
    <row r="56998" spans="32:32" x14ac:dyDescent="0.2">
      <c r="AF56998" s="12"/>
    </row>
    <row r="56999" spans="32:32" x14ac:dyDescent="0.2">
      <c r="AF56999" s="12"/>
    </row>
    <row r="57000" spans="32:32" x14ac:dyDescent="0.2">
      <c r="AF57000" s="12"/>
    </row>
    <row r="57001" spans="32:32" x14ac:dyDescent="0.2">
      <c r="AF57001" s="12"/>
    </row>
    <row r="57002" spans="32:32" x14ac:dyDescent="0.2">
      <c r="AF57002" s="12"/>
    </row>
    <row r="57003" spans="32:32" x14ac:dyDescent="0.2">
      <c r="AF57003" s="12"/>
    </row>
    <row r="57004" spans="32:32" x14ac:dyDescent="0.2">
      <c r="AF57004" s="12"/>
    </row>
    <row r="57005" spans="32:32" x14ac:dyDescent="0.2">
      <c r="AF57005" s="12"/>
    </row>
    <row r="57006" spans="32:32" x14ac:dyDescent="0.2">
      <c r="AF57006" s="12"/>
    </row>
    <row r="57007" spans="32:32" x14ac:dyDescent="0.2">
      <c r="AF57007" s="12"/>
    </row>
    <row r="57008" spans="32:32" x14ac:dyDescent="0.2">
      <c r="AF57008" s="12"/>
    </row>
    <row r="57009" spans="32:32" x14ac:dyDescent="0.2">
      <c r="AF57009" s="12"/>
    </row>
    <row r="57010" spans="32:32" x14ac:dyDescent="0.2">
      <c r="AF57010" s="12"/>
    </row>
    <row r="57011" spans="32:32" x14ac:dyDescent="0.2">
      <c r="AF57011" s="12"/>
    </row>
    <row r="57012" spans="32:32" x14ac:dyDescent="0.2">
      <c r="AF57012" s="12"/>
    </row>
    <row r="57013" spans="32:32" x14ac:dyDescent="0.2">
      <c r="AF57013" s="12"/>
    </row>
    <row r="57014" spans="32:32" x14ac:dyDescent="0.2">
      <c r="AF57014" s="12"/>
    </row>
    <row r="57015" spans="32:32" x14ac:dyDescent="0.2">
      <c r="AF57015" s="12"/>
    </row>
    <row r="57016" spans="32:32" x14ac:dyDescent="0.2">
      <c r="AF57016" s="12"/>
    </row>
    <row r="57017" spans="32:32" x14ac:dyDescent="0.2">
      <c r="AF57017" s="12"/>
    </row>
    <row r="57018" spans="32:32" x14ac:dyDescent="0.2">
      <c r="AF57018" s="12"/>
    </row>
    <row r="57019" spans="32:32" x14ac:dyDescent="0.2">
      <c r="AF57019" s="12"/>
    </row>
    <row r="57020" spans="32:32" x14ac:dyDescent="0.2">
      <c r="AF57020" s="12"/>
    </row>
    <row r="57021" spans="32:32" x14ac:dyDescent="0.2">
      <c r="AF57021" s="12"/>
    </row>
    <row r="57022" spans="32:32" x14ac:dyDescent="0.2">
      <c r="AF57022" s="12"/>
    </row>
    <row r="57023" spans="32:32" x14ac:dyDescent="0.2">
      <c r="AF57023" s="12"/>
    </row>
    <row r="57024" spans="32:32" x14ac:dyDescent="0.2">
      <c r="AF57024" s="12"/>
    </row>
    <row r="57025" spans="32:32" x14ac:dyDescent="0.2">
      <c r="AF57025" s="12"/>
    </row>
    <row r="57026" spans="32:32" x14ac:dyDescent="0.2">
      <c r="AF57026" s="12"/>
    </row>
    <row r="57027" spans="32:32" x14ac:dyDescent="0.2">
      <c r="AF57027" s="12"/>
    </row>
    <row r="57028" spans="32:32" x14ac:dyDescent="0.2">
      <c r="AF57028" s="12"/>
    </row>
    <row r="57029" spans="32:32" x14ac:dyDescent="0.2">
      <c r="AF57029" s="12"/>
    </row>
    <row r="57030" spans="32:32" x14ac:dyDescent="0.2">
      <c r="AF57030" s="12"/>
    </row>
    <row r="57031" spans="32:32" x14ac:dyDescent="0.2">
      <c r="AF57031" s="12"/>
    </row>
    <row r="57032" spans="32:32" x14ac:dyDescent="0.2">
      <c r="AF57032" s="12"/>
    </row>
    <row r="57033" spans="32:32" x14ac:dyDescent="0.2">
      <c r="AF57033" s="12"/>
    </row>
    <row r="57034" spans="32:32" x14ac:dyDescent="0.2">
      <c r="AF57034" s="12"/>
    </row>
    <row r="57035" spans="32:32" x14ac:dyDescent="0.2">
      <c r="AF57035" s="12"/>
    </row>
    <row r="57036" spans="32:32" x14ac:dyDescent="0.2">
      <c r="AF57036" s="12"/>
    </row>
    <row r="57037" spans="32:32" x14ac:dyDescent="0.2">
      <c r="AF57037" s="12"/>
    </row>
    <row r="57038" spans="32:32" x14ac:dyDescent="0.2">
      <c r="AF57038" s="12"/>
    </row>
    <row r="57039" spans="32:32" x14ac:dyDescent="0.2">
      <c r="AF57039" s="12"/>
    </row>
    <row r="57040" spans="32:32" x14ac:dyDescent="0.2">
      <c r="AF57040" s="12"/>
    </row>
    <row r="57041" spans="32:32" x14ac:dyDescent="0.2">
      <c r="AF57041" s="12"/>
    </row>
    <row r="57042" spans="32:32" x14ac:dyDescent="0.2">
      <c r="AF57042" s="12"/>
    </row>
    <row r="57043" spans="32:32" x14ac:dyDescent="0.2">
      <c r="AF57043" s="12"/>
    </row>
    <row r="57044" spans="32:32" x14ac:dyDescent="0.2">
      <c r="AF57044" s="12"/>
    </row>
    <row r="57045" spans="32:32" x14ac:dyDescent="0.2">
      <c r="AF57045" s="12"/>
    </row>
    <row r="57046" spans="32:32" x14ac:dyDescent="0.2">
      <c r="AF57046" s="12"/>
    </row>
    <row r="57047" spans="32:32" x14ac:dyDescent="0.2">
      <c r="AF57047" s="12"/>
    </row>
    <row r="57048" spans="32:32" x14ac:dyDescent="0.2">
      <c r="AF57048" s="12"/>
    </row>
    <row r="57049" spans="32:32" x14ac:dyDescent="0.2">
      <c r="AF57049" s="12"/>
    </row>
    <row r="57050" spans="32:32" x14ac:dyDescent="0.2">
      <c r="AF57050" s="12"/>
    </row>
    <row r="57051" spans="32:32" x14ac:dyDescent="0.2">
      <c r="AF57051" s="12"/>
    </row>
    <row r="57052" spans="32:32" x14ac:dyDescent="0.2">
      <c r="AF57052" s="12"/>
    </row>
    <row r="57053" spans="32:32" x14ac:dyDescent="0.2">
      <c r="AF57053" s="12"/>
    </row>
    <row r="57054" spans="32:32" x14ac:dyDescent="0.2">
      <c r="AF57054" s="12"/>
    </row>
    <row r="57055" spans="32:32" x14ac:dyDescent="0.2">
      <c r="AF57055" s="12"/>
    </row>
    <row r="57056" spans="32:32" x14ac:dyDescent="0.2">
      <c r="AF57056" s="12"/>
    </row>
    <row r="57057" spans="32:32" x14ac:dyDescent="0.2">
      <c r="AF57057" s="12"/>
    </row>
    <row r="57058" spans="32:32" x14ac:dyDescent="0.2">
      <c r="AF57058" s="12"/>
    </row>
    <row r="57059" spans="32:32" x14ac:dyDescent="0.2">
      <c r="AF57059" s="12"/>
    </row>
    <row r="57060" spans="32:32" x14ac:dyDescent="0.2">
      <c r="AF57060" s="12"/>
    </row>
    <row r="57061" spans="32:32" x14ac:dyDescent="0.2">
      <c r="AF57061" s="12"/>
    </row>
    <row r="57062" spans="32:32" x14ac:dyDescent="0.2">
      <c r="AF57062" s="12"/>
    </row>
    <row r="57063" spans="32:32" x14ac:dyDescent="0.2">
      <c r="AF57063" s="12"/>
    </row>
    <row r="57064" spans="32:32" x14ac:dyDescent="0.2">
      <c r="AF57064" s="12"/>
    </row>
    <row r="57065" spans="32:32" x14ac:dyDescent="0.2">
      <c r="AF57065" s="12"/>
    </row>
    <row r="57066" spans="32:32" x14ac:dyDescent="0.2">
      <c r="AF57066" s="12"/>
    </row>
    <row r="57067" spans="32:32" x14ac:dyDescent="0.2">
      <c r="AF57067" s="12"/>
    </row>
    <row r="57068" spans="32:32" x14ac:dyDescent="0.2">
      <c r="AF57068" s="12"/>
    </row>
    <row r="57069" spans="32:32" x14ac:dyDescent="0.2">
      <c r="AF57069" s="12"/>
    </row>
    <row r="57070" spans="32:32" x14ac:dyDescent="0.2">
      <c r="AF57070" s="12"/>
    </row>
    <row r="57071" spans="32:32" x14ac:dyDescent="0.2">
      <c r="AF57071" s="12"/>
    </row>
    <row r="57072" spans="32:32" x14ac:dyDescent="0.2">
      <c r="AF57072" s="12"/>
    </row>
    <row r="57073" spans="32:32" x14ac:dyDescent="0.2">
      <c r="AF57073" s="12"/>
    </row>
    <row r="57074" spans="32:32" x14ac:dyDescent="0.2">
      <c r="AF57074" s="12"/>
    </row>
    <row r="57075" spans="32:32" x14ac:dyDescent="0.2">
      <c r="AF57075" s="12"/>
    </row>
    <row r="57076" spans="32:32" x14ac:dyDescent="0.2">
      <c r="AF57076" s="12"/>
    </row>
    <row r="57077" spans="32:32" x14ac:dyDescent="0.2">
      <c r="AF57077" s="12"/>
    </row>
    <row r="57078" spans="32:32" x14ac:dyDescent="0.2">
      <c r="AF57078" s="12"/>
    </row>
    <row r="57079" spans="32:32" x14ac:dyDescent="0.2">
      <c r="AF57079" s="12"/>
    </row>
    <row r="57080" spans="32:32" x14ac:dyDescent="0.2">
      <c r="AF57080" s="12"/>
    </row>
    <row r="57081" spans="32:32" x14ac:dyDescent="0.2">
      <c r="AF57081" s="12"/>
    </row>
    <row r="57082" spans="32:32" x14ac:dyDescent="0.2">
      <c r="AF57082" s="12"/>
    </row>
    <row r="57083" spans="32:32" x14ac:dyDescent="0.2">
      <c r="AF57083" s="12"/>
    </row>
    <row r="57084" spans="32:32" x14ac:dyDescent="0.2">
      <c r="AF57084" s="12"/>
    </row>
    <row r="57085" spans="32:32" x14ac:dyDescent="0.2">
      <c r="AF57085" s="12"/>
    </row>
    <row r="57086" spans="32:32" x14ac:dyDescent="0.2">
      <c r="AF57086" s="12"/>
    </row>
    <row r="57087" spans="32:32" x14ac:dyDescent="0.2">
      <c r="AF57087" s="12"/>
    </row>
    <row r="57088" spans="32:32" x14ac:dyDescent="0.2">
      <c r="AF57088" s="12"/>
    </row>
    <row r="57089" spans="32:32" x14ac:dyDescent="0.2">
      <c r="AF57089" s="12"/>
    </row>
    <row r="57090" spans="32:32" x14ac:dyDescent="0.2">
      <c r="AF57090" s="12"/>
    </row>
    <row r="57091" spans="32:32" x14ac:dyDescent="0.2">
      <c r="AF57091" s="12"/>
    </row>
    <row r="57092" spans="32:32" x14ac:dyDescent="0.2">
      <c r="AF57092" s="12"/>
    </row>
    <row r="57093" spans="32:32" x14ac:dyDescent="0.2">
      <c r="AF57093" s="12"/>
    </row>
    <row r="57094" spans="32:32" x14ac:dyDescent="0.2">
      <c r="AF57094" s="12"/>
    </row>
    <row r="57095" spans="32:32" x14ac:dyDescent="0.2">
      <c r="AF57095" s="12"/>
    </row>
    <row r="57096" spans="32:32" x14ac:dyDescent="0.2">
      <c r="AF57096" s="12"/>
    </row>
    <row r="57097" spans="32:32" x14ac:dyDescent="0.2">
      <c r="AF57097" s="12"/>
    </row>
    <row r="57098" spans="32:32" x14ac:dyDescent="0.2">
      <c r="AF57098" s="12"/>
    </row>
    <row r="57099" spans="32:32" x14ac:dyDescent="0.2">
      <c r="AF57099" s="12"/>
    </row>
    <row r="57100" spans="32:32" x14ac:dyDescent="0.2">
      <c r="AF57100" s="12"/>
    </row>
    <row r="57101" spans="32:32" x14ac:dyDescent="0.2">
      <c r="AF57101" s="12"/>
    </row>
    <row r="57102" spans="32:32" x14ac:dyDescent="0.2">
      <c r="AF57102" s="12"/>
    </row>
    <row r="57103" spans="32:32" x14ac:dyDescent="0.2">
      <c r="AF57103" s="12"/>
    </row>
    <row r="57104" spans="32:32" x14ac:dyDescent="0.2">
      <c r="AF57104" s="12"/>
    </row>
    <row r="57105" spans="32:32" x14ac:dyDescent="0.2">
      <c r="AF57105" s="12"/>
    </row>
    <row r="57106" spans="32:32" x14ac:dyDescent="0.2">
      <c r="AF57106" s="12"/>
    </row>
    <row r="57107" spans="32:32" x14ac:dyDescent="0.2">
      <c r="AF57107" s="12"/>
    </row>
    <row r="57108" spans="32:32" x14ac:dyDescent="0.2">
      <c r="AF57108" s="12"/>
    </row>
    <row r="57109" spans="32:32" x14ac:dyDescent="0.2">
      <c r="AF57109" s="12"/>
    </row>
    <row r="57110" spans="32:32" x14ac:dyDescent="0.2">
      <c r="AF57110" s="12"/>
    </row>
    <row r="57111" spans="32:32" x14ac:dyDescent="0.2">
      <c r="AF57111" s="12"/>
    </row>
    <row r="57112" spans="32:32" x14ac:dyDescent="0.2">
      <c r="AF57112" s="12"/>
    </row>
    <row r="57113" spans="32:32" x14ac:dyDescent="0.2">
      <c r="AF57113" s="12"/>
    </row>
    <row r="57114" spans="32:32" x14ac:dyDescent="0.2">
      <c r="AF57114" s="12"/>
    </row>
    <row r="57115" spans="32:32" x14ac:dyDescent="0.2">
      <c r="AF57115" s="12"/>
    </row>
    <row r="57116" spans="32:32" x14ac:dyDescent="0.2">
      <c r="AF57116" s="12"/>
    </row>
    <row r="57117" spans="32:32" x14ac:dyDescent="0.2">
      <c r="AF57117" s="12"/>
    </row>
    <row r="57118" spans="32:32" x14ac:dyDescent="0.2">
      <c r="AF57118" s="12"/>
    </row>
    <row r="57119" spans="32:32" x14ac:dyDescent="0.2">
      <c r="AF57119" s="12"/>
    </row>
    <row r="57120" spans="32:32" x14ac:dyDescent="0.2">
      <c r="AF57120" s="12"/>
    </row>
    <row r="57121" spans="32:32" x14ac:dyDescent="0.2">
      <c r="AF57121" s="12"/>
    </row>
    <row r="57122" spans="32:32" x14ac:dyDescent="0.2">
      <c r="AF57122" s="12"/>
    </row>
    <row r="57123" spans="32:32" x14ac:dyDescent="0.2">
      <c r="AF57123" s="12"/>
    </row>
    <row r="57124" spans="32:32" x14ac:dyDescent="0.2">
      <c r="AF57124" s="12"/>
    </row>
    <row r="57125" spans="32:32" x14ac:dyDescent="0.2">
      <c r="AF57125" s="12"/>
    </row>
    <row r="57126" spans="32:32" x14ac:dyDescent="0.2">
      <c r="AF57126" s="12"/>
    </row>
    <row r="57127" spans="32:32" x14ac:dyDescent="0.2">
      <c r="AF57127" s="12"/>
    </row>
    <row r="57128" spans="32:32" x14ac:dyDescent="0.2">
      <c r="AF57128" s="12"/>
    </row>
    <row r="57129" spans="32:32" x14ac:dyDescent="0.2">
      <c r="AF57129" s="12"/>
    </row>
    <row r="57130" spans="32:32" x14ac:dyDescent="0.2">
      <c r="AF57130" s="12"/>
    </row>
    <row r="57131" spans="32:32" x14ac:dyDescent="0.2">
      <c r="AF57131" s="12"/>
    </row>
    <row r="57132" spans="32:32" x14ac:dyDescent="0.2">
      <c r="AF57132" s="12"/>
    </row>
    <row r="57133" spans="32:32" x14ac:dyDescent="0.2">
      <c r="AF57133" s="12"/>
    </row>
    <row r="57134" spans="32:32" x14ac:dyDescent="0.2">
      <c r="AF57134" s="12"/>
    </row>
    <row r="57135" spans="32:32" x14ac:dyDescent="0.2">
      <c r="AF57135" s="12"/>
    </row>
    <row r="57136" spans="32:32" x14ac:dyDescent="0.2">
      <c r="AF57136" s="12"/>
    </row>
    <row r="57137" spans="32:32" x14ac:dyDescent="0.2">
      <c r="AF57137" s="12"/>
    </row>
    <row r="57138" spans="32:32" x14ac:dyDescent="0.2">
      <c r="AF57138" s="12"/>
    </row>
    <row r="57139" spans="32:32" x14ac:dyDescent="0.2">
      <c r="AF57139" s="12"/>
    </row>
    <row r="57140" spans="32:32" x14ac:dyDescent="0.2">
      <c r="AF57140" s="12"/>
    </row>
    <row r="57141" spans="32:32" x14ac:dyDescent="0.2">
      <c r="AF57141" s="12"/>
    </row>
    <row r="57142" spans="32:32" x14ac:dyDescent="0.2">
      <c r="AF57142" s="12"/>
    </row>
    <row r="57143" spans="32:32" x14ac:dyDescent="0.2">
      <c r="AF57143" s="12"/>
    </row>
    <row r="57144" spans="32:32" x14ac:dyDescent="0.2">
      <c r="AF57144" s="12"/>
    </row>
    <row r="57145" spans="32:32" x14ac:dyDescent="0.2">
      <c r="AF57145" s="12"/>
    </row>
    <row r="57146" spans="32:32" x14ac:dyDescent="0.2">
      <c r="AF57146" s="12"/>
    </row>
    <row r="57147" spans="32:32" x14ac:dyDescent="0.2">
      <c r="AF57147" s="12"/>
    </row>
    <row r="57148" spans="32:32" x14ac:dyDescent="0.2">
      <c r="AF57148" s="12"/>
    </row>
    <row r="57149" spans="32:32" x14ac:dyDescent="0.2">
      <c r="AF57149" s="12"/>
    </row>
    <row r="57150" spans="32:32" x14ac:dyDescent="0.2">
      <c r="AF57150" s="12"/>
    </row>
    <row r="57151" spans="32:32" x14ac:dyDescent="0.2">
      <c r="AF57151" s="12"/>
    </row>
    <row r="57152" spans="32:32" x14ac:dyDescent="0.2">
      <c r="AF57152" s="12"/>
    </row>
    <row r="57153" spans="32:32" x14ac:dyDescent="0.2">
      <c r="AF57153" s="12"/>
    </row>
    <row r="57154" spans="32:32" x14ac:dyDescent="0.2">
      <c r="AF57154" s="12"/>
    </row>
    <row r="57155" spans="32:32" x14ac:dyDescent="0.2">
      <c r="AF57155" s="12"/>
    </row>
    <row r="57156" spans="32:32" x14ac:dyDescent="0.2">
      <c r="AF57156" s="12"/>
    </row>
    <row r="57157" spans="32:32" x14ac:dyDescent="0.2">
      <c r="AF57157" s="12"/>
    </row>
    <row r="57158" spans="32:32" x14ac:dyDescent="0.2">
      <c r="AF57158" s="12"/>
    </row>
    <row r="57159" spans="32:32" x14ac:dyDescent="0.2">
      <c r="AF57159" s="12"/>
    </row>
    <row r="57160" spans="32:32" x14ac:dyDescent="0.2">
      <c r="AF57160" s="12"/>
    </row>
    <row r="57161" spans="32:32" x14ac:dyDescent="0.2">
      <c r="AF57161" s="12"/>
    </row>
    <row r="57162" spans="32:32" x14ac:dyDescent="0.2">
      <c r="AF57162" s="12"/>
    </row>
    <row r="57163" spans="32:32" x14ac:dyDescent="0.2">
      <c r="AF57163" s="12"/>
    </row>
    <row r="57164" spans="32:32" x14ac:dyDescent="0.2">
      <c r="AF57164" s="12"/>
    </row>
    <row r="57165" spans="32:32" x14ac:dyDescent="0.2">
      <c r="AF57165" s="12"/>
    </row>
    <row r="57166" spans="32:32" x14ac:dyDescent="0.2">
      <c r="AF57166" s="12"/>
    </row>
    <row r="57167" spans="32:32" x14ac:dyDescent="0.2">
      <c r="AF57167" s="12"/>
    </row>
    <row r="57168" spans="32:32" x14ac:dyDescent="0.2">
      <c r="AF57168" s="12"/>
    </row>
    <row r="57169" spans="32:32" x14ac:dyDescent="0.2">
      <c r="AF57169" s="12"/>
    </row>
    <row r="57170" spans="32:32" x14ac:dyDescent="0.2">
      <c r="AF57170" s="12"/>
    </row>
    <row r="57171" spans="32:32" x14ac:dyDescent="0.2">
      <c r="AF57171" s="12"/>
    </row>
    <row r="57172" spans="32:32" x14ac:dyDescent="0.2">
      <c r="AF57172" s="12"/>
    </row>
    <row r="57173" spans="32:32" x14ac:dyDescent="0.2">
      <c r="AF57173" s="12"/>
    </row>
    <row r="57174" spans="32:32" x14ac:dyDescent="0.2">
      <c r="AF57174" s="12"/>
    </row>
    <row r="57175" spans="32:32" x14ac:dyDescent="0.2">
      <c r="AF57175" s="12"/>
    </row>
    <row r="57176" spans="32:32" x14ac:dyDescent="0.2">
      <c r="AF57176" s="12"/>
    </row>
    <row r="57177" spans="32:32" x14ac:dyDescent="0.2">
      <c r="AF57177" s="12"/>
    </row>
    <row r="57178" spans="32:32" x14ac:dyDescent="0.2">
      <c r="AF57178" s="12"/>
    </row>
    <row r="57179" spans="32:32" x14ac:dyDescent="0.2">
      <c r="AF57179" s="12"/>
    </row>
    <row r="57180" spans="32:32" x14ac:dyDescent="0.2">
      <c r="AF57180" s="12"/>
    </row>
    <row r="57181" spans="32:32" x14ac:dyDescent="0.2">
      <c r="AF57181" s="12"/>
    </row>
    <row r="57182" spans="32:32" x14ac:dyDescent="0.2">
      <c r="AF57182" s="12"/>
    </row>
    <row r="57183" spans="32:32" x14ac:dyDescent="0.2">
      <c r="AF57183" s="12"/>
    </row>
    <row r="57184" spans="32:32" x14ac:dyDescent="0.2">
      <c r="AF57184" s="12"/>
    </row>
    <row r="57185" spans="32:32" x14ac:dyDescent="0.2">
      <c r="AF57185" s="12"/>
    </row>
    <row r="57186" spans="32:32" x14ac:dyDescent="0.2">
      <c r="AF57186" s="12"/>
    </row>
    <row r="57187" spans="32:32" x14ac:dyDescent="0.2">
      <c r="AF57187" s="12"/>
    </row>
    <row r="57188" spans="32:32" x14ac:dyDescent="0.2">
      <c r="AF57188" s="12"/>
    </row>
    <row r="57189" spans="32:32" x14ac:dyDescent="0.2">
      <c r="AF57189" s="12"/>
    </row>
    <row r="57190" spans="32:32" x14ac:dyDescent="0.2">
      <c r="AF57190" s="12"/>
    </row>
    <row r="57191" spans="32:32" x14ac:dyDescent="0.2">
      <c r="AF57191" s="12"/>
    </row>
    <row r="57192" spans="32:32" x14ac:dyDescent="0.2">
      <c r="AF57192" s="12"/>
    </row>
    <row r="57193" spans="32:32" x14ac:dyDescent="0.2">
      <c r="AF57193" s="12"/>
    </row>
    <row r="57194" spans="32:32" x14ac:dyDescent="0.2">
      <c r="AF57194" s="12"/>
    </row>
    <row r="57195" spans="32:32" x14ac:dyDescent="0.2">
      <c r="AF57195" s="12"/>
    </row>
    <row r="57196" spans="32:32" x14ac:dyDescent="0.2">
      <c r="AF57196" s="12"/>
    </row>
    <row r="57197" spans="32:32" x14ac:dyDescent="0.2">
      <c r="AF57197" s="12"/>
    </row>
    <row r="57198" spans="32:32" x14ac:dyDescent="0.2">
      <c r="AF57198" s="12"/>
    </row>
    <row r="57199" spans="32:32" x14ac:dyDescent="0.2">
      <c r="AF57199" s="12"/>
    </row>
    <row r="57200" spans="32:32" x14ac:dyDescent="0.2">
      <c r="AF57200" s="12"/>
    </row>
    <row r="57201" spans="32:32" x14ac:dyDescent="0.2">
      <c r="AF57201" s="12"/>
    </row>
    <row r="57202" spans="32:32" x14ac:dyDescent="0.2">
      <c r="AF57202" s="12"/>
    </row>
    <row r="57203" spans="32:32" x14ac:dyDescent="0.2">
      <c r="AF57203" s="12"/>
    </row>
    <row r="57204" spans="32:32" x14ac:dyDescent="0.2">
      <c r="AF57204" s="12"/>
    </row>
    <row r="57205" spans="32:32" x14ac:dyDescent="0.2">
      <c r="AF57205" s="12"/>
    </row>
    <row r="57206" spans="32:32" x14ac:dyDescent="0.2">
      <c r="AF57206" s="12"/>
    </row>
    <row r="57207" spans="32:32" x14ac:dyDescent="0.2">
      <c r="AF57207" s="12"/>
    </row>
    <row r="57208" spans="32:32" x14ac:dyDescent="0.2">
      <c r="AF57208" s="12"/>
    </row>
    <row r="57209" spans="32:32" x14ac:dyDescent="0.2">
      <c r="AF57209" s="12"/>
    </row>
    <row r="57210" spans="32:32" x14ac:dyDescent="0.2">
      <c r="AF57210" s="12"/>
    </row>
    <row r="57211" spans="32:32" x14ac:dyDescent="0.2">
      <c r="AF57211" s="12"/>
    </row>
    <row r="57212" spans="32:32" x14ac:dyDescent="0.2">
      <c r="AF57212" s="12"/>
    </row>
    <row r="57213" spans="32:32" x14ac:dyDescent="0.2">
      <c r="AF57213" s="12"/>
    </row>
    <row r="57214" spans="32:32" x14ac:dyDescent="0.2">
      <c r="AF57214" s="12"/>
    </row>
    <row r="57215" spans="32:32" x14ac:dyDescent="0.2">
      <c r="AF57215" s="12"/>
    </row>
    <row r="57216" spans="32:32" x14ac:dyDescent="0.2">
      <c r="AF57216" s="12"/>
    </row>
    <row r="57217" spans="32:32" x14ac:dyDescent="0.2">
      <c r="AF57217" s="12"/>
    </row>
    <row r="57218" spans="32:32" x14ac:dyDescent="0.2">
      <c r="AF57218" s="12"/>
    </row>
    <row r="57219" spans="32:32" x14ac:dyDescent="0.2">
      <c r="AF57219" s="12"/>
    </row>
    <row r="57220" spans="32:32" x14ac:dyDescent="0.2">
      <c r="AF57220" s="12"/>
    </row>
    <row r="57221" spans="32:32" x14ac:dyDescent="0.2">
      <c r="AF57221" s="12"/>
    </row>
    <row r="57222" spans="32:32" x14ac:dyDescent="0.2">
      <c r="AF57222" s="12"/>
    </row>
    <row r="57223" spans="32:32" x14ac:dyDescent="0.2">
      <c r="AF57223" s="12"/>
    </row>
    <row r="57224" spans="32:32" x14ac:dyDescent="0.2">
      <c r="AF57224" s="12"/>
    </row>
    <row r="57225" spans="32:32" x14ac:dyDescent="0.2">
      <c r="AF57225" s="12"/>
    </row>
    <row r="57226" spans="32:32" x14ac:dyDescent="0.2">
      <c r="AF57226" s="12"/>
    </row>
    <row r="57227" spans="32:32" x14ac:dyDescent="0.2">
      <c r="AF57227" s="12"/>
    </row>
    <row r="57228" spans="32:32" x14ac:dyDescent="0.2">
      <c r="AF57228" s="12"/>
    </row>
    <row r="57229" spans="32:32" x14ac:dyDescent="0.2">
      <c r="AF57229" s="12"/>
    </row>
    <row r="57230" spans="32:32" x14ac:dyDescent="0.2">
      <c r="AF57230" s="12"/>
    </row>
    <row r="57231" spans="32:32" x14ac:dyDescent="0.2">
      <c r="AF57231" s="12"/>
    </row>
    <row r="57232" spans="32:32" x14ac:dyDescent="0.2">
      <c r="AF57232" s="12"/>
    </row>
    <row r="57233" spans="32:32" x14ac:dyDescent="0.2">
      <c r="AF57233" s="12"/>
    </row>
    <row r="57234" spans="32:32" x14ac:dyDescent="0.2">
      <c r="AF57234" s="12"/>
    </row>
    <row r="57235" spans="32:32" x14ac:dyDescent="0.2">
      <c r="AF57235" s="12"/>
    </row>
    <row r="57236" spans="32:32" x14ac:dyDescent="0.2">
      <c r="AF57236" s="12"/>
    </row>
    <row r="57237" spans="32:32" x14ac:dyDescent="0.2">
      <c r="AF57237" s="12"/>
    </row>
    <row r="57238" spans="32:32" x14ac:dyDescent="0.2">
      <c r="AF57238" s="12"/>
    </row>
    <row r="57239" spans="32:32" x14ac:dyDescent="0.2">
      <c r="AF57239" s="12"/>
    </row>
    <row r="57240" spans="32:32" x14ac:dyDescent="0.2">
      <c r="AF57240" s="12"/>
    </row>
    <row r="57241" spans="32:32" x14ac:dyDescent="0.2">
      <c r="AF57241" s="12"/>
    </row>
    <row r="57242" spans="32:32" x14ac:dyDescent="0.2">
      <c r="AF57242" s="12"/>
    </row>
    <row r="57243" spans="32:32" x14ac:dyDescent="0.2">
      <c r="AF57243" s="12"/>
    </row>
    <row r="57244" spans="32:32" x14ac:dyDescent="0.2">
      <c r="AF57244" s="12"/>
    </row>
    <row r="57245" spans="32:32" x14ac:dyDescent="0.2">
      <c r="AF57245" s="12"/>
    </row>
    <row r="57246" spans="32:32" x14ac:dyDescent="0.2">
      <c r="AF57246" s="12"/>
    </row>
    <row r="57247" spans="32:32" x14ac:dyDescent="0.2">
      <c r="AF57247" s="12"/>
    </row>
    <row r="57248" spans="32:32" x14ac:dyDescent="0.2">
      <c r="AF57248" s="12"/>
    </row>
    <row r="57249" spans="32:32" x14ac:dyDescent="0.2">
      <c r="AF57249" s="12"/>
    </row>
    <row r="57250" spans="32:32" x14ac:dyDescent="0.2">
      <c r="AF57250" s="12"/>
    </row>
    <row r="57251" spans="32:32" x14ac:dyDescent="0.2">
      <c r="AF57251" s="12"/>
    </row>
    <row r="57252" spans="32:32" x14ac:dyDescent="0.2">
      <c r="AF57252" s="12"/>
    </row>
    <row r="57253" spans="32:32" x14ac:dyDescent="0.2">
      <c r="AF57253" s="12"/>
    </row>
    <row r="57254" spans="32:32" x14ac:dyDescent="0.2">
      <c r="AF57254" s="12"/>
    </row>
    <row r="57255" spans="32:32" x14ac:dyDescent="0.2">
      <c r="AF57255" s="12"/>
    </row>
    <row r="57256" spans="32:32" x14ac:dyDescent="0.2">
      <c r="AF57256" s="12"/>
    </row>
    <row r="57257" spans="32:32" x14ac:dyDescent="0.2">
      <c r="AF57257" s="12"/>
    </row>
    <row r="57258" spans="32:32" x14ac:dyDescent="0.2">
      <c r="AF57258" s="12"/>
    </row>
    <row r="57259" spans="32:32" x14ac:dyDescent="0.2">
      <c r="AF57259" s="12"/>
    </row>
    <row r="57260" spans="32:32" x14ac:dyDescent="0.2">
      <c r="AF57260" s="12"/>
    </row>
    <row r="57261" spans="32:32" x14ac:dyDescent="0.2">
      <c r="AF57261" s="12"/>
    </row>
    <row r="57262" spans="32:32" x14ac:dyDescent="0.2">
      <c r="AF57262" s="12"/>
    </row>
    <row r="57263" spans="32:32" x14ac:dyDescent="0.2">
      <c r="AF57263" s="12"/>
    </row>
    <row r="57264" spans="32:32" x14ac:dyDescent="0.2">
      <c r="AF57264" s="12"/>
    </row>
    <row r="57265" spans="32:32" x14ac:dyDescent="0.2">
      <c r="AF57265" s="12"/>
    </row>
    <row r="57266" spans="32:32" x14ac:dyDescent="0.2">
      <c r="AF57266" s="12"/>
    </row>
    <row r="57267" spans="32:32" x14ac:dyDescent="0.2">
      <c r="AF57267" s="12"/>
    </row>
    <row r="57268" spans="32:32" x14ac:dyDescent="0.2">
      <c r="AF57268" s="12"/>
    </row>
    <row r="57269" spans="32:32" x14ac:dyDescent="0.2">
      <c r="AF57269" s="12"/>
    </row>
    <row r="57270" spans="32:32" x14ac:dyDescent="0.2">
      <c r="AF57270" s="12"/>
    </row>
    <row r="57271" spans="32:32" x14ac:dyDescent="0.2">
      <c r="AF57271" s="12"/>
    </row>
    <row r="57272" spans="32:32" x14ac:dyDescent="0.2">
      <c r="AF57272" s="12"/>
    </row>
    <row r="57273" spans="32:32" x14ac:dyDescent="0.2">
      <c r="AF57273" s="12"/>
    </row>
    <row r="57274" spans="32:32" x14ac:dyDescent="0.2">
      <c r="AF57274" s="12"/>
    </row>
    <row r="57275" spans="32:32" x14ac:dyDescent="0.2">
      <c r="AF57275" s="12"/>
    </row>
    <row r="57276" spans="32:32" x14ac:dyDescent="0.2">
      <c r="AF57276" s="12"/>
    </row>
    <row r="57277" spans="32:32" x14ac:dyDescent="0.2">
      <c r="AF57277" s="12"/>
    </row>
    <row r="57278" spans="32:32" x14ac:dyDescent="0.2">
      <c r="AF57278" s="12"/>
    </row>
    <row r="57279" spans="32:32" x14ac:dyDescent="0.2">
      <c r="AF57279" s="12"/>
    </row>
    <row r="57280" spans="32:32" x14ac:dyDescent="0.2">
      <c r="AF57280" s="12"/>
    </row>
    <row r="57281" spans="32:32" x14ac:dyDescent="0.2">
      <c r="AF57281" s="12"/>
    </row>
    <row r="57282" spans="32:32" x14ac:dyDescent="0.2">
      <c r="AF57282" s="12"/>
    </row>
    <row r="57283" spans="32:32" x14ac:dyDescent="0.2">
      <c r="AF57283" s="12"/>
    </row>
    <row r="57284" spans="32:32" x14ac:dyDescent="0.2">
      <c r="AF57284" s="12"/>
    </row>
    <row r="57285" spans="32:32" x14ac:dyDescent="0.2">
      <c r="AF57285" s="12"/>
    </row>
    <row r="57286" spans="32:32" x14ac:dyDescent="0.2">
      <c r="AF57286" s="12"/>
    </row>
    <row r="57287" spans="32:32" x14ac:dyDescent="0.2">
      <c r="AF57287" s="12"/>
    </row>
    <row r="57288" spans="32:32" x14ac:dyDescent="0.2">
      <c r="AF57288" s="12"/>
    </row>
    <row r="57289" spans="32:32" x14ac:dyDescent="0.2">
      <c r="AF57289" s="12"/>
    </row>
    <row r="57290" spans="32:32" x14ac:dyDescent="0.2">
      <c r="AF57290" s="12"/>
    </row>
    <row r="57291" spans="32:32" x14ac:dyDescent="0.2">
      <c r="AF57291" s="12"/>
    </row>
    <row r="57292" spans="32:32" x14ac:dyDescent="0.2">
      <c r="AF57292" s="12"/>
    </row>
    <row r="57293" spans="32:32" x14ac:dyDescent="0.2">
      <c r="AF57293" s="12"/>
    </row>
    <row r="57294" spans="32:32" x14ac:dyDescent="0.2">
      <c r="AF57294" s="12"/>
    </row>
    <row r="57295" spans="32:32" x14ac:dyDescent="0.2">
      <c r="AF57295" s="12"/>
    </row>
    <row r="57296" spans="32:32" x14ac:dyDescent="0.2">
      <c r="AF57296" s="12"/>
    </row>
    <row r="57297" spans="32:32" x14ac:dyDescent="0.2">
      <c r="AF57297" s="12"/>
    </row>
    <row r="57298" spans="32:32" x14ac:dyDescent="0.2">
      <c r="AF57298" s="12"/>
    </row>
    <row r="57299" spans="32:32" x14ac:dyDescent="0.2">
      <c r="AF57299" s="12"/>
    </row>
    <row r="57300" spans="32:32" x14ac:dyDescent="0.2">
      <c r="AF57300" s="12"/>
    </row>
    <row r="57301" spans="32:32" x14ac:dyDescent="0.2">
      <c r="AF57301" s="12"/>
    </row>
    <row r="57302" spans="32:32" x14ac:dyDescent="0.2">
      <c r="AF57302" s="12"/>
    </row>
    <row r="57303" spans="32:32" x14ac:dyDescent="0.2">
      <c r="AF57303" s="12"/>
    </row>
    <row r="57304" spans="32:32" x14ac:dyDescent="0.2">
      <c r="AF57304" s="12"/>
    </row>
    <row r="57305" spans="32:32" x14ac:dyDescent="0.2">
      <c r="AF57305" s="12"/>
    </row>
    <row r="57306" spans="32:32" x14ac:dyDescent="0.2">
      <c r="AF57306" s="12"/>
    </row>
    <row r="57307" spans="32:32" x14ac:dyDescent="0.2">
      <c r="AF57307" s="12"/>
    </row>
    <row r="57308" spans="32:32" x14ac:dyDescent="0.2">
      <c r="AF57308" s="12"/>
    </row>
    <row r="57309" spans="32:32" x14ac:dyDescent="0.2">
      <c r="AF57309" s="12"/>
    </row>
    <row r="57310" spans="32:32" x14ac:dyDescent="0.2">
      <c r="AF57310" s="12"/>
    </row>
    <row r="57311" spans="32:32" x14ac:dyDescent="0.2">
      <c r="AF57311" s="12"/>
    </row>
    <row r="57312" spans="32:32" x14ac:dyDescent="0.2">
      <c r="AF57312" s="12"/>
    </row>
    <row r="57313" spans="32:32" x14ac:dyDescent="0.2">
      <c r="AF57313" s="12"/>
    </row>
    <row r="57314" spans="32:32" x14ac:dyDescent="0.2">
      <c r="AF57314" s="12"/>
    </row>
    <row r="57315" spans="32:32" x14ac:dyDescent="0.2">
      <c r="AF57315" s="12"/>
    </row>
    <row r="57316" spans="32:32" x14ac:dyDescent="0.2">
      <c r="AF57316" s="12"/>
    </row>
    <row r="57317" spans="32:32" x14ac:dyDescent="0.2">
      <c r="AF57317" s="12"/>
    </row>
    <row r="57318" spans="32:32" x14ac:dyDescent="0.2">
      <c r="AF57318" s="12"/>
    </row>
    <row r="57319" spans="32:32" x14ac:dyDescent="0.2">
      <c r="AF57319" s="12"/>
    </row>
    <row r="57320" spans="32:32" x14ac:dyDescent="0.2">
      <c r="AF57320" s="12"/>
    </row>
    <row r="57321" spans="32:32" x14ac:dyDescent="0.2">
      <c r="AF57321" s="12"/>
    </row>
    <row r="57322" spans="32:32" x14ac:dyDescent="0.2">
      <c r="AF57322" s="12"/>
    </row>
    <row r="57323" spans="32:32" x14ac:dyDescent="0.2">
      <c r="AF57323" s="12"/>
    </row>
    <row r="57324" spans="32:32" x14ac:dyDescent="0.2">
      <c r="AF57324" s="12"/>
    </row>
    <row r="57325" spans="32:32" x14ac:dyDescent="0.2">
      <c r="AF57325" s="12"/>
    </row>
    <row r="57326" spans="32:32" x14ac:dyDescent="0.2">
      <c r="AF57326" s="12"/>
    </row>
    <row r="57327" spans="32:32" x14ac:dyDescent="0.2">
      <c r="AF57327" s="12"/>
    </row>
    <row r="57328" spans="32:32" x14ac:dyDescent="0.2">
      <c r="AF57328" s="12"/>
    </row>
    <row r="57329" spans="32:32" x14ac:dyDescent="0.2">
      <c r="AF57329" s="12"/>
    </row>
    <row r="57330" spans="32:32" x14ac:dyDescent="0.2">
      <c r="AF57330" s="12"/>
    </row>
    <row r="57331" spans="32:32" x14ac:dyDescent="0.2">
      <c r="AF57331" s="12"/>
    </row>
    <row r="57332" spans="32:32" x14ac:dyDescent="0.2">
      <c r="AF57332" s="12"/>
    </row>
    <row r="57333" spans="32:32" x14ac:dyDescent="0.2">
      <c r="AF57333" s="12"/>
    </row>
    <row r="57334" spans="32:32" x14ac:dyDescent="0.2">
      <c r="AF57334" s="12"/>
    </row>
    <row r="57335" spans="32:32" x14ac:dyDescent="0.2">
      <c r="AF57335" s="12"/>
    </row>
    <row r="57336" spans="32:32" x14ac:dyDescent="0.2">
      <c r="AF57336" s="12"/>
    </row>
    <row r="57337" spans="32:32" x14ac:dyDescent="0.2">
      <c r="AF57337" s="12"/>
    </row>
    <row r="57338" spans="32:32" x14ac:dyDescent="0.2">
      <c r="AF57338" s="12"/>
    </row>
    <row r="57339" spans="32:32" x14ac:dyDescent="0.2">
      <c r="AF57339" s="12"/>
    </row>
    <row r="57340" spans="32:32" x14ac:dyDescent="0.2">
      <c r="AF57340" s="12"/>
    </row>
    <row r="57341" spans="32:32" x14ac:dyDescent="0.2">
      <c r="AF57341" s="12"/>
    </row>
    <row r="57342" spans="32:32" x14ac:dyDescent="0.2">
      <c r="AF57342" s="12"/>
    </row>
    <row r="57343" spans="32:32" x14ac:dyDescent="0.2">
      <c r="AF57343" s="12"/>
    </row>
    <row r="57344" spans="32:32" x14ac:dyDescent="0.2">
      <c r="AF57344" s="12"/>
    </row>
    <row r="57345" spans="32:32" x14ac:dyDescent="0.2">
      <c r="AF57345" s="12"/>
    </row>
    <row r="57346" spans="32:32" x14ac:dyDescent="0.2">
      <c r="AF57346" s="12"/>
    </row>
    <row r="57347" spans="32:32" x14ac:dyDescent="0.2">
      <c r="AF57347" s="12"/>
    </row>
    <row r="57348" spans="32:32" x14ac:dyDescent="0.2">
      <c r="AF57348" s="12"/>
    </row>
    <row r="57349" spans="32:32" x14ac:dyDescent="0.2">
      <c r="AF57349" s="12"/>
    </row>
    <row r="57350" spans="32:32" x14ac:dyDescent="0.2">
      <c r="AF57350" s="12"/>
    </row>
    <row r="57351" spans="32:32" x14ac:dyDescent="0.2">
      <c r="AF57351" s="12"/>
    </row>
    <row r="57352" spans="32:32" x14ac:dyDescent="0.2">
      <c r="AF57352" s="12"/>
    </row>
    <row r="57353" spans="32:32" x14ac:dyDescent="0.2">
      <c r="AF57353" s="12"/>
    </row>
    <row r="57354" spans="32:32" x14ac:dyDescent="0.2">
      <c r="AF57354" s="12"/>
    </row>
    <row r="57355" spans="32:32" x14ac:dyDescent="0.2">
      <c r="AF57355" s="12"/>
    </row>
    <row r="57356" spans="32:32" x14ac:dyDescent="0.2">
      <c r="AF57356" s="12"/>
    </row>
    <row r="57357" spans="32:32" x14ac:dyDescent="0.2">
      <c r="AF57357" s="12"/>
    </row>
    <row r="57358" spans="32:32" x14ac:dyDescent="0.2">
      <c r="AF57358" s="12"/>
    </row>
    <row r="57359" spans="32:32" x14ac:dyDescent="0.2">
      <c r="AF57359" s="12"/>
    </row>
    <row r="57360" spans="32:32" x14ac:dyDescent="0.2">
      <c r="AF57360" s="12"/>
    </row>
    <row r="57361" spans="32:32" x14ac:dyDescent="0.2">
      <c r="AF57361" s="12"/>
    </row>
    <row r="57362" spans="32:32" x14ac:dyDescent="0.2">
      <c r="AF57362" s="12"/>
    </row>
    <row r="57363" spans="32:32" x14ac:dyDescent="0.2">
      <c r="AF57363" s="12"/>
    </row>
    <row r="57364" spans="32:32" x14ac:dyDescent="0.2">
      <c r="AF57364" s="12"/>
    </row>
    <row r="57365" spans="32:32" x14ac:dyDescent="0.2">
      <c r="AF57365" s="12"/>
    </row>
    <row r="57366" spans="32:32" x14ac:dyDescent="0.2">
      <c r="AF57366" s="12"/>
    </row>
    <row r="57367" spans="32:32" x14ac:dyDescent="0.2">
      <c r="AF57367" s="12"/>
    </row>
    <row r="57368" spans="32:32" x14ac:dyDescent="0.2">
      <c r="AF57368" s="12"/>
    </row>
    <row r="57369" spans="32:32" x14ac:dyDescent="0.2">
      <c r="AF57369" s="12"/>
    </row>
    <row r="57370" spans="32:32" x14ac:dyDescent="0.2">
      <c r="AF57370" s="12"/>
    </row>
    <row r="57371" spans="32:32" x14ac:dyDescent="0.2">
      <c r="AF57371" s="12"/>
    </row>
    <row r="57372" spans="32:32" x14ac:dyDescent="0.2">
      <c r="AF57372" s="12"/>
    </row>
    <row r="57373" spans="32:32" x14ac:dyDescent="0.2">
      <c r="AF57373" s="12"/>
    </row>
    <row r="57374" spans="32:32" x14ac:dyDescent="0.2">
      <c r="AF57374" s="12"/>
    </row>
    <row r="57375" spans="32:32" x14ac:dyDescent="0.2">
      <c r="AF57375" s="12"/>
    </row>
    <row r="57376" spans="32:32" x14ac:dyDescent="0.2">
      <c r="AF57376" s="12"/>
    </row>
    <row r="57377" spans="32:32" x14ac:dyDescent="0.2">
      <c r="AF57377" s="12"/>
    </row>
    <row r="57378" spans="32:32" x14ac:dyDescent="0.2">
      <c r="AF57378" s="12"/>
    </row>
    <row r="57379" spans="32:32" x14ac:dyDescent="0.2">
      <c r="AF57379" s="12"/>
    </row>
    <row r="57380" spans="32:32" x14ac:dyDescent="0.2">
      <c r="AF57380" s="12"/>
    </row>
    <row r="57381" spans="32:32" x14ac:dyDescent="0.2">
      <c r="AF57381" s="12"/>
    </row>
    <row r="57382" spans="32:32" x14ac:dyDescent="0.2">
      <c r="AF57382" s="12"/>
    </row>
    <row r="57383" spans="32:32" x14ac:dyDescent="0.2">
      <c r="AF57383" s="12"/>
    </row>
    <row r="57384" spans="32:32" x14ac:dyDescent="0.2">
      <c r="AF57384" s="12"/>
    </row>
    <row r="57385" spans="32:32" x14ac:dyDescent="0.2">
      <c r="AF57385" s="12"/>
    </row>
    <row r="57386" spans="32:32" x14ac:dyDescent="0.2">
      <c r="AF57386" s="12"/>
    </row>
    <row r="57387" spans="32:32" x14ac:dyDescent="0.2">
      <c r="AF57387" s="12"/>
    </row>
    <row r="57388" spans="32:32" x14ac:dyDescent="0.2">
      <c r="AF57388" s="12"/>
    </row>
    <row r="57389" spans="32:32" x14ac:dyDescent="0.2">
      <c r="AF57389" s="12"/>
    </row>
    <row r="57390" spans="32:32" x14ac:dyDescent="0.2">
      <c r="AF57390" s="12"/>
    </row>
    <row r="57391" spans="32:32" x14ac:dyDescent="0.2">
      <c r="AF57391" s="12"/>
    </row>
    <row r="57392" spans="32:32" x14ac:dyDescent="0.2">
      <c r="AF57392" s="12"/>
    </row>
    <row r="57393" spans="32:32" x14ac:dyDescent="0.2">
      <c r="AF57393" s="12"/>
    </row>
    <row r="57394" spans="32:32" x14ac:dyDescent="0.2">
      <c r="AF57394" s="12"/>
    </row>
    <row r="57395" spans="32:32" x14ac:dyDescent="0.2">
      <c r="AF57395" s="12"/>
    </row>
    <row r="57396" spans="32:32" x14ac:dyDescent="0.2">
      <c r="AF57396" s="12"/>
    </row>
    <row r="57397" spans="32:32" x14ac:dyDescent="0.2">
      <c r="AF57397" s="12"/>
    </row>
    <row r="57398" spans="32:32" x14ac:dyDescent="0.2">
      <c r="AF57398" s="12"/>
    </row>
    <row r="57399" spans="32:32" x14ac:dyDescent="0.2">
      <c r="AF57399" s="12"/>
    </row>
    <row r="57400" spans="32:32" x14ac:dyDescent="0.2">
      <c r="AF57400" s="12"/>
    </row>
    <row r="57401" spans="32:32" x14ac:dyDescent="0.2">
      <c r="AF57401" s="12"/>
    </row>
    <row r="57402" spans="32:32" x14ac:dyDescent="0.2">
      <c r="AF57402" s="12"/>
    </row>
    <row r="57403" spans="32:32" x14ac:dyDescent="0.2">
      <c r="AF57403" s="12"/>
    </row>
    <row r="57404" spans="32:32" x14ac:dyDescent="0.2">
      <c r="AF57404" s="12"/>
    </row>
    <row r="57405" spans="32:32" x14ac:dyDescent="0.2">
      <c r="AF57405" s="12"/>
    </row>
    <row r="57406" spans="32:32" x14ac:dyDescent="0.2">
      <c r="AF57406" s="12"/>
    </row>
    <row r="57407" spans="32:32" x14ac:dyDescent="0.2">
      <c r="AF57407" s="12"/>
    </row>
    <row r="57408" spans="32:32" x14ac:dyDescent="0.2">
      <c r="AF57408" s="12"/>
    </row>
    <row r="57409" spans="32:32" x14ac:dyDescent="0.2">
      <c r="AF57409" s="12"/>
    </row>
    <row r="57410" spans="32:32" x14ac:dyDescent="0.2">
      <c r="AF57410" s="12"/>
    </row>
    <row r="57411" spans="32:32" x14ac:dyDescent="0.2">
      <c r="AF57411" s="12"/>
    </row>
    <row r="57412" spans="32:32" x14ac:dyDescent="0.2">
      <c r="AF57412" s="12"/>
    </row>
    <row r="57413" spans="32:32" x14ac:dyDescent="0.2">
      <c r="AF57413" s="12"/>
    </row>
    <row r="57414" spans="32:32" x14ac:dyDescent="0.2">
      <c r="AF57414" s="12"/>
    </row>
    <row r="57415" spans="32:32" x14ac:dyDescent="0.2">
      <c r="AF57415" s="12"/>
    </row>
    <row r="57416" spans="32:32" x14ac:dyDescent="0.2">
      <c r="AF57416" s="12"/>
    </row>
    <row r="57417" spans="32:32" x14ac:dyDescent="0.2">
      <c r="AF57417" s="12"/>
    </row>
    <row r="57418" spans="32:32" x14ac:dyDescent="0.2">
      <c r="AF57418" s="12"/>
    </row>
    <row r="57419" spans="32:32" x14ac:dyDescent="0.2">
      <c r="AF57419" s="12"/>
    </row>
    <row r="57420" spans="32:32" x14ac:dyDescent="0.2">
      <c r="AF57420" s="12"/>
    </row>
    <row r="57421" spans="32:32" x14ac:dyDescent="0.2">
      <c r="AF57421" s="12"/>
    </row>
    <row r="57422" spans="32:32" x14ac:dyDescent="0.2">
      <c r="AF57422" s="12"/>
    </row>
    <row r="57423" spans="32:32" x14ac:dyDescent="0.2">
      <c r="AF57423" s="12"/>
    </row>
    <row r="57424" spans="32:32" x14ac:dyDescent="0.2">
      <c r="AF57424" s="12"/>
    </row>
    <row r="57425" spans="32:32" x14ac:dyDescent="0.2">
      <c r="AF57425" s="12"/>
    </row>
    <row r="57426" spans="32:32" x14ac:dyDescent="0.2">
      <c r="AF57426" s="12"/>
    </row>
    <row r="57427" spans="32:32" x14ac:dyDescent="0.2">
      <c r="AF57427" s="12"/>
    </row>
    <row r="57428" spans="32:32" x14ac:dyDescent="0.2">
      <c r="AF57428" s="12"/>
    </row>
    <row r="57429" spans="32:32" x14ac:dyDescent="0.2">
      <c r="AF57429" s="12"/>
    </row>
    <row r="57430" spans="32:32" x14ac:dyDescent="0.2">
      <c r="AF57430" s="12"/>
    </row>
    <row r="57431" spans="32:32" x14ac:dyDescent="0.2">
      <c r="AF57431" s="12"/>
    </row>
    <row r="57432" spans="32:32" x14ac:dyDescent="0.2">
      <c r="AF57432" s="12"/>
    </row>
    <row r="57433" spans="32:32" x14ac:dyDescent="0.2">
      <c r="AF57433" s="12"/>
    </row>
    <row r="57434" spans="32:32" x14ac:dyDescent="0.2">
      <c r="AF57434" s="12"/>
    </row>
    <row r="57435" spans="32:32" x14ac:dyDescent="0.2">
      <c r="AF57435" s="12"/>
    </row>
    <row r="57436" spans="32:32" x14ac:dyDescent="0.2">
      <c r="AF57436" s="12"/>
    </row>
    <row r="57437" spans="32:32" x14ac:dyDescent="0.2">
      <c r="AF57437" s="12"/>
    </row>
    <row r="57438" spans="32:32" x14ac:dyDescent="0.2">
      <c r="AF57438" s="12"/>
    </row>
    <row r="57439" spans="32:32" x14ac:dyDescent="0.2">
      <c r="AF57439" s="12"/>
    </row>
    <row r="57440" spans="32:32" x14ac:dyDescent="0.2">
      <c r="AF57440" s="12"/>
    </row>
    <row r="57441" spans="32:32" x14ac:dyDescent="0.2">
      <c r="AF57441" s="12"/>
    </row>
    <row r="57442" spans="32:32" x14ac:dyDescent="0.2">
      <c r="AF57442" s="12"/>
    </row>
    <row r="57443" spans="32:32" x14ac:dyDescent="0.2">
      <c r="AF57443" s="12"/>
    </row>
    <row r="57444" spans="32:32" x14ac:dyDescent="0.2">
      <c r="AF57444" s="12"/>
    </row>
    <row r="57445" spans="32:32" x14ac:dyDescent="0.2">
      <c r="AF57445" s="12"/>
    </row>
    <row r="57446" spans="32:32" x14ac:dyDescent="0.2">
      <c r="AF57446" s="12"/>
    </row>
    <row r="57447" spans="32:32" x14ac:dyDescent="0.2">
      <c r="AF57447" s="12"/>
    </row>
    <row r="57448" spans="32:32" x14ac:dyDescent="0.2">
      <c r="AF57448" s="12"/>
    </row>
    <row r="57449" spans="32:32" x14ac:dyDescent="0.2">
      <c r="AF57449" s="12"/>
    </row>
    <row r="57450" spans="32:32" x14ac:dyDescent="0.2">
      <c r="AF57450" s="12"/>
    </row>
    <row r="57451" spans="32:32" x14ac:dyDescent="0.2">
      <c r="AF57451" s="12"/>
    </row>
    <row r="57452" spans="32:32" x14ac:dyDescent="0.2">
      <c r="AF57452" s="12"/>
    </row>
    <row r="57453" spans="32:32" x14ac:dyDescent="0.2">
      <c r="AF57453" s="12"/>
    </row>
    <row r="57454" spans="32:32" x14ac:dyDescent="0.2">
      <c r="AF57454" s="12"/>
    </row>
    <row r="57455" spans="32:32" x14ac:dyDescent="0.2">
      <c r="AF57455" s="12"/>
    </row>
    <row r="57456" spans="32:32" x14ac:dyDescent="0.2">
      <c r="AF57456" s="12"/>
    </row>
    <row r="57457" spans="32:32" x14ac:dyDescent="0.2">
      <c r="AF57457" s="12"/>
    </row>
    <row r="57458" spans="32:32" x14ac:dyDescent="0.2">
      <c r="AF57458" s="12"/>
    </row>
    <row r="57459" spans="32:32" x14ac:dyDescent="0.2">
      <c r="AF57459" s="12"/>
    </row>
    <row r="57460" spans="32:32" x14ac:dyDescent="0.2">
      <c r="AF57460" s="12"/>
    </row>
    <row r="57461" spans="32:32" x14ac:dyDescent="0.2">
      <c r="AF57461" s="12"/>
    </row>
    <row r="57462" spans="32:32" x14ac:dyDescent="0.2">
      <c r="AF57462" s="12"/>
    </row>
    <row r="57463" spans="32:32" x14ac:dyDescent="0.2">
      <c r="AF57463" s="12"/>
    </row>
    <row r="57464" spans="32:32" x14ac:dyDescent="0.2">
      <c r="AF57464" s="12"/>
    </row>
    <row r="57465" spans="32:32" x14ac:dyDescent="0.2">
      <c r="AF57465" s="12"/>
    </row>
    <row r="57466" spans="32:32" x14ac:dyDescent="0.2">
      <c r="AF57466" s="12"/>
    </row>
    <row r="57467" spans="32:32" x14ac:dyDescent="0.2">
      <c r="AF57467" s="12"/>
    </row>
    <row r="57468" spans="32:32" x14ac:dyDescent="0.2">
      <c r="AF57468" s="12"/>
    </row>
    <row r="57469" spans="32:32" x14ac:dyDescent="0.2">
      <c r="AF57469" s="12"/>
    </row>
    <row r="57470" spans="32:32" x14ac:dyDescent="0.2">
      <c r="AF57470" s="12"/>
    </row>
    <row r="57471" spans="32:32" x14ac:dyDescent="0.2">
      <c r="AF57471" s="12"/>
    </row>
    <row r="57472" spans="32:32" x14ac:dyDescent="0.2">
      <c r="AF57472" s="12"/>
    </row>
    <row r="57473" spans="32:32" x14ac:dyDescent="0.2">
      <c r="AF57473" s="12"/>
    </row>
    <row r="57474" spans="32:32" x14ac:dyDescent="0.2">
      <c r="AF57474" s="12"/>
    </row>
    <row r="57475" spans="32:32" x14ac:dyDescent="0.2">
      <c r="AF57475" s="12"/>
    </row>
    <row r="57476" spans="32:32" x14ac:dyDescent="0.2">
      <c r="AF57476" s="12"/>
    </row>
    <row r="57477" spans="32:32" x14ac:dyDescent="0.2">
      <c r="AF57477" s="12"/>
    </row>
    <row r="57478" spans="32:32" x14ac:dyDescent="0.2">
      <c r="AF57478" s="12"/>
    </row>
    <row r="57479" spans="32:32" x14ac:dyDescent="0.2">
      <c r="AF57479" s="12"/>
    </row>
    <row r="57480" spans="32:32" x14ac:dyDescent="0.2">
      <c r="AF57480" s="12"/>
    </row>
    <row r="57481" spans="32:32" x14ac:dyDescent="0.2">
      <c r="AF57481" s="12"/>
    </row>
    <row r="57482" spans="32:32" x14ac:dyDescent="0.2">
      <c r="AF57482" s="12"/>
    </row>
    <row r="57483" spans="32:32" x14ac:dyDescent="0.2">
      <c r="AF57483" s="12"/>
    </row>
    <row r="57484" spans="32:32" x14ac:dyDescent="0.2">
      <c r="AF57484" s="12"/>
    </row>
    <row r="57485" spans="32:32" x14ac:dyDescent="0.2">
      <c r="AF57485" s="12"/>
    </row>
    <row r="57486" spans="32:32" x14ac:dyDescent="0.2">
      <c r="AF57486" s="12"/>
    </row>
    <row r="57487" spans="32:32" x14ac:dyDescent="0.2">
      <c r="AF57487" s="12"/>
    </row>
    <row r="57488" spans="32:32" x14ac:dyDescent="0.2">
      <c r="AF57488" s="12"/>
    </row>
    <row r="57489" spans="32:32" x14ac:dyDescent="0.2">
      <c r="AF57489" s="12"/>
    </row>
    <row r="57490" spans="32:32" x14ac:dyDescent="0.2">
      <c r="AF57490" s="12"/>
    </row>
    <row r="57491" spans="32:32" x14ac:dyDescent="0.2">
      <c r="AF57491" s="12"/>
    </row>
    <row r="57492" spans="32:32" x14ac:dyDescent="0.2">
      <c r="AF57492" s="12"/>
    </row>
    <row r="57493" spans="32:32" x14ac:dyDescent="0.2">
      <c r="AF57493" s="12"/>
    </row>
    <row r="57494" spans="32:32" x14ac:dyDescent="0.2">
      <c r="AF57494" s="12"/>
    </row>
    <row r="57495" spans="32:32" x14ac:dyDescent="0.2">
      <c r="AF57495" s="12"/>
    </row>
    <row r="57496" spans="32:32" x14ac:dyDescent="0.2">
      <c r="AF57496" s="12"/>
    </row>
    <row r="57497" spans="32:32" x14ac:dyDescent="0.2">
      <c r="AF57497" s="12"/>
    </row>
    <row r="57498" spans="32:32" x14ac:dyDescent="0.2">
      <c r="AF57498" s="12"/>
    </row>
    <row r="57499" spans="32:32" x14ac:dyDescent="0.2">
      <c r="AF57499" s="12"/>
    </row>
    <row r="57500" spans="32:32" x14ac:dyDescent="0.2">
      <c r="AF57500" s="12"/>
    </row>
    <row r="57501" spans="32:32" x14ac:dyDescent="0.2">
      <c r="AF57501" s="12"/>
    </row>
    <row r="57502" spans="32:32" x14ac:dyDescent="0.2">
      <c r="AF57502" s="12"/>
    </row>
    <row r="57503" spans="32:32" x14ac:dyDescent="0.2">
      <c r="AF57503" s="12"/>
    </row>
    <row r="57504" spans="32:32" x14ac:dyDescent="0.2">
      <c r="AF57504" s="12"/>
    </row>
    <row r="57505" spans="32:32" x14ac:dyDescent="0.2">
      <c r="AF57505" s="12"/>
    </row>
    <row r="57506" spans="32:32" x14ac:dyDescent="0.2">
      <c r="AF57506" s="12"/>
    </row>
    <row r="57507" spans="32:32" x14ac:dyDescent="0.2">
      <c r="AF57507" s="12"/>
    </row>
    <row r="57508" spans="32:32" x14ac:dyDescent="0.2">
      <c r="AF57508" s="12"/>
    </row>
    <row r="57509" spans="32:32" x14ac:dyDescent="0.2">
      <c r="AF57509" s="12"/>
    </row>
    <row r="57510" spans="32:32" x14ac:dyDescent="0.2">
      <c r="AF57510" s="12"/>
    </row>
    <row r="57511" spans="32:32" x14ac:dyDescent="0.2">
      <c r="AF57511" s="12"/>
    </row>
    <row r="57512" spans="32:32" x14ac:dyDescent="0.2">
      <c r="AF57512" s="12"/>
    </row>
    <row r="57513" spans="32:32" x14ac:dyDescent="0.2">
      <c r="AF57513" s="12"/>
    </row>
    <row r="57514" spans="32:32" x14ac:dyDescent="0.2">
      <c r="AF57514" s="12"/>
    </row>
    <row r="57515" spans="32:32" x14ac:dyDescent="0.2">
      <c r="AF57515" s="12"/>
    </row>
    <row r="57516" spans="32:32" x14ac:dyDescent="0.2">
      <c r="AF57516" s="12"/>
    </row>
    <row r="57517" spans="32:32" x14ac:dyDescent="0.2">
      <c r="AF57517" s="12"/>
    </row>
    <row r="57518" spans="32:32" x14ac:dyDescent="0.2">
      <c r="AF57518" s="12"/>
    </row>
    <row r="57519" spans="32:32" x14ac:dyDescent="0.2">
      <c r="AF57519" s="12"/>
    </row>
    <row r="57520" spans="32:32" x14ac:dyDescent="0.2">
      <c r="AF57520" s="12"/>
    </row>
    <row r="57521" spans="32:32" x14ac:dyDescent="0.2">
      <c r="AF57521" s="12"/>
    </row>
    <row r="57522" spans="32:32" x14ac:dyDescent="0.2">
      <c r="AF57522" s="12"/>
    </row>
    <row r="57523" spans="32:32" x14ac:dyDescent="0.2">
      <c r="AF57523" s="12"/>
    </row>
    <row r="57524" spans="32:32" x14ac:dyDescent="0.2">
      <c r="AF57524" s="12"/>
    </row>
    <row r="57525" spans="32:32" x14ac:dyDescent="0.2">
      <c r="AF57525" s="12"/>
    </row>
    <row r="57526" spans="32:32" x14ac:dyDescent="0.2">
      <c r="AF57526" s="12"/>
    </row>
    <row r="57527" spans="32:32" x14ac:dyDescent="0.2">
      <c r="AF57527" s="12"/>
    </row>
    <row r="57528" spans="32:32" x14ac:dyDescent="0.2">
      <c r="AF57528" s="12"/>
    </row>
    <row r="57529" spans="32:32" x14ac:dyDescent="0.2">
      <c r="AF57529" s="12"/>
    </row>
    <row r="57530" spans="32:32" x14ac:dyDescent="0.2">
      <c r="AF57530" s="12"/>
    </row>
    <row r="57531" spans="32:32" x14ac:dyDescent="0.2">
      <c r="AF57531" s="12"/>
    </row>
    <row r="57532" spans="32:32" x14ac:dyDescent="0.2">
      <c r="AF57532" s="12"/>
    </row>
    <row r="57533" spans="32:32" x14ac:dyDescent="0.2">
      <c r="AF57533" s="12"/>
    </row>
    <row r="57534" spans="32:32" x14ac:dyDescent="0.2">
      <c r="AF57534" s="12"/>
    </row>
    <row r="57535" spans="32:32" x14ac:dyDescent="0.2">
      <c r="AF57535" s="12"/>
    </row>
    <row r="57536" spans="32:32" x14ac:dyDescent="0.2">
      <c r="AF57536" s="12"/>
    </row>
    <row r="57537" spans="32:32" x14ac:dyDescent="0.2">
      <c r="AF57537" s="12"/>
    </row>
    <row r="57538" spans="32:32" x14ac:dyDescent="0.2">
      <c r="AF57538" s="12"/>
    </row>
    <row r="57539" spans="32:32" x14ac:dyDescent="0.2">
      <c r="AF57539" s="12"/>
    </row>
    <row r="57540" spans="32:32" x14ac:dyDescent="0.2">
      <c r="AF57540" s="12"/>
    </row>
    <row r="57541" spans="32:32" x14ac:dyDescent="0.2">
      <c r="AF57541" s="12"/>
    </row>
    <row r="57542" spans="32:32" x14ac:dyDescent="0.2">
      <c r="AF57542" s="12"/>
    </row>
    <row r="57543" spans="32:32" x14ac:dyDescent="0.2">
      <c r="AF57543" s="12"/>
    </row>
    <row r="57544" spans="32:32" x14ac:dyDescent="0.2">
      <c r="AF57544" s="12"/>
    </row>
    <row r="57545" spans="32:32" x14ac:dyDescent="0.2">
      <c r="AF57545" s="12"/>
    </row>
    <row r="57546" spans="32:32" x14ac:dyDescent="0.2">
      <c r="AF57546" s="12"/>
    </row>
    <row r="57547" spans="32:32" x14ac:dyDescent="0.2">
      <c r="AF57547" s="12"/>
    </row>
    <row r="57548" spans="32:32" x14ac:dyDescent="0.2">
      <c r="AF57548" s="12"/>
    </row>
    <row r="57549" spans="32:32" x14ac:dyDescent="0.2">
      <c r="AF57549" s="12"/>
    </row>
    <row r="57550" spans="32:32" x14ac:dyDescent="0.2">
      <c r="AF57550" s="12"/>
    </row>
    <row r="57551" spans="32:32" x14ac:dyDescent="0.2">
      <c r="AF57551" s="12"/>
    </row>
    <row r="57552" spans="32:32" x14ac:dyDescent="0.2">
      <c r="AF57552" s="12"/>
    </row>
    <row r="57553" spans="32:32" x14ac:dyDescent="0.2">
      <c r="AF57553" s="12"/>
    </row>
    <row r="57554" spans="32:32" x14ac:dyDescent="0.2">
      <c r="AF57554" s="12"/>
    </row>
    <row r="57555" spans="32:32" x14ac:dyDescent="0.2">
      <c r="AF57555" s="12"/>
    </row>
    <row r="57556" spans="32:32" x14ac:dyDescent="0.2">
      <c r="AF57556" s="12"/>
    </row>
    <row r="57557" spans="32:32" x14ac:dyDescent="0.2">
      <c r="AF57557" s="12"/>
    </row>
    <row r="57558" spans="32:32" x14ac:dyDescent="0.2">
      <c r="AF57558" s="12"/>
    </row>
    <row r="57559" spans="32:32" x14ac:dyDescent="0.2">
      <c r="AF57559" s="12"/>
    </row>
    <row r="57560" spans="32:32" x14ac:dyDescent="0.2">
      <c r="AF57560" s="12"/>
    </row>
    <row r="57561" spans="32:32" x14ac:dyDescent="0.2">
      <c r="AF57561" s="12"/>
    </row>
    <row r="57562" spans="32:32" x14ac:dyDescent="0.2">
      <c r="AF57562" s="12"/>
    </row>
    <row r="57563" spans="32:32" x14ac:dyDescent="0.2">
      <c r="AF57563" s="12"/>
    </row>
    <row r="57564" spans="32:32" x14ac:dyDescent="0.2">
      <c r="AF57564" s="12"/>
    </row>
    <row r="57565" spans="32:32" x14ac:dyDescent="0.2">
      <c r="AF57565" s="12"/>
    </row>
    <row r="57566" spans="32:32" x14ac:dyDescent="0.2">
      <c r="AF57566" s="12"/>
    </row>
    <row r="57567" spans="32:32" x14ac:dyDescent="0.2">
      <c r="AF57567" s="12"/>
    </row>
    <row r="57568" spans="32:32" x14ac:dyDescent="0.2">
      <c r="AF57568" s="12"/>
    </row>
    <row r="57569" spans="32:32" x14ac:dyDescent="0.2">
      <c r="AF57569" s="12"/>
    </row>
    <row r="57570" spans="32:32" x14ac:dyDescent="0.2">
      <c r="AF57570" s="12"/>
    </row>
    <row r="57571" spans="32:32" x14ac:dyDescent="0.2">
      <c r="AF57571" s="12"/>
    </row>
    <row r="57572" spans="32:32" x14ac:dyDescent="0.2">
      <c r="AF57572" s="12"/>
    </row>
    <row r="57573" spans="32:32" x14ac:dyDescent="0.2">
      <c r="AF57573" s="12"/>
    </row>
    <row r="57574" spans="32:32" x14ac:dyDescent="0.2">
      <c r="AF57574" s="12"/>
    </row>
    <row r="57575" spans="32:32" x14ac:dyDescent="0.2">
      <c r="AF57575" s="12"/>
    </row>
    <row r="57576" spans="32:32" x14ac:dyDescent="0.2">
      <c r="AF57576" s="12"/>
    </row>
    <row r="57577" spans="32:32" x14ac:dyDescent="0.2">
      <c r="AF57577" s="12"/>
    </row>
    <row r="57578" spans="32:32" x14ac:dyDescent="0.2">
      <c r="AF57578" s="12"/>
    </row>
    <row r="57579" spans="32:32" x14ac:dyDescent="0.2">
      <c r="AF57579" s="12"/>
    </row>
    <row r="57580" spans="32:32" x14ac:dyDescent="0.2">
      <c r="AF57580" s="12"/>
    </row>
    <row r="57581" spans="32:32" x14ac:dyDescent="0.2">
      <c r="AF57581" s="12"/>
    </row>
    <row r="57582" spans="32:32" x14ac:dyDescent="0.2">
      <c r="AF57582" s="12"/>
    </row>
    <row r="57583" spans="32:32" x14ac:dyDescent="0.2">
      <c r="AF57583" s="12"/>
    </row>
    <row r="57584" spans="32:32" x14ac:dyDescent="0.2">
      <c r="AF57584" s="12"/>
    </row>
    <row r="57585" spans="32:32" x14ac:dyDescent="0.2">
      <c r="AF57585" s="12"/>
    </row>
    <row r="57586" spans="32:32" x14ac:dyDescent="0.2">
      <c r="AF57586" s="12"/>
    </row>
    <row r="57587" spans="32:32" x14ac:dyDescent="0.2">
      <c r="AF57587" s="12"/>
    </row>
    <row r="57588" spans="32:32" x14ac:dyDescent="0.2">
      <c r="AF57588" s="12"/>
    </row>
    <row r="57589" spans="32:32" x14ac:dyDescent="0.2">
      <c r="AF57589" s="12"/>
    </row>
    <row r="57590" spans="32:32" x14ac:dyDescent="0.2">
      <c r="AF57590" s="12"/>
    </row>
    <row r="57591" spans="32:32" x14ac:dyDescent="0.2">
      <c r="AF57591" s="12"/>
    </row>
    <row r="57592" spans="32:32" x14ac:dyDescent="0.2">
      <c r="AF57592" s="12"/>
    </row>
    <row r="57593" spans="32:32" x14ac:dyDescent="0.2">
      <c r="AF57593" s="12"/>
    </row>
    <row r="57594" spans="32:32" x14ac:dyDescent="0.2">
      <c r="AF57594" s="12"/>
    </row>
    <row r="57595" spans="32:32" x14ac:dyDescent="0.2">
      <c r="AF57595" s="12"/>
    </row>
    <row r="57596" spans="32:32" x14ac:dyDescent="0.2">
      <c r="AF57596" s="12"/>
    </row>
    <row r="57597" spans="32:32" x14ac:dyDescent="0.2">
      <c r="AF57597" s="12"/>
    </row>
    <row r="57598" spans="32:32" x14ac:dyDescent="0.2">
      <c r="AF57598" s="12"/>
    </row>
    <row r="57599" spans="32:32" x14ac:dyDescent="0.2">
      <c r="AF57599" s="12"/>
    </row>
    <row r="57600" spans="32:32" x14ac:dyDescent="0.2">
      <c r="AF57600" s="12"/>
    </row>
    <row r="57601" spans="32:32" x14ac:dyDescent="0.2">
      <c r="AF57601" s="12"/>
    </row>
    <row r="57602" spans="32:32" x14ac:dyDescent="0.2">
      <c r="AF57602" s="12"/>
    </row>
    <row r="57603" spans="32:32" x14ac:dyDescent="0.2">
      <c r="AF57603" s="12"/>
    </row>
    <row r="57604" spans="32:32" x14ac:dyDescent="0.2">
      <c r="AF57604" s="12"/>
    </row>
    <row r="57605" spans="32:32" x14ac:dyDescent="0.2">
      <c r="AF57605" s="12"/>
    </row>
    <row r="57606" spans="32:32" x14ac:dyDescent="0.2">
      <c r="AF57606" s="12"/>
    </row>
    <row r="57607" spans="32:32" x14ac:dyDescent="0.2">
      <c r="AF57607" s="12"/>
    </row>
    <row r="57608" spans="32:32" x14ac:dyDescent="0.2">
      <c r="AF57608" s="12"/>
    </row>
    <row r="57609" spans="32:32" x14ac:dyDescent="0.2">
      <c r="AF57609" s="12"/>
    </row>
    <row r="57610" spans="32:32" x14ac:dyDescent="0.2">
      <c r="AF57610" s="12"/>
    </row>
    <row r="57611" spans="32:32" x14ac:dyDescent="0.2">
      <c r="AF57611" s="12"/>
    </row>
    <row r="57612" spans="32:32" x14ac:dyDescent="0.2">
      <c r="AF57612" s="12"/>
    </row>
    <row r="57613" spans="32:32" x14ac:dyDescent="0.2">
      <c r="AF57613" s="12"/>
    </row>
    <row r="57614" spans="32:32" x14ac:dyDescent="0.2">
      <c r="AF57614" s="12"/>
    </row>
    <row r="57615" spans="32:32" x14ac:dyDescent="0.2">
      <c r="AF57615" s="12"/>
    </row>
    <row r="57616" spans="32:32" x14ac:dyDescent="0.2">
      <c r="AF57616" s="12"/>
    </row>
    <row r="57617" spans="32:32" x14ac:dyDescent="0.2">
      <c r="AF57617" s="12"/>
    </row>
    <row r="57618" spans="32:32" x14ac:dyDescent="0.2">
      <c r="AF57618" s="12"/>
    </row>
    <row r="57619" spans="32:32" x14ac:dyDescent="0.2">
      <c r="AF57619" s="12"/>
    </row>
    <row r="57620" spans="32:32" x14ac:dyDescent="0.2">
      <c r="AF57620" s="12"/>
    </row>
    <row r="57621" spans="32:32" x14ac:dyDescent="0.2">
      <c r="AF57621" s="12"/>
    </row>
    <row r="57622" spans="32:32" x14ac:dyDescent="0.2">
      <c r="AF57622" s="12"/>
    </row>
    <row r="57623" spans="32:32" x14ac:dyDescent="0.2">
      <c r="AF57623" s="12"/>
    </row>
    <row r="57624" spans="32:32" x14ac:dyDescent="0.2">
      <c r="AF57624" s="12"/>
    </row>
    <row r="57625" spans="32:32" x14ac:dyDescent="0.2">
      <c r="AF57625" s="12"/>
    </row>
    <row r="57626" spans="32:32" x14ac:dyDescent="0.2">
      <c r="AF57626" s="12"/>
    </row>
    <row r="57627" spans="32:32" x14ac:dyDescent="0.2">
      <c r="AF57627" s="12"/>
    </row>
    <row r="57628" spans="32:32" x14ac:dyDescent="0.2">
      <c r="AF57628" s="12"/>
    </row>
    <row r="57629" spans="32:32" x14ac:dyDescent="0.2">
      <c r="AF57629" s="12"/>
    </row>
    <row r="57630" spans="32:32" x14ac:dyDescent="0.2">
      <c r="AF57630" s="12"/>
    </row>
    <row r="57631" spans="32:32" x14ac:dyDescent="0.2">
      <c r="AF57631" s="12"/>
    </row>
    <row r="57632" spans="32:32" x14ac:dyDescent="0.2">
      <c r="AF57632" s="12"/>
    </row>
    <row r="57633" spans="32:32" x14ac:dyDescent="0.2">
      <c r="AF57633" s="12"/>
    </row>
    <row r="57634" spans="32:32" x14ac:dyDescent="0.2">
      <c r="AF57634" s="12"/>
    </row>
    <row r="57635" spans="32:32" x14ac:dyDescent="0.2">
      <c r="AF57635" s="12"/>
    </row>
    <row r="57636" spans="32:32" x14ac:dyDescent="0.2">
      <c r="AF57636" s="12"/>
    </row>
    <row r="57637" spans="32:32" x14ac:dyDescent="0.2">
      <c r="AF57637" s="12"/>
    </row>
    <row r="57638" spans="32:32" x14ac:dyDescent="0.2">
      <c r="AF57638" s="12"/>
    </row>
    <row r="57639" spans="32:32" x14ac:dyDescent="0.2">
      <c r="AF57639" s="12"/>
    </row>
    <row r="57640" spans="32:32" x14ac:dyDescent="0.2">
      <c r="AF57640" s="12"/>
    </row>
    <row r="57641" spans="32:32" x14ac:dyDescent="0.2">
      <c r="AF57641" s="12"/>
    </row>
    <row r="57642" spans="32:32" x14ac:dyDescent="0.2">
      <c r="AF57642" s="12"/>
    </row>
    <row r="57643" spans="32:32" x14ac:dyDescent="0.2">
      <c r="AF57643" s="12"/>
    </row>
    <row r="57644" spans="32:32" x14ac:dyDescent="0.2">
      <c r="AF57644" s="12"/>
    </row>
    <row r="57645" spans="32:32" x14ac:dyDescent="0.2">
      <c r="AF57645" s="12"/>
    </row>
    <row r="57646" spans="32:32" x14ac:dyDescent="0.2">
      <c r="AF57646" s="12"/>
    </row>
    <row r="57647" spans="32:32" x14ac:dyDescent="0.2">
      <c r="AF57647" s="12"/>
    </row>
    <row r="57648" spans="32:32" x14ac:dyDescent="0.2">
      <c r="AF57648" s="12"/>
    </row>
    <row r="57649" spans="32:32" x14ac:dyDescent="0.2">
      <c r="AF57649" s="12"/>
    </row>
    <row r="57650" spans="32:32" x14ac:dyDescent="0.2">
      <c r="AF57650" s="12"/>
    </row>
    <row r="57651" spans="32:32" x14ac:dyDescent="0.2">
      <c r="AF57651" s="12"/>
    </row>
    <row r="57652" spans="32:32" x14ac:dyDescent="0.2">
      <c r="AF57652" s="12"/>
    </row>
    <row r="57653" spans="32:32" x14ac:dyDescent="0.2">
      <c r="AF57653" s="12"/>
    </row>
    <row r="57654" spans="32:32" x14ac:dyDescent="0.2">
      <c r="AF57654" s="12"/>
    </row>
    <row r="57655" spans="32:32" x14ac:dyDescent="0.2">
      <c r="AF57655" s="12"/>
    </row>
    <row r="57656" spans="32:32" x14ac:dyDescent="0.2">
      <c r="AF57656" s="12"/>
    </row>
    <row r="57657" spans="32:32" x14ac:dyDescent="0.2">
      <c r="AF57657" s="12"/>
    </row>
    <row r="57658" spans="32:32" x14ac:dyDescent="0.2">
      <c r="AF57658" s="12"/>
    </row>
    <row r="57659" spans="32:32" x14ac:dyDescent="0.2">
      <c r="AF57659" s="12"/>
    </row>
    <row r="57660" spans="32:32" x14ac:dyDescent="0.2">
      <c r="AF57660" s="12"/>
    </row>
    <row r="57661" spans="32:32" x14ac:dyDescent="0.2">
      <c r="AF57661" s="12"/>
    </row>
    <row r="57662" spans="32:32" x14ac:dyDescent="0.2">
      <c r="AF57662" s="12"/>
    </row>
    <row r="57663" spans="32:32" x14ac:dyDescent="0.2">
      <c r="AF57663" s="12"/>
    </row>
    <row r="57664" spans="32:32" x14ac:dyDescent="0.2">
      <c r="AF57664" s="12"/>
    </row>
    <row r="57665" spans="32:32" x14ac:dyDescent="0.2">
      <c r="AF57665" s="12"/>
    </row>
    <row r="57666" spans="32:32" x14ac:dyDescent="0.2">
      <c r="AF57666" s="12"/>
    </row>
    <row r="57667" spans="32:32" x14ac:dyDescent="0.2">
      <c r="AF57667" s="12"/>
    </row>
    <row r="57668" spans="32:32" x14ac:dyDescent="0.2">
      <c r="AF57668" s="12"/>
    </row>
    <row r="57669" spans="32:32" x14ac:dyDescent="0.2">
      <c r="AF57669" s="12"/>
    </row>
    <row r="57670" spans="32:32" x14ac:dyDescent="0.2">
      <c r="AF57670" s="12"/>
    </row>
    <row r="57671" spans="32:32" x14ac:dyDescent="0.2">
      <c r="AF57671" s="12"/>
    </row>
    <row r="57672" spans="32:32" x14ac:dyDescent="0.2">
      <c r="AF57672" s="12"/>
    </row>
    <row r="57673" spans="32:32" x14ac:dyDescent="0.2">
      <c r="AF57673" s="12"/>
    </row>
    <row r="57674" spans="32:32" x14ac:dyDescent="0.2">
      <c r="AF57674" s="12"/>
    </row>
    <row r="57675" spans="32:32" x14ac:dyDescent="0.2">
      <c r="AF57675" s="12"/>
    </row>
    <row r="57676" spans="32:32" x14ac:dyDescent="0.2">
      <c r="AF57676" s="12"/>
    </row>
    <row r="57677" spans="32:32" x14ac:dyDescent="0.2">
      <c r="AF57677" s="12"/>
    </row>
    <row r="57678" spans="32:32" x14ac:dyDescent="0.2">
      <c r="AF57678" s="12"/>
    </row>
    <row r="57679" spans="32:32" x14ac:dyDescent="0.2">
      <c r="AF57679" s="12"/>
    </row>
    <row r="57680" spans="32:32" x14ac:dyDescent="0.2">
      <c r="AF57680" s="12"/>
    </row>
    <row r="57681" spans="32:32" x14ac:dyDescent="0.2">
      <c r="AF57681" s="12"/>
    </row>
    <row r="57682" spans="32:32" x14ac:dyDescent="0.2">
      <c r="AF57682" s="12"/>
    </row>
    <row r="57683" spans="32:32" x14ac:dyDescent="0.2">
      <c r="AF57683" s="12"/>
    </row>
    <row r="57684" spans="32:32" x14ac:dyDescent="0.2">
      <c r="AF57684" s="12"/>
    </row>
    <row r="57685" spans="32:32" x14ac:dyDescent="0.2">
      <c r="AF57685" s="12"/>
    </row>
    <row r="57686" spans="32:32" x14ac:dyDescent="0.2">
      <c r="AF57686" s="12"/>
    </row>
    <row r="57687" spans="32:32" x14ac:dyDescent="0.2">
      <c r="AF57687" s="12"/>
    </row>
    <row r="57688" spans="32:32" x14ac:dyDescent="0.2">
      <c r="AF57688" s="12"/>
    </row>
    <row r="57689" spans="32:32" x14ac:dyDescent="0.2">
      <c r="AF57689" s="12"/>
    </row>
    <row r="57690" spans="32:32" x14ac:dyDescent="0.2">
      <c r="AF57690" s="12"/>
    </row>
    <row r="57691" spans="32:32" x14ac:dyDescent="0.2">
      <c r="AF57691" s="12"/>
    </row>
    <row r="57692" spans="32:32" x14ac:dyDescent="0.2">
      <c r="AF57692" s="12"/>
    </row>
    <row r="57693" spans="32:32" x14ac:dyDescent="0.2">
      <c r="AF57693" s="12"/>
    </row>
    <row r="57694" spans="32:32" x14ac:dyDescent="0.2">
      <c r="AF57694" s="12"/>
    </row>
    <row r="57695" spans="32:32" x14ac:dyDescent="0.2">
      <c r="AF57695" s="12"/>
    </row>
    <row r="57696" spans="32:32" x14ac:dyDescent="0.2">
      <c r="AF57696" s="12"/>
    </row>
    <row r="57697" spans="32:32" x14ac:dyDescent="0.2">
      <c r="AF57697" s="12"/>
    </row>
    <row r="57698" spans="32:32" x14ac:dyDescent="0.2">
      <c r="AF57698" s="12"/>
    </row>
    <row r="57699" spans="32:32" x14ac:dyDescent="0.2">
      <c r="AF57699" s="12"/>
    </row>
    <row r="57700" spans="32:32" x14ac:dyDescent="0.2">
      <c r="AF57700" s="12"/>
    </row>
    <row r="57701" spans="32:32" x14ac:dyDescent="0.2">
      <c r="AF57701" s="12"/>
    </row>
    <row r="57702" spans="32:32" x14ac:dyDescent="0.2">
      <c r="AF57702" s="12"/>
    </row>
    <row r="57703" spans="32:32" x14ac:dyDescent="0.2">
      <c r="AF57703" s="12"/>
    </row>
    <row r="57704" spans="32:32" x14ac:dyDescent="0.2">
      <c r="AF57704" s="12"/>
    </row>
    <row r="57705" spans="32:32" x14ac:dyDescent="0.2">
      <c r="AF57705" s="12"/>
    </row>
    <row r="57706" spans="32:32" x14ac:dyDescent="0.2">
      <c r="AF57706" s="12"/>
    </row>
    <row r="57707" spans="32:32" x14ac:dyDescent="0.2">
      <c r="AF57707" s="12"/>
    </row>
    <row r="57708" spans="32:32" x14ac:dyDescent="0.2">
      <c r="AF57708" s="12"/>
    </row>
    <row r="57709" spans="32:32" x14ac:dyDescent="0.2">
      <c r="AF57709" s="12"/>
    </row>
    <row r="57710" spans="32:32" x14ac:dyDescent="0.2">
      <c r="AF57710" s="12"/>
    </row>
    <row r="57711" spans="32:32" x14ac:dyDescent="0.2">
      <c r="AF57711" s="12"/>
    </row>
    <row r="57712" spans="32:32" x14ac:dyDescent="0.2">
      <c r="AF57712" s="12"/>
    </row>
    <row r="57713" spans="32:32" x14ac:dyDescent="0.2">
      <c r="AF57713" s="12"/>
    </row>
    <row r="57714" spans="32:32" x14ac:dyDescent="0.2">
      <c r="AF57714" s="12"/>
    </row>
    <row r="57715" spans="32:32" x14ac:dyDescent="0.2">
      <c r="AF57715" s="12"/>
    </row>
    <row r="57716" spans="32:32" x14ac:dyDescent="0.2">
      <c r="AF57716" s="12"/>
    </row>
    <row r="57717" spans="32:32" x14ac:dyDescent="0.2">
      <c r="AF57717" s="12"/>
    </row>
    <row r="57718" spans="32:32" x14ac:dyDescent="0.2">
      <c r="AF57718" s="12"/>
    </row>
    <row r="57719" spans="32:32" x14ac:dyDescent="0.2">
      <c r="AF57719" s="12"/>
    </row>
    <row r="57720" spans="32:32" x14ac:dyDescent="0.2">
      <c r="AF57720" s="12"/>
    </row>
    <row r="57721" spans="32:32" x14ac:dyDescent="0.2">
      <c r="AF57721" s="12"/>
    </row>
    <row r="57722" spans="32:32" x14ac:dyDescent="0.2">
      <c r="AF57722" s="12"/>
    </row>
    <row r="57723" spans="32:32" x14ac:dyDescent="0.2">
      <c r="AF57723" s="12"/>
    </row>
    <row r="57724" spans="32:32" x14ac:dyDescent="0.2">
      <c r="AF57724" s="12"/>
    </row>
    <row r="57725" spans="32:32" x14ac:dyDescent="0.2">
      <c r="AF57725" s="12"/>
    </row>
    <row r="57726" spans="32:32" x14ac:dyDescent="0.2">
      <c r="AF57726" s="12"/>
    </row>
    <row r="57727" spans="32:32" x14ac:dyDescent="0.2">
      <c r="AF57727" s="12"/>
    </row>
    <row r="57728" spans="32:32" x14ac:dyDescent="0.2">
      <c r="AF57728" s="12"/>
    </row>
    <row r="57729" spans="32:32" x14ac:dyDescent="0.2">
      <c r="AF57729" s="12"/>
    </row>
    <row r="57730" spans="32:32" x14ac:dyDescent="0.2">
      <c r="AF57730" s="12"/>
    </row>
    <row r="57731" spans="32:32" x14ac:dyDescent="0.2">
      <c r="AF57731" s="12"/>
    </row>
    <row r="57732" spans="32:32" x14ac:dyDescent="0.2">
      <c r="AF57732" s="12"/>
    </row>
    <row r="57733" spans="32:32" x14ac:dyDescent="0.2">
      <c r="AF57733" s="12"/>
    </row>
    <row r="57734" spans="32:32" x14ac:dyDescent="0.2">
      <c r="AF57734" s="12"/>
    </row>
    <row r="57735" spans="32:32" x14ac:dyDescent="0.2">
      <c r="AF57735" s="12"/>
    </row>
    <row r="57736" spans="32:32" x14ac:dyDescent="0.2">
      <c r="AF57736" s="12"/>
    </row>
    <row r="57737" spans="32:32" x14ac:dyDescent="0.2">
      <c r="AF57737" s="12"/>
    </row>
    <row r="57738" spans="32:32" x14ac:dyDescent="0.2">
      <c r="AF57738" s="12"/>
    </row>
    <row r="57739" spans="32:32" x14ac:dyDescent="0.2">
      <c r="AF57739" s="12"/>
    </row>
    <row r="57740" spans="32:32" x14ac:dyDescent="0.2">
      <c r="AF57740" s="12"/>
    </row>
    <row r="57741" spans="32:32" x14ac:dyDescent="0.2">
      <c r="AF57741" s="12"/>
    </row>
    <row r="57742" spans="32:32" x14ac:dyDescent="0.2">
      <c r="AF57742" s="12"/>
    </row>
    <row r="57743" spans="32:32" x14ac:dyDescent="0.2">
      <c r="AF57743" s="12"/>
    </row>
    <row r="57744" spans="32:32" x14ac:dyDescent="0.2">
      <c r="AF57744" s="12"/>
    </row>
    <row r="57745" spans="32:32" x14ac:dyDescent="0.2">
      <c r="AF57745" s="12"/>
    </row>
    <row r="57746" spans="32:32" x14ac:dyDescent="0.2">
      <c r="AF57746" s="12"/>
    </row>
    <row r="57747" spans="32:32" x14ac:dyDescent="0.2">
      <c r="AF57747" s="12"/>
    </row>
    <row r="57748" spans="32:32" x14ac:dyDescent="0.2">
      <c r="AF57748" s="12"/>
    </row>
    <row r="57749" spans="32:32" x14ac:dyDescent="0.2">
      <c r="AF57749" s="12"/>
    </row>
    <row r="57750" spans="32:32" x14ac:dyDescent="0.2">
      <c r="AF57750" s="12"/>
    </row>
    <row r="57751" spans="32:32" x14ac:dyDescent="0.2">
      <c r="AF57751" s="12"/>
    </row>
    <row r="57752" spans="32:32" x14ac:dyDescent="0.2">
      <c r="AF57752" s="12"/>
    </row>
    <row r="57753" spans="32:32" x14ac:dyDescent="0.2">
      <c r="AF57753" s="12"/>
    </row>
    <row r="57754" spans="32:32" x14ac:dyDescent="0.2">
      <c r="AF57754" s="12"/>
    </row>
    <row r="57755" spans="32:32" x14ac:dyDescent="0.2">
      <c r="AF57755" s="12"/>
    </row>
    <row r="57756" spans="32:32" x14ac:dyDescent="0.2">
      <c r="AF57756" s="12"/>
    </row>
    <row r="57757" spans="32:32" x14ac:dyDescent="0.2">
      <c r="AF57757" s="12"/>
    </row>
    <row r="57758" spans="32:32" x14ac:dyDescent="0.2">
      <c r="AF57758" s="12"/>
    </row>
    <row r="57759" spans="32:32" x14ac:dyDescent="0.2">
      <c r="AF57759" s="12"/>
    </row>
    <row r="57760" spans="32:32" x14ac:dyDescent="0.2">
      <c r="AF57760" s="12"/>
    </row>
    <row r="57761" spans="32:32" x14ac:dyDescent="0.2">
      <c r="AF57761" s="12"/>
    </row>
    <row r="57762" spans="32:32" x14ac:dyDescent="0.2">
      <c r="AF57762" s="12"/>
    </row>
    <row r="57763" spans="32:32" x14ac:dyDescent="0.2">
      <c r="AF57763" s="12"/>
    </row>
    <row r="57764" spans="32:32" x14ac:dyDescent="0.2">
      <c r="AF57764" s="12"/>
    </row>
    <row r="57765" spans="32:32" x14ac:dyDescent="0.2">
      <c r="AF57765" s="12"/>
    </row>
    <row r="57766" spans="32:32" x14ac:dyDescent="0.2">
      <c r="AF57766" s="12"/>
    </row>
    <row r="57767" spans="32:32" x14ac:dyDescent="0.2">
      <c r="AF57767" s="12"/>
    </row>
    <row r="57768" spans="32:32" x14ac:dyDescent="0.2">
      <c r="AF57768" s="12"/>
    </row>
    <row r="57769" spans="32:32" x14ac:dyDescent="0.2">
      <c r="AF57769" s="12"/>
    </row>
    <row r="57770" spans="32:32" x14ac:dyDescent="0.2">
      <c r="AF57770" s="12"/>
    </row>
    <row r="57771" spans="32:32" x14ac:dyDescent="0.2">
      <c r="AF57771" s="12"/>
    </row>
    <row r="57772" spans="32:32" x14ac:dyDescent="0.2">
      <c r="AF57772" s="12"/>
    </row>
    <row r="57773" spans="32:32" x14ac:dyDescent="0.2">
      <c r="AF57773" s="12"/>
    </row>
    <row r="57774" spans="32:32" x14ac:dyDescent="0.2">
      <c r="AF57774" s="12"/>
    </row>
    <row r="57775" spans="32:32" x14ac:dyDescent="0.2">
      <c r="AF57775" s="12"/>
    </row>
    <row r="57776" spans="32:32" x14ac:dyDescent="0.2">
      <c r="AF57776" s="12"/>
    </row>
    <row r="57777" spans="32:32" x14ac:dyDescent="0.2">
      <c r="AF57777" s="12"/>
    </row>
    <row r="57778" spans="32:32" x14ac:dyDescent="0.2">
      <c r="AF57778" s="12"/>
    </row>
    <row r="57779" spans="32:32" x14ac:dyDescent="0.2">
      <c r="AF57779" s="12"/>
    </row>
    <row r="57780" spans="32:32" x14ac:dyDescent="0.2">
      <c r="AF57780" s="12"/>
    </row>
    <row r="57781" spans="32:32" x14ac:dyDescent="0.2">
      <c r="AF57781" s="12"/>
    </row>
    <row r="57782" spans="32:32" x14ac:dyDescent="0.2">
      <c r="AF57782" s="12"/>
    </row>
    <row r="57783" spans="32:32" x14ac:dyDescent="0.2">
      <c r="AF57783" s="12"/>
    </row>
    <row r="57784" spans="32:32" x14ac:dyDescent="0.2">
      <c r="AF57784" s="12"/>
    </row>
    <row r="57785" spans="32:32" x14ac:dyDescent="0.2">
      <c r="AF57785" s="12"/>
    </row>
    <row r="57786" spans="32:32" x14ac:dyDescent="0.2">
      <c r="AF57786" s="12"/>
    </row>
    <row r="57787" spans="32:32" x14ac:dyDescent="0.2">
      <c r="AF57787" s="12"/>
    </row>
    <row r="57788" spans="32:32" x14ac:dyDescent="0.2">
      <c r="AF57788" s="12"/>
    </row>
    <row r="57789" spans="32:32" x14ac:dyDescent="0.2">
      <c r="AF57789" s="12"/>
    </row>
    <row r="57790" spans="32:32" x14ac:dyDescent="0.2">
      <c r="AF57790" s="12"/>
    </row>
    <row r="57791" spans="32:32" x14ac:dyDescent="0.2">
      <c r="AF57791" s="12"/>
    </row>
    <row r="57792" spans="32:32" x14ac:dyDescent="0.2">
      <c r="AF57792" s="12"/>
    </row>
    <row r="57793" spans="32:32" x14ac:dyDescent="0.2">
      <c r="AF57793" s="12"/>
    </row>
    <row r="57794" spans="32:32" x14ac:dyDescent="0.2">
      <c r="AF57794" s="12"/>
    </row>
    <row r="57795" spans="32:32" x14ac:dyDescent="0.2">
      <c r="AF57795" s="12"/>
    </row>
    <row r="57796" spans="32:32" x14ac:dyDescent="0.2">
      <c r="AF57796" s="12"/>
    </row>
    <row r="57797" spans="32:32" x14ac:dyDescent="0.2">
      <c r="AF57797" s="12"/>
    </row>
    <row r="57798" spans="32:32" x14ac:dyDescent="0.2">
      <c r="AF57798" s="12"/>
    </row>
    <row r="57799" spans="32:32" x14ac:dyDescent="0.2">
      <c r="AF57799" s="12"/>
    </row>
    <row r="57800" spans="32:32" x14ac:dyDescent="0.2">
      <c r="AF57800" s="12"/>
    </row>
    <row r="57801" spans="32:32" x14ac:dyDescent="0.2">
      <c r="AF57801" s="12"/>
    </row>
    <row r="57802" spans="32:32" x14ac:dyDescent="0.2">
      <c r="AF57802" s="12"/>
    </row>
    <row r="57803" spans="32:32" x14ac:dyDescent="0.2">
      <c r="AF57803" s="12"/>
    </row>
    <row r="57804" spans="32:32" x14ac:dyDescent="0.2">
      <c r="AF57804" s="12"/>
    </row>
    <row r="57805" spans="32:32" x14ac:dyDescent="0.2">
      <c r="AF57805" s="12"/>
    </row>
    <row r="57806" spans="32:32" x14ac:dyDescent="0.2">
      <c r="AF57806" s="12"/>
    </row>
    <row r="57807" spans="32:32" x14ac:dyDescent="0.2">
      <c r="AF57807" s="12"/>
    </row>
    <row r="57808" spans="32:32" x14ac:dyDescent="0.2">
      <c r="AF57808" s="12"/>
    </row>
    <row r="57809" spans="32:32" x14ac:dyDescent="0.2">
      <c r="AF57809" s="12"/>
    </row>
    <row r="57810" spans="32:32" x14ac:dyDescent="0.2">
      <c r="AF57810" s="12"/>
    </row>
    <row r="57811" spans="32:32" x14ac:dyDescent="0.2">
      <c r="AF57811" s="12"/>
    </row>
    <row r="57812" spans="32:32" x14ac:dyDescent="0.2">
      <c r="AF57812" s="12"/>
    </row>
    <row r="57813" spans="32:32" x14ac:dyDescent="0.2">
      <c r="AF57813" s="12"/>
    </row>
    <row r="57814" spans="32:32" x14ac:dyDescent="0.2">
      <c r="AF57814" s="12"/>
    </row>
    <row r="57815" spans="32:32" x14ac:dyDescent="0.2">
      <c r="AF57815" s="12"/>
    </row>
    <row r="57816" spans="32:32" x14ac:dyDescent="0.2">
      <c r="AF57816" s="12"/>
    </row>
    <row r="57817" spans="32:32" x14ac:dyDescent="0.2">
      <c r="AF57817" s="12"/>
    </row>
    <row r="57818" spans="32:32" x14ac:dyDescent="0.2">
      <c r="AF57818" s="12"/>
    </row>
    <row r="57819" spans="32:32" x14ac:dyDescent="0.2">
      <c r="AF57819" s="12"/>
    </row>
    <row r="57820" spans="32:32" x14ac:dyDescent="0.2">
      <c r="AF57820" s="12"/>
    </row>
    <row r="57821" spans="32:32" x14ac:dyDescent="0.2">
      <c r="AF57821" s="12"/>
    </row>
    <row r="57822" spans="32:32" x14ac:dyDescent="0.2">
      <c r="AF57822" s="12"/>
    </row>
    <row r="57823" spans="32:32" x14ac:dyDescent="0.2">
      <c r="AF57823" s="12"/>
    </row>
    <row r="57824" spans="32:32" x14ac:dyDescent="0.2">
      <c r="AF57824" s="12"/>
    </row>
    <row r="57825" spans="32:32" x14ac:dyDescent="0.2">
      <c r="AF57825" s="12"/>
    </row>
    <row r="57826" spans="32:32" x14ac:dyDescent="0.2">
      <c r="AF57826" s="12"/>
    </row>
    <row r="57827" spans="32:32" x14ac:dyDescent="0.2">
      <c r="AF57827" s="12"/>
    </row>
    <row r="57828" spans="32:32" x14ac:dyDescent="0.2">
      <c r="AF57828" s="12"/>
    </row>
    <row r="57829" spans="32:32" x14ac:dyDescent="0.2">
      <c r="AF57829" s="12"/>
    </row>
    <row r="57830" spans="32:32" x14ac:dyDescent="0.2">
      <c r="AF57830" s="12"/>
    </row>
    <row r="57831" spans="32:32" x14ac:dyDescent="0.2">
      <c r="AF57831" s="12"/>
    </row>
    <row r="57832" spans="32:32" x14ac:dyDescent="0.2">
      <c r="AF57832" s="12"/>
    </row>
    <row r="57833" spans="32:32" x14ac:dyDescent="0.2">
      <c r="AF57833" s="12"/>
    </row>
    <row r="57834" spans="32:32" x14ac:dyDescent="0.2">
      <c r="AF57834" s="12"/>
    </row>
    <row r="57835" spans="32:32" x14ac:dyDescent="0.2">
      <c r="AF57835" s="12"/>
    </row>
    <row r="57836" spans="32:32" x14ac:dyDescent="0.2">
      <c r="AF57836" s="12"/>
    </row>
    <row r="57837" spans="32:32" x14ac:dyDescent="0.2">
      <c r="AF57837" s="12"/>
    </row>
    <row r="57838" spans="32:32" x14ac:dyDescent="0.2">
      <c r="AF57838" s="12"/>
    </row>
    <row r="57839" spans="32:32" x14ac:dyDescent="0.2">
      <c r="AF57839" s="12"/>
    </row>
    <row r="57840" spans="32:32" x14ac:dyDescent="0.2">
      <c r="AF57840" s="12"/>
    </row>
    <row r="57841" spans="32:32" x14ac:dyDescent="0.2">
      <c r="AF57841" s="12"/>
    </row>
    <row r="57842" spans="32:32" x14ac:dyDescent="0.2">
      <c r="AF57842" s="12"/>
    </row>
    <row r="57843" spans="32:32" x14ac:dyDescent="0.2">
      <c r="AF57843" s="12"/>
    </row>
    <row r="57844" spans="32:32" x14ac:dyDescent="0.2">
      <c r="AF57844" s="12"/>
    </row>
    <row r="57845" spans="32:32" x14ac:dyDescent="0.2">
      <c r="AF57845" s="12"/>
    </row>
    <row r="57846" spans="32:32" x14ac:dyDescent="0.2">
      <c r="AF57846" s="12"/>
    </row>
    <row r="57847" spans="32:32" x14ac:dyDescent="0.2">
      <c r="AF57847" s="12"/>
    </row>
    <row r="57848" spans="32:32" x14ac:dyDescent="0.2">
      <c r="AF57848" s="12"/>
    </row>
    <row r="57849" spans="32:32" x14ac:dyDescent="0.2">
      <c r="AF57849" s="12"/>
    </row>
    <row r="57850" spans="32:32" x14ac:dyDescent="0.2">
      <c r="AF57850" s="12"/>
    </row>
    <row r="57851" spans="32:32" x14ac:dyDescent="0.2">
      <c r="AF57851" s="12"/>
    </row>
    <row r="57852" spans="32:32" x14ac:dyDescent="0.2">
      <c r="AF57852" s="12"/>
    </row>
    <row r="57853" spans="32:32" x14ac:dyDescent="0.2">
      <c r="AF57853" s="12"/>
    </row>
    <row r="57854" spans="32:32" x14ac:dyDescent="0.2">
      <c r="AF57854" s="12"/>
    </row>
    <row r="57855" spans="32:32" x14ac:dyDescent="0.2">
      <c r="AF57855" s="12"/>
    </row>
    <row r="57856" spans="32:32" x14ac:dyDescent="0.2">
      <c r="AF57856" s="12"/>
    </row>
    <row r="57857" spans="32:32" x14ac:dyDescent="0.2">
      <c r="AF57857" s="12"/>
    </row>
    <row r="57858" spans="32:32" x14ac:dyDescent="0.2">
      <c r="AF57858" s="12"/>
    </row>
    <row r="57859" spans="32:32" x14ac:dyDescent="0.2">
      <c r="AF57859" s="12"/>
    </row>
    <row r="57860" spans="32:32" x14ac:dyDescent="0.2">
      <c r="AF57860" s="12"/>
    </row>
    <row r="57861" spans="32:32" x14ac:dyDescent="0.2">
      <c r="AF57861" s="12"/>
    </row>
    <row r="57862" spans="32:32" x14ac:dyDescent="0.2">
      <c r="AF57862" s="12"/>
    </row>
    <row r="57863" spans="32:32" x14ac:dyDescent="0.2">
      <c r="AF57863" s="12"/>
    </row>
    <row r="57864" spans="32:32" x14ac:dyDescent="0.2">
      <c r="AF57864" s="12"/>
    </row>
    <row r="57865" spans="32:32" x14ac:dyDescent="0.2">
      <c r="AF57865" s="12"/>
    </row>
    <row r="57866" spans="32:32" x14ac:dyDescent="0.2">
      <c r="AF57866" s="12"/>
    </row>
    <row r="57867" spans="32:32" x14ac:dyDescent="0.2">
      <c r="AF57867" s="12"/>
    </row>
    <row r="57868" spans="32:32" x14ac:dyDescent="0.2">
      <c r="AF57868" s="12"/>
    </row>
    <row r="57869" spans="32:32" x14ac:dyDescent="0.2">
      <c r="AF57869" s="12"/>
    </row>
    <row r="57870" spans="32:32" x14ac:dyDescent="0.2">
      <c r="AF57870" s="12"/>
    </row>
    <row r="57871" spans="32:32" x14ac:dyDescent="0.2">
      <c r="AF57871" s="12"/>
    </row>
    <row r="57872" spans="32:32" x14ac:dyDescent="0.2">
      <c r="AF57872" s="12"/>
    </row>
    <row r="57873" spans="32:32" x14ac:dyDescent="0.2">
      <c r="AF57873" s="12"/>
    </row>
    <row r="57874" spans="32:32" x14ac:dyDescent="0.2">
      <c r="AF57874" s="12"/>
    </row>
    <row r="57875" spans="32:32" x14ac:dyDescent="0.2">
      <c r="AF57875" s="12"/>
    </row>
    <row r="57876" spans="32:32" x14ac:dyDescent="0.2">
      <c r="AF57876" s="12"/>
    </row>
    <row r="57877" spans="32:32" x14ac:dyDescent="0.2">
      <c r="AF57877" s="12"/>
    </row>
    <row r="57878" spans="32:32" x14ac:dyDescent="0.2">
      <c r="AF57878" s="12"/>
    </row>
    <row r="57879" spans="32:32" x14ac:dyDescent="0.2">
      <c r="AF57879" s="12"/>
    </row>
    <row r="57880" spans="32:32" x14ac:dyDescent="0.2">
      <c r="AF57880" s="12"/>
    </row>
    <row r="57881" spans="32:32" x14ac:dyDescent="0.2">
      <c r="AF57881" s="12"/>
    </row>
    <row r="57882" spans="32:32" x14ac:dyDescent="0.2">
      <c r="AF57882" s="12"/>
    </row>
    <row r="57883" spans="32:32" x14ac:dyDescent="0.2">
      <c r="AF57883" s="12"/>
    </row>
    <row r="57884" spans="32:32" x14ac:dyDescent="0.2">
      <c r="AF57884" s="12"/>
    </row>
    <row r="57885" spans="32:32" x14ac:dyDescent="0.2">
      <c r="AF57885" s="12"/>
    </row>
    <row r="57886" spans="32:32" x14ac:dyDescent="0.2">
      <c r="AF57886" s="12"/>
    </row>
    <row r="57887" spans="32:32" x14ac:dyDescent="0.2">
      <c r="AF57887" s="12"/>
    </row>
    <row r="57888" spans="32:32" x14ac:dyDescent="0.2">
      <c r="AF57888" s="12"/>
    </row>
    <row r="57889" spans="32:32" x14ac:dyDescent="0.2">
      <c r="AF57889" s="12"/>
    </row>
    <row r="57890" spans="32:32" x14ac:dyDescent="0.2">
      <c r="AF57890" s="12"/>
    </row>
    <row r="57891" spans="32:32" x14ac:dyDescent="0.2">
      <c r="AF57891" s="12"/>
    </row>
    <row r="57892" spans="32:32" x14ac:dyDescent="0.2">
      <c r="AF57892" s="12"/>
    </row>
    <row r="57893" spans="32:32" x14ac:dyDescent="0.2">
      <c r="AF57893" s="12"/>
    </row>
    <row r="57894" spans="32:32" x14ac:dyDescent="0.2">
      <c r="AF57894" s="12"/>
    </row>
    <row r="57895" spans="32:32" x14ac:dyDescent="0.2">
      <c r="AF57895" s="12"/>
    </row>
    <row r="57896" spans="32:32" x14ac:dyDescent="0.2">
      <c r="AF57896" s="12"/>
    </row>
    <row r="57897" spans="32:32" x14ac:dyDescent="0.2">
      <c r="AF57897" s="12"/>
    </row>
    <row r="57898" spans="32:32" x14ac:dyDescent="0.2">
      <c r="AF57898" s="12"/>
    </row>
    <row r="57899" spans="32:32" x14ac:dyDescent="0.2">
      <c r="AF57899" s="12"/>
    </row>
    <row r="57900" spans="32:32" x14ac:dyDescent="0.2">
      <c r="AF57900" s="12"/>
    </row>
    <row r="57901" spans="32:32" x14ac:dyDescent="0.2">
      <c r="AF57901" s="12"/>
    </row>
    <row r="57902" spans="32:32" x14ac:dyDescent="0.2">
      <c r="AF57902" s="12"/>
    </row>
    <row r="57903" spans="32:32" x14ac:dyDescent="0.2">
      <c r="AF57903" s="12"/>
    </row>
    <row r="57904" spans="32:32" x14ac:dyDescent="0.2">
      <c r="AF57904" s="12"/>
    </row>
    <row r="57905" spans="32:32" x14ac:dyDescent="0.2">
      <c r="AF57905" s="12"/>
    </row>
    <row r="57906" spans="32:32" x14ac:dyDescent="0.2">
      <c r="AF57906" s="12"/>
    </row>
    <row r="57907" spans="32:32" x14ac:dyDescent="0.2">
      <c r="AF57907" s="12"/>
    </row>
    <row r="57908" spans="32:32" x14ac:dyDescent="0.2">
      <c r="AF57908" s="12"/>
    </row>
    <row r="57909" spans="32:32" x14ac:dyDescent="0.2">
      <c r="AF57909" s="12"/>
    </row>
    <row r="57910" spans="32:32" x14ac:dyDescent="0.2">
      <c r="AF57910" s="12"/>
    </row>
    <row r="57911" spans="32:32" x14ac:dyDescent="0.2">
      <c r="AF57911" s="12"/>
    </row>
    <row r="57912" spans="32:32" x14ac:dyDescent="0.2">
      <c r="AF57912" s="12"/>
    </row>
    <row r="57913" spans="32:32" x14ac:dyDescent="0.2">
      <c r="AF57913" s="12"/>
    </row>
    <row r="57914" spans="32:32" x14ac:dyDescent="0.2">
      <c r="AF57914" s="12"/>
    </row>
    <row r="57915" spans="32:32" x14ac:dyDescent="0.2">
      <c r="AF57915" s="12"/>
    </row>
    <row r="57916" spans="32:32" x14ac:dyDescent="0.2">
      <c r="AF57916" s="12"/>
    </row>
    <row r="57917" spans="32:32" x14ac:dyDescent="0.2">
      <c r="AF57917" s="12"/>
    </row>
    <row r="57918" spans="32:32" x14ac:dyDescent="0.2">
      <c r="AF57918" s="12"/>
    </row>
    <row r="57919" spans="32:32" x14ac:dyDescent="0.2">
      <c r="AF57919" s="12"/>
    </row>
    <row r="57920" spans="32:32" x14ac:dyDescent="0.2">
      <c r="AF57920" s="12"/>
    </row>
    <row r="57921" spans="32:32" x14ac:dyDescent="0.2">
      <c r="AF57921" s="12"/>
    </row>
    <row r="57922" spans="32:32" x14ac:dyDescent="0.2">
      <c r="AF57922" s="12"/>
    </row>
    <row r="57923" spans="32:32" x14ac:dyDescent="0.2">
      <c r="AF57923" s="12"/>
    </row>
    <row r="57924" spans="32:32" x14ac:dyDescent="0.2">
      <c r="AF57924" s="12"/>
    </row>
    <row r="57925" spans="32:32" x14ac:dyDescent="0.2">
      <c r="AF57925" s="12"/>
    </row>
    <row r="57926" spans="32:32" x14ac:dyDescent="0.2">
      <c r="AF57926" s="12"/>
    </row>
    <row r="57927" spans="32:32" x14ac:dyDescent="0.2">
      <c r="AF57927" s="12"/>
    </row>
    <row r="57928" spans="32:32" x14ac:dyDescent="0.2">
      <c r="AF57928" s="12"/>
    </row>
    <row r="57929" spans="32:32" x14ac:dyDescent="0.2">
      <c r="AF57929" s="12"/>
    </row>
    <row r="57930" spans="32:32" x14ac:dyDescent="0.2">
      <c r="AF57930" s="12"/>
    </row>
    <row r="57931" spans="32:32" x14ac:dyDescent="0.2">
      <c r="AF57931" s="12"/>
    </row>
    <row r="57932" spans="32:32" x14ac:dyDescent="0.2">
      <c r="AF57932" s="12"/>
    </row>
    <row r="57933" spans="32:32" x14ac:dyDescent="0.2">
      <c r="AF57933" s="12"/>
    </row>
    <row r="57934" spans="32:32" x14ac:dyDescent="0.2">
      <c r="AF57934" s="12"/>
    </row>
    <row r="57935" spans="32:32" x14ac:dyDescent="0.2">
      <c r="AF57935" s="12"/>
    </row>
    <row r="57936" spans="32:32" x14ac:dyDescent="0.2">
      <c r="AF57936" s="12"/>
    </row>
    <row r="57937" spans="32:32" x14ac:dyDescent="0.2">
      <c r="AF57937" s="12"/>
    </row>
    <row r="57938" spans="32:32" x14ac:dyDescent="0.2">
      <c r="AF57938" s="12"/>
    </row>
    <row r="57939" spans="32:32" x14ac:dyDescent="0.2">
      <c r="AF57939" s="12"/>
    </row>
    <row r="57940" spans="32:32" x14ac:dyDescent="0.2">
      <c r="AF57940" s="12"/>
    </row>
    <row r="57941" spans="32:32" x14ac:dyDescent="0.2">
      <c r="AF57941" s="12"/>
    </row>
    <row r="57942" spans="32:32" x14ac:dyDescent="0.2">
      <c r="AF57942" s="12"/>
    </row>
    <row r="57943" spans="32:32" x14ac:dyDescent="0.2">
      <c r="AF57943" s="12"/>
    </row>
    <row r="57944" spans="32:32" x14ac:dyDescent="0.2">
      <c r="AF57944" s="12"/>
    </row>
    <row r="57945" spans="32:32" x14ac:dyDescent="0.2">
      <c r="AF57945" s="12"/>
    </row>
    <row r="57946" spans="32:32" x14ac:dyDescent="0.2">
      <c r="AF57946" s="12"/>
    </row>
    <row r="57947" spans="32:32" x14ac:dyDescent="0.2">
      <c r="AF57947" s="12"/>
    </row>
    <row r="57948" spans="32:32" x14ac:dyDescent="0.2">
      <c r="AF57948" s="12"/>
    </row>
    <row r="57949" spans="32:32" x14ac:dyDescent="0.2">
      <c r="AF57949" s="12"/>
    </row>
    <row r="57950" spans="32:32" x14ac:dyDescent="0.2">
      <c r="AF57950" s="12"/>
    </row>
    <row r="57951" spans="32:32" x14ac:dyDescent="0.2">
      <c r="AF57951" s="12"/>
    </row>
    <row r="57952" spans="32:32" x14ac:dyDescent="0.2">
      <c r="AF57952" s="12"/>
    </row>
    <row r="57953" spans="32:32" x14ac:dyDescent="0.2">
      <c r="AF57953" s="12"/>
    </row>
    <row r="57954" spans="32:32" x14ac:dyDescent="0.2">
      <c r="AF57954" s="12"/>
    </row>
    <row r="57955" spans="32:32" x14ac:dyDescent="0.2">
      <c r="AF57955" s="12"/>
    </row>
    <row r="57956" spans="32:32" x14ac:dyDescent="0.2">
      <c r="AF57956" s="12"/>
    </row>
    <row r="57957" spans="32:32" x14ac:dyDescent="0.2">
      <c r="AF57957" s="12"/>
    </row>
    <row r="57958" spans="32:32" x14ac:dyDescent="0.2">
      <c r="AF57958" s="12"/>
    </row>
    <row r="57959" spans="32:32" x14ac:dyDescent="0.2">
      <c r="AF57959" s="12"/>
    </row>
    <row r="57960" spans="32:32" x14ac:dyDescent="0.2">
      <c r="AF57960" s="12"/>
    </row>
    <row r="57961" spans="32:32" x14ac:dyDescent="0.2">
      <c r="AF57961" s="12"/>
    </row>
    <row r="57962" spans="32:32" x14ac:dyDescent="0.2">
      <c r="AF57962" s="12"/>
    </row>
    <row r="57963" spans="32:32" x14ac:dyDescent="0.2">
      <c r="AF57963" s="12"/>
    </row>
    <row r="57964" spans="32:32" x14ac:dyDescent="0.2">
      <c r="AF57964" s="12"/>
    </row>
    <row r="57965" spans="32:32" x14ac:dyDescent="0.2">
      <c r="AF57965" s="12"/>
    </row>
    <row r="57966" spans="32:32" x14ac:dyDescent="0.2">
      <c r="AF57966" s="12"/>
    </row>
    <row r="57967" spans="32:32" x14ac:dyDescent="0.2">
      <c r="AF57967" s="12"/>
    </row>
    <row r="57968" spans="32:32" x14ac:dyDescent="0.2">
      <c r="AF57968" s="12"/>
    </row>
    <row r="57969" spans="32:32" x14ac:dyDescent="0.2">
      <c r="AF57969" s="12"/>
    </row>
    <row r="57970" spans="32:32" x14ac:dyDescent="0.2">
      <c r="AF57970" s="12"/>
    </row>
    <row r="57971" spans="32:32" x14ac:dyDescent="0.2">
      <c r="AF57971" s="12"/>
    </row>
    <row r="57972" spans="32:32" x14ac:dyDescent="0.2">
      <c r="AF57972" s="12"/>
    </row>
    <row r="57973" spans="32:32" x14ac:dyDescent="0.2">
      <c r="AF57973" s="12"/>
    </row>
    <row r="57974" spans="32:32" x14ac:dyDescent="0.2">
      <c r="AF57974" s="12"/>
    </row>
    <row r="57975" spans="32:32" x14ac:dyDescent="0.2">
      <c r="AF57975" s="12"/>
    </row>
    <row r="57976" spans="32:32" x14ac:dyDescent="0.2">
      <c r="AF57976" s="12"/>
    </row>
    <row r="57977" spans="32:32" x14ac:dyDescent="0.2">
      <c r="AF57977" s="12"/>
    </row>
    <row r="57978" spans="32:32" x14ac:dyDescent="0.2">
      <c r="AF57978" s="12"/>
    </row>
    <row r="57979" spans="32:32" x14ac:dyDescent="0.2">
      <c r="AF57979" s="12"/>
    </row>
    <row r="57980" spans="32:32" x14ac:dyDescent="0.2">
      <c r="AF57980" s="12"/>
    </row>
    <row r="57981" spans="32:32" x14ac:dyDescent="0.2">
      <c r="AF57981" s="12"/>
    </row>
    <row r="57982" spans="32:32" x14ac:dyDescent="0.2">
      <c r="AF57982" s="12"/>
    </row>
    <row r="57983" spans="32:32" x14ac:dyDescent="0.2">
      <c r="AF57983" s="12"/>
    </row>
    <row r="57984" spans="32:32" x14ac:dyDescent="0.2">
      <c r="AF57984" s="12"/>
    </row>
    <row r="57985" spans="32:32" x14ac:dyDescent="0.2">
      <c r="AF57985" s="12"/>
    </row>
    <row r="57986" spans="32:32" x14ac:dyDescent="0.2">
      <c r="AF57986" s="12"/>
    </row>
    <row r="57987" spans="32:32" x14ac:dyDescent="0.2">
      <c r="AF57987" s="12"/>
    </row>
    <row r="57988" spans="32:32" x14ac:dyDescent="0.2">
      <c r="AF57988" s="12"/>
    </row>
    <row r="57989" spans="32:32" x14ac:dyDescent="0.2">
      <c r="AF57989" s="12"/>
    </row>
    <row r="57990" spans="32:32" x14ac:dyDescent="0.2">
      <c r="AF57990" s="12"/>
    </row>
    <row r="57991" spans="32:32" x14ac:dyDescent="0.2">
      <c r="AF57991" s="12"/>
    </row>
    <row r="57992" spans="32:32" x14ac:dyDescent="0.2">
      <c r="AF57992" s="12"/>
    </row>
    <row r="57993" spans="32:32" x14ac:dyDescent="0.2">
      <c r="AF57993" s="12"/>
    </row>
    <row r="57994" spans="32:32" x14ac:dyDescent="0.2">
      <c r="AF57994" s="12"/>
    </row>
    <row r="57995" spans="32:32" x14ac:dyDescent="0.2">
      <c r="AF57995" s="12"/>
    </row>
    <row r="57996" spans="32:32" x14ac:dyDescent="0.2">
      <c r="AF57996" s="12"/>
    </row>
    <row r="57997" spans="32:32" x14ac:dyDescent="0.2">
      <c r="AF57997" s="12"/>
    </row>
    <row r="57998" spans="32:32" x14ac:dyDescent="0.2">
      <c r="AF57998" s="12"/>
    </row>
    <row r="57999" spans="32:32" x14ac:dyDescent="0.2">
      <c r="AF57999" s="12"/>
    </row>
    <row r="58000" spans="32:32" x14ac:dyDescent="0.2">
      <c r="AF58000" s="12"/>
    </row>
    <row r="58001" spans="32:32" x14ac:dyDescent="0.2">
      <c r="AF58001" s="12"/>
    </row>
    <row r="58002" spans="32:32" x14ac:dyDescent="0.2">
      <c r="AF58002" s="12"/>
    </row>
    <row r="58003" spans="32:32" x14ac:dyDescent="0.2">
      <c r="AF58003" s="12"/>
    </row>
    <row r="58004" spans="32:32" x14ac:dyDescent="0.2">
      <c r="AF58004" s="12"/>
    </row>
    <row r="58005" spans="32:32" x14ac:dyDescent="0.2">
      <c r="AF58005" s="12"/>
    </row>
    <row r="58006" spans="32:32" x14ac:dyDescent="0.2">
      <c r="AF58006" s="12"/>
    </row>
    <row r="58007" spans="32:32" x14ac:dyDescent="0.2">
      <c r="AF58007" s="12"/>
    </row>
    <row r="58008" spans="32:32" x14ac:dyDescent="0.2">
      <c r="AF58008" s="12"/>
    </row>
    <row r="58009" spans="32:32" x14ac:dyDescent="0.2">
      <c r="AF58009" s="12"/>
    </row>
    <row r="58010" spans="32:32" x14ac:dyDescent="0.2">
      <c r="AF58010" s="12"/>
    </row>
    <row r="58011" spans="32:32" x14ac:dyDescent="0.2">
      <c r="AF58011" s="12"/>
    </row>
    <row r="58012" spans="32:32" x14ac:dyDescent="0.2">
      <c r="AF58012" s="12"/>
    </row>
    <row r="58013" spans="32:32" x14ac:dyDescent="0.2">
      <c r="AF58013" s="12"/>
    </row>
    <row r="58014" spans="32:32" x14ac:dyDescent="0.2">
      <c r="AF58014" s="12"/>
    </row>
    <row r="58015" spans="32:32" x14ac:dyDescent="0.2">
      <c r="AF58015" s="12"/>
    </row>
    <row r="58016" spans="32:32" x14ac:dyDescent="0.2">
      <c r="AF58016" s="12"/>
    </row>
    <row r="58017" spans="32:32" x14ac:dyDescent="0.2">
      <c r="AF58017" s="12"/>
    </row>
    <row r="58018" spans="32:32" x14ac:dyDescent="0.2">
      <c r="AF58018" s="12"/>
    </row>
    <row r="58019" spans="32:32" x14ac:dyDescent="0.2">
      <c r="AF58019" s="12"/>
    </row>
    <row r="58020" spans="32:32" x14ac:dyDescent="0.2">
      <c r="AF58020" s="12"/>
    </row>
    <row r="58021" spans="32:32" x14ac:dyDescent="0.2">
      <c r="AF58021" s="12"/>
    </row>
    <row r="58022" spans="32:32" x14ac:dyDescent="0.2">
      <c r="AF58022" s="12"/>
    </row>
    <row r="58023" spans="32:32" x14ac:dyDescent="0.2">
      <c r="AF58023" s="12"/>
    </row>
    <row r="58024" spans="32:32" x14ac:dyDescent="0.2">
      <c r="AF58024" s="12"/>
    </row>
    <row r="58025" spans="32:32" x14ac:dyDescent="0.2">
      <c r="AF58025" s="12"/>
    </row>
    <row r="58026" spans="32:32" x14ac:dyDescent="0.2">
      <c r="AF58026" s="12"/>
    </row>
    <row r="58027" spans="32:32" x14ac:dyDescent="0.2">
      <c r="AF58027" s="12"/>
    </row>
    <row r="58028" spans="32:32" x14ac:dyDescent="0.2">
      <c r="AF58028" s="12"/>
    </row>
    <row r="58029" spans="32:32" x14ac:dyDescent="0.2">
      <c r="AF58029" s="12"/>
    </row>
    <row r="58030" spans="32:32" x14ac:dyDescent="0.2">
      <c r="AF58030" s="12"/>
    </row>
    <row r="58031" spans="32:32" x14ac:dyDescent="0.2">
      <c r="AF58031" s="12"/>
    </row>
    <row r="58032" spans="32:32" x14ac:dyDescent="0.2">
      <c r="AF58032" s="12"/>
    </row>
    <row r="58033" spans="32:32" x14ac:dyDescent="0.2">
      <c r="AF58033" s="12"/>
    </row>
    <row r="58034" spans="32:32" x14ac:dyDescent="0.2">
      <c r="AF58034" s="12"/>
    </row>
    <row r="58035" spans="32:32" x14ac:dyDescent="0.2">
      <c r="AF58035" s="12"/>
    </row>
    <row r="58036" spans="32:32" x14ac:dyDescent="0.2">
      <c r="AF58036" s="12"/>
    </row>
    <row r="58037" spans="32:32" x14ac:dyDescent="0.2">
      <c r="AF58037" s="12"/>
    </row>
    <row r="58038" spans="32:32" x14ac:dyDescent="0.2">
      <c r="AF58038" s="12"/>
    </row>
    <row r="58039" spans="32:32" x14ac:dyDescent="0.2">
      <c r="AF58039" s="12"/>
    </row>
    <row r="58040" spans="32:32" x14ac:dyDescent="0.2">
      <c r="AF58040" s="12"/>
    </row>
    <row r="58041" spans="32:32" x14ac:dyDescent="0.2">
      <c r="AF58041" s="12"/>
    </row>
    <row r="58042" spans="32:32" x14ac:dyDescent="0.2">
      <c r="AF58042" s="12"/>
    </row>
    <row r="58043" spans="32:32" x14ac:dyDescent="0.2">
      <c r="AF58043" s="12"/>
    </row>
    <row r="58044" spans="32:32" x14ac:dyDescent="0.2">
      <c r="AF58044" s="12"/>
    </row>
    <row r="58045" spans="32:32" x14ac:dyDescent="0.2">
      <c r="AF58045" s="12"/>
    </row>
    <row r="58046" spans="32:32" x14ac:dyDescent="0.2">
      <c r="AF58046" s="12"/>
    </row>
    <row r="58047" spans="32:32" x14ac:dyDescent="0.2">
      <c r="AF58047" s="12"/>
    </row>
    <row r="58048" spans="32:32" x14ac:dyDescent="0.2">
      <c r="AF58048" s="12"/>
    </row>
    <row r="58049" spans="32:32" x14ac:dyDescent="0.2">
      <c r="AF58049" s="12"/>
    </row>
    <row r="58050" spans="32:32" x14ac:dyDescent="0.2">
      <c r="AF58050" s="12"/>
    </row>
    <row r="58051" spans="32:32" x14ac:dyDescent="0.2">
      <c r="AF58051" s="12"/>
    </row>
    <row r="58052" spans="32:32" x14ac:dyDescent="0.2">
      <c r="AF58052" s="12"/>
    </row>
    <row r="58053" spans="32:32" x14ac:dyDescent="0.2">
      <c r="AF58053" s="12"/>
    </row>
    <row r="58054" spans="32:32" x14ac:dyDescent="0.2">
      <c r="AF58054" s="12"/>
    </row>
    <row r="58055" spans="32:32" x14ac:dyDescent="0.2">
      <c r="AF58055" s="12"/>
    </row>
    <row r="58056" spans="32:32" x14ac:dyDescent="0.2">
      <c r="AF58056" s="12"/>
    </row>
    <row r="58057" spans="32:32" x14ac:dyDescent="0.2">
      <c r="AF58057" s="12"/>
    </row>
    <row r="58058" spans="32:32" x14ac:dyDescent="0.2">
      <c r="AF58058" s="12"/>
    </row>
    <row r="58059" spans="32:32" x14ac:dyDescent="0.2">
      <c r="AF58059" s="12"/>
    </row>
    <row r="58060" spans="32:32" x14ac:dyDescent="0.2">
      <c r="AF58060" s="12"/>
    </row>
    <row r="58061" spans="32:32" x14ac:dyDescent="0.2">
      <c r="AF58061" s="12"/>
    </row>
    <row r="58062" spans="32:32" x14ac:dyDescent="0.2">
      <c r="AF58062" s="12"/>
    </row>
    <row r="58063" spans="32:32" x14ac:dyDescent="0.2">
      <c r="AF58063" s="12"/>
    </row>
    <row r="58064" spans="32:32" x14ac:dyDescent="0.2">
      <c r="AF58064" s="12"/>
    </row>
    <row r="58065" spans="32:32" x14ac:dyDescent="0.2">
      <c r="AF58065" s="12"/>
    </row>
    <row r="58066" spans="32:32" x14ac:dyDescent="0.2">
      <c r="AF58066" s="12"/>
    </row>
    <row r="58067" spans="32:32" x14ac:dyDescent="0.2">
      <c r="AF58067" s="12"/>
    </row>
    <row r="58068" spans="32:32" x14ac:dyDescent="0.2">
      <c r="AF58068" s="12"/>
    </row>
    <row r="58069" spans="32:32" x14ac:dyDescent="0.2">
      <c r="AF58069" s="12"/>
    </row>
    <row r="58070" spans="32:32" x14ac:dyDescent="0.2">
      <c r="AF58070" s="12"/>
    </row>
    <row r="58071" spans="32:32" x14ac:dyDescent="0.2">
      <c r="AF58071" s="12"/>
    </row>
    <row r="58072" spans="32:32" x14ac:dyDescent="0.2">
      <c r="AF58072" s="12"/>
    </row>
    <row r="58073" spans="32:32" x14ac:dyDescent="0.2">
      <c r="AF58073" s="12"/>
    </row>
    <row r="58074" spans="32:32" x14ac:dyDescent="0.2">
      <c r="AF58074" s="12"/>
    </row>
    <row r="58075" spans="32:32" x14ac:dyDescent="0.2">
      <c r="AF58075" s="12"/>
    </row>
    <row r="58076" spans="32:32" x14ac:dyDescent="0.2">
      <c r="AF58076" s="12"/>
    </row>
    <row r="58077" spans="32:32" x14ac:dyDescent="0.2">
      <c r="AF58077" s="12"/>
    </row>
    <row r="58078" spans="32:32" x14ac:dyDescent="0.2">
      <c r="AF58078" s="12"/>
    </row>
    <row r="58079" spans="32:32" x14ac:dyDescent="0.2">
      <c r="AF58079" s="12"/>
    </row>
    <row r="58080" spans="32:32" x14ac:dyDescent="0.2">
      <c r="AF58080" s="12"/>
    </row>
    <row r="58081" spans="32:32" x14ac:dyDescent="0.2">
      <c r="AF58081" s="12"/>
    </row>
    <row r="58082" spans="32:32" x14ac:dyDescent="0.2">
      <c r="AF58082" s="12"/>
    </row>
    <row r="58083" spans="32:32" x14ac:dyDescent="0.2">
      <c r="AF58083" s="12"/>
    </row>
    <row r="58084" spans="32:32" x14ac:dyDescent="0.2">
      <c r="AF58084" s="12"/>
    </row>
    <row r="58085" spans="32:32" x14ac:dyDescent="0.2">
      <c r="AF58085" s="12"/>
    </row>
    <row r="58086" spans="32:32" x14ac:dyDescent="0.2">
      <c r="AF58086" s="12"/>
    </row>
    <row r="58087" spans="32:32" x14ac:dyDescent="0.2">
      <c r="AF58087" s="12"/>
    </row>
    <row r="58088" spans="32:32" x14ac:dyDescent="0.2">
      <c r="AF58088" s="12"/>
    </row>
    <row r="58089" spans="32:32" x14ac:dyDescent="0.2">
      <c r="AF58089" s="12"/>
    </row>
    <row r="58090" spans="32:32" x14ac:dyDescent="0.2">
      <c r="AF58090" s="12"/>
    </row>
    <row r="58091" spans="32:32" x14ac:dyDescent="0.2">
      <c r="AF58091" s="12"/>
    </row>
    <row r="58092" spans="32:32" x14ac:dyDescent="0.2">
      <c r="AF58092" s="12"/>
    </row>
    <row r="58093" spans="32:32" x14ac:dyDescent="0.2">
      <c r="AF58093" s="12"/>
    </row>
    <row r="58094" spans="32:32" x14ac:dyDescent="0.2">
      <c r="AF58094" s="12"/>
    </row>
    <row r="58095" spans="32:32" x14ac:dyDescent="0.2">
      <c r="AF58095" s="12"/>
    </row>
    <row r="58096" spans="32:32" x14ac:dyDescent="0.2">
      <c r="AF58096" s="12"/>
    </row>
    <row r="58097" spans="32:32" x14ac:dyDescent="0.2">
      <c r="AF58097" s="12"/>
    </row>
    <row r="58098" spans="32:32" x14ac:dyDescent="0.2">
      <c r="AF58098" s="12"/>
    </row>
    <row r="58099" spans="32:32" x14ac:dyDescent="0.2">
      <c r="AF58099" s="12"/>
    </row>
    <row r="58100" spans="32:32" x14ac:dyDescent="0.2">
      <c r="AF58100" s="12"/>
    </row>
    <row r="58101" spans="32:32" x14ac:dyDescent="0.2">
      <c r="AF58101" s="12"/>
    </row>
    <row r="58102" spans="32:32" x14ac:dyDescent="0.2">
      <c r="AF58102" s="12"/>
    </row>
    <row r="58103" spans="32:32" x14ac:dyDescent="0.2">
      <c r="AF58103" s="12"/>
    </row>
    <row r="58104" spans="32:32" x14ac:dyDescent="0.2">
      <c r="AF58104" s="12"/>
    </row>
    <row r="58105" spans="32:32" x14ac:dyDescent="0.2">
      <c r="AF58105" s="12"/>
    </row>
    <row r="58106" spans="32:32" x14ac:dyDescent="0.2">
      <c r="AF58106" s="12"/>
    </row>
    <row r="58107" spans="32:32" x14ac:dyDescent="0.2">
      <c r="AF58107" s="12"/>
    </row>
    <row r="58108" spans="32:32" x14ac:dyDescent="0.2">
      <c r="AF58108" s="12"/>
    </row>
    <row r="58109" spans="32:32" x14ac:dyDescent="0.2">
      <c r="AF58109" s="12"/>
    </row>
    <row r="58110" spans="32:32" x14ac:dyDescent="0.2">
      <c r="AF58110" s="12"/>
    </row>
    <row r="58111" spans="32:32" x14ac:dyDescent="0.2">
      <c r="AF58111" s="12"/>
    </row>
    <row r="58112" spans="32:32" x14ac:dyDescent="0.2">
      <c r="AF58112" s="12"/>
    </row>
    <row r="58113" spans="32:32" x14ac:dyDescent="0.2">
      <c r="AF58113" s="12"/>
    </row>
    <row r="58114" spans="32:32" x14ac:dyDescent="0.2">
      <c r="AF58114" s="12"/>
    </row>
    <row r="58115" spans="32:32" x14ac:dyDescent="0.2">
      <c r="AF58115" s="12"/>
    </row>
    <row r="58116" spans="32:32" x14ac:dyDescent="0.2">
      <c r="AF58116" s="12"/>
    </row>
    <row r="58117" spans="32:32" x14ac:dyDescent="0.2">
      <c r="AF58117" s="12"/>
    </row>
    <row r="58118" spans="32:32" x14ac:dyDescent="0.2">
      <c r="AF58118" s="12"/>
    </row>
    <row r="58119" spans="32:32" x14ac:dyDescent="0.2">
      <c r="AF58119" s="12"/>
    </row>
    <row r="58120" spans="32:32" x14ac:dyDescent="0.2">
      <c r="AF58120" s="12"/>
    </row>
    <row r="58121" spans="32:32" x14ac:dyDescent="0.2">
      <c r="AF58121" s="12"/>
    </row>
    <row r="58122" spans="32:32" x14ac:dyDescent="0.2">
      <c r="AF58122" s="12"/>
    </row>
    <row r="58123" spans="32:32" x14ac:dyDescent="0.2">
      <c r="AF58123" s="12"/>
    </row>
    <row r="58124" spans="32:32" x14ac:dyDescent="0.2">
      <c r="AF58124" s="12"/>
    </row>
    <row r="58125" spans="32:32" x14ac:dyDescent="0.2">
      <c r="AF58125" s="12"/>
    </row>
    <row r="58126" spans="32:32" x14ac:dyDescent="0.2">
      <c r="AF58126" s="12"/>
    </row>
    <row r="58127" spans="32:32" x14ac:dyDescent="0.2">
      <c r="AF58127" s="12"/>
    </row>
    <row r="58128" spans="32:32" x14ac:dyDescent="0.2">
      <c r="AF58128" s="12"/>
    </row>
    <row r="58129" spans="32:32" x14ac:dyDescent="0.2">
      <c r="AF58129" s="12"/>
    </row>
    <row r="58130" spans="32:32" x14ac:dyDescent="0.2">
      <c r="AF58130" s="12"/>
    </row>
    <row r="58131" spans="32:32" x14ac:dyDescent="0.2">
      <c r="AF58131" s="12"/>
    </row>
    <row r="58132" spans="32:32" x14ac:dyDescent="0.2">
      <c r="AF58132" s="12"/>
    </row>
    <row r="58133" spans="32:32" x14ac:dyDescent="0.2">
      <c r="AF58133" s="12"/>
    </row>
    <row r="58134" spans="32:32" x14ac:dyDescent="0.2">
      <c r="AF58134" s="12"/>
    </row>
    <row r="58135" spans="32:32" x14ac:dyDescent="0.2">
      <c r="AF58135" s="12"/>
    </row>
    <row r="58136" spans="32:32" x14ac:dyDescent="0.2">
      <c r="AF58136" s="12"/>
    </row>
    <row r="58137" spans="32:32" x14ac:dyDescent="0.2">
      <c r="AF58137" s="12"/>
    </row>
    <row r="58138" spans="32:32" x14ac:dyDescent="0.2">
      <c r="AF58138" s="12"/>
    </row>
    <row r="58139" spans="32:32" x14ac:dyDescent="0.2">
      <c r="AF58139" s="12"/>
    </row>
    <row r="58140" spans="32:32" x14ac:dyDescent="0.2">
      <c r="AF58140" s="12"/>
    </row>
    <row r="58141" spans="32:32" x14ac:dyDescent="0.2">
      <c r="AF58141" s="12"/>
    </row>
    <row r="58142" spans="32:32" x14ac:dyDescent="0.2">
      <c r="AF58142" s="12"/>
    </row>
    <row r="58143" spans="32:32" x14ac:dyDescent="0.2">
      <c r="AF58143" s="12"/>
    </row>
    <row r="58144" spans="32:32" x14ac:dyDescent="0.2">
      <c r="AF58144" s="12"/>
    </row>
    <row r="58145" spans="32:32" x14ac:dyDescent="0.2">
      <c r="AF58145" s="12"/>
    </row>
    <row r="58146" spans="32:32" x14ac:dyDescent="0.2">
      <c r="AF58146" s="12"/>
    </row>
    <row r="58147" spans="32:32" x14ac:dyDescent="0.2">
      <c r="AF58147" s="12"/>
    </row>
    <row r="58148" spans="32:32" x14ac:dyDescent="0.2">
      <c r="AF58148" s="12"/>
    </row>
    <row r="58149" spans="32:32" x14ac:dyDescent="0.2">
      <c r="AF58149" s="12"/>
    </row>
    <row r="58150" spans="32:32" x14ac:dyDescent="0.2">
      <c r="AF58150" s="12"/>
    </row>
    <row r="58151" spans="32:32" x14ac:dyDescent="0.2">
      <c r="AF58151" s="12"/>
    </row>
    <row r="58152" spans="32:32" x14ac:dyDescent="0.2">
      <c r="AF58152" s="12"/>
    </row>
    <row r="58153" spans="32:32" x14ac:dyDescent="0.2">
      <c r="AF58153" s="12"/>
    </row>
    <row r="58154" spans="32:32" x14ac:dyDescent="0.2">
      <c r="AF58154" s="12"/>
    </row>
    <row r="58155" spans="32:32" x14ac:dyDescent="0.2">
      <c r="AF58155" s="12"/>
    </row>
    <row r="58156" spans="32:32" x14ac:dyDescent="0.2">
      <c r="AF58156" s="12"/>
    </row>
    <row r="58157" spans="32:32" x14ac:dyDescent="0.2">
      <c r="AF58157" s="12"/>
    </row>
    <row r="58158" spans="32:32" x14ac:dyDescent="0.2">
      <c r="AF58158" s="12"/>
    </row>
    <row r="58159" spans="32:32" x14ac:dyDescent="0.2">
      <c r="AF58159" s="12"/>
    </row>
    <row r="58160" spans="32:32" x14ac:dyDescent="0.2">
      <c r="AF58160" s="12"/>
    </row>
    <row r="58161" spans="32:32" x14ac:dyDescent="0.2">
      <c r="AF58161" s="12"/>
    </row>
    <row r="58162" spans="32:32" x14ac:dyDescent="0.2">
      <c r="AF58162" s="12"/>
    </row>
    <row r="58163" spans="32:32" x14ac:dyDescent="0.2">
      <c r="AF58163" s="12"/>
    </row>
    <row r="58164" spans="32:32" x14ac:dyDescent="0.2">
      <c r="AF58164" s="12"/>
    </row>
    <row r="58165" spans="32:32" x14ac:dyDescent="0.2">
      <c r="AF58165" s="12"/>
    </row>
    <row r="58166" spans="32:32" x14ac:dyDescent="0.2">
      <c r="AF58166" s="12"/>
    </row>
    <row r="58167" spans="32:32" x14ac:dyDescent="0.2">
      <c r="AF58167" s="12"/>
    </row>
    <row r="58168" spans="32:32" x14ac:dyDescent="0.2">
      <c r="AF58168" s="12"/>
    </row>
    <row r="58169" spans="32:32" x14ac:dyDescent="0.2">
      <c r="AF58169" s="12"/>
    </row>
    <row r="58170" spans="32:32" x14ac:dyDescent="0.2">
      <c r="AF58170" s="12"/>
    </row>
    <row r="58171" spans="32:32" x14ac:dyDescent="0.2">
      <c r="AF58171" s="12"/>
    </row>
    <row r="58172" spans="32:32" x14ac:dyDescent="0.2">
      <c r="AF58172" s="12"/>
    </row>
    <row r="58173" spans="32:32" x14ac:dyDescent="0.2">
      <c r="AF58173" s="12"/>
    </row>
    <row r="58174" spans="32:32" x14ac:dyDescent="0.2">
      <c r="AF58174" s="12"/>
    </row>
    <row r="58175" spans="32:32" x14ac:dyDescent="0.2">
      <c r="AF58175" s="12"/>
    </row>
    <row r="58176" spans="32:32" x14ac:dyDescent="0.2">
      <c r="AF58176" s="12"/>
    </row>
    <row r="58177" spans="32:32" x14ac:dyDescent="0.2">
      <c r="AF58177" s="12"/>
    </row>
    <row r="58178" spans="32:32" x14ac:dyDescent="0.2">
      <c r="AF58178" s="12"/>
    </row>
    <row r="58179" spans="32:32" x14ac:dyDescent="0.2">
      <c r="AF58179" s="12"/>
    </row>
    <row r="58180" spans="32:32" x14ac:dyDescent="0.2">
      <c r="AF58180" s="12"/>
    </row>
    <row r="58181" spans="32:32" x14ac:dyDescent="0.2">
      <c r="AF58181" s="12"/>
    </row>
    <row r="58182" spans="32:32" x14ac:dyDescent="0.2">
      <c r="AF58182" s="12"/>
    </row>
    <row r="58183" spans="32:32" x14ac:dyDescent="0.2">
      <c r="AF58183" s="12"/>
    </row>
    <row r="58184" spans="32:32" x14ac:dyDescent="0.2">
      <c r="AF58184" s="12"/>
    </row>
    <row r="58185" spans="32:32" x14ac:dyDescent="0.2">
      <c r="AF58185" s="12"/>
    </row>
    <row r="58186" spans="32:32" x14ac:dyDescent="0.2">
      <c r="AF58186" s="12"/>
    </row>
    <row r="58187" spans="32:32" x14ac:dyDescent="0.2">
      <c r="AF58187" s="12"/>
    </row>
    <row r="58188" spans="32:32" x14ac:dyDescent="0.2">
      <c r="AF58188" s="12"/>
    </row>
    <row r="58189" spans="32:32" x14ac:dyDescent="0.2">
      <c r="AF58189" s="12"/>
    </row>
    <row r="58190" spans="32:32" x14ac:dyDescent="0.2">
      <c r="AF58190" s="12"/>
    </row>
    <row r="58191" spans="32:32" x14ac:dyDescent="0.2">
      <c r="AF58191" s="12"/>
    </row>
    <row r="58192" spans="32:32" x14ac:dyDescent="0.2">
      <c r="AF58192" s="12"/>
    </row>
    <row r="58193" spans="32:32" x14ac:dyDescent="0.2">
      <c r="AF58193" s="12"/>
    </row>
    <row r="58194" spans="32:32" x14ac:dyDescent="0.2">
      <c r="AF58194" s="12"/>
    </row>
    <row r="58195" spans="32:32" x14ac:dyDescent="0.2">
      <c r="AF58195" s="12"/>
    </row>
    <row r="58196" spans="32:32" x14ac:dyDescent="0.2">
      <c r="AF58196" s="12"/>
    </row>
    <row r="58197" spans="32:32" x14ac:dyDescent="0.2">
      <c r="AF58197" s="12"/>
    </row>
    <row r="58198" spans="32:32" x14ac:dyDescent="0.2">
      <c r="AF58198" s="12"/>
    </row>
    <row r="58199" spans="32:32" x14ac:dyDescent="0.2">
      <c r="AF58199" s="12"/>
    </row>
    <row r="58200" spans="32:32" x14ac:dyDescent="0.2">
      <c r="AF58200" s="12"/>
    </row>
    <row r="58201" spans="32:32" x14ac:dyDescent="0.2">
      <c r="AF58201" s="12"/>
    </row>
    <row r="58202" spans="32:32" x14ac:dyDescent="0.2">
      <c r="AF58202" s="12"/>
    </row>
    <row r="58203" spans="32:32" x14ac:dyDescent="0.2">
      <c r="AF58203" s="12"/>
    </row>
    <row r="58204" spans="32:32" x14ac:dyDescent="0.2">
      <c r="AF58204" s="12"/>
    </row>
    <row r="58205" spans="32:32" x14ac:dyDescent="0.2">
      <c r="AF58205" s="12"/>
    </row>
    <row r="58206" spans="32:32" x14ac:dyDescent="0.2">
      <c r="AF58206" s="12"/>
    </row>
    <row r="58207" spans="32:32" x14ac:dyDescent="0.2">
      <c r="AF58207" s="12"/>
    </row>
    <row r="58208" spans="32:32" x14ac:dyDescent="0.2">
      <c r="AF58208" s="12"/>
    </row>
    <row r="58209" spans="32:32" x14ac:dyDescent="0.2">
      <c r="AF58209" s="12"/>
    </row>
    <row r="58210" spans="32:32" x14ac:dyDescent="0.2">
      <c r="AF58210" s="12"/>
    </row>
    <row r="58211" spans="32:32" x14ac:dyDescent="0.2">
      <c r="AF58211" s="12"/>
    </row>
    <row r="58212" spans="32:32" x14ac:dyDescent="0.2">
      <c r="AF58212" s="12"/>
    </row>
    <row r="58213" spans="32:32" x14ac:dyDescent="0.2">
      <c r="AF58213" s="12"/>
    </row>
    <row r="58214" spans="32:32" x14ac:dyDescent="0.2">
      <c r="AF58214" s="12"/>
    </row>
    <row r="58215" spans="32:32" x14ac:dyDescent="0.2">
      <c r="AF58215" s="12"/>
    </row>
    <row r="58216" spans="32:32" x14ac:dyDescent="0.2">
      <c r="AF58216" s="12"/>
    </row>
    <row r="58217" spans="32:32" x14ac:dyDescent="0.2">
      <c r="AF58217" s="12"/>
    </row>
    <row r="58218" spans="32:32" x14ac:dyDescent="0.2">
      <c r="AF58218" s="12"/>
    </row>
    <row r="58219" spans="32:32" x14ac:dyDescent="0.2">
      <c r="AF58219" s="12"/>
    </row>
    <row r="58220" spans="32:32" x14ac:dyDescent="0.2">
      <c r="AF58220" s="12"/>
    </row>
    <row r="58221" spans="32:32" x14ac:dyDescent="0.2">
      <c r="AF58221" s="12"/>
    </row>
    <row r="58222" spans="32:32" x14ac:dyDescent="0.2">
      <c r="AF58222" s="12"/>
    </row>
    <row r="58223" spans="32:32" x14ac:dyDescent="0.2">
      <c r="AF58223" s="12"/>
    </row>
    <row r="58224" spans="32:32" x14ac:dyDescent="0.2">
      <c r="AF58224" s="12"/>
    </row>
    <row r="58225" spans="32:32" x14ac:dyDescent="0.2">
      <c r="AF58225" s="12"/>
    </row>
    <row r="58226" spans="32:32" x14ac:dyDescent="0.2">
      <c r="AF58226" s="12"/>
    </row>
    <row r="58227" spans="32:32" x14ac:dyDescent="0.2">
      <c r="AF58227" s="12"/>
    </row>
    <row r="58228" spans="32:32" x14ac:dyDescent="0.2">
      <c r="AF58228" s="12"/>
    </row>
    <row r="58229" spans="32:32" x14ac:dyDescent="0.2">
      <c r="AF58229" s="12"/>
    </row>
    <row r="58230" spans="32:32" x14ac:dyDescent="0.2">
      <c r="AF58230" s="12"/>
    </row>
    <row r="58231" spans="32:32" x14ac:dyDescent="0.2">
      <c r="AF58231" s="12"/>
    </row>
    <row r="58232" spans="32:32" x14ac:dyDescent="0.2">
      <c r="AF58232" s="12"/>
    </row>
    <row r="58233" spans="32:32" x14ac:dyDescent="0.2">
      <c r="AF58233" s="12"/>
    </row>
    <row r="58234" spans="32:32" x14ac:dyDescent="0.2">
      <c r="AF58234" s="12"/>
    </row>
    <row r="58235" spans="32:32" x14ac:dyDescent="0.2">
      <c r="AF58235" s="12"/>
    </row>
    <row r="58236" spans="32:32" x14ac:dyDescent="0.2">
      <c r="AF58236" s="12"/>
    </row>
    <row r="58237" spans="32:32" x14ac:dyDescent="0.2">
      <c r="AF58237" s="12"/>
    </row>
    <row r="58238" spans="32:32" x14ac:dyDescent="0.2">
      <c r="AF58238" s="12"/>
    </row>
    <row r="58239" spans="32:32" x14ac:dyDescent="0.2">
      <c r="AF58239" s="12"/>
    </row>
    <row r="58240" spans="32:32" x14ac:dyDescent="0.2">
      <c r="AF58240" s="12"/>
    </row>
    <row r="58241" spans="32:32" x14ac:dyDescent="0.2">
      <c r="AF58241" s="12"/>
    </row>
    <row r="58242" spans="32:32" x14ac:dyDescent="0.2">
      <c r="AF58242" s="12"/>
    </row>
    <row r="58243" spans="32:32" x14ac:dyDescent="0.2">
      <c r="AF58243" s="12"/>
    </row>
    <row r="58244" spans="32:32" x14ac:dyDescent="0.2">
      <c r="AF58244" s="12"/>
    </row>
    <row r="58245" spans="32:32" x14ac:dyDescent="0.2">
      <c r="AF58245" s="12"/>
    </row>
    <row r="58246" spans="32:32" x14ac:dyDescent="0.2">
      <c r="AF58246" s="12"/>
    </row>
    <row r="58247" spans="32:32" x14ac:dyDescent="0.2">
      <c r="AF58247" s="12"/>
    </row>
    <row r="58248" spans="32:32" x14ac:dyDescent="0.2">
      <c r="AF58248" s="12"/>
    </row>
    <row r="58249" spans="32:32" x14ac:dyDescent="0.2">
      <c r="AF58249" s="12"/>
    </row>
    <row r="58250" spans="32:32" x14ac:dyDescent="0.2">
      <c r="AF58250" s="12"/>
    </row>
    <row r="58251" spans="32:32" x14ac:dyDescent="0.2">
      <c r="AF58251" s="12"/>
    </row>
    <row r="58252" spans="32:32" x14ac:dyDescent="0.2">
      <c r="AF58252" s="12"/>
    </row>
    <row r="58253" spans="32:32" x14ac:dyDescent="0.2">
      <c r="AF58253" s="12"/>
    </row>
    <row r="58254" spans="32:32" x14ac:dyDescent="0.2">
      <c r="AF58254" s="12"/>
    </row>
    <row r="58255" spans="32:32" x14ac:dyDescent="0.2">
      <c r="AF58255" s="12"/>
    </row>
    <row r="58256" spans="32:32" x14ac:dyDescent="0.2">
      <c r="AF58256" s="12"/>
    </row>
    <row r="58257" spans="32:32" x14ac:dyDescent="0.2">
      <c r="AF58257" s="12"/>
    </row>
    <row r="58258" spans="32:32" x14ac:dyDescent="0.2">
      <c r="AF58258" s="12"/>
    </row>
    <row r="58259" spans="32:32" x14ac:dyDescent="0.2">
      <c r="AF58259" s="12"/>
    </row>
    <row r="58260" spans="32:32" x14ac:dyDescent="0.2">
      <c r="AF58260" s="12"/>
    </row>
    <row r="58261" spans="32:32" x14ac:dyDescent="0.2">
      <c r="AF58261" s="12"/>
    </row>
    <row r="58262" spans="32:32" x14ac:dyDescent="0.2">
      <c r="AF58262" s="12"/>
    </row>
    <row r="58263" spans="32:32" x14ac:dyDescent="0.2">
      <c r="AF58263" s="12"/>
    </row>
    <row r="58264" spans="32:32" x14ac:dyDescent="0.2">
      <c r="AF58264" s="12"/>
    </row>
    <row r="58265" spans="32:32" x14ac:dyDescent="0.2">
      <c r="AF58265" s="12"/>
    </row>
    <row r="58266" spans="32:32" x14ac:dyDescent="0.2">
      <c r="AF58266" s="12"/>
    </row>
    <row r="58267" spans="32:32" x14ac:dyDescent="0.2">
      <c r="AF58267" s="12"/>
    </row>
    <row r="58268" spans="32:32" x14ac:dyDescent="0.2">
      <c r="AF58268" s="12"/>
    </row>
    <row r="58269" spans="32:32" x14ac:dyDescent="0.2">
      <c r="AF58269" s="12"/>
    </row>
    <row r="58270" spans="32:32" x14ac:dyDescent="0.2">
      <c r="AF58270" s="12"/>
    </row>
    <row r="58271" spans="32:32" x14ac:dyDescent="0.2">
      <c r="AF58271" s="12"/>
    </row>
    <row r="58272" spans="32:32" x14ac:dyDescent="0.2">
      <c r="AF58272" s="12"/>
    </row>
    <row r="58273" spans="32:32" x14ac:dyDescent="0.2">
      <c r="AF58273" s="12"/>
    </row>
    <row r="58274" spans="32:32" x14ac:dyDescent="0.2">
      <c r="AF58274" s="12"/>
    </row>
    <row r="58275" spans="32:32" x14ac:dyDescent="0.2">
      <c r="AF58275" s="12"/>
    </row>
    <row r="58276" spans="32:32" x14ac:dyDescent="0.2">
      <c r="AF58276" s="12"/>
    </row>
    <row r="58277" spans="32:32" x14ac:dyDescent="0.2">
      <c r="AF58277" s="12"/>
    </row>
    <row r="58278" spans="32:32" x14ac:dyDescent="0.2">
      <c r="AF58278" s="12"/>
    </row>
    <row r="58279" spans="32:32" x14ac:dyDescent="0.2">
      <c r="AF58279" s="12"/>
    </row>
    <row r="58280" spans="32:32" x14ac:dyDescent="0.2">
      <c r="AF58280" s="12"/>
    </row>
    <row r="58281" spans="32:32" x14ac:dyDescent="0.2">
      <c r="AF58281" s="12"/>
    </row>
    <row r="58282" spans="32:32" x14ac:dyDescent="0.2">
      <c r="AF58282" s="12"/>
    </row>
    <row r="58283" spans="32:32" x14ac:dyDescent="0.2">
      <c r="AF58283" s="12"/>
    </row>
    <row r="58284" spans="32:32" x14ac:dyDescent="0.2">
      <c r="AF58284" s="12"/>
    </row>
    <row r="58285" spans="32:32" x14ac:dyDescent="0.2">
      <c r="AF58285" s="12"/>
    </row>
    <row r="58286" spans="32:32" x14ac:dyDescent="0.2">
      <c r="AF58286" s="12"/>
    </row>
    <row r="58287" spans="32:32" x14ac:dyDescent="0.2">
      <c r="AF58287" s="12"/>
    </row>
    <row r="58288" spans="32:32" x14ac:dyDescent="0.2">
      <c r="AF58288" s="12"/>
    </row>
    <row r="58289" spans="32:32" x14ac:dyDescent="0.2">
      <c r="AF58289" s="12"/>
    </row>
    <row r="58290" spans="32:32" x14ac:dyDescent="0.2">
      <c r="AF58290" s="12"/>
    </row>
    <row r="58291" spans="32:32" x14ac:dyDescent="0.2">
      <c r="AF58291" s="12"/>
    </row>
    <row r="58292" spans="32:32" x14ac:dyDescent="0.2">
      <c r="AF58292" s="12"/>
    </row>
    <row r="58293" spans="32:32" x14ac:dyDescent="0.2">
      <c r="AF58293" s="12"/>
    </row>
    <row r="58294" spans="32:32" x14ac:dyDescent="0.2">
      <c r="AF58294" s="12"/>
    </row>
    <row r="58295" spans="32:32" x14ac:dyDescent="0.2">
      <c r="AF58295" s="12"/>
    </row>
    <row r="58296" spans="32:32" x14ac:dyDescent="0.2">
      <c r="AF58296" s="12"/>
    </row>
    <row r="58297" spans="32:32" x14ac:dyDescent="0.2">
      <c r="AF58297" s="12"/>
    </row>
    <row r="58298" spans="32:32" x14ac:dyDescent="0.2">
      <c r="AF58298" s="12"/>
    </row>
    <row r="58299" spans="32:32" x14ac:dyDescent="0.2">
      <c r="AF58299" s="12"/>
    </row>
    <row r="58300" spans="32:32" x14ac:dyDescent="0.2">
      <c r="AF58300" s="12"/>
    </row>
    <row r="58301" spans="32:32" x14ac:dyDescent="0.2">
      <c r="AF58301" s="12"/>
    </row>
    <row r="58302" spans="32:32" x14ac:dyDescent="0.2">
      <c r="AF58302" s="12"/>
    </row>
    <row r="58303" spans="32:32" x14ac:dyDescent="0.2">
      <c r="AF58303" s="12"/>
    </row>
    <row r="58304" spans="32:32" x14ac:dyDescent="0.2">
      <c r="AF58304" s="12"/>
    </row>
    <row r="58305" spans="32:32" x14ac:dyDescent="0.2">
      <c r="AF58305" s="12"/>
    </row>
    <row r="58306" spans="32:32" x14ac:dyDescent="0.2">
      <c r="AF58306" s="12"/>
    </row>
    <row r="58307" spans="32:32" x14ac:dyDescent="0.2">
      <c r="AF58307" s="12"/>
    </row>
    <row r="58308" spans="32:32" x14ac:dyDescent="0.2">
      <c r="AF58308" s="12"/>
    </row>
    <row r="58309" spans="32:32" x14ac:dyDescent="0.2">
      <c r="AF58309" s="12"/>
    </row>
    <row r="58310" spans="32:32" x14ac:dyDescent="0.2">
      <c r="AF58310" s="12"/>
    </row>
    <row r="58311" spans="32:32" x14ac:dyDescent="0.2">
      <c r="AF58311" s="12"/>
    </row>
    <row r="58312" spans="32:32" x14ac:dyDescent="0.2">
      <c r="AF58312" s="12"/>
    </row>
    <row r="58313" spans="32:32" x14ac:dyDescent="0.2">
      <c r="AF58313" s="12"/>
    </row>
    <row r="58314" spans="32:32" x14ac:dyDescent="0.2">
      <c r="AF58314" s="12"/>
    </row>
    <row r="58315" spans="32:32" x14ac:dyDescent="0.2">
      <c r="AF58315" s="12"/>
    </row>
    <row r="58316" spans="32:32" x14ac:dyDescent="0.2">
      <c r="AF58316" s="12"/>
    </row>
    <row r="58317" spans="32:32" x14ac:dyDescent="0.2">
      <c r="AF58317" s="12"/>
    </row>
    <row r="58318" spans="32:32" x14ac:dyDescent="0.2">
      <c r="AF58318" s="12"/>
    </row>
    <row r="58319" spans="32:32" x14ac:dyDescent="0.2">
      <c r="AF58319" s="12"/>
    </row>
    <row r="58320" spans="32:32" x14ac:dyDescent="0.2">
      <c r="AF58320" s="12"/>
    </row>
    <row r="58321" spans="32:32" x14ac:dyDescent="0.2">
      <c r="AF58321" s="12"/>
    </row>
    <row r="58322" spans="32:32" x14ac:dyDescent="0.2">
      <c r="AF58322" s="12"/>
    </row>
    <row r="58323" spans="32:32" x14ac:dyDescent="0.2">
      <c r="AF58323" s="12"/>
    </row>
    <row r="58324" spans="32:32" x14ac:dyDescent="0.2">
      <c r="AF58324" s="12"/>
    </row>
    <row r="58325" spans="32:32" x14ac:dyDescent="0.2">
      <c r="AF58325" s="12"/>
    </row>
    <row r="58326" spans="32:32" x14ac:dyDescent="0.2">
      <c r="AF58326" s="12"/>
    </row>
    <row r="58327" spans="32:32" x14ac:dyDescent="0.2">
      <c r="AF58327" s="12"/>
    </row>
    <row r="58328" spans="32:32" x14ac:dyDescent="0.2">
      <c r="AF58328" s="12"/>
    </row>
    <row r="58329" spans="32:32" x14ac:dyDescent="0.2">
      <c r="AF58329" s="12"/>
    </row>
    <row r="58330" spans="32:32" x14ac:dyDescent="0.2">
      <c r="AF58330" s="12"/>
    </row>
    <row r="58331" spans="32:32" x14ac:dyDescent="0.2">
      <c r="AF58331" s="12"/>
    </row>
    <row r="58332" spans="32:32" x14ac:dyDescent="0.2">
      <c r="AF58332" s="12"/>
    </row>
    <row r="58333" spans="32:32" x14ac:dyDescent="0.2">
      <c r="AF58333" s="12"/>
    </row>
    <row r="58334" spans="32:32" x14ac:dyDescent="0.2">
      <c r="AF58334" s="12"/>
    </row>
    <row r="58335" spans="32:32" x14ac:dyDescent="0.2">
      <c r="AF58335" s="12"/>
    </row>
    <row r="58336" spans="32:32" x14ac:dyDescent="0.2">
      <c r="AF58336" s="12"/>
    </row>
    <row r="58337" spans="32:32" x14ac:dyDescent="0.2">
      <c r="AF58337" s="12"/>
    </row>
    <row r="58338" spans="32:32" x14ac:dyDescent="0.2">
      <c r="AF58338" s="12"/>
    </row>
    <row r="58339" spans="32:32" x14ac:dyDescent="0.2">
      <c r="AF58339" s="12"/>
    </row>
    <row r="58340" spans="32:32" x14ac:dyDescent="0.2">
      <c r="AF58340" s="12"/>
    </row>
    <row r="58341" spans="32:32" x14ac:dyDescent="0.2">
      <c r="AF58341" s="12"/>
    </row>
    <row r="58342" spans="32:32" x14ac:dyDescent="0.2">
      <c r="AF58342" s="12"/>
    </row>
    <row r="58343" spans="32:32" x14ac:dyDescent="0.2">
      <c r="AF58343" s="12"/>
    </row>
    <row r="58344" spans="32:32" x14ac:dyDescent="0.2">
      <c r="AF58344" s="12"/>
    </row>
    <row r="58345" spans="32:32" x14ac:dyDescent="0.2">
      <c r="AF58345" s="12"/>
    </row>
    <row r="58346" spans="32:32" x14ac:dyDescent="0.2">
      <c r="AF58346" s="12"/>
    </row>
    <row r="58347" spans="32:32" x14ac:dyDescent="0.2">
      <c r="AF58347" s="12"/>
    </row>
    <row r="58348" spans="32:32" x14ac:dyDescent="0.2">
      <c r="AF58348" s="12"/>
    </row>
    <row r="58349" spans="32:32" x14ac:dyDescent="0.2">
      <c r="AF58349" s="12"/>
    </row>
    <row r="58350" spans="32:32" x14ac:dyDescent="0.2">
      <c r="AF58350" s="12"/>
    </row>
    <row r="58351" spans="32:32" x14ac:dyDescent="0.2">
      <c r="AF58351" s="12"/>
    </row>
    <row r="58352" spans="32:32" x14ac:dyDescent="0.2">
      <c r="AF58352" s="12"/>
    </row>
    <row r="58353" spans="32:32" x14ac:dyDescent="0.2">
      <c r="AF58353" s="12"/>
    </row>
    <row r="58354" spans="32:32" x14ac:dyDescent="0.2">
      <c r="AF58354" s="12"/>
    </row>
    <row r="58355" spans="32:32" x14ac:dyDescent="0.2">
      <c r="AF58355" s="12"/>
    </row>
    <row r="58356" spans="32:32" x14ac:dyDescent="0.2">
      <c r="AF58356" s="12"/>
    </row>
    <row r="58357" spans="32:32" x14ac:dyDescent="0.2">
      <c r="AF58357" s="12"/>
    </row>
    <row r="58358" spans="32:32" x14ac:dyDescent="0.2">
      <c r="AF58358" s="12"/>
    </row>
    <row r="58359" spans="32:32" x14ac:dyDescent="0.2">
      <c r="AF58359" s="12"/>
    </row>
    <row r="58360" spans="32:32" x14ac:dyDescent="0.2">
      <c r="AF58360" s="12"/>
    </row>
    <row r="58361" spans="32:32" x14ac:dyDescent="0.2">
      <c r="AF58361" s="12"/>
    </row>
    <row r="58362" spans="32:32" x14ac:dyDescent="0.2">
      <c r="AF58362" s="12"/>
    </row>
    <row r="58363" spans="32:32" x14ac:dyDescent="0.2">
      <c r="AF58363" s="12"/>
    </row>
    <row r="58364" spans="32:32" x14ac:dyDescent="0.2">
      <c r="AF58364" s="12"/>
    </row>
    <row r="58365" spans="32:32" x14ac:dyDescent="0.2">
      <c r="AF58365" s="12"/>
    </row>
    <row r="58366" spans="32:32" x14ac:dyDescent="0.2">
      <c r="AF58366" s="12"/>
    </row>
    <row r="58367" spans="32:32" x14ac:dyDescent="0.2">
      <c r="AF58367" s="12"/>
    </row>
    <row r="58368" spans="32:32" x14ac:dyDescent="0.2">
      <c r="AF58368" s="12"/>
    </row>
    <row r="58369" spans="32:32" x14ac:dyDescent="0.2">
      <c r="AF58369" s="12"/>
    </row>
    <row r="58370" spans="32:32" x14ac:dyDescent="0.2">
      <c r="AF58370" s="12"/>
    </row>
    <row r="58371" spans="32:32" x14ac:dyDescent="0.2">
      <c r="AF58371" s="12"/>
    </row>
    <row r="58372" spans="32:32" x14ac:dyDescent="0.2">
      <c r="AF58372" s="12"/>
    </row>
    <row r="58373" spans="32:32" x14ac:dyDescent="0.2">
      <c r="AF58373" s="12"/>
    </row>
    <row r="58374" spans="32:32" x14ac:dyDescent="0.2">
      <c r="AF58374" s="12"/>
    </row>
    <row r="58375" spans="32:32" x14ac:dyDescent="0.2">
      <c r="AF58375" s="12"/>
    </row>
    <row r="58376" spans="32:32" x14ac:dyDescent="0.2">
      <c r="AF58376" s="12"/>
    </row>
    <row r="58377" spans="32:32" x14ac:dyDescent="0.2">
      <c r="AF58377" s="12"/>
    </row>
    <row r="58378" spans="32:32" x14ac:dyDescent="0.2">
      <c r="AF58378" s="12"/>
    </row>
    <row r="58379" spans="32:32" x14ac:dyDescent="0.2">
      <c r="AF58379" s="12"/>
    </row>
    <row r="58380" spans="32:32" x14ac:dyDescent="0.2">
      <c r="AF58380" s="12"/>
    </row>
    <row r="58381" spans="32:32" x14ac:dyDescent="0.2">
      <c r="AF58381" s="12"/>
    </row>
    <row r="58382" spans="32:32" x14ac:dyDescent="0.2">
      <c r="AF58382" s="12"/>
    </row>
    <row r="58383" spans="32:32" x14ac:dyDescent="0.2">
      <c r="AF58383" s="12"/>
    </row>
    <row r="58384" spans="32:32" x14ac:dyDescent="0.2">
      <c r="AF58384" s="12"/>
    </row>
    <row r="58385" spans="32:32" x14ac:dyDescent="0.2">
      <c r="AF58385" s="12"/>
    </row>
    <row r="58386" spans="32:32" x14ac:dyDescent="0.2">
      <c r="AF58386" s="12"/>
    </row>
    <row r="58387" spans="32:32" x14ac:dyDescent="0.2">
      <c r="AF58387" s="12"/>
    </row>
    <row r="58388" spans="32:32" x14ac:dyDescent="0.2">
      <c r="AF58388" s="12"/>
    </row>
    <row r="58389" spans="32:32" x14ac:dyDescent="0.2">
      <c r="AF58389" s="12"/>
    </row>
    <row r="58390" spans="32:32" x14ac:dyDescent="0.2">
      <c r="AF58390" s="12"/>
    </row>
    <row r="58391" spans="32:32" x14ac:dyDescent="0.2">
      <c r="AF58391" s="12"/>
    </row>
    <row r="58392" spans="32:32" x14ac:dyDescent="0.2">
      <c r="AF58392" s="12"/>
    </row>
    <row r="58393" spans="32:32" x14ac:dyDescent="0.2">
      <c r="AF58393" s="12"/>
    </row>
    <row r="58394" spans="32:32" x14ac:dyDescent="0.2">
      <c r="AF58394" s="12"/>
    </row>
    <row r="58395" spans="32:32" x14ac:dyDescent="0.2">
      <c r="AF58395" s="12"/>
    </row>
    <row r="58396" spans="32:32" x14ac:dyDescent="0.2">
      <c r="AF58396" s="12"/>
    </row>
    <row r="58397" spans="32:32" x14ac:dyDescent="0.2">
      <c r="AF58397" s="12"/>
    </row>
    <row r="58398" spans="32:32" x14ac:dyDescent="0.2">
      <c r="AF58398" s="12"/>
    </row>
    <row r="58399" spans="32:32" x14ac:dyDescent="0.2">
      <c r="AF58399" s="12"/>
    </row>
    <row r="58400" spans="32:32" x14ac:dyDescent="0.2">
      <c r="AF58400" s="12"/>
    </row>
    <row r="58401" spans="32:32" x14ac:dyDescent="0.2">
      <c r="AF58401" s="12"/>
    </row>
    <row r="58402" spans="32:32" x14ac:dyDescent="0.2">
      <c r="AF58402" s="12"/>
    </row>
    <row r="58403" spans="32:32" x14ac:dyDescent="0.2">
      <c r="AF58403" s="12"/>
    </row>
    <row r="58404" spans="32:32" x14ac:dyDescent="0.2">
      <c r="AF58404" s="12"/>
    </row>
    <row r="58405" spans="32:32" x14ac:dyDescent="0.2">
      <c r="AF58405" s="12"/>
    </row>
    <row r="58406" spans="32:32" x14ac:dyDescent="0.2">
      <c r="AF58406" s="12"/>
    </row>
    <row r="58407" spans="32:32" x14ac:dyDescent="0.2">
      <c r="AF58407" s="12"/>
    </row>
    <row r="58408" spans="32:32" x14ac:dyDescent="0.2">
      <c r="AF58408" s="12"/>
    </row>
    <row r="58409" spans="32:32" x14ac:dyDescent="0.2">
      <c r="AF58409" s="12"/>
    </row>
    <row r="58410" spans="32:32" x14ac:dyDescent="0.2">
      <c r="AF58410" s="12"/>
    </row>
    <row r="58411" spans="32:32" x14ac:dyDescent="0.2">
      <c r="AF58411" s="12"/>
    </row>
    <row r="58412" spans="32:32" x14ac:dyDescent="0.2">
      <c r="AF58412" s="12"/>
    </row>
    <row r="58413" spans="32:32" x14ac:dyDescent="0.2">
      <c r="AF58413" s="12"/>
    </row>
    <row r="58414" spans="32:32" x14ac:dyDescent="0.2">
      <c r="AF58414" s="12"/>
    </row>
    <row r="58415" spans="32:32" x14ac:dyDescent="0.2">
      <c r="AF58415" s="12"/>
    </row>
    <row r="58416" spans="32:32" x14ac:dyDescent="0.2">
      <c r="AF58416" s="12"/>
    </row>
    <row r="58417" spans="32:32" x14ac:dyDescent="0.2">
      <c r="AF58417" s="12"/>
    </row>
    <row r="58418" spans="32:32" x14ac:dyDescent="0.2">
      <c r="AF58418" s="12"/>
    </row>
    <row r="58419" spans="32:32" x14ac:dyDescent="0.2">
      <c r="AF58419" s="12"/>
    </row>
    <row r="58420" spans="32:32" x14ac:dyDescent="0.2">
      <c r="AF58420" s="12"/>
    </row>
    <row r="58421" spans="32:32" x14ac:dyDescent="0.2">
      <c r="AF58421" s="12"/>
    </row>
    <row r="58422" spans="32:32" x14ac:dyDescent="0.2">
      <c r="AF58422" s="12"/>
    </row>
    <row r="58423" spans="32:32" x14ac:dyDescent="0.2">
      <c r="AF58423" s="12"/>
    </row>
    <row r="58424" spans="32:32" x14ac:dyDescent="0.2">
      <c r="AF58424" s="12"/>
    </row>
    <row r="58425" spans="32:32" x14ac:dyDescent="0.2">
      <c r="AF58425" s="12"/>
    </row>
    <row r="58426" spans="32:32" x14ac:dyDescent="0.2">
      <c r="AF58426" s="12"/>
    </row>
    <row r="58427" spans="32:32" x14ac:dyDescent="0.2">
      <c r="AF58427" s="12"/>
    </row>
    <row r="58428" spans="32:32" x14ac:dyDescent="0.2">
      <c r="AF58428" s="12"/>
    </row>
    <row r="58429" spans="32:32" x14ac:dyDescent="0.2">
      <c r="AF58429" s="12"/>
    </row>
    <row r="58430" spans="32:32" x14ac:dyDescent="0.2">
      <c r="AF58430" s="12"/>
    </row>
    <row r="58431" spans="32:32" x14ac:dyDescent="0.2">
      <c r="AF58431" s="12"/>
    </row>
    <row r="58432" spans="32:32" x14ac:dyDescent="0.2">
      <c r="AF58432" s="12"/>
    </row>
    <row r="58433" spans="32:32" x14ac:dyDescent="0.2">
      <c r="AF58433" s="12"/>
    </row>
    <row r="58434" spans="32:32" x14ac:dyDescent="0.2">
      <c r="AF58434" s="12"/>
    </row>
    <row r="58435" spans="32:32" x14ac:dyDescent="0.2">
      <c r="AF58435" s="12"/>
    </row>
    <row r="58436" spans="32:32" x14ac:dyDescent="0.2">
      <c r="AF58436" s="12"/>
    </row>
    <row r="58437" spans="32:32" x14ac:dyDescent="0.2">
      <c r="AF58437" s="12"/>
    </row>
    <row r="58438" spans="32:32" x14ac:dyDescent="0.2">
      <c r="AF58438" s="12"/>
    </row>
    <row r="58439" spans="32:32" x14ac:dyDescent="0.2">
      <c r="AF58439" s="12"/>
    </row>
    <row r="58440" spans="32:32" x14ac:dyDescent="0.2">
      <c r="AF58440" s="12"/>
    </row>
    <row r="58441" spans="32:32" x14ac:dyDescent="0.2">
      <c r="AF58441" s="12"/>
    </row>
    <row r="58442" spans="32:32" x14ac:dyDescent="0.2">
      <c r="AF58442" s="12"/>
    </row>
    <row r="58443" spans="32:32" x14ac:dyDescent="0.2">
      <c r="AF58443" s="12"/>
    </row>
    <row r="58444" spans="32:32" x14ac:dyDescent="0.2">
      <c r="AF58444" s="12"/>
    </row>
    <row r="58445" spans="32:32" x14ac:dyDescent="0.2">
      <c r="AF58445" s="12"/>
    </row>
    <row r="58446" spans="32:32" x14ac:dyDescent="0.2">
      <c r="AF58446" s="12"/>
    </row>
    <row r="58447" spans="32:32" x14ac:dyDescent="0.2">
      <c r="AF58447" s="12"/>
    </row>
    <row r="58448" spans="32:32" x14ac:dyDescent="0.2">
      <c r="AF58448" s="12"/>
    </row>
    <row r="58449" spans="32:32" x14ac:dyDescent="0.2">
      <c r="AF58449" s="12"/>
    </row>
    <row r="58450" spans="32:32" x14ac:dyDescent="0.2">
      <c r="AF58450" s="12"/>
    </row>
    <row r="58451" spans="32:32" x14ac:dyDescent="0.2">
      <c r="AF58451" s="12"/>
    </row>
    <row r="58452" spans="32:32" x14ac:dyDescent="0.2">
      <c r="AF58452" s="12"/>
    </row>
    <row r="58453" spans="32:32" x14ac:dyDescent="0.2">
      <c r="AF58453" s="12"/>
    </row>
    <row r="58454" spans="32:32" x14ac:dyDescent="0.2">
      <c r="AF58454" s="12"/>
    </row>
    <row r="58455" spans="32:32" x14ac:dyDescent="0.2">
      <c r="AF58455" s="12"/>
    </row>
    <row r="58456" spans="32:32" x14ac:dyDescent="0.2">
      <c r="AF58456" s="12"/>
    </row>
    <row r="58457" spans="32:32" x14ac:dyDescent="0.2">
      <c r="AF58457" s="12"/>
    </row>
    <row r="58458" spans="32:32" x14ac:dyDescent="0.2">
      <c r="AF58458" s="12"/>
    </row>
    <row r="58459" spans="32:32" x14ac:dyDescent="0.2">
      <c r="AF58459" s="12"/>
    </row>
    <row r="58460" spans="32:32" x14ac:dyDescent="0.2">
      <c r="AF58460" s="12"/>
    </row>
    <row r="58461" spans="32:32" x14ac:dyDescent="0.2">
      <c r="AF58461" s="12"/>
    </row>
    <row r="58462" spans="32:32" x14ac:dyDescent="0.2">
      <c r="AF58462" s="12"/>
    </row>
    <row r="58463" spans="32:32" x14ac:dyDescent="0.2">
      <c r="AF58463" s="12"/>
    </row>
    <row r="58464" spans="32:32" x14ac:dyDescent="0.2">
      <c r="AF58464" s="12"/>
    </row>
    <row r="58465" spans="32:32" x14ac:dyDescent="0.2">
      <c r="AF58465" s="12"/>
    </row>
    <row r="58466" spans="32:32" x14ac:dyDescent="0.2">
      <c r="AF58466" s="12"/>
    </row>
    <row r="58467" spans="32:32" x14ac:dyDescent="0.2">
      <c r="AF58467" s="12"/>
    </row>
    <row r="58468" spans="32:32" x14ac:dyDescent="0.2">
      <c r="AF58468" s="12"/>
    </row>
    <row r="58469" spans="32:32" x14ac:dyDescent="0.2">
      <c r="AF58469" s="12"/>
    </row>
    <row r="58470" spans="32:32" x14ac:dyDescent="0.2">
      <c r="AF58470" s="12"/>
    </row>
    <row r="58471" spans="32:32" x14ac:dyDescent="0.2">
      <c r="AF58471" s="12"/>
    </row>
    <row r="58472" spans="32:32" x14ac:dyDescent="0.2">
      <c r="AF58472" s="12"/>
    </row>
    <row r="58473" spans="32:32" x14ac:dyDescent="0.2">
      <c r="AF58473" s="12"/>
    </row>
    <row r="58474" spans="32:32" x14ac:dyDescent="0.2">
      <c r="AF58474" s="12"/>
    </row>
    <row r="58475" spans="32:32" x14ac:dyDescent="0.2">
      <c r="AF58475" s="12"/>
    </row>
    <row r="58476" spans="32:32" x14ac:dyDescent="0.2">
      <c r="AF58476" s="12"/>
    </row>
    <row r="58477" spans="32:32" x14ac:dyDescent="0.2">
      <c r="AF58477" s="12"/>
    </row>
    <row r="58478" spans="32:32" x14ac:dyDescent="0.2">
      <c r="AF58478" s="12"/>
    </row>
    <row r="58479" spans="32:32" x14ac:dyDescent="0.2">
      <c r="AF58479" s="12"/>
    </row>
    <row r="58480" spans="32:32" x14ac:dyDescent="0.2">
      <c r="AF58480" s="12"/>
    </row>
    <row r="58481" spans="32:32" x14ac:dyDescent="0.2">
      <c r="AF58481" s="12"/>
    </row>
    <row r="58482" spans="32:32" x14ac:dyDescent="0.2">
      <c r="AF58482" s="12"/>
    </row>
    <row r="58483" spans="32:32" x14ac:dyDescent="0.2">
      <c r="AF58483" s="12"/>
    </row>
    <row r="58484" spans="32:32" x14ac:dyDescent="0.2">
      <c r="AF58484" s="12"/>
    </row>
    <row r="58485" spans="32:32" x14ac:dyDescent="0.2">
      <c r="AF58485" s="12"/>
    </row>
    <row r="58486" spans="32:32" x14ac:dyDescent="0.2">
      <c r="AF58486" s="12"/>
    </row>
    <row r="58487" spans="32:32" x14ac:dyDescent="0.2">
      <c r="AF58487" s="12"/>
    </row>
    <row r="58488" spans="32:32" x14ac:dyDescent="0.2">
      <c r="AF58488" s="12"/>
    </row>
    <row r="58489" spans="32:32" x14ac:dyDescent="0.2">
      <c r="AF58489" s="12"/>
    </row>
    <row r="58490" spans="32:32" x14ac:dyDescent="0.2">
      <c r="AF58490" s="12"/>
    </row>
    <row r="58491" spans="32:32" x14ac:dyDescent="0.2">
      <c r="AF58491" s="12"/>
    </row>
    <row r="58492" spans="32:32" x14ac:dyDescent="0.2">
      <c r="AF58492" s="12"/>
    </row>
    <row r="58493" spans="32:32" x14ac:dyDescent="0.2">
      <c r="AF58493" s="12"/>
    </row>
    <row r="58494" spans="32:32" x14ac:dyDescent="0.2">
      <c r="AF58494" s="12"/>
    </row>
    <row r="58495" spans="32:32" x14ac:dyDescent="0.2">
      <c r="AF58495" s="12"/>
    </row>
    <row r="58496" spans="32:32" x14ac:dyDescent="0.2">
      <c r="AF58496" s="12"/>
    </row>
    <row r="58497" spans="32:32" x14ac:dyDescent="0.2">
      <c r="AF58497" s="12"/>
    </row>
    <row r="58498" spans="32:32" x14ac:dyDescent="0.2">
      <c r="AF58498" s="12"/>
    </row>
    <row r="58499" spans="32:32" x14ac:dyDescent="0.2">
      <c r="AF58499" s="12"/>
    </row>
    <row r="58500" spans="32:32" x14ac:dyDescent="0.2">
      <c r="AF58500" s="12"/>
    </row>
    <row r="58501" spans="32:32" x14ac:dyDescent="0.2">
      <c r="AF58501" s="12"/>
    </row>
    <row r="58502" spans="32:32" x14ac:dyDescent="0.2">
      <c r="AF58502" s="12"/>
    </row>
    <row r="58503" spans="32:32" x14ac:dyDescent="0.2">
      <c r="AF58503" s="12"/>
    </row>
    <row r="58504" spans="32:32" x14ac:dyDescent="0.2">
      <c r="AF58504" s="12"/>
    </row>
    <row r="58505" spans="32:32" x14ac:dyDescent="0.2">
      <c r="AF58505" s="12"/>
    </row>
    <row r="58506" spans="32:32" x14ac:dyDescent="0.2">
      <c r="AF58506" s="12"/>
    </row>
    <row r="58507" spans="32:32" x14ac:dyDescent="0.2">
      <c r="AF58507" s="12"/>
    </row>
    <row r="58508" spans="32:32" x14ac:dyDescent="0.2">
      <c r="AF58508" s="12"/>
    </row>
    <row r="58509" spans="32:32" x14ac:dyDescent="0.2">
      <c r="AF58509" s="12"/>
    </row>
    <row r="58510" spans="32:32" x14ac:dyDescent="0.2">
      <c r="AF58510" s="12"/>
    </row>
    <row r="58511" spans="32:32" x14ac:dyDescent="0.2">
      <c r="AF58511" s="12"/>
    </row>
    <row r="58512" spans="32:32" x14ac:dyDescent="0.2">
      <c r="AF58512" s="12"/>
    </row>
    <row r="58513" spans="32:32" x14ac:dyDescent="0.2">
      <c r="AF58513" s="12"/>
    </row>
    <row r="58514" spans="32:32" x14ac:dyDescent="0.2">
      <c r="AF58514" s="12"/>
    </row>
    <row r="58515" spans="32:32" x14ac:dyDescent="0.2">
      <c r="AF58515" s="12"/>
    </row>
    <row r="58516" spans="32:32" x14ac:dyDescent="0.2">
      <c r="AF58516" s="12"/>
    </row>
    <row r="58517" spans="32:32" x14ac:dyDescent="0.2">
      <c r="AF58517" s="12"/>
    </row>
    <row r="58518" spans="32:32" x14ac:dyDescent="0.2">
      <c r="AF58518" s="12"/>
    </row>
    <row r="58519" spans="32:32" x14ac:dyDescent="0.2">
      <c r="AF58519" s="12"/>
    </row>
    <row r="58520" spans="32:32" x14ac:dyDescent="0.2">
      <c r="AF58520" s="12"/>
    </row>
    <row r="58521" spans="32:32" x14ac:dyDescent="0.2">
      <c r="AF58521" s="12"/>
    </row>
    <row r="58522" spans="32:32" x14ac:dyDescent="0.2">
      <c r="AF58522" s="12"/>
    </row>
    <row r="58523" spans="32:32" x14ac:dyDescent="0.2">
      <c r="AF58523" s="12"/>
    </row>
    <row r="58524" spans="32:32" x14ac:dyDescent="0.2">
      <c r="AF58524" s="12"/>
    </row>
    <row r="58525" spans="32:32" x14ac:dyDescent="0.2">
      <c r="AF58525" s="12"/>
    </row>
    <row r="58526" spans="32:32" x14ac:dyDescent="0.2">
      <c r="AF58526" s="12"/>
    </row>
    <row r="58527" spans="32:32" x14ac:dyDescent="0.2">
      <c r="AF58527" s="12"/>
    </row>
    <row r="58528" spans="32:32" x14ac:dyDescent="0.2">
      <c r="AF58528" s="12"/>
    </row>
    <row r="58529" spans="32:32" x14ac:dyDescent="0.2">
      <c r="AF58529" s="12"/>
    </row>
    <row r="58530" spans="32:32" x14ac:dyDescent="0.2">
      <c r="AF58530" s="12"/>
    </row>
    <row r="58531" spans="32:32" x14ac:dyDescent="0.2">
      <c r="AF58531" s="12"/>
    </row>
    <row r="58532" spans="32:32" x14ac:dyDescent="0.2">
      <c r="AF58532" s="12"/>
    </row>
    <row r="58533" spans="32:32" x14ac:dyDescent="0.2">
      <c r="AF58533" s="12"/>
    </row>
    <row r="58534" spans="32:32" x14ac:dyDescent="0.2">
      <c r="AF58534" s="12"/>
    </row>
    <row r="58535" spans="32:32" x14ac:dyDescent="0.2">
      <c r="AF58535" s="12"/>
    </row>
    <row r="58536" spans="32:32" x14ac:dyDescent="0.2">
      <c r="AF58536" s="12"/>
    </row>
    <row r="58537" spans="32:32" x14ac:dyDescent="0.2">
      <c r="AF58537" s="12"/>
    </row>
    <row r="58538" spans="32:32" x14ac:dyDescent="0.2">
      <c r="AF58538" s="12"/>
    </row>
    <row r="58539" spans="32:32" x14ac:dyDescent="0.2">
      <c r="AF58539" s="12"/>
    </row>
    <row r="58540" spans="32:32" x14ac:dyDescent="0.2">
      <c r="AF58540" s="12"/>
    </row>
    <row r="58541" spans="32:32" x14ac:dyDescent="0.2">
      <c r="AF58541" s="12"/>
    </row>
    <row r="58542" spans="32:32" x14ac:dyDescent="0.2">
      <c r="AF58542" s="12"/>
    </row>
    <row r="58543" spans="32:32" x14ac:dyDescent="0.2">
      <c r="AF58543" s="12"/>
    </row>
    <row r="58544" spans="32:32" x14ac:dyDescent="0.2">
      <c r="AF58544" s="12"/>
    </row>
    <row r="58545" spans="32:32" x14ac:dyDescent="0.2">
      <c r="AF58545" s="12"/>
    </row>
    <row r="58546" spans="32:32" x14ac:dyDescent="0.2">
      <c r="AF58546" s="12"/>
    </row>
    <row r="58547" spans="32:32" x14ac:dyDescent="0.2">
      <c r="AF58547" s="12"/>
    </row>
    <row r="58548" spans="32:32" x14ac:dyDescent="0.2">
      <c r="AF58548" s="12"/>
    </row>
    <row r="58549" spans="32:32" x14ac:dyDescent="0.2">
      <c r="AF58549" s="12"/>
    </row>
    <row r="58550" spans="32:32" x14ac:dyDescent="0.2">
      <c r="AF58550" s="12"/>
    </row>
    <row r="58551" spans="32:32" x14ac:dyDescent="0.2">
      <c r="AF58551" s="12"/>
    </row>
    <row r="58552" spans="32:32" x14ac:dyDescent="0.2">
      <c r="AF58552" s="12"/>
    </row>
    <row r="58553" spans="32:32" x14ac:dyDescent="0.2">
      <c r="AF58553" s="12"/>
    </row>
    <row r="58554" spans="32:32" x14ac:dyDescent="0.2">
      <c r="AF58554" s="12"/>
    </row>
    <row r="58555" spans="32:32" x14ac:dyDescent="0.2">
      <c r="AF58555" s="12"/>
    </row>
    <row r="58556" spans="32:32" x14ac:dyDescent="0.2">
      <c r="AF58556" s="12"/>
    </row>
    <row r="58557" spans="32:32" x14ac:dyDescent="0.2">
      <c r="AF58557" s="12"/>
    </row>
    <row r="58558" spans="32:32" x14ac:dyDescent="0.2">
      <c r="AF58558" s="12"/>
    </row>
    <row r="58559" spans="32:32" x14ac:dyDescent="0.2">
      <c r="AF58559" s="12"/>
    </row>
    <row r="58560" spans="32:32" x14ac:dyDescent="0.2">
      <c r="AF58560" s="12"/>
    </row>
    <row r="58561" spans="32:32" x14ac:dyDescent="0.2">
      <c r="AF58561" s="12"/>
    </row>
    <row r="58562" spans="32:32" x14ac:dyDescent="0.2">
      <c r="AF58562" s="12"/>
    </row>
    <row r="58563" spans="32:32" x14ac:dyDescent="0.2">
      <c r="AF58563" s="12"/>
    </row>
    <row r="58564" spans="32:32" x14ac:dyDescent="0.2">
      <c r="AF58564" s="12"/>
    </row>
    <row r="58565" spans="32:32" x14ac:dyDescent="0.2">
      <c r="AF58565" s="12"/>
    </row>
    <row r="58566" spans="32:32" x14ac:dyDescent="0.2">
      <c r="AF58566" s="12"/>
    </row>
    <row r="58567" spans="32:32" x14ac:dyDescent="0.2">
      <c r="AF58567" s="12"/>
    </row>
    <row r="58568" spans="32:32" x14ac:dyDescent="0.2">
      <c r="AF58568" s="12"/>
    </row>
    <row r="58569" spans="32:32" x14ac:dyDescent="0.2">
      <c r="AF58569" s="12"/>
    </row>
    <row r="58570" spans="32:32" x14ac:dyDescent="0.2">
      <c r="AF58570" s="12"/>
    </row>
    <row r="58571" spans="32:32" x14ac:dyDescent="0.2">
      <c r="AF58571" s="12"/>
    </row>
    <row r="58572" spans="32:32" x14ac:dyDescent="0.2">
      <c r="AF58572" s="12"/>
    </row>
    <row r="58573" spans="32:32" x14ac:dyDescent="0.2">
      <c r="AF58573" s="12"/>
    </row>
    <row r="58574" spans="32:32" x14ac:dyDescent="0.2">
      <c r="AF58574" s="12"/>
    </row>
    <row r="58575" spans="32:32" x14ac:dyDescent="0.2">
      <c r="AF58575" s="12"/>
    </row>
    <row r="58576" spans="32:32" x14ac:dyDescent="0.2">
      <c r="AF58576" s="12"/>
    </row>
    <row r="58577" spans="32:32" x14ac:dyDescent="0.2">
      <c r="AF58577" s="12"/>
    </row>
    <row r="58578" spans="32:32" x14ac:dyDescent="0.2">
      <c r="AF58578" s="12"/>
    </row>
    <row r="58579" spans="32:32" x14ac:dyDescent="0.2">
      <c r="AF58579" s="12"/>
    </row>
    <row r="58580" spans="32:32" x14ac:dyDescent="0.2">
      <c r="AF58580" s="12"/>
    </row>
    <row r="58581" spans="32:32" x14ac:dyDescent="0.2">
      <c r="AF58581" s="12"/>
    </row>
    <row r="58582" spans="32:32" x14ac:dyDescent="0.2">
      <c r="AF58582" s="12"/>
    </row>
    <row r="58583" spans="32:32" x14ac:dyDescent="0.2">
      <c r="AF58583" s="12"/>
    </row>
    <row r="58584" spans="32:32" x14ac:dyDescent="0.2">
      <c r="AF58584" s="12"/>
    </row>
    <row r="58585" spans="32:32" x14ac:dyDescent="0.2">
      <c r="AF58585" s="12"/>
    </row>
    <row r="58586" spans="32:32" x14ac:dyDescent="0.2">
      <c r="AF58586" s="12"/>
    </row>
    <row r="58587" spans="32:32" x14ac:dyDescent="0.2">
      <c r="AF58587" s="12"/>
    </row>
    <row r="58588" spans="32:32" x14ac:dyDescent="0.2">
      <c r="AF58588" s="12"/>
    </row>
    <row r="58589" spans="32:32" x14ac:dyDescent="0.2">
      <c r="AF58589" s="12"/>
    </row>
    <row r="58590" spans="32:32" x14ac:dyDescent="0.2">
      <c r="AF58590" s="12"/>
    </row>
    <row r="58591" spans="32:32" x14ac:dyDescent="0.2">
      <c r="AF58591" s="12"/>
    </row>
    <row r="58592" spans="32:32" x14ac:dyDescent="0.2">
      <c r="AF58592" s="12"/>
    </row>
    <row r="58593" spans="32:32" x14ac:dyDescent="0.2">
      <c r="AF58593" s="12"/>
    </row>
    <row r="58594" spans="32:32" x14ac:dyDescent="0.2">
      <c r="AF58594" s="12"/>
    </row>
    <row r="58595" spans="32:32" x14ac:dyDescent="0.2">
      <c r="AF58595" s="12"/>
    </row>
    <row r="58596" spans="32:32" x14ac:dyDescent="0.2">
      <c r="AF58596" s="12"/>
    </row>
    <row r="58597" spans="32:32" x14ac:dyDescent="0.2">
      <c r="AF58597" s="12"/>
    </row>
    <row r="58598" spans="32:32" x14ac:dyDescent="0.2">
      <c r="AF58598" s="12"/>
    </row>
    <row r="58599" spans="32:32" x14ac:dyDescent="0.2">
      <c r="AF58599" s="12"/>
    </row>
    <row r="58600" spans="32:32" x14ac:dyDescent="0.2">
      <c r="AF58600" s="12"/>
    </row>
    <row r="58601" spans="32:32" x14ac:dyDescent="0.2">
      <c r="AF58601" s="12"/>
    </row>
    <row r="58602" spans="32:32" x14ac:dyDescent="0.2">
      <c r="AF58602" s="12"/>
    </row>
    <row r="58603" spans="32:32" x14ac:dyDescent="0.2">
      <c r="AF58603" s="12"/>
    </row>
    <row r="58604" spans="32:32" x14ac:dyDescent="0.2">
      <c r="AF58604" s="12"/>
    </row>
    <row r="58605" spans="32:32" x14ac:dyDescent="0.2">
      <c r="AF58605" s="12"/>
    </row>
    <row r="58606" spans="32:32" x14ac:dyDescent="0.2">
      <c r="AF58606" s="12"/>
    </row>
    <row r="58607" spans="32:32" x14ac:dyDescent="0.2">
      <c r="AF58607" s="12"/>
    </row>
    <row r="58608" spans="32:32" x14ac:dyDescent="0.2">
      <c r="AF58608" s="12"/>
    </row>
    <row r="58609" spans="32:32" x14ac:dyDescent="0.2">
      <c r="AF58609" s="12"/>
    </row>
    <row r="58610" spans="32:32" x14ac:dyDescent="0.2">
      <c r="AF58610" s="12"/>
    </row>
    <row r="58611" spans="32:32" x14ac:dyDescent="0.2">
      <c r="AF58611" s="12"/>
    </row>
    <row r="58612" spans="32:32" x14ac:dyDescent="0.2">
      <c r="AF58612" s="12"/>
    </row>
    <row r="58613" spans="32:32" x14ac:dyDescent="0.2">
      <c r="AF58613" s="12"/>
    </row>
    <row r="58614" spans="32:32" x14ac:dyDescent="0.2">
      <c r="AF58614" s="12"/>
    </row>
    <row r="58615" spans="32:32" x14ac:dyDescent="0.2">
      <c r="AF58615" s="12"/>
    </row>
    <row r="58616" spans="32:32" x14ac:dyDescent="0.2">
      <c r="AF58616" s="12"/>
    </row>
    <row r="58617" spans="32:32" x14ac:dyDescent="0.2">
      <c r="AF58617" s="12"/>
    </row>
    <row r="58618" spans="32:32" x14ac:dyDescent="0.2">
      <c r="AF58618" s="12"/>
    </row>
    <row r="58619" spans="32:32" x14ac:dyDescent="0.2">
      <c r="AF58619" s="12"/>
    </row>
    <row r="58620" spans="32:32" x14ac:dyDescent="0.2">
      <c r="AF58620" s="12"/>
    </row>
    <row r="58621" spans="32:32" x14ac:dyDescent="0.2">
      <c r="AF58621" s="12"/>
    </row>
    <row r="58622" spans="32:32" x14ac:dyDescent="0.2">
      <c r="AF58622" s="12"/>
    </row>
    <row r="58623" spans="32:32" x14ac:dyDescent="0.2">
      <c r="AF58623" s="12"/>
    </row>
    <row r="58624" spans="32:32" x14ac:dyDescent="0.2">
      <c r="AF58624" s="12"/>
    </row>
    <row r="58625" spans="32:32" x14ac:dyDescent="0.2">
      <c r="AF58625" s="12"/>
    </row>
    <row r="58626" spans="32:32" x14ac:dyDescent="0.2">
      <c r="AF58626" s="12"/>
    </row>
    <row r="58627" spans="32:32" x14ac:dyDescent="0.2">
      <c r="AF58627" s="12"/>
    </row>
    <row r="58628" spans="32:32" x14ac:dyDescent="0.2">
      <c r="AF58628" s="12"/>
    </row>
    <row r="58629" spans="32:32" x14ac:dyDescent="0.2">
      <c r="AF58629" s="12"/>
    </row>
    <row r="58630" spans="32:32" x14ac:dyDescent="0.2">
      <c r="AF58630" s="12"/>
    </row>
    <row r="58631" spans="32:32" x14ac:dyDescent="0.2">
      <c r="AF58631" s="12"/>
    </row>
    <row r="58632" spans="32:32" x14ac:dyDescent="0.2">
      <c r="AF58632" s="12"/>
    </row>
    <row r="58633" spans="32:32" x14ac:dyDescent="0.2">
      <c r="AF58633" s="12"/>
    </row>
    <row r="58634" spans="32:32" x14ac:dyDescent="0.2">
      <c r="AF58634" s="12"/>
    </row>
    <row r="58635" spans="32:32" x14ac:dyDescent="0.2">
      <c r="AF58635" s="12"/>
    </row>
    <row r="58636" spans="32:32" x14ac:dyDescent="0.2">
      <c r="AF58636" s="12"/>
    </row>
    <row r="58637" spans="32:32" x14ac:dyDescent="0.2">
      <c r="AF58637" s="12"/>
    </row>
    <row r="58638" spans="32:32" x14ac:dyDescent="0.2">
      <c r="AF58638" s="12"/>
    </row>
    <row r="58639" spans="32:32" x14ac:dyDescent="0.2">
      <c r="AF58639" s="12"/>
    </row>
    <row r="58640" spans="32:32" x14ac:dyDescent="0.2">
      <c r="AF58640" s="12"/>
    </row>
    <row r="58641" spans="32:32" x14ac:dyDescent="0.2">
      <c r="AF58641" s="12"/>
    </row>
    <row r="58642" spans="32:32" x14ac:dyDescent="0.2">
      <c r="AF58642" s="12"/>
    </row>
    <row r="58643" spans="32:32" x14ac:dyDescent="0.2">
      <c r="AF58643" s="12"/>
    </row>
    <row r="58644" spans="32:32" x14ac:dyDescent="0.2">
      <c r="AF58644" s="12"/>
    </row>
    <row r="58645" spans="32:32" x14ac:dyDescent="0.2">
      <c r="AF58645" s="12"/>
    </row>
    <row r="58646" spans="32:32" x14ac:dyDescent="0.2">
      <c r="AF58646" s="12"/>
    </row>
    <row r="58647" spans="32:32" x14ac:dyDescent="0.2">
      <c r="AF58647" s="12"/>
    </row>
    <row r="58648" spans="32:32" x14ac:dyDescent="0.2">
      <c r="AF58648" s="12"/>
    </row>
    <row r="58649" spans="32:32" x14ac:dyDescent="0.2">
      <c r="AF58649" s="12"/>
    </row>
    <row r="58650" spans="32:32" x14ac:dyDescent="0.2">
      <c r="AF58650" s="12"/>
    </row>
    <row r="58651" spans="32:32" x14ac:dyDescent="0.2">
      <c r="AF58651" s="12"/>
    </row>
    <row r="58652" spans="32:32" x14ac:dyDescent="0.2">
      <c r="AF58652" s="12"/>
    </row>
    <row r="58653" spans="32:32" x14ac:dyDescent="0.2">
      <c r="AF58653" s="12"/>
    </row>
    <row r="58654" spans="32:32" x14ac:dyDescent="0.2">
      <c r="AF58654" s="12"/>
    </row>
    <row r="58655" spans="32:32" x14ac:dyDescent="0.2">
      <c r="AF58655" s="12"/>
    </row>
    <row r="58656" spans="32:32" x14ac:dyDescent="0.2">
      <c r="AF58656" s="12"/>
    </row>
    <row r="58657" spans="32:32" x14ac:dyDescent="0.2">
      <c r="AF58657" s="12"/>
    </row>
    <row r="58658" spans="32:32" x14ac:dyDescent="0.2">
      <c r="AF58658" s="12"/>
    </row>
    <row r="58659" spans="32:32" x14ac:dyDescent="0.2">
      <c r="AF58659" s="12"/>
    </row>
    <row r="58660" spans="32:32" x14ac:dyDescent="0.2">
      <c r="AF58660" s="12"/>
    </row>
    <row r="58661" spans="32:32" x14ac:dyDescent="0.2">
      <c r="AF58661" s="12"/>
    </row>
    <row r="58662" spans="32:32" x14ac:dyDescent="0.2">
      <c r="AF58662" s="12"/>
    </row>
    <row r="58663" spans="32:32" x14ac:dyDescent="0.2">
      <c r="AF58663" s="12"/>
    </row>
    <row r="58664" spans="32:32" x14ac:dyDescent="0.2">
      <c r="AF58664" s="12"/>
    </row>
    <row r="58665" spans="32:32" x14ac:dyDescent="0.2">
      <c r="AF58665" s="12"/>
    </row>
    <row r="58666" spans="32:32" x14ac:dyDescent="0.2">
      <c r="AF58666" s="12"/>
    </row>
    <row r="58667" spans="32:32" x14ac:dyDescent="0.2">
      <c r="AF58667" s="12"/>
    </row>
    <row r="58668" spans="32:32" x14ac:dyDescent="0.2">
      <c r="AF58668" s="12"/>
    </row>
    <row r="58669" spans="32:32" x14ac:dyDescent="0.2">
      <c r="AF58669" s="12"/>
    </row>
    <row r="58670" spans="32:32" x14ac:dyDescent="0.2">
      <c r="AF58670" s="12"/>
    </row>
    <row r="58671" spans="32:32" x14ac:dyDescent="0.2">
      <c r="AF58671" s="12"/>
    </row>
    <row r="58672" spans="32:32" x14ac:dyDescent="0.2">
      <c r="AF58672" s="12"/>
    </row>
    <row r="58673" spans="32:32" x14ac:dyDescent="0.2">
      <c r="AF58673" s="12"/>
    </row>
    <row r="58674" spans="32:32" x14ac:dyDescent="0.2">
      <c r="AF58674" s="12"/>
    </row>
    <row r="58675" spans="32:32" x14ac:dyDescent="0.2">
      <c r="AF58675" s="12"/>
    </row>
    <row r="58676" spans="32:32" x14ac:dyDescent="0.2">
      <c r="AF58676" s="12"/>
    </row>
    <row r="58677" spans="32:32" x14ac:dyDescent="0.2">
      <c r="AF58677" s="12"/>
    </row>
    <row r="58678" spans="32:32" x14ac:dyDescent="0.2">
      <c r="AF58678" s="12"/>
    </row>
    <row r="58679" spans="32:32" x14ac:dyDescent="0.2">
      <c r="AF58679" s="12"/>
    </row>
    <row r="58680" spans="32:32" x14ac:dyDescent="0.2">
      <c r="AF58680" s="12"/>
    </row>
    <row r="58681" spans="32:32" x14ac:dyDescent="0.2">
      <c r="AF58681" s="12"/>
    </row>
    <row r="58682" spans="32:32" x14ac:dyDescent="0.2">
      <c r="AF58682" s="12"/>
    </row>
    <row r="58683" spans="32:32" x14ac:dyDescent="0.2">
      <c r="AF58683" s="12"/>
    </row>
    <row r="58684" spans="32:32" x14ac:dyDescent="0.2">
      <c r="AF58684" s="12"/>
    </row>
    <row r="58685" spans="32:32" x14ac:dyDescent="0.2">
      <c r="AF58685" s="12"/>
    </row>
    <row r="58686" spans="32:32" x14ac:dyDescent="0.2">
      <c r="AF58686" s="12"/>
    </row>
    <row r="58687" spans="32:32" x14ac:dyDescent="0.2">
      <c r="AF58687" s="12"/>
    </row>
    <row r="58688" spans="32:32" x14ac:dyDescent="0.2">
      <c r="AF58688" s="12"/>
    </row>
    <row r="58689" spans="32:32" x14ac:dyDescent="0.2">
      <c r="AF58689" s="12"/>
    </row>
    <row r="58690" spans="32:32" x14ac:dyDescent="0.2">
      <c r="AF58690" s="12"/>
    </row>
    <row r="58691" spans="32:32" x14ac:dyDescent="0.2">
      <c r="AF58691" s="12"/>
    </row>
    <row r="58692" spans="32:32" x14ac:dyDescent="0.2">
      <c r="AF58692" s="12"/>
    </row>
    <row r="58693" spans="32:32" x14ac:dyDescent="0.2">
      <c r="AF58693" s="12"/>
    </row>
    <row r="58694" spans="32:32" x14ac:dyDescent="0.2">
      <c r="AF58694" s="12"/>
    </row>
    <row r="58695" spans="32:32" x14ac:dyDescent="0.2">
      <c r="AF58695" s="12"/>
    </row>
    <row r="58696" spans="32:32" x14ac:dyDescent="0.2">
      <c r="AF58696" s="12"/>
    </row>
    <row r="58697" spans="32:32" x14ac:dyDescent="0.2">
      <c r="AF58697" s="12"/>
    </row>
    <row r="58698" spans="32:32" x14ac:dyDescent="0.2">
      <c r="AF58698" s="12"/>
    </row>
    <row r="58699" spans="32:32" x14ac:dyDescent="0.2">
      <c r="AF58699" s="12"/>
    </row>
    <row r="58700" spans="32:32" x14ac:dyDescent="0.2">
      <c r="AF58700" s="12"/>
    </row>
    <row r="58701" spans="32:32" x14ac:dyDescent="0.2">
      <c r="AF58701" s="12"/>
    </row>
    <row r="58702" spans="32:32" x14ac:dyDescent="0.2">
      <c r="AF58702" s="12"/>
    </row>
    <row r="58703" spans="32:32" x14ac:dyDescent="0.2">
      <c r="AF58703" s="12"/>
    </row>
    <row r="58704" spans="32:32" x14ac:dyDescent="0.2">
      <c r="AF58704" s="12"/>
    </row>
    <row r="58705" spans="32:32" x14ac:dyDescent="0.2">
      <c r="AF58705" s="12"/>
    </row>
    <row r="58706" spans="32:32" x14ac:dyDescent="0.2">
      <c r="AF58706" s="12"/>
    </row>
    <row r="58707" spans="32:32" x14ac:dyDescent="0.2">
      <c r="AF58707" s="12"/>
    </row>
    <row r="58708" spans="32:32" x14ac:dyDescent="0.2">
      <c r="AF58708" s="12"/>
    </row>
    <row r="58709" spans="32:32" x14ac:dyDescent="0.2">
      <c r="AF58709" s="12"/>
    </row>
    <row r="58710" spans="32:32" x14ac:dyDescent="0.2">
      <c r="AF58710" s="12"/>
    </row>
    <row r="58711" spans="32:32" x14ac:dyDescent="0.2">
      <c r="AF58711" s="12"/>
    </row>
    <row r="58712" spans="32:32" x14ac:dyDescent="0.2">
      <c r="AF58712" s="12"/>
    </row>
    <row r="58713" spans="32:32" x14ac:dyDescent="0.2">
      <c r="AF58713" s="12"/>
    </row>
    <row r="58714" spans="32:32" x14ac:dyDescent="0.2">
      <c r="AF58714" s="12"/>
    </row>
    <row r="58715" spans="32:32" x14ac:dyDescent="0.2">
      <c r="AF58715" s="12"/>
    </row>
    <row r="58716" spans="32:32" x14ac:dyDescent="0.2">
      <c r="AF58716" s="12"/>
    </row>
    <row r="58717" spans="32:32" x14ac:dyDescent="0.2">
      <c r="AF58717" s="12"/>
    </row>
    <row r="58718" spans="32:32" x14ac:dyDescent="0.2">
      <c r="AF58718" s="12"/>
    </row>
    <row r="58719" spans="32:32" x14ac:dyDescent="0.2">
      <c r="AF58719" s="12"/>
    </row>
    <row r="58720" spans="32:32" x14ac:dyDescent="0.2">
      <c r="AF58720" s="12"/>
    </row>
    <row r="58721" spans="32:32" x14ac:dyDescent="0.2">
      <c r="AF58721" s="12"/>
    </row>
    <row r="58722" spans="32:32" x14ac:dyDescent="0.2">
      <c r="AF58722" s="12"/>
    </row>
    <row r="58723" spans="32:32" x14ac:dyDescent="0.2">
      <c r="AF58723" s="12"/>
    </row>
    <row r="58724" spans="32:32" x14ac:dyDescent="0.2">
      <c r="AF58724" s="12"/>
    </row>
    <row r="58725" spans="32:32" x14ac:dyDescent="0.2">
      <c r="AF58725" s="12"/>
    </row>
    <row r="58726" spans="32:32" x14ac:dyDescent="0.2">
      <c r="AF58726" s="12"/>
    </row>
    <row r="58727" spans="32:32" x14ac:dyDescent="0.2">
      <c r="AF58727" s="12"/>
    </row>
    <row r="58728" spans="32:32" x14ac:dyDescent="0.2">
      <c r="AF58728" s="12"/>
    </row>
    <row r="58729" spans="32:32" x14ac:dyDescent="0.2">
      <c r="AF58729" s="12"/>
    </row>
    <row r="58730" spans="32:32" x14ac:dyDescent="0.2">
      <c r="AF58730" s="12"/>
    </row>
    <row r="58731" spans="32:32" x14ac:dyDescent="0.2">
      <c r="AF58731" s="12"/>
    </row>
    <row r="58732" spans="32:32" x14ac:dyDescent="0.2">
      <c r="AF58732" s="12"/>
    </row>
    <row r="58733" spans="32:32" x14ac:dyDescent="0.2">
      <c r="AF58733" s="12"/>
    </row>
    <row r="58734" spans="32:32" x14ac:dyDescent="0.2">
      <c r="AF58734" s="12"/>
    </row>
    <row r="58735" spans="32:32" x14ac:dyDescent="0.2">
      <c r="AF58735" s="12"/>
    </row>
    <row r="58736" spans="32:32" x14ac:dyDescent="0.2">
      <c r="AF58736" s="12"/>
    </row>
    <row r="58737" spans="32:32" x14ac:dyDescent="0.2">
      <c r="AF58737" s="12"/>
    </row>
    <row r="58738" spans="32:32" x14ac:dyDescent="0.2">
      <c r="AF58738" s="12"/>
    </row>
    <row r="58739" spans="32:32" x14ac:dyDescent="0.2">
      <c r="AF58739" s="12"/>
    </row>
    <row r="58740" spans="32:32" x14ac:dyDescent="0.2">
      <c r="AF58740" s="12"/>
    </row>
    <row r="58741" spans="32:32" x14ac:dyDescent="0.2">
      <c r="AF58741" s="12"/>
    </row>
    <row r="58742" spans="32:32" x14ac:dyDescent="0.2">
      <c r="AF58742" s="12"/>
    </row>
    <row r="58743" spans="32:32" x14ac:dyDescent="0.2">
      <c r="AF58743" s="12"/>
    </row>
    <row r="58744" spans="32:32" x14ac:dyDescent="0.2">
      <c r="AF58744" s="12"/>
    </row>
    <row r="58745" spans="32:32" x14ac:dyDescent="0.2">
      <c r="AF58745" s="12"/>
    </row>
    <row r="58746" spans="32:32" x14ac:dyDescent="0.2">
      <c r="AF58746" s="12"/>
    </row>
    <row r="58747" spans="32:32" x14ac:dyDescent="0.2">
      <c r="AF58747" s="12"/>
    </row>
    <row r="58748" spans="32:32" x14ac:dyDescent="0.2">
      <c r="AF58748" s="12"/>
    </row>
    <row r="58749" spans="32:32" x14ac:dyDescent="0.2">
      <c r="AF58749" s="12"/>
    </row>
    <row r="58750" spans="32:32" x14ac:dyDescent="0.2">
      <c r="AF58750" s="12"/>
    </row>
    <row r="58751" spans="32:32" x14ac:dyDescent="0.2">
      <c r="AF58751" s="12"/>
    </row>
    <row r="58752" spans="32:32" x14ac:dyDescent="0.2">
      <c r="AF58752" s="12"/>
    </row>
    <row r="58753" spans="32:32" x14ac:dyDescent="0.2">
      <c r="AF58753" s="12"/>
    </row>
    <row r="58754" spans="32:32" x14ac:dyDescent="0.2">
      <c r="AF58754" s="12"/>
    </row>
    <row r="58755" spans="32:32" x14ac:dyDescent="0.2">
      <c r="AF58755" s="12"/>
    </row>
    <row r="58756" spans="32:32" x14ac:dyDescent="0.2">
      <c r="AF58756" s="12"/>
    </row>
    <row r="58757" spans="32:32" x14ac:dyDescent="0.2">
      <c r="AF58757" s="12"/>
    </row>
    <row r="58758" spans="32:32" x14ac:dyDescent="0.2">
      <c r="AF58758" s="12"/>
    </row>
    <row r="58759" spans="32:32" x14ac:dyDescent="0.2">
      <c r="AF58759" s="12"/>
    </row>
    <row r="58760" spans="32:32" x14ac:dyDescent="0.2">
      <c r="AF58760" s="12"/>
    </row>
    <row r="58761" spans="32:32" x14ac:dyDescent="0.2">
      <c r="AF58761" s="12"/>
    </row>
    <row r="58762" spans="32:32" x14ac:dyDescent="0.2">
      <c r="AF58762" s="12"/>
    </row>
    <row r="58763" spans="32:32" x14ac:dyDescent="0.2">
      <c r="AF58763" s="12"/>
    </row>
    <row r="58764" spans="32:32" x14ac:dyDescent="0.2">
      <c r="AF58764" s="12"/>
    </row>
    <row r="58765" spans="32:32" x14ac:dyDescent="0.2">
      <c r="AF58765" s="12"/>
    </row>
    <row r="58766" spans="32:32" x14ac:dyDescent="0.2">
      <c r="AF58766" s="12"/>
    </row>
    <row r="58767" spans="32:32" x14ac:dyDescent="0.2">
      <c r="AF58767" s="12"/>
    </row>
    <row r="58768" spans="32:32" x14ac:dyDescent="0.2">
      <c r="AF58768" s="12"/>
    </row>
    <row r="58769" spans="32:32" x14ac:dyDescent="0.2">
      <c r="AF58769" s="12"/>
    </row>
    <row r="58770" spans="32:32" x14ac:dyDescent="0.2">
      <c r="AF58770" s="12"/>
    </row>
    <row r="58771" spans="32:32" x14ac:dyDescent="0.2">
      <c r="AF58771" s="12"/>
    </row>
    <row r="58772" spans="32:32" x14ac:dyDescent="0.2">
      <c r="AF58772" s="12"/>
    </row>
    <row r="58773" spans="32:32" x14ac:dyDescent="0.2">
      <c r="AF58773" s="12"/>
    </row>
    <row r="58774" spans="32:32" x14ac:dyDescent="0.2">
      <c r="AF58774" s="12"/>
    </row>
    <row r="58775" spans="32:32" x14ac:dyDescent="0.2">
      <c r="AF58775" s="12"/>
    </row>
    <row r="58776" spans="32:32" x14ac:dyDescent="0.2">
      <c r="AF58776" s="12"/>
    </row>
    <row r="58777" spans="32:32" x14ac:dyDescent="0.2">
      <c r="AF58777" s="12"/>
    </row>
    <row r="58778" spans="32:32" x14ac:dyDescent="0.2">
      <c r="AF58778" s="12"/>
    </row>
    <row r="58779" spans="32:32" x14ac:dyDescent="0.2">
      <c r="AF58779" s="12"/>
    </row>
    <row r="58780" spans="32:32" x14ac:dyDescent="0.2">
      <c r="AF58780" s="12"/>
    </row>
    <row r="58781" spans="32:32" x14ac:dyDescent="0.2">
      <c r="AF58781" s="12"/>
    </row>
    <row r="58782" spans="32:32" x14ac:dyDescent="0.2">
      <c r="AF58782" s="12"/>
    </row>
    <row r="58783" spans="32:32" x14ac:dyDescent="0.2">
      <c r="AF58783" s="12"/>
    </row>
    <row r="58784" spans="32:32" x14ac:dyDescent="0.2">
      <c r="AF58784" s="12"/>
    </row>
    <row r="58785" spans="32:32" x14ac:dyDescent="0.2">
      <c r="AF58785" s="12"/>
    </row>
    <row r="58786" spans="32:32" x14ac:dyDescent="0.2">
      <c r="AF58786" s="12"/>
    </row>
    <row r="58787" spans="32:32" x14ac:dyDescent="0.2">
      <c r="AF58787" s="12"/>
    </row>
    <row r="58788" spans="32:32" x14ac:dyDescent="0.2">
      <c r="AF58788" s="12"/>
    </row>
    <row r="58789" spans="32:32" x14ac:dyDescent="0.2">
      <c r="AF58789" s="12"/>
    </row>
    <row r="58790" spans="32:32" x14ac:dyDescent="0.2">
      <c r="AF58790" s="12"/>
    </row>
    <row r="58791" spans="32:32" x14ac:dyDescent="0.2">
      <c r="AF58791" s="12"/>
    </row>
    <row r="58792" spans="32:32" x14ac:dyDescent="0.2">
      <c r="AF58792" s="12"/>
    </row>
    <row r="58793" spans="32:32" x14ac:dyDescent="0.2">
      <c r="AF58793" s="12"/>
    </row>
    <row r="58794" spans="32:32" x14ac:dyDescent="0.2">
      <c r="AF58794" s="12"/>
    </row>
    <row r="58795" spans="32:32" x14ac:dyDescent="0.2">
      <c r="AF58795" s="12"/>
    </row>
    <row r="58796" spans="32:32" x14ac:dyDescent="0.2">
      <c r="AF58796" s="12"/>
    </row>
    <row r="58797" spans="32:32" x14ac:dyDescent="0.2">
      <c r="AF58797" s="12"/>
    </row>
    <row r="58798" spans="32:32" x14ac:dyDescent="0.2">
      <c r="AF58798" s="12"/>
    </row>
    <row r="58799" spans="32:32" x14ac:dyDescent="0.2">
      <c r="AF58799" s="12"/>
    </row>
    <row r="58800" spans="32:32" x14ac:dyDescent="0.2">
      <c r="AF58800" s="12"/>
    </row>
    <row r="58801" spans="32:32" x14ac:dyDescent="0.2">
      <c r="AF58801" s="12"/>
    </row>
    <row r="58802" spans="32:32" x14ac:dyDescent="0.2">
      <c r="AF58802" s="12"/>
    </row>
    <row r="58803" spans="32:32" x14ac:dyDescent="0.2">
      <c r="AF58803" s="12"/>
    </row>
    <row r="58804" spans="32:32" x14ac:dyDescent="0.2">
      <c r="AF58804" s="12"/>
    </row>
    <row r="58805" spans="32:32" x14ac:dyDescent="0.2">
      <c r="AF58805" s="12"/>
    </row>
    <row r="58806" spans="32:32" x14ac:dyDescent="0.2">
      <c r="AF58806" s="12"/>
    </row>
    <row r="58807" spans="32:32" x14ac:dyDescent="0.2">
      <c r="AF58807" s="12"/>
    </row>
    <row r="58808" spans="32:32" x14ac:dyDescent="0.2">
      <c r="AF58808" s="12"/>
    </row>
    <row r="58809" spans="32:32" x14ac:dyDescent="0.2">
      <c r="AF58809" s="12"/>
    </row>
    <row r="58810" spans="32:32" x14ac:dyDescent="0.2">
      <c r="AF58810" s="12"/>
    </row>
    <row r="58811" spans="32:32" x14ac:dyDescent="0.2">
      <c r="AF58811" s="12"/>
    </row>
    <row r="58812" spans="32:32" x14ac:dyDescent="0.2">
      <c r="AF58812" s="12"/>
    </row>
    <row r="58813" spans="32:32" x14ac:dyDescent="0.2">
      <c r="AF58813" s="12"/>
    </row>
    <row r="58814" spans="32:32" x14ac:dyDescent="0.2">
      <c r="AF58814" s="12"/>
    </row>
    <row r="58815" spans="32:32" x14ac:dyDescent="0.2">
      <c r="AF58815" s="12"/>
    </row>
    <row r="58816" spans="32:32" x14ac:dyDescent="0.2">
      <c r="AF58816" s="12"/>
    </row>
    <row r="58817" spans="32:32" x14ac:dyDescent="0.2">
      <c r="AF58817" s="12"/>
    </row>
    <row r="58818" spans="32:32" x14ac:dyDescent="0.2">
      <c r="AF58818" s="12"/>
    </row>
    <row r="58819" spans="32:32" x14ac:dyDescent="0.2">
      <c r="AF58819" s="12"/>
    </row>
    <row r="58820" spans="32:32" x14ac:dyDescent="0.2">
      <c r="AF58820" s="12"/>
    </row>
    <row r="58821" spans="32:32" x14ac:dyDescent="0.2">
      <c r="AF58821" s="12"/>
    </row>
    <row r="58822" spans="32:32" x14ac:dyDescent="0.2">
      <c r="AF58822" s="12"/>
    </row>
    <row r="58823" spans="32:32" x14ac:dyDescent="0.2">
      <c r="AF58823" s="12"/>
    </row>
    <row r="58824" spans="32:32" x14ac:dyDescent="0.2">
      <c r="AF58824" s="12"/>
    </row>
    <row r="58825" spans="32:32" x14ac:dyDescent="0.2">
      <c r="AF58825" s="12"/>
    </row>
    <row r="58826" spans="32:32" x14ac:dyDescent="0.2">
      <c r="AF58826" s="12"/>
    </row>
    <row r="58827" spans="32:32" x14ac:dyDescent="0.2">
      <c r="AF58827" s="12"/>
    </row>
    <row r="58828" spans="32:32" x14ac:dyDescent="0.2">
      <c r="AF58828" s="12"/>
    </row>
    <row r="58829" spans="32:32" x14ac:dyDescent="0.2">
      <c r="AF58829" s="12"/>
    </row>
    <row r="58830" spans="32:32" x14ac:dyDescent="0.2">
      <c r="AF58830" s="12"/>
    </row>
    <row r="58831" spans="32:32" x14ac:dyDescent="0.2">
      <c r="AF58831" s="12"/>
    </row>
    <row r="58832" spans="32:32" x14ac:dyDescent="0.2">
      <c r="AF58832" s="12"/>
    </row>
    <row r="58833" spans="32:32" x14ac:dyDescent="0.2">
      <c r="AF58833" s="12"/>
    </row>
    <row r="58834" spans="32:32" x14ac:dyDescent="0.2">
      <c r="AF58834" s="12"/>
    </row>
    <row r="58835" spans="32:32" x14ac:dyDescent="0.2">
      <c r="AF58835" s="12"/>
    </row>
    <row r="58836" spans="32:32" x14ac:dyDescent="0.2">
      <c r="AF58836" s="12"/>
    </row>
    <row r="58837" spans="32:32" x14ac:dyDescent="0.2">
      <c r="AF58837" s="12"/>
    </row>
    <row r="58838" spans="32:32" x14ac:dyDescent="0.2">
      <c r="AF58838" s="12"/>
    </row>
    <row r="58839" spans="32:32" x14ac:dyDescent="0.2">
      <c r="AF58839" s="12"/>
    </row>
    <row r="58840" spans="32:32" x14ac:dyDescent="0.2">
      <c r="AF58840" s="12"/>
    </row>
    <row r="58841" spans="32:32" x14ac:dyDescent="0.2">
      <c r="AF58841" s="12"/>
    </row>
    <row r="58842" spans="32:32" x14ac:dyDescent="0.2">
      <c r="AF58842" s="12"/>
    </row>
    <row r="58843" spans="32:32" x14ac:dyDescent="0.2">
      <c r="AF58843" s="12"/>
    </row>
    <row r="58844" spans="32:32" x14ac:dyDescent="0.2">
      <c r="AF58844" s="12"/>
    </row>
    <row r="58845" spans="32:32" x14ac:dyDescent="0.2">
      <c r="AF58845" s="12"/>
    </row>
    <row r="58846" spans="32:32" x14ac:dyDescent="0.2">
      <c r="AF58846" s="12"/>
    </row>
    <row r="58847" spans="32:32" x14ac:dyDescent="0.2">
      <c r="AF58847" s="12"/>
    </row>
    <row r="58848" spans="32:32" x14ac:dyDescent="0.2">
      <c r="AF58848" s="12"/>
    </row>
    <row r="58849" spans="32:32" x14ac:dyDescent="0.2">
      <c r="AF58849" s="12"/>
    </row>
    <row r="58850" spans="32:32" x14ac:dyDescent="0.2">
      <c r="AF58850" s="12"/>
    </row>
    <row r="58851" spans="32:32" x14ac:dyDescent="0.2">
      <c r="AF58851" s="12"/>
    </row>
    <row r="58852" spans="32:32" x14ac:dyDescent="0.2">
      <c r="AF58852" s="12"/>
    </row>
    <row r="58853" spans="32:32" x14ac:dyDescent="0.2">
      <c r="AF58853" s="12"/>
    </row>
    <row r="58854" spans="32:32" x14ac:dyDescent="0.2">
      <c r="AF58854" s="12"/>
    </row>
    <row r="58855" spans="32:32" x14ac:dyDescent="0.2">
      <c r="AF58855" s="12"/>
    </row>
    <row r="58856" spans="32:32" x14ac:dyDescent="0.2">
      <c r="AF58856" s="12"/>
    </row>
    <row r="58857" spans="32:32" x14ac:dyDescent="0.2">
      <c r="AF58857" s="12"/>
    </row>
    <row r="58858" spans="32:32" x14ac:dyDescent="0.2">
      <c r="AF58858" s="12"/>
    </row>
    <row r="58859" spans="32:32" x14ac:dyDescent="0.2">
      <c r="AF58859" s="12"/>
    </row>
    <row r="58860" spans="32:32" x14ac:dyDescent="0.2">
      <c r="AF58860" s="12"/>
    </row>
    <row r="58861" spans="32:32" x14ac:dyDescent="0.2">
      <c r="AF58861" s="12"/>
    </row>
    <row r="58862" spans="32:32" x14ac:dyDescent="0.2">
      <c r="AF58862" s="12"/>
    </row>
    <row r="58863" spans="32:32" x14ac:dyDescent="0.2">
      <c r="AF58863" s="12"/>
    </row>
    <row r="58864" spans="32:32" x14ac:dyDescent="0.2">
      <c r="AF58864" s="12"/>
    </row>
    <row r="58865" spans="32:32" x14ac:dyDescent="0.2">
      <c r="AF58865" s="12"/>
    </row>
    <row r="58866" spans="32:32" x14ac:dyDescent="0.2">
      <c r="AF58866" s="12"/>
    </row>
    <row r="58867" spans="32:32" x14ac:dyDescent="0.2">
      <c r="AF58867" s="12"/>
    </row>
    <row r="58868" spans="32:32" x14ac:dyDescent="0.2">
      <c r="AF58868" s="12"/>
    </row>
    <row r="58869" spans="32:32" x14ac:dyDescent="0.2">
      <c r="AF58869" s="12"/>
    </row>
    <row r="58870" spans="32:32" x14ac:dyDescent="0.2">
      <c r="AF58870" s="12"/>
    </row>
    <row r="58871" spans="32:32" x14ac:dyDescent="0.2">
      <c r="AF58871" s="12"/>
    </row>
    <row r="58872" spans="32:32" x14ac:dyDescent="0.2">
      <c r="AF58872" s="12"/>
    </row>
    <row r="58873" spans="32:32" x14ac:dyDescent="0.2">
      <c r="AF58873" s="12"/>
    </row>
    <row r="58874" spans="32:32" x14ac:dyDescent="0.2">
      <c r="AF58874" s="12"/>
    </row>
    <row r="58875" spans="32:32" x14ac:dyDescent="0.2">
      <c r="AF58875" s="12"/>
    </row>
    <row r="58876" spans="32:32" x14ac:dyDescent="0.2">
      <c r="AF58876" s="12"/>
    </row>
    <row r="58877" spans="32:32" x14ac:dyDescent="0.2">
      <c r="AF58877" s="12"/>
    </row>
    <row r="58878" spans="32:32" x14ac:dyDescent="0.2">
      <c r="AF58878" s="12"/>
    </row>
    <row r="58879" spans="32:32" x14ac:dyDescent="0.2">
      <c r="AF58879" s="12"/>
    </row>
    <row r="58880" spans="32:32" x14ac:dyDescent="0.2">
      <c r="AF58880" s="12"/>
    </row>
    <row r="58881" spans="32:32" x14ac:dyDescent="0.2">
      <c r="AF58881" s="12"/>
    </row>
    <row r="58882" spans="32:32" x14ac:dyDescent="0.2">
      <c r="AF58882" s="12"/>
    </row>
    <row r="58883" spans="32:32" x14ac:dyDescent="0.2">
      <c r="AF58883" s="12"/>
    </row>
    <row r="58884" spans="32:32" x14ac:dyDescent="0.2">
      <c r="AF58884" s="12"/>
    </row>
    <row r="58885" spans="32:32" x14ac:dyDescent="0.2">
      <c r="AF58885" s="12"/>
    </row>
    <row r="58886" spans="32:32" x14ac:dyDescent="0.2">
      <c r="AF58886" s="12"/>
    </row>
    <row r="58887" spans="32:32" x14ac:dyDescent="0.2">
      <c r="AF58887" s="12"/>
    </row>
    <row r="58888" spans="32:32" x14ac:dyDescent="0.2">
      <c r="AF58888" s="12"/>
    </row>
    <row r="58889" spans="32:32" x14ac:dyDescent="0.2">
      <c r="AF58889" s="12"/>
    </row>
    <row r="58890" spans="32:32" x14ac:dyDescent="0.2">
      <c r="AF58890" s="12"/>
    </row>
    <row r="58891" spans="32:32" x14ac:dyDescent="0.2">
      <c r="AF58891" s="12"/>
    </row>
    <row r="58892" spans="32:32" x14ac:dyDescent="0.2">
      <c r="AF58892" s="12"/>
    </row>
    <row r="58893" spans="32:32" x14ac:dyDescent="0.2">
      <c r="AF58893" s="12"/>
    </row>
    <row r="58894" spans="32:32" x14ac:dyDescent="0.2">
      <c r="AF58894" s="12"/>
    </row>
    <row r="58895" spans="32:32" x14ac:dyDescent="0.2">
      <c r="AF58895" s="12"/>
    </row>
    <row r="58896" spans="32:32" x14ac:dyDescent="0.2">
      <c r="AF58896" s="12"/>
    </row>
    <row r="58897" spans="32:32" x14ac:dyDescent="0.2">
      <c r="AF58897" s="12"/>
    </row>
    <row r="58898" spans="32:32" x14ac:dyDescent="0.2">
      <c r="AF58898" s="12"/>
    </row>
    <row r="58899" spans="32:32" x14ac:dyDescent="0.2">
      <c r="AF58899" s="12"/>
    </row>
    <row r="58900" spans="32:32" x14ac:dyDescent="0.2">
      <c r="AF58900" s="12"/>
    </row>
    <row r="58901" spans="32:32" x14ac:dyDescent="0.2">
      <c r="AF58901" s="12"/>
    </row>
    <row r="58902" spans="32:32" x14ac:dyDescent="0.2">
      <c r="AF58902" s="12"/>
    </row>
    <row r="58903" spans="32:32" x14ac:dyDescent="0.2">
      <c r="AF58903" s="12"/>
    </row>
    <row r="58904" spans="32:32" x14ac:dyDescent="0.2">
      <c r="AF58904" s="12"/>
    </row>
    <row r="58905" spans="32:32" x14ac:dyDescent="0.2">
      <c r="AF58905" s="12"/>
    </row>
    <row r="58906" spans="32:32" x14ac:dyDescent="0.2">
      <c r="AF58906" s="12"/>
    </row>
    <row r="58907" spans="32:32" x14ac:dyDescent="0.2">
      <c r="AF58907" s="12"/>
    </row>
    <row r="58908" spans="32:32" x14ac:dyDescent="0.2">
      <c r="AF58908" s="12"/>
    </row>
    <row r="58909" spans="32:32" x14ac:dyDescent="0.2">
      <c r="AF58909" s="12"/>
    </row>
    <row r="58910" spans="32:32" x14ac:dyDescent="0.2">
      <c r="AF58910" s="12"/>
    </row>
    <row r="58911" spans="32:32" x14ac:dyDescent="0.2">
      <c r="AF58911" s="12"/>
    </row>
    <row r="58912" spans="32:32" x14ac:dyDescent="0.2">
      <c r="AF58912" s="12"/>
    </row>
    <row r="58913" spans="32:32" x14ac:dyDescent="0.2">
      <c r="AF58913" s="12"/>
    </row>
    <row r="58914" spans="32:32" x14ac:dyDescent="0.2">
      <c r="AF58914" s="12"/>
    </row>
    <row r="58915" spans="32:32" x14ac:dyDescent="0.2">
      <c r="AF58915" s="12"/>
    </row>
    <row r="58916" spans="32:32" x14ac:dyDescent="0.2">
      <c r="AF58916" s="12"/>
    </row>
    <row r="58917" spans="32:32" x14ac:dyDescent="0.2">
      <c r="AF58917" s="12"/>
    </row>
    <row r="58918" spans="32:32" x14ac:dyDescent="0.2">
      <c r="AF58918" s="12"/>
    </row>
    <row r="58919" spans="32:32" x14ac:dyDescent="0.2">
      <c r="AF58919" s="12"/>
    </row>
    <row r="58920" spans="32:32" x14ac:dyDescent="0.2">
      <c r="AF58920" s="12"/>
    </row>
    <row r="58921" spans="32:32" x14ac:dyDescent="0.2">
      <c r="AF58921" s="12"/>
    </row>
    <row r="58922" spans="32:32" x14ac:dyDescent="0.2">
      <c r="AF58922" s="12"/>
    </row>
    <row r="58923" spans="32:32" x14ac:dyDescent="0.2">
      <c r="AF58923" s="12"/>
    </row>
    <row r="58924" spans="32:32" x14ac:dyDescent="0.2">
      <c r="AF58924" s="12"/>
    </row>
    <row r="58925" spans="32:32" x14ac:dyDescent="0.2">
      <c r="AF58925" s="12"/>
    </row>
    <row r="58926" spans="32:32" x14ac:dyDescent="0.2">
      <c r="AF58926" s="12"/>
    </row>
    <row r="58927" spans="32:32" x14ac:dyDescent="0.2">
      <c r="AF58927" s="12"/>
    </row>
    <row r="58928" spans="32:32" x14ac:dyDescent="0.2">
      <c r="AF58928" s="12"/>
    </row>
    <row r="58929" spans="32:32" x14ac:dyDescent="0.2">
      <c r="AF58929" s="12"/>
    </row>
    <row r="58930" spans="32:32" x14ac:dyDescent="0.2">
      <c r="AF58930" s="12"/>
    </row>
    <row r="58931" spans="32:32" x14ac:dyDescent="0.2">
      <c r="AF58931" s="12"/>
    </row>
    <row r="58932" spans="32:32" x14ac:dyDescent="0.2">
      <c r="AF58932" s="12"/>
    </row>
    <row r="58933" spans="32:32" x14ac:dyDescent="0.2">
      <c r="AF58933" s="12"/>
    </row>
    <row r="58934" spans="32:32" x14ac:dyDescent="0.2">
      <c r="AF58934" s="12"/>
    </row>
    <row r="58935" spans="32:32" x14ac:dyDescent="0.2">
      <c r="AF58935" s="12"/>
    </row>
    <row r="58936" spans="32:32" x14ac:dyDescent="0.2">
      <c r="AF58936" s="12"/>
    </row>
    <row r="58937" spans="32:32" x14ac:dyDescent="0.2">
      <c r="AF58937" s="12"/>
    </row>
    <row r="58938" spans="32:32" x14ac:dyDescent="0.2">
      <c r="AF58938" s="12"/>
    </row>
    <row r="58939" spans="32:32" x14ac:dyDescent="0.2">
      <c r="AF58939" s="12"/>
    </row>
    <row r="58940" spans="32:32" x14ac:dyDescent="0.2">
      <c r="AF58940" s="12"/>
    </row>
    <row r="58941" spans="32:32" x14ac:dyDescent="0.2">
      <c r="AF58941" s="12"/>
    </row>
    <row r="58942" spans="32:32" x14ac:dyDescent="0.2">
      <c r="AF58942" s="12"/>
    </row>
    <row r="58943" spans="32:32" x14ac:dyDescent="0.2">
      <c r="AF58943" s="12"/>
    </row>
    <row r="58944" spans="32:32" x14ac:dyDescent="0.2">
      <c r="AF58944" s="12"/>
    </row>
    <row r="58945" spans="32:32" x14ac:dyDescent="0.2">
      <c r="AF58945" s="12"/>
    </row>
    <row r="58946" spans="32:32" x14ac:dyDescent="0.2">
      <c r="AF58946" s="12"/>
    </row>
    <row r="58947" spans="32:32" x14ac:dyDescent="0.2">
      <c r="AF58947" s="12"/>
    </row>
    <row r="58948" spans="32:32" x14ac:dyDescent="0.2">
      <c r="AF58948" s="12"/>
    </row>
    <row r="58949" spans="32:32" x14ac:dyDescent="0.2">
      <c r="AF58949" s="12"/>
    </row>
    <row r="58950" spans="32:32" x14ac:dyDescent="0.2">
      <c r="AF58950" s="12"/>
    </row>
    <row r="58951" spans="32:32" x14ac:dyDescent="0.2">
      <c r="AF58951" s="12"/>
    </row>
    <row r="58952" spans="32:32" x14ac:dyDescent="0.2">
      <c r="AF58952" s="12"/>
    </row>
    <row r="58953" spans="32:32" x14ac:dyDescent="0.2">
      <c r="AF58953" s="12"/>
    </row>
    <row r="58954" spans="32:32" x14ac:dyDescent="0.2">
      <c r="AF58954" s="12"/>
    </row>
    <row r="58955" spans="32:32" x14ac:dyDescent="0.2">
      <c r="AF58955" s="12"/>
    </row>
    <row r="58956" spans="32:32" x14ac:dyDescent="0.2">
      <c r="AF58956" s="12"/>
    </row>
    <row r="58957" spans="32:32" x14ac:dyDescent="0.2">
      <c r="AF58957" s="12"/>
    </row>
    <row r="58958" spans="32:32" x14ac:dyDescent="0.2">
      <c r="AF58958" s="12"/>
    </row>
    <row r="58959" spans="32:32" x14ac:dyDescent="0.2">
      <c r="AF58959" s="12"/>
    </row>
    <row r="58960" spans="32:32" x14ac:dyDescent="0.2">
      <c r="AF58960" s="12"/>
    </row>
    <row r="58961" spans="32:32" x14ac:dyDescent="0.2">
      <c r="AF58961" s="12"/>
    </row>
    <row r="58962" spans="32:32" x14ac:dyDescent="0.2">
      <c r="AF58962" s="12"/>
    </row>
    <row r="58963" spans="32:32" x14ac:dyDescent="0.2">
      <c r="AF58963" s="12"/>
    </row>
    <row r="58964" spans="32:32" x14ac:dyDescent="0.2">
      <c r="AF58964" s="12"/>
    </row>
    <row r="58965" spans="32:32" x14ac:dyDescent="0.2">
      <c r="AF58965" s="12"/>
    </row>
    <row r="58966" spans="32:32" x14ac:dyDescent="0.2">
      <c r="AF58966" s="12"/>
    </row>
    <row r="58967" spans="32:32" x14ac:dyDescent="0.2">
      <c r="AF58967" s="12"/>
    </row>
    <row r="58968" spans="32:32" x14ac:dyDescent="0.2">
      <c r="AF58968" s="12"/>
    </row>
    <row r="58969" spans="32:32" x14ac:dyDescent="0.2">
      <c r="AF58969" s="12"/>
    </row>
    <row r="58970" spans="32:32" x14ac:dyDescent="0.2">
      <c r="AF58970" s="12"/>
    </row>
    <row r="58971" spans="32:32" x14ac:dyDescent="0.2">
      <c r="AF58971" s="12"/>
    </row>
    <row r="58972" spans="32:32" x14ac:dyDescent="0.2">
      <c r="AF58972" s="12"/>
    </row>
    <row r="58973" spans="32:32" x14ac:dyDescent="0.2">
      <c r="AF58973" s="12"/>
    </row>
    <row r="58974" spans="32:32" x14ac:dyDescent="0.2">
      <c r="AF58974" s="12"/>
    </row>
    <row r="58975" spans="32:32" x14ac:dyDescent="0.2">
      <c r="AF58975" s="12"/>
    </row>
    <row r="58976" spans="32:32" x14ac:dyDescent="0.2">
      <c r="AF58976" s="12"/>
    </row>
    <row r="58977" spans="32:32" x14ac:dyDescent="0.2">
      <c r="AF58977" s="12"/>
    </row>
    <row r="58978" spans="32:32" x14ac:dyDescent="0.2">
      <c r="AF58978" s="12"/>
    </row>
    <row r="58979" spans="32:32" x14ac:dyDescent="0.2">
      <c r="AF58979" s="12"/>
    </row>
    <row r="58980" spans="32:32" x14ac:dyDescent="0.2">
      <c r="AF58980" s="12"/>
    </row>
    <row r="58981" spans="32:32" x14ac:dyDescent="0.2">
      <c r="AF58981" s="12"/>
    </row>
    <row r="58982" spans="32:32" x14ac:dyDescent="0.2">
      <c r="AF58982" s="12"/>
    </row>
    <row r="58983" spans="32:32" x14ac:dyDescent="0.2">
      <c r="AF58983" s="12"/>
    </row>
    <row r="58984" spans="32:32" x14ac:dyDescent="0.2">
      <c r="AF58984" s="12"/>
    </row>
    <row r="58985" spans="32:32" x14ac:dyDescent="0.2">
      <c r="AF58985" s="12"/>
    </row>
    <row r="58986" spans="32:32" x14ac:dyDescent="0.2">
      <c r="AF58986" s="12"/>
    </row>
    <row r="58987" spans="32:32" x14ac:dyDescent="0.2">
      <c r="AF58987" s="12"/>
    </row>
    <row r="58988" spans="32:32" x14ac:dyDescent="0.2">
      <c r="AF58988" s="12"/>
    </row>
    <row r="58989" spans="32:32" x14ac:dyDescent="0.2">
      <c r="AF58989" s="12"/>
    </row>
    <row r="58990" spans="32:32" x14ac:dyDescent="0.2">
      <c r="AF58990" s="12"/>
    </row>
    <row r="58991" spans="32:32" x14ac:dyDescent="0.2">
      <c r="AF58991" s="12"/>
    </row>
    <row r="58992" spans="32:32" x14ac:dyDescent="0.2">
      <c r="AF58992" s="12"/>
    </row>
    <row r="58993" spans="32:32" x14ac:dyDescent="0.2">
      <c r="AF58993" s="12"/>
    </row>
    <row r="58994" spans="32:32" x14ac:dyDescent="0.2">
      <c r="AF58994" s="12"/>
    </row>
    <row r="58995" spans="32:32" x14ac:dyDescent="0.2">
      <c r="AF58995" s="12"/>
    </row>
    <row r="58996" spans="32:32" x14ac:dyDescent="0.2">
      <c r="AF58996" s="12"/>
    </row>
    <row r="58997" spans="32:32" x14ac:dyDescent="0.2">
      <c r="AF58997" s="12"/>
    </row>
    <row r="58998" spans="32:32" x14ac:dyDescent="0.2">
      <c r="AF58998" s="12"/>
    </row>
    <row r="58999" spans="32:32" x14ac:dyDescent="0.2">
      <c r="AF58999" s="12"/>
    </row>
    <row r="59000" spans="32:32" x14ac:dyDescent="0.2">
      <c r="AF59000" s="12"/>
    </row>
    <row r="59001" spans="32:32" x14ac:dyDescent="0.2">
      <c r="AF59001" s="12"/>
    </row>
    <row r="59002" spans="32:32" x14ac:dyDescent="0.2">
      <c r="AF59002" s="12"/>
    </row>
    <row r="59003" spans="32:32" x14ac:dyDescent="0.2">
      <c r="AF59003" s="12"/>
    </row>
    <row r="59004" spans="32:32" x14ac:dyDescent="0.2">
      <c r="AF59004" s="12"/>
    </row>
    <row r="59005" spans="32:32" x14ac:dyDescent="0.2">
      <c r="AF59005" s="12"/>
    </row>
    <row r="59006" spans="32:32" x14ac:dyDescent="0.2">
      <c r="AF59006" s="12"/>
    </row>
    <row r="59007" spans="32:32" x14ac:dyDescent="0.2">
      <c r="AF59007" s="12"/>
    </row>
    <row r="59008" spans="32:32" x14ac:dyDescent="0.2">
      <c r="AF59008" s="12"/>
    </row>
    <row r="59009" spans="32:32" x14ac:dyDescent="0.2">
      <c r="AF59009" s="12"/>
    </row>
    <row r="59010" spans="32:32" x14ac:dyDescent="0.2">
      <c r="AF59010" s="12"/>
    </row>
    <row r="59011" spans="32:32" x14ac:dyDescent="0.2">
      <c r="AF59011" s="12"/>
    </row>
    <row r="59012" spans="32:32" x14ac:dyDescent="0.2">
      <c r="AF59012" s="12"/>
    </row>
    <row r="59013" spans="32:32" x14ac:dyDescent="0.2">
      <c r="AF59013" s="12"/>
    </row>
    <row r="59014" spans="32:32" x14ac:dyDescent="0.2">
      <c r="AF59014" s="12"/>
    </row>
    <row r="59015" spans="32:32" x14ac:dyDescent="0.2">
      <c r="AF59015" s="12"/>
    </row>
    <row r="59016" spans="32:32" x14ac:dyDescent="0.2">
      <c r="AF59016" s="12"/>
    </row>
    <row r="59017" spans="32:32" x14ac:dyDescent="0.2">
      <c r="AF59017" s="12"/>
    </row>
    <row r="59018" spans="32:32" x14ac:dyDescent="0.2">
      <c r="AF59018" s="12"/>
    </row>
    <row r="59019" spans="32:32" x14ac:dyDescent="0.2">
      <c r="AF59019" s="12"/>
    </row>
    <row r="59020" spans="32:32" x14ac:dyDescent="0.2">
      <c r="AF59020" s="12"/>
    </row>
    <row r="59021" spans="32:32" x14ac:dyDescent="0.2">
      <c r="AF59021" s="12"/>
    </row>
    <row r="59022" spans="32:32" x14ac:dyDescent="0.2">
      <c r="AF59022" s="12"/>
    </row>
    <row r="59023" spans="32:32" x14ac:dyDescent="0.2">
      <c r="AF59023" s="12"/>
    </row>
    <row r="59024" spans="32:32" x14ac:dyDescent="0.2">
      <c r="AF59024" s="12"/>
    </row>
    <row r="59025" spans="32:32" x14ac:dyDescent="0.2">
      <c r="AF59025" s="12"/>
    </row>
    <row r="59026" spans="32:32" x14ac:dyDescent="0.2">
      <c r="AF59026" s="12"/>
    </row>
    <row r="59027" spans="32:32" x14ac:dyDescent="0.2">
      <c r="AF59027" s="12"/>
    </row>
    <row r="59028" spans="32:32" x14ac:dyDescent="0.2">
      <c r="AF59028" s="12"/>
    </row>
    <row r="59029" spans="32:32" x14ac:dyDescent="0.2">
      <c r="AF59029" s="12"/>
    </row>
    <row r="59030" spans="32:32" x14ac:dyDescent="0.2">
      <c r="AF59030" s="12"/>
    </row>
    <row r="59031" spans="32:32" x14ac:dyDescent="0.2">
      <c r="AF59031" s="12"/>
    </row>
    <row r="59032" spans="32:32" x14ac:dyDescent="0.2">
      <c r="AF59032" s="12"/>
    </row>
    <row r="59033" spans="32:32" x14ac:dyDescent="0.2">
      <c r="AF59033" s="12"/>
    </row>
    <row r="59034" spans="32:32" x14ac:dyDescent="0.2">
      <c r="AF59034" s="12"/>
    </row>
    <row r="59035" spans="32:32" x14ac:dyDescent="0.2">
      <c r="AF59035" s="12"/>
    </row>
    <row r="59036" spans="32:32" x14ac:dyDescent="0.2">
      <c r="AF59036" s="12"/>
    </row>
    <row r="59037" spans="32:32" x14ac:dyDescent="0.2">
      <c r="AF59037" s="12"/>
    </row>
    <row r="59038" spans="32:32" x14ac:dyDescent="0.2">
      <c r="AF59038" s="12"/>
    </row>
    <row r="59039" spans="32:32" x14ac:dyDescent="0.2">
      <c r="AF59039" s="12"/>
    </row>
    <row r="59040" spans="32:32" x14ac:dyDescent="0.2">
      <c r="AF59040" s="12"/>
    </row>
    <row r="59041" spans="32:32" x14ac:dyDescent="0.2">
      <c r="AF59041" s="12"/>
    </row>
    <row r="59042" spans="32:32" x14ac:dyDescent="0.2">
      <c r="AF59042" s="12"/>
    </row>
    <row r="59043" spans="32:32" x14ac:dyDescent="0.2">
      <c r="AF59043" s="12"/>
    </row>
    <row r="59044" spans="32:32" x14ac:dyDescent="0.2">
      <c r="AF59044" s="12"/>
    </row>
    <row r="59045" spans="32:32" x14ac:dyDescent="0.2">
      <c r="AF59045" s="12"/>
    </row>
    <row r="59046" spans="32:32" x14ac:dyDescent="0.2">
      <c r="AF59046" s="12"/>
    </row>
    <row r="59047" spans="32:32" x14ac:dyDescent="0.2">
      <c r="AF59047" s="12"/>
    </row>
    <row r="59048" spans="32:32" x14ac:dyDescent="0.2">
      <c r="AF59048" s="12"/>
    </row>
    <row r="59049" spans="32:32" x14ac:dyDescent="0.2">
      <c r="AF59049" s="12"/>
    </row>
    <row r="59050" spans="32:32" x14ac:dyDescent="0.2">
      <c r="AF59050" s="12"/>
    </row>
    <row r="59051" spans="32:32" x14ac:dyDescent="0.2">
      <c r="AF59051" s="12"/>
    </row>
    <row r="59052" spans="32:32" x14ac:dyDescent="0.2">
      <c r="AF59052" s="12"/>
    </row>
    <row r="59053" spans="32:32" x14ac:dyDescent="0.2">
      <c r="AF59053" s="12"/>
    </row>
    <row r="59054" spans="32:32" x14ac:dyDescent="0.2">
      <c r="AF59054" s="12"/>
    </row>
    <row r="59055" spans="32:32" x14ac:dyDescent="0.2">
      <c r="AF59055" s="12"/>
    </row>
    <row r="59056" spans="32:32" x14ac:dyDescent="0.2">
      <c r="AF59056" s="12"/>
    </row>
    <row r="59057" spans="32:32" x14ac:dyDescent="0.2">
      <c r="AF59057" s="12"/>
    </row>
    <row r="59058" spans="32:32" x14ac:dyDescent="0.2">
      <c r="AF59058" s="12"/>
    </row>
    <row r="59059" spans="32:32" x14ac:dyDescent="0.2">
      <c r="AF59059" s="12"/>
    </row>
    <row r="59060" spans="32:32" x14ac:dyDescent="0.2">
      <c r="AF59060" s="12"/>
    </row>
    <row r="59061" spans="32:32" x14ac:dyDescent="0.2">
      <c r="AF59061" s="12"/>
    </row>
    <row r="59062" spans="32:32" x14ac:dyDescent="0.2">
      <c r="AF59062" s="12"/>
    </row>
    <row r="59063" spans="32:32" x14ac:dyDescent="0.2">
      <c r="AF59063" s="12"/>
    </row>
    <row r="59064" spans="32:32" x14ac:dyDescent="0.2">
      <c r="AF59064" s="12"/>
    </row>
    <row r="59065" spans="32:32" x14ac:dyDescent="0.2">
      <c r="AF59065" s="12"/>
    </row>
    <row r="59066" spans="32:32" x14ac:dyDescent="0.2">
      <c r="AF59066" s="12"/>
    </row>
    <row r="59067" spans="32:32" x14ac:dyDescent="0.2">
      <c r="AF59067" s="12"/>
    </row>
    <row r="59068" spans="32:32" x14ac:dyDescent="0.2">
      <c r="AF59068" s="12"/>
    </row>
    <row r="59069" spans="32:32" x14ac:dyDescent="0.2">
      <c r="AF59069" s="12"/>
    </row>
    <row r="59070" spans="32:32" x14ac:dyDescent="0.2">
      <c r="AF59070" s="12"/>
    </row>
    <row r="59071" spans="32:32" x14ac:dyDescent="0.2">
      <c r="AF59071" s="12"/>
    </row>
    <row r="59072" spans="32:32" x14ac:dyDescent="0.2">
      <c r="AF59072" s="12"/>
    </row>
    <row r="59073" spans="32:32" x14ac:dyDescent="0.2">
      <c r="AF59073" s="12"/>
    </row>
    <row r="59074" spans="32:32" x14ac:dyDescent="0.2">
      <c r="AF59074" s="12"/>
    </row>
    <row r="59075" spans="32:32" x14ac:dyDescent="0.2">
      <c r="AF59075" s="12"/>
    </row>
    <row r="59076" spans="32:32" x14ac:dyDescent="0.2">
      <c r="AF59076" s="12"/>
    </row>
    <row r="59077" spans="32:32" x14ac:dyDescent="0.2">
      <c r="AF59077" s="12"/>
    </row>
    <row r="59078" spans="32:32" x14ac:dyDescent="0.2">
      <c r="AF59078" s="12"/>
    </row>
    <row r="59079" spans="32:32" x14ac:dyDescent="0.2">
      <c r="AF59079" s="12"/>
    </row>
    <row r="59080" spans="32:32" x14ac:dyDescent="0.2">
      <c r="AF59080" s="12"/>
    </row>
    <row r="59081" spans="32:32" x14ac:dyDescent="0.2">
      <c r="AF59081" s="12"/>
    </row>
    <row r="59082" spans="32:32" x14ac:dyDescent="0.2">
      <c r="AF59082" s="12"/>
    </row>
    <row r="59083" spans="32:32" x14ac:dyDescent="0.2">
      <c r="AF59083" s="12"/>
    </row>
    <row r="59084" spans="32:32" x14ac:dyDescent="0.2">
      <c r="AF59084" s="12"/>
    </row>
    <row r="59085" spans="32:32" x14ac:dyDescent="0.2">
      <c r="AF59085" s="12"/>
    </row>
    <row r="59086" spans="32:32" x14ac:dyDescent="0.2">
      <c r="AF59086" s="12"/>
    </row>
    <row r="59087" spans="32:32" x14ac:dyDescent="0.2">
      <c r="AF59087" s="12"/>
    </row>
    <row r="59088" spans="32:32" x14ac:dyDescent="0.2">
      <c r="AF59088" s="12"/>
    </row>
    <row r="59089" spans="32:32" x14ac:dyDescent="0.2">
      <c r="AF59089" s="12"/>
    </row>
    <row r="59090" spans="32:32" x14ac:dyDescent="0.2">
      <c r="AF59090" s="12"/>
    </row>
    <row r="59091" spans="32:32" x14ac:dyDescent="0.2">
      <c r="AF59091" s="12"/>
    </row>
    <row r="59092" spans="32:32" x14ac:dyDescent="0.2">
      <c r="AF59092" s="12"/>
    </row>
    <row r="59093" spans="32:32" x14ac:dyDescent="0.2">
      <c r="AF59093" s="12"/>
    </row>
    <row r="59094" spans="32:32" x14ac:dyDescent="0.2">
      <c r="AF59094" s="12"/>
    </row>
    <row r="59095" spans="32:32" x14ac:dyDescent="0.2">
      <c r="AF59095" s="12"/>
    </row>
    <row r="59096" spans="32:32" x14ac:dyDescent="0.2">
      <c r="AF59096" s="12"/>
    </row>
    <row r="59097" spans="32:32" x14ac:dyDescent="0.2">
      <c r="AF59097" s="12"/>
    </row>
    <row r="59098" spans="32:32" x14ac:dyDescent="0.2">
      <c r="AF59098" s="12"/>
    </row>
    <row r="59099" spans="32:32" x14ac:dyDescent="0.2">
      <c r="AF59099" s="12"/>
    </row>
    <row r="59100" spans="32:32" x14ac:dyDescent="0.2">
      <c r="AF59100" s="12"/>
    </row>
    <row r="59101" spans="32:32" x14ac:dyDescent="0.2">
      <c r="AF59101" s="12"/>
    </row>
    <row r="59102" spans="32:32" x14ac:dyDescent="0.2">
      <c r="AF59102" s="12"/>
    </row>
    <row r="59103" spans="32:32" x14ac:dyDescent="0.2">
      <c r="AF59103" s="12"/>
    </row>
    <row r="59104" spans="32:32" x14ac:dyDescent="0.2">
      <c r="AF59104" s="12"/>
    </row>
    <row r="59105" spans="32:32" x14ac:dyDescent="0.2">
      <c r="AF59105" s="12"/>
    </row>
    <row r="59106" spans="32:32" x14ac:dyDescent="0.2">
      <c r="AF59106" s="12"/>
    </row>
    <row r="59107" spans="32:32" x14ac:dyDescent="0.2">
      <c r="AF59107" s="12"/>
    </row>
    <row r="59108" spans="32:32" x14ac:dyDescent="0.2">
      <c r="AF59108" s="12"/>
    </row>
    <row r="59109" spans="32:32" x14ac:dyDescent="0.2">
      <c r="AF59109" s="12"/>
    </row>
    <row r="59110" spans="32:32" x14ac:dyDescent="0.2">
      <c r="AF59110" s="12"/>
    </row>
    <row r="59111" spans="32:32" x14ac:dyDescent="0.2">
      <c r="AF59111" s="12"/>
    </row>
    <row r="59112" spans="32:32" x14ac:dyDescent="0.2">
      <c r="AF59112" s="12"/>
    </row>
    <row r="59113" spans="32:32" x14ac:dyDescent="0.2">
      <c r="AF59113" s="12"/>
    </row>
    <row r="59114" spans="32:32" x14ac:dyDescent="0.2">
      <c r="AF59114" s="12"/>
    </row>
    <row r="59115" spans="32:32" x14ac:dyDescent="0.2">
      <c r="AF59115" s="12"/>
    </row>
    <row r="59116" spans="32:32" x14ac:dyDescent="0.2">
      <c r="AF59116" s="12"/>
    </row>
    <row r="59117" spans="32:32" x14ac:dyDescent="0.2">
      <c r="AF59117" s="12"/>
    </row>
    <row r="59118" spans="32:32" x14ac:dyDescent="0.2">
      <c r="AF59118" s="12"/>
    </row>
    <row r="59119" spans="32:32" x14ac:dyDescent="0.2">
      <c r="AF59119" s="12"/>
    </row>
    <row r="59120" spans="32:32" x14ac:dyDescent="0.2">
      <c r="AF59120" s="12"/>
    </row>
    <row r="59121" spans="32:32" x14ac:dyDescent="0.2">
      <c r="AF59121" s="12"/>
    </row>
    <row r="59122" spans="32:32" x14ac:dyDescent="0.2">
      <c r="AF59122" s="12"/>
    </row>
    <row r="59123" spans="32:32" x14ac:dyDescent="0.2">
      <c r="AF59123" s="12"/>
    </row>
    <row r="59124" spans="32:32" x14ac:dyDescent="0.2">
      <c r="AF59124" s="12"/>
    </row>
    <row r="59125" spans="32:32" x14ac:dyDescent="0.2">
      <c r="AF59125" s="12"/>
    </row>
    <row r="59126" spans="32:32" x14ac:dyDescent="0.2">
      <c r="AF59126" s="12"/>
    </row>
    <row r="59127" spans="32:32" x14ac:dyDescent="0.2">
      <c r="AF59127" s="12"/>
    </row>
    <row r="59128" spans="32:32" x14ac:dyDescent="0.2">
      <c r="AF59128" s="12"/>
    </row>
    <row r="59129" spans="32:32" x14ac:dyDescent="0.2">
      <c r="AF59129" s="12"/>
    </row>
    <row r="59130" spans="32:32" x14ac:dyDescent="0.2">
      <c r="AF59130" s="12"/>
    </row>
    <row r="59131" spans="32:32" x14ac:dyDescent="0.2">
      <c r="AF59131" s="12"/>
    </row>
    <row r="59132" spans="32:32" x14ac:dyDescent="0.2">
      <c r="AF59132" s="12"/>
    </row>
    <row r="59133" spans="32:32" x14ac:dyDescent="0.2">
      <c r="AF59133" s="12"/>
    </row>
    <row r="59134" spans="32:32" x14ac:dyDescent="0.2">
      <c r="AF59134" s="12"/>
    </row>
    <row r="59135" spans="32:32" x14ac:dyDescent="0.2">
      <c r="AF59135" s="12"/>
    </row>
    <row r="59136" spans="32:32" x14ac:dyDescent="0.2">
      <c r="AF59136" s="12"/>
    </row>
    <row r="59137" spans="32:32" x14ac:dyDescent="0.2">
      <c r="AF59137" s="12"/>
    </row>
    <row r="59138" spans="32:32" x14ac:dyDescent="0.2">
      <c r="AF59138" s="12"/>
    </row>
    <row r="59139" spans="32:32" x14ac:dyDescent="0.2">
      <c r="AF59139" s="12"/>
    </row>
    <row r="59140" spans="32:32" x14ac:dyDescent="0.2">
      <c r="AF59140" s="12"/>
    </row>
    <row r="59141" spans="32:32" x14ac:dyDescent="0.2">
      <c r="AF59141" s="12"/>
    </row>
    <row r="59142" spans="32:32" x14ac:dyDescent="0.2">
      <c r="AF59142" s="12"/>
    </row>
    <row r="59143" spans="32:32" x14ac:dyDescent="0.2">
      <c r="AF59143" s="12"/>
    </row>
    <row r="59144" spans="32:32" x14ac:dyDescent="0.2">
      <c r="AF59144" s="12"/>
    </row>
    <row r="59145" spans="32:32" x14ac:dyDescent="0.2">
      <c r="AF59145" s="12"/>
    </row>
    <row r="59146" spans="32:32" x14ac:dyDescent="0.2">
      <c r="AF59146" s="12"/>
    </row>
    <row r="59147" spans="32:32" x14ac:dyDescent="0.2">
      <c r="AF59147" s="12"/>
    </row>
    <row r="59148" spans="32:32" x14ac:dyDescent="0.2">
      <c r="AF59148" s="12"/>
    </row>
    <row r="59149" spans="32:32" x14ac:dyDescent="0.2">
      <c r="AF59149" s="12"/>
    </row>
    <row r="59150" spans="32:32" x14ac:dyDescent="0.2">
      <c r="AF59150" s="12"/>
    </row>
    <row r="59151" spans="32:32" x14ac:dyDescent="0.2">
      <c r="AF59151" s="12"/>
    </row>
    <row r="59152" spans="32:32" x14ac:dyDescent="0.2">
      <c r="AF59152" s="12"/>
    </row>
    <row r="59153" spans="32:32" x14ac:dyDescent="0.2">
      <c r="AF59153" s="12"/>
    </row>
    <row r="59154" spans="32:32" x14ac:dyDescent="0.2">
      <c r="AF59154" s="12"/>
    </row>
    <row r="59155" spans="32:32" x14ac:dyDescent="0.2">
      <c r="AF59155" s="12"/>
    </row>
    <row r="59156" spans="32:32" x14ac:dyDescent="0.2">
      <c r="AF59156" s="12"/>
    </row>
    <row r="59157" spans="32:32" x14ac:dyDescent="0.2">
      <c r="AF59157" s="12"/>
    </row>
    <row r="59158" spans="32:32" x14ac:dyDescent="0.2">
      <c r="AF59158" s="12"/>
    </row>
    <row r="59159" spans="32:32" x14ac:dyDescent="0.2">
      <c r="AF59159" s="12"/>
    </row>
    <row r="59160" spans="32:32" x14ac:dyDescent="0.2">
      <c r="AF59160" s="12"/>
    </row>
    <row r="59161" spans="32:32" x14ac:dyDescent="0.2">
      <c r="AF59161" s="12"/>
    </row>
    <row r="59162" spans="32:32" x14ac:dyDescent="0.2">
      <c r="AF59162" s="12"/>
    </row>
    <row r="59163" spans="32:32" x14ac:dyDescent="0.2">
      <c r="AF59163" s="12"/>
    </row>
    <row r="59164" spans="32:32" x14ac:dyDescent="0.2">
      <c r="AF59164" s="12"/>
    </row>
    <row r="59165" spans="32:32" x14ac:dyDescent="0.2">
      <c r="AF59165" s="12"/>
    </row>
    <row r="59166" spans="32:32" x14ac:dyDescent="0.2">
      <c r="AF59166" s="12"/>
    </row>
    <row r="59167" spans="32:32" x14ac:dyDescent="0.2">
      <c r="AF59167" s="12"/>
    </row>
    <row r="59168" spans="32:32" x14ac:dyDescent="0.2">
      <c r="AF59168" s="12"/>
    </row>
    <row r="59169" spans="32:32" x14ac:dyDescent="0.2">
      <c r="AF59169" s="12"/>
    </row>
    <row r="59170" spans="32:32" x14ac:dyDescent="0.2">
      <c r="AF59170" s="12"/>
    </row>
    <row r="59171" spans="32:32" x14ac:dyDescent="0.2">
      <c r="AF59171" s="12"/>
    </row>
    <row r="59172" spans="32:32" x14ac:dyDescent="0.2">
      <c r="AF59172" s="12"/>
    </row>
    <row r="59173" spans="32:32" x14ac:dyDescent="0.2">
      <c r="AF59173" s="12"/>
    </row>
    <row r="59174" spans="32:32" x14ac:dyDescent="0.2">
      <c r="AF59174" s="12"/>
    </row>
    <row r="59175" spans="32:32" x14ac:dyDescent="0.2">
      <c r="AF59175" s="12"/>
    </row>
    <row r="59176" spans="32:32" x14ac:dyDescent="0.2">
      <c r="AF59176" s="12"/>
    </row>
    <row r="59177" spans="32:32" x14ac:dyDescent="0.2">
      <c r="AF59177" s="12"/>
    </row>
    <row r="59178" spans="32:32" x14ac:dyDescent="0.2">
      <c r="AF59178" s="12"/>
    </row>
    <row r="59179" spans="32:32" x14ac:dyDescent="0.2">
      <c r="AF59179" s="12"/>
    </row>
    <row r="59180" spans="32:32" x14ac:dyDescent="0.2">
      <c r="AF59180" s="12"/>
    </row>
    <row r="59181" spans="32:32" x14ac:dyDescent="0.2">
      <c r="AF59181" s="12"/>
    </row>
    <row r="59182" spans="32:32" x14ac:dyDescent="0.2">
      <c r="AF59182" s="12"/>
    </row>
    <row r="59183" spans="32:32" x14ac:dyDescent="0.2">
      <c r="AF59183" s="12"/>
    </row>
    <row r="59184" spans="32:32" x14ac:dyDescent="0.2">
      <c r="AF59184" s="12"/>
    </row>
    <row r="59185" spans="32:32" x14ac:dyDescent="0.2">
      <c r="AF59185" s="12"/>
    </row>
    <row r="59186" spans="32:32" x14ac:dyDescent="0.2">
      <c r="AF59186" s="12"/>
    </row>
    <row r="59187" spans="32:32" x14ac:dyDescent="0.2">
      <c r="AF59187" s="12"/>
    </row>
    <row r="59188" spans="32:32" x14ac:dyDescent="0.2">
      <c r="AF59188" s="12"/>
    </row>
    <row r="59189" spans="32:32" x14ac:dyDescent="0.2">
      <c r="AF59189" s="12"/>
    </row>
    <row r="59190" spans="32:32" x14ac:dyDescent="0.2">
      <c r="AF59190" s="12"/>
    </row>
    <row r="59191" spans="32:32" x14ac:dyDescent="0.2">
      <c r="AF59191" s="12"/>
    </row>
    <row r="59192" spans="32:32" x14ac:dyDescent="0.2">
      <c r="AF59192" s="12"/>
    </row>
    <row r="59193" spans="32:32" x14ac:dyDescent="0.2">
      <c r="AF59193" s="12"/>
    </row>
    <row r="59194" spans="32:32" x14ac:dyDescent="0.2">
      <c r="AF59194" s="12"/>
    </row>
    <row r="59195" spans="32:32" x14ac:dyDescent="0.2">
      <c r="AF59195" s="12"/>
    </row>
    <row r="59196" spans="32:32" x14ac:dyDescent="0.2">
      <c r="AF59196" s="12"/>
    </row>
    <row r="59197" spans="32:32" x14ac:dyDescent="0.2">
      <c r="AF59197" s="12"/>
    </row>
    <row r="59198" spans="32:32" x14ac:dyDescent="0.2">
      <c r="AF59198" s="12"/>
    </row>
    <row r="59199" spans="32:32" x14ac:dyDescent="0.2">
      <c r="AF59199" s="12"/>
    </row>
    <row r="59200" spans="32:32" x14ac:dyDescent="0.2">
      <c r="AF59200" s="12"/>
    </row>
    <row r="59201" spans="32:32" x14ac:dyDescent="0.2">
      <c r="AF59201" s="12"/>
    </row>
    <row r="59202" spans="32:32" x14ac:dyDescent="0.2">
      <c r="AF59202" s="12"/>
    </row>
    <row r="59203" spans="32:32" x14ac:dyDescent="0.2">
      <c r="AF59203" s="12"/>
    </row>
    <row r="59204" spans="32:32" x14ac:dyDescent="0.2">
      <c r="AF59204" s="12"/>
    </row>
    <row r="59205" spans="32:32" x14ac:dyDescent="0.2">
      <c r="AF59205" s="12"/>
    </row>
    <row r="59206" spans="32:32" x14ac:dyDescent="0.2">
      <c r="AF59206" s="12"/>
    </row>
    <row r="59207" spans="32:32" x14ac:dyDescent="0.2">
      <c r="AF59207" s="12"/>
    </row>
    <row r="59208" spans="32:32" x14ac:dyDescent="0.2">
      <c r="AF59208" s="12"/>
    </row>
    <row r="59209" spans="32:32" x14ac:dyDescent="0.2">
      <c r="AF59209" s="12"/>
    </row>
    <row r="59210" spans="32:32" x14ac:dyDescent="0.2">
      <c r="AF59210" s="12"/>
    </row>
    <row r="59211" spans="32:32" x14ac:dyDescent="0.2">
      <c r="AF59211" s="12"/>
    </row>
    <row r="59212" spans="32:32" x14ac:dyDescent="0.2">
      <c r="AF59212" s="12"/>
    </row>
    <row r="59213" spans="32:32" x14ac:dyDescent="0.2">
      <c r="AF59213" s="12"/>
    </row>
    <row r="59214" spans="32:32" x14ac:dyDescent="0.2">
      <c r="AF59214" s="12"/>
    </row>
    <row r="59215" spans="32:32" x14ac:dyDescent="0.2">
      <c r="AF59215" s="12"/>
    </row>
    <row r="59216" spans="32:32" x14ac:dyDescent="0.2">
      <c r="AF59216" s="12"/>
    </row>
    <row r="59217" spans="32:32" x14ac:dyDescent="0.2">
      <c r="AF59217" s="12"/>
    </row>
    <row r="59218" spans="32:32" x14ac:dyDescent="0.2">
      <c r="AF59218" s="12"/>
    </row>
    <row r="59219" spans="32:32" x14ac:dyDescent="0.2">
      <c r="AF59219" s="12"/>
    </row>
    <row r="59220" spans="32:32" x14ac:dyDescent="0.2">
      <c r="AF59220" s="12"/>
    </row>
    <row r="59221" spans="32:32" x14ac:dyDescent="0.2">
      <c r="AF59221" s="12"/>
    </row>
    <row r="59222" spans="32:32" x14ac:dyDescent="0.2">
      <c r="AF59222" s="12"/>
    </row>
    <row r="59223" spans="32:32" x14ac:dyDescent="0.2">
      <c r="AF59223" s="12"/>
    </row>
    <row r="59224" spans="32:32" x14ac:dyDescent="0.2">
      <c r="AF59224" s="12"/>
    </row>
    <row r="59225" spans="32:32" x14ac:dyDescent="0.2">
      <c r="AF59225" s="12"/>
    </row>
    <row r="59226" spans="32:32" x14ac:dyDescent="0.2">
      <c r="AF59226" s="12"/>
    </row>
    <row r="59227" spans="32:32" x14ac:dyDescent="0.2">
      <c r="AF59227" s="12"/>
    </row>
    <row r="59228" spans="32:32" x14ac:dyDescent="0.2">
      <c r="AF59228" s="12"/>
    </row>
    <row r="59229" spans="32:32" x14ac:dyDescent="0.2">
      <c r="AF59229" s="12"/>
    </row>
    <row r="59230" spans="32:32" x14ac:dyDescent="0.2">
      <c r="AF59230" s="12"/>
    </row>
    <row r="59231" spans="32:32" x14ac:dyDescent="0.2">
      <c r="AF59231" s="12"/>
    </row>
    <row r="59232" spans="32:32" x14ac:dyDescent="0.2">
      <c r="AF59232" s="12"/>
    </row>
    <row r="59233" spans="32:32" x14ac:dyDescent="0.2">
      <c r="AF59233" s="12"/>
    </row>
    <row r="59234" spans="32:32" x14ac:dyDescent="0.2">
      <c r="AF59234" s="12"/>
    </row>
    <row r="59235" spans="32:32" x14ac:dyDescent="0.2">
      <c r="AF59235" s="12"/>
    </row>
    <row r="59236" spans="32:32" x14ac:dyDescent="0.2">
      <c r="AF59236" s="12"/>
    </row>
    <row r="59237" spans="32:32" x14ac:dyDescent="0.2">
      <c r="AF59237" s="12"/>
    </row>
    <row r="59238" spans="32:32" x14ac:dyDescent="0.2">
      <c r="AF59238" s="12"/>
    </row>
    <row r="59239" spans="32:32" x14ac:dyDescent="0.2">
      <c r="AF59239" s="12"/>
    </row>
    <row r="59240" spans="32:32" x14ac:dyDescent="0.2">
      <c r="AF59240" s="12"/>
    </row>
    <row r="59241" spans="32:32" x14ac:dyDescent="0.2">
      <c r="AF59241" s="12"/>
    </row>
    <row r="59242" spans="32:32" x14ac:dyDescent="0.2">
      <c r="AF59242" s="12"/>
    </row>
    <row r="59243" spans="32:32" x14ac:dyDescent="0.2">
      <c r="AF59243" s="12"/>
    </row>
    <row r="59244" spans="32:32" x14ac:dyDescent="0.2">
      <c r="AF59244" s="12"/>
    </row>
    <row r="59245" spans="32:32" x14ac:dyDescent="0.2">
      <c r="AF59245" s="12"/>
    </row>
    <row r="59246" spans="32:32" x14ac:dyDescent="0.2">
      <c r="AF59246" s="12"/>
    </row>
    <row r="59247" spans="32:32" x14ac:dyDescent="0.2">
      <c r="AF59247" s="12"/>
    </row>
    <row r="59248" spans="32:32" x14ac:dyDescent="0.2">
      <c r="AF59248" s="12"/>
    </row>
    <row r="59249" spans="32:32" x14ac:dyDescent="0.2">
      <c r="AF59249" s="12"/>
    </row>
    <row r="59250" spans="32:32" x14ac:dyDescent="0.2">
      <c r="AF59250" s="12"/>
    </row>
    <row r="59251" spans="32:32" x14ac:dyDescent="0.2">
      <c r="AF59251" s="12"/>
    </row>
    <row r="59252" spans="32:32" x14ac:dyDescent="0.2">
      <c r="AF59252" s="12"/>
    </row>
    <row r="59253" spans="32:32" x14ac:dyDescent="0.2">
      <c r="AF59253" s="12"/>
    </row>
    <row r="59254" spans="32:32" x14ac:dyDescent="0.2">
      <c r="AF59254" s="12"/>
    </row>
    <row r="59255" spans="32:32" x14ac:dyDescent="0.2">
      <c r="AF59255" s="12"/>
    </row>
    <row r="59256" spans="32:32" x14ac:dyDescent="0.2">
      <c r="AF59256" s="12"/>
    </row>
    <row r="59257" spans="32:32" x14ac:dyDescent="0.2">
      <c r="AF59257" s="12"/>
    </row>
    <row r="59258" spans="32:32" x14ac:dyDescent="0.2">
      <c r="AF59258" s="12"/>
    </row>
    <row r="59259" spans="32:32" x14ac:dyDescent="0.2">
      <c r="AF59259" s="12"/>
    </row>
    <row r="59260" spans="32:32" x14ac:dyDescent="0.2">
      <c r="AF59260" s="12"/>
    </row>
    <row r="59261" spans="32:32" x14ac:dyDescent="0.2">
      <c r="AF59261" s="12"/>
    </row>
    <row r="59262" spans="32:32" x14ac:dyDescent="0.2">
      <c r="AF59262" s="12"/>
    </row>
    <row r="59263" spans="32:32" x14ac:dyDescent="0.2">
      <c r="AF59263" s="12"/>
    </row>
    <row r="59264" spans="32:32" x14ac:dyDescent="0.2">
      <c r="AF59264" s="12"/>
    </row>
    <row r="59265" spans="32:32" x14ac:dyDescent="0.2">
      <c r="AF59265" s="12"/>
    </row>
    <row r="59266" spans="32:32" x14ac:dyDescent="0.2">
      <c r="AF59266" s="12"/>
    </row>
    <row r="59267" spans="32:32" x14ac:dyDescent="0.2">
      <c r="AF59267" s="12"/>
    </row>
    <row r="59268" spans="32:32" x14ac:dyDescent="0.2">
      <c r="AF59268" s="12"/>
    </row>
    <row r="59269" spans="32:32" x14ac:dyDescent="0.2">
      <c r="AF59269" s="12"/>
    </row>
    <row r="59270" spans="32:32" x14ac:dyDescent="0.2">
      <c r="AF59270" s="12"/>
    </row>
    <row r="59271" spans="32:32" x14ac:dyDescent="0.2">
      <c r="AF59271" s="12"/>
    </row>
    <row r="59272" spans="32:32" x14ac:dyDescent="0.2">
      <c r="AF59272" s="12"/>
    </row>
    <row r="59273" spans="32:32" x14ac:dyDescent="0.2">
      <c r="AF59273" s="12"/>
    </row>
    <row r="59274" spans="32:32" x14ac:dyDescent="0.2">
      <c r="AF59274" s="12"/>
    </row>
    <row r="59275" spans="32:32" x14ac:dyDescent="0.2">
      <c r="AF59275" s="12"/>
    </row>
    <row r="59276" spans="32:32" x14ac:dyDescent="0.2">
      <c r="AF59276" s="12"/>
    </row>
    <row r="59277" spans="32:32" x14ac:dyDescent="0.2">
      <c r="AF59277" s="12"/>
    </row>
    <row r="59278" spans="32:32" x14ac:dyDescent="0.2">
      <c r="AF59278" s="12"/>
    </row>
    <row r="59279" spans="32:32" x14ac:dyDescent="0.2">
      <c r="AF59279" s="12"/>
    </row>
    <row r="59280" spans="32:32" x14ac:dyDescent="0.2">
      <c r="AF59280" s="12"/>
    </row>
    <row r="59281" spans="32:32" x14ac:dyDescent="0.2">
      <c r="AF59281" s="12"/>
    </row>
    <row r="59282" spans="32:32" x14ac:dyDescent="0.2">
      <c r="AF59282" s="12"/>
    </row>
    <row r="59283" spans="32:32" x14ac:dyDescent="0.2">
      <c r="AF59283" s="12"/>
    </row>
    <row r="59284" spans="32:32" x14ac:dyDescent="0.2">
      <c r="AF59284" s="12"/>
    </row>
    <row r="59285" spans="32:32" x14ac:dyDescent="0.2">
      <c r="AF59285" s="12"/>
    </row>
    <row r="59286" spans="32:32" x14ac:dyDescent="0.2">
      <c r="AF59286" s="12"/>
    </row>
    <row r="59287" spans="32:32" x14ac:dyDescent="0.2">
      <c r="AF59287" s="12"/>
    </row>
    <row r="59288" spans="32:32" x14ac:dyDescent="0.2">
      <c r="AF59288" s="12"/>
    </row>
    <row r="59289" spans="32:32" x14ac:dyDescent="0.2">
      <c r="AF59289" s="12"/>
    </row>
    <row r="59290" spans="32:32" x14ac:dyDescent="0.2">
      <c r="AF59290" s="12"/>
    </row>
    <row r="59291" spans="32:32" x14ac:dyDescent="0.2">
      <c r="AF59291" s="12"/>
    </row>
    <row r="59292" spans="32:32" x14ac:dyDescent="0.2">
      <c r="AF59292" s="12"/>
    </row>
    <row r="59293" spans="32:32" x14ac:dyDescent="0.2">
      <c r="AF59293" s="12"/>
    </row>
    <row r="59294" spans="32:32" x14ac:dyDescent="0.2">
      <c r="AF59294" s="12"/>
    </row>
    <row r="59295" spans="32:32" x14ac:dyDescent="0.2">
      <c r="AF59295" s="12"/>
    </row>
    <row r="59296" spans="32:32" x14ac:dyDescent="0.2">
      <c r="AF59296" s="12"/>
    </row>
    <row r="59297" spans="32:32" x14ac:dyDescent="0.2">
      <c r="AF59297" s="12"/>
    </row>
    <row r="59298" spans="32:32" x14ac:dyDescent="0.2">
      <c r="AF59298" s="12"/>
    </row>
    <row r="59299" spans="32:32" x14ac:dyDescent="0.2">
      <c r="AF59299" s="12"/>
    </row>
    <row r="59300" spans="32:32" x14ac:dyDescent="0.2">
      <c r="AF59300" s="12"/>
    </row>
    <row r="59301" spans="32:32" x14ac:dyDescent="0.2">
      <c r="AF59301" s="12"/>
    </row>
    <row r="59302" spans="32:32" x14ac:dyDescent="0.2">
      <c r="AF59302" s="12"/>
    </row>
    <row r="59303" spans="32:32" x14ac:dyDescent="0.2">
      <c r="AF59303" s="12"/>
    </row>
    <row r="59304" spans="32:32" x14ac:dyDescent="0.2">
      <c r="AF59304" s="12"/>
    </row>
    <row r="59305" spans="32:32" x14ac:dyDescent="0.2">
      <c r="AF59305" s="12"/>
    </row>
    <row r="59306" spans="32:32" x14ac:dyDescent="0.2">
      <c r="AF59306" s="12"/>
    </row>
    <row r="59307" spans="32:32" x14ac:dyDescent="0.2">
      <c r="AF59307" s="12"/>
    </row>
    <row r="59308" spans="32:32" x14ac:dyDescent="0.2">
      <c r="AF59308" s="12"/>
    </row>
    <row r="59309" spans="32:32" x14ac:dyDescent="0.2">
      <c r="AF59309" s="12"/>
    </row>
    <row r="59310" spans="32:32" x14ac:dyDescent="0.2">
      <c r="AF59310" s="12"/>
    </row>
    <row r="59311" spans="32:32" x14ac:dyDescent="0.2">
      <c r="AF59311" s="12"/>
    </row>
    <row r="59312" spans="32:32" x14ac:dyDescent="0.2">
      <c r="AF59312" s="12"/>
    </row>
    <row r="59313" spans="32:32" x14ac:dyDescent="0.2">
      <c r="AF59313" s="12"/>
    </row>
    <row r="59314" spans="32:32" x14ac:dyDescent="0.2">
      <c r="AF59314" s="12"/>
    </row>
    <row r="59315" spans="32:32" x14ac:dyDescent="0.2">
      <c r="AF59315" s="12"/>
    </row>
    <row r="59316" spans="32:32" x14ac:dyDescent="0.2">
      <c r="AF59316" s="12"/>
    </row>
    <row r="59317" spans="32:32" x14ac:dyDescent="0.2">
      <c r="AF59317" s="12"/>
    </row>
    <row r="59318" spans="32:32" x14ac:dyDescent="0.2">
      <c r="AF59318" s="12"/>
    </row>
    <row r="59319" spans="32:32" x14ac:dyDescent="0.2">
      <c r="AF59319" s="12"/>
    </row>
    <row r="59320" spans="32:32" x14ac:dyDescent="0.2">
      <c r="AF59320" s="12"/>
    </row>
    <row r="59321" spans="32:32" x14ac:dyDescent="0.2">
      <c r="AF59321" s="12"/>
    </row>
    <row r="59322" spans="32:32" x14ac:dyDescent="0.2">
      <c r="AF59322" s="12"/>
    </row>
    <row r="59323" spans="32:32" x14ac:dyDescent="0.2">
      <c r="AF59323" s="12"/>
    </row>
    <row r="59324" spans="32:32" x14ac:dyDescent="0.2">
      <c r="AF59324" s="12"/>
    </row>
    <row r="59325" spans="32:32" x14ac:dyDescent="0.2">
      <c r="AF59325" s="12"/>
    </row>
    <row r="59326" spans="32:32" x14ac:dyDescent="0.2">
      <c r="AF59326" s="12"/>
    </row>
    <row r="59327" spans="32:32" x14ac:dyDescent="0.2">
      <c r="AF59327" s="12"/>
    </row>
    <row r="59328" spans="32:32" x14ac:dyDescent="0.2">
      <c r="AF59328" s="12"/>
    </row>
    <row r="59329" spans="32:32" x14ac:dyDescent="0.2">
      <c r="AF59329" s="12"/>
    </row>
    <row r="59330" spans="32:32" x14ac:dyDescent="0.2">
      <c r="AF59330" s="12"/>
    </row>
    <row r="59331" spans="32:32" x14ac:dyDescent="0.2">
      <c r="AF59331" s="12"/>
    </row>
    <row r="59332" spans="32:32" x14ac:dyDescent="0.2">
      <c r="AF59332" s="12"/>
    </row>
    <row r="59333" spans="32:32" x14ac:dyDescent="0.2">
      <c r="AF59333" s="12"/>
    </row>
    <row r="59334" spans="32:32" x14ac:dyDescent="0.2">
      <c r="AF59334" s="12"/>
    </row>
    <row r="59335" spans="32:32" x14ac:dyDescent="0.2">
      <c r="AF59335" s="12"/>
    </row>
    <row r="59336" spans="32:32" x14ac:dyDescent="0.2">
      <c r="AF59336" s="12"/>
    </row>
    <row r="59337" spans="32:32" x14ac:dyDescent="0.2">
      <c r="AF59337" s="12"/>
    </row>
    <row r="59338" spans="32:32" x14ac:dyDescent="0.2">
      <c r="AF59338" s="12"/>
    </row>
    <row r="59339" spans="32:32" x14ac:dyDescent="0.2">
      <c r="AF59339" s="12"/>
    </row>
    <row r="59340" spans="32:32" x14ac:dyDescent="0.2">
      <c r="AF59340" s="12"/>
    </row>
    <row r="59341" spans="32:32" x14ac:dyDescent="0.2">
      <c r="AF59341" s="12"/>
    </row>
    <row r="59342" spans="32:32" x14ac:dyDescent="0.2">
      <c r="AF59342" s="12"/>
    </row>
    <row r="59343" spans="32:32" x14ac:dyDescent="0.2">
      <c r="AF59343" s="12"/>
    </row>
    <row r="59344" spans="32:32" x14ac:dyDescent="0.2">
      <c r="AF59344" s="12"/>
    </row>
    <row r="59345" spans="32:32" x14ac:dyDescent="0.2">
      <c r="AF59345" s="12"/>
    </row>
    <row r="59346" spans="32:32" x14ac:dyDescent="0.2">
      <c r="AF59346" s="12"/>
    </row>
    <row r="59347" spans="32:32" x14ac:dyDescent="0.2">
      <c r="AF59347" s="12"/>
    </row>
    <row r="59348" spans="32:32" x14ac:dyDescent="0.2">
      <c r="AF59348" s="12"/>
    </row>
    <row r="59349" spans="32:32" x14ac:dyDescent="0.2">
      <c r="AF59349" s="12"/>
    </row>
    <row r="59350" spans="32:32" x14ac:dyDescent="0.2">
      <c r="AF59350" s="12"/>
    </row>
    <row r="59351" spans="32:32" x14ac:dyDescent="0.2">
      <c r="AF59351" s="12"/>
    </row>
    <row r="59352" spans="32:32" x14ac:dyDescent="0.2">
      <c r="AF59352" s="12"/>
    </row>
    <row r="59353" spans="32:32" x14ac:dyDescent="0.2">
      <c r="AF59353" s="12"/>
    </row>
    <row r="59354" spans="32:32" x14ac:dyDescent="0.2">
      <c r="AF59354" s="12"/>
    </row>
    <row r="59355" spans="32:32" x14ac:dyDescent="0.2">
      <c r="AF59355" s="12"/>
    </row>
    <row r="59356" spans="32:32" x14ac:dyDescent="0.2">
      <c r="AF59356" s="12"/>
    </row>
    <row r="59357" spans="32:32" x14ac:dyDescent="0.2">
      <c r="AF59357" s="12"/>
    </row>
    <row r="59358" spans="32:32" x14ac:dyDescent="0.2">
      <c r="AF59358" s="12"/>
    </row>
    <row r="59359" spans="32:32" x14ac:dyDescent="0.2">
      <c r="AF59359" s="12"/>
    </row>
    <row r="59360" spans="32:32" x14ac:dyDescent="0.2">
      <c r="AF59360" s="12"/>
    </row>
    <row r="59361" spans="32:32" x14ac:dyDescent="0.2">
      <c r="AF59361" s="12"/>
    </row>
    <row r="59362" spans="32:32" x14ac:dyDescent="0.2">
      <c r="AF59362" s="12"/>
    </row>
    <row r="59363" spans="32:32" x14ac:dyDescent="0.2">
      <c r="AF59363" s="12"/>
    </row>
    <row r="59364" spans="32:32" x14ac:dyDescent="0.2">
      <c r="AF59364" s="12"/>
    </row>
    <row r="59365" spans="32:32" x14ac:dyDescent="0.2">
      <c r="AF59365" s="12"/>
    </row>
    <row r="59366" spans="32:32" x14ac:dyDescent="0.2">
      <c r="AF59366" s="12"/>
    </row>
    <row r="59367" spans="32:32" x14ac:dyDescent="0.2">
      <c r="AF59367" s="12"/>
    </row>
    <row r="59368" spans="32:32" x14ac:dyDescent="0.2">
      <c r="AF59368" s="12"/>
    </row>
    <row r="59369" spans="32:32" x14ac:dyDescent="0.2">
      <c r="AF59369" s="12"/>
    </row>
    <row r="59370" spans="32:32" x14ac:dyDescent="0.2">
      <c r="AF59370" s="12"/>
    </row>
    <row r="59371" spans="32:32" x14ac:dyDescent="0.2">
      <c r="AF59371" s="12"/>
    </row>
    <row r="59372" spans="32:32" x14ac:dyDescent="0.2">
      <c r="AF59372" s="12"/>
    </row>
    <row r="59373" spans="32:32" x14ac:dyDescent="0.2">
      <c r="AF59373" s="12"/>
    </row>
    <row r="59374" spans="32:32" x14ac:dyDescent="0.2">
      <c r="AF59374" s="12"/>
    </row>
    <row r="59375" spans="32:32" x14ac:dyDescent="0.2">
      <c r="AF59375" s="12"/>
    </row>
    <row r="59376" spans="32:32" x14ac:dyDescent="0.2">
      <c r="AF59376" s="12"/>
    </row>
    <row r="59377" spans="32:32" x14ac:dyDescent="0.2">
      <c r="AF59377" s="12"/>
    </row>
    <row r="59378" spans="32:32" x14ac:dyDescent="0.2">
      <c r="AF59378" s="12"/>
    </row>
    <row r="59379" spans="32:32" x14ac:dyDescent="0.2">
      <c r="AF59379" s="12"/>
    </row>
    <row r="59380" spans="32:32" x14ac:dyDescent="0.2">
      <c r="AF59380" s="12"/>
    </row>
    <row r="59381" spans="32:32" x14ac:dyDescent="0.2">
      <c r="AF59381" s="12"/>
    </row>
    <row r="59382" spans="32:32" x14ac:dyDescent="0.2">
      <c r="AF59382" s="12"/>
    </row>
    <row r="59383" spans="32:32" x14ac:dyDescent="0.2">
      <c r="AF59383" s="12"/>
    </row>
    <row r="59384" spans="32:32" x14ac:dyDescent="0.2">
      <c r="AF59384" s="12"/>
    </row>
    <row r="59385" spans="32:32" x14ac:dyDescent="0.2">
      <c r="AF59385" s="12"/>
    </row>
    <row r="59386" spans="32:32" x14ac:dyDescent="0.2">
      <c r="AF59386" s="12"/>
    </row>
    <row r="59387" spans="32:32" x14ac:dyDescent="0.2">
      <c r="AF59387" s="12"/>
    </row>
    <row r="59388" spans="32:32" x14ac:dyDescent="0.2">
      <c r="AF59388" s="12"/>
    </row>
    <row r="59389" spans="32:32" x14ac:dyDescent="0.2">
      <c r="AF59389" s="12"/>
    </row>
    <row r="59390" spans="32:32" x14ac:dyDescent="0.2">
      <c r="AF59390" s="12"/>
    </row>
    <row r="59391" spans="32:32" x14ac:dyDescent="0.2">
      <c r="AF59391" s="12"/>
    </row>
    <row r="59392" spans="32:32" x14ac:dyDescent="0.2">
      <c r="AF59392" s="12"/>
    </row>
    <row r="59393" spans="32:32" x14ac:dyDescent="0.2">
      <c r="AF59393" s="12"/>
    </row>
    <row r="59394" spans="32:32" x14ac:dyDescent="0.2">
      <c r="AF59394" s="12"/>
    </row>
    <row r="59395" spans="32:32" x14ac:dyDescent="0.2">
      <c r="AF59395" s="12"/>
    </row>
    <row r="59396" spans="32:32" x14ac:dyDescent="0.2">
      <c r="AF59396" s="12"/>
    </row>
    <row r="59397" spans="32:32" x14ac:dyDescent="0.2">
      <c r="AF59397" s="12"/>
    </row>
    <row r="59398" spans="32:32" x14ac:dyDescent="0.2">
      <c r="AF59398" s="12"/>
    </row>
    <row r="59399" spans="32:32" x14ac:dyDescent="0.2">
      <c r="AF59399" s="12"/>
    </row>
    <row r="59400" spans="32:32" x14ac:dyDescent="0.2">
      <c r="AF59400" s="12"/>
    </row>
    <row r="59401" spans="32:32" x14ac:dyDescent="0.2">
      <c r="AF59401" s="12"/>
    </row>
    <row r="59402" spans="32:32" x14ac:dyDescent="0.2">
      <c r="AF59402" s="12"/>
    </row>
    <row r="59403" spans="32:32" x14ac:dyDescent="0.2">
      <c r="AF59403" s="12"/>
    </row>
    <row r="59404" spans="32:32" x14ac:dyDescent="0.2">
      <c r="AF59404" s="12"/>
    </row>
    <row r="59405" spans="32:32" x14ac:dyDescent="0.2">
      <c r="AF59405" s="12"/>
    </row>
    <row r="59406" spans="32:32" x14ac:dyDescent="0.2">
      <c r="AF59406" s="12"/>
    </row>
    <row r="59407" spans="32:32" x14ac:dyDescent="0.2">
      <c r="AF59407" s="12"/>
    </row>
    <row r="59408" spans="32:32" x14ac:dyDescent="0.2">
      <c r="AF59408" s="12"/>
    </row>
    <row r="59409" spans="32:32" x14ac:dyDescent="0.2">
      <c r="AF59409" s="12"/>
    </row>
    <row r="59410" spans="32:32" x14ac:dyDescent="0.2">
      <c r="AF59410" s="12"/>
    </row>
    <row r="59411" spans="32:32" x14ac:dyDescent="0.2">
      <c r="AF59411" s="12"/>
    </row>
    <row r="59412" spans="32:32" x14ac:dyDescent="0.2">
      <c r="AF59412" s="12"/>
    </row>
    <row r="59413" spans="32:32" x14ac:dyDescent="0.2">
      <c r="AF59413" s="12"/>
    </row>
    <row r="59414" spans="32:32" x14ac:dyDescent="0.2">
      <c r="AF59414" s="12"/>
    </row>
    <row r="59415" spans="32:32" x14ac:dyDescent="0.2">
      <c r="AF59415" s="12"/>
    </row>
    <row r="59416" spans="32:32" x14ac:dyDescent="0.2">
      <c r="AF59416" s="12"/>
    </row>
    <row r="59417" spans="32:32" x14ac:dyDescent="0.2">
      <c r="AF59417" s="12"/>
    </row>
    <row r="59418" spans="32:32" x14ac:dyDescent="0.2">
      <c r="AF59418" s="12"/>
    </row>
    <row r="59419" spans="32:32" x14ac:dyDescent="0.2">
      <c r="AF59419" s="12"/>
    </row>
    <row r="59420" spans="32:32" x14ac:dyDescent="0.2">
      <c r="AF59420" s="12"/>
    </row>
    <row r="59421" spans="32:32" x14ac:dyDescent="0.2">
      <c r="AF59421" s="12"/>
    </row>
    <row r="59422" spans="32:32" x14ac:dyDescent="0.2">
      <c r="AF59422" s="12"/>
    </row>
    <row r="59423" spans="32:32" x14ac:dyDescent="0.2">
      <c r="AF59423" s="12"/>
    </row>
    <row r="59424" spans="32:32" x14ac:dyDescent="0.2">
      <c r="AF59424" s="12"/>
    </row>
    <row r="59425" spans="32:32" x14ac:dyDescent="0.2">
      <c r="AF59425" s="12"/>
    </row>
    <row r="59426" spans="32:32" x14ac:dyDescent="0.2">
      <c r="AF59426" s="12"/>
    </row>
    <row r="59427" spans="32:32" x14ac:dyDescent="0.2">
      <c r="AF59427" s="12"/>
    </row>
    <row r="59428" spans="32:32" x14ac:dyDescent="0.2">
      <c r="AF59428" s="12"/>
    </row>
    <row r="59429" spans="32:32" x14ac:dyDescent="0.2">
      <c r="AF59429" s="12"/>
    </row>
    <row r="59430" spans="32:32" x14ac:dyDescent="0.2">
      <c r="AF59430" s="12"/>
    </row>
    <row r="59431" spans="32:32" x14ac:dyDescent="0.2">
      <c r="AF59431" s="12"/>
    </row>
    <row r="59432" spans="32:32" x14ac:dyDescent="0.2">
      <c r="AF59432" s="12"/>
    </row>
    <row r="59433" spans="32:32" x14ac:dyDescent="0.2">
      <c r="AF59433" s="12"/>
    </row>
    <row r="59434" spans="32:32" x14ac:dyDescent="0.2">
      <c r="AF59434" s="12"/>
    </row>
    <row r="59435" spans="32:32" x14ac:dyDescent="0.2">
      <c r="AF59435" s="12"/>
    </row>
    <row r="59436" spans="32:32" x14ac:dyDescent="0.2">
      <c r="AF59436" s="12"/>
    </row>
    <row r="59437" spans="32:32" x14ac:dyDescent="0.2">
      <c r="AF59437" s="12"/>
    </row>
    <row r="59438" spans="32:32" x14ac:dyDescent="0.2">
      <c r="AF59438" s="12"/>
    </row>
    <row r="59439" spans="32:32" x14ac:dyDescent="0.2">
      <c r="AF59439" s="12"/>
    </row>
    <row r="59440" spans="32:32" x14ac:dyDescent="0.2">
      <c r="AF59440" s="12"/>
    </row>
    <row r="59441" spans="32:32" x14ac:dyDescent="0.2">
      <c r="AF59441" s="12"/>
    </row>
    <row r="59442" spans="32:32" x14ac:dyDescent="0.2">
      <c r="AF59442" s="12"/>
    </row>
    <row r="59443" spans="32:32" x14ac:dyDescent="0.2">
      <c r="AF59443" s="12"/>
    </row>
    <row r="59444" spans="32:32" x14ac:dyDescent="0.2">
      <c r="AF59444" s="12"/>
    </row>
    <row r="59445" spans="32:32" x14ac:dyDescent="0.2">
      <c r="AF59445" s="12"/>
    </row>
    <row r="59446" spans="32:32" x14ac:dyDescent="0.2">
      <c r="AF59446" s="12"/>
    </row>
    <row r="59447" spans="32:32" x14ac:dyDescent="0.2">
      <c r="AF59447" s="12"/>
    </row>
    <row r="59448" spans="32:32" x14ac:dyDescent="0.2">
      <c r="AF59448" s="12"/>
    </row>
    <row r="59449" spans="32:32" x14ac:dyDescent="0.2">
      <c r="AF59449" s="12"/>
    </row>
    <row r="59450" spans="32:32" x14ac:dyDescent="0.2">
      <c r="AF59450" s="12"/>
    </row>
    <row r="59451" spans="32:32" x14ac:dyDescent="0.2">
      <c r="AF59451" s="12"/>
    </row>
    <row r="59452" spans="32:32" x14ac:dyDescent="0.2">
      <c r="AF59452" s="12"/>
    </row>
    <row r="59453" spans="32:32" x14ac:dyDescent="0.2">
      <c r="AF59453" s="12"/>
    </row>
    <row r="59454" spans="32:32" x14ac:dyDescent="0.2">
      <c r="AF59454" s="12"/>
    </row>
    <row r="59455" spans="32:32" x14ac:dyDescent="0.2">
      <c r="AF59455" s="12"/>
    </row>
    <row r="59456" spans="32:32" x14ac:dyDescent="0.2">
      <c r="AF59456" s="12"/>
    </row>
    <row r="59457" spans="32:32" x14ac:dyDescent="0.2">
      <c r="AF59457" s="12"/>
    </row>
    <row r="59458" spans="32:32" x14ac:dyDescent="0.2">
      <c r="AF59458" s="12"/>
    </row>
    <row r="59459" spans="32:32" x14ac:dyDescent="0.2">
      <c r="AF59459" s="12"/>
    </row>
    <row r="59460" spans="32:32" x14ac:dyDescent="0.2">
      <c r="AF59460" s="12"/>
    </row>
    <row r="59461" spans="32:32" x14ac:dyDescent="0.2">
      <c r="AF59461" s="12"/>
    </row>
    <row r="59462" spans="32:32" x14ac:dyDescent="0.2">
      <c r="AF59462" s="12"/>
    </row>
    <row r="59463" spans="32:32" x14ac:dyDescent="0.2">
      <c r="AF59463" s="12"/>
    </row>
    <row r="59464" spans="32:32" x14ac:dyDescent="0.2">
      <c r="AF59464" s="12"/>
    </row>
    <row r="59465" spans="32:32" x14ac:dyDescent="0.2">
      <c r="AF59465" s="12"/>
    </row>
    <row r="59466" spans="32:32" x14ac:dyDescent="0.2">
      <c r="AF59466" s="12"/>
    </row>
    <row r="59467" spans="32:32" x14ac:dyDescent="0.2">
      <c r="AF59467" s="12"/>
    </row>
    <row r="59468" spans="32:32" x14ac:dyDescent="0.2">
      <c r="AF59468" s="12"/>
    </row>
    <row r="59469" spans="32:32" x14ac:dyDescent="0.2">
      <c r="AF59469" s="12"/>
    </row>
    <row r="59470" spans="32:32" x14ac:dyDescent="0.2">
      <c r="AF59470" s="12"/>
    </row>
    <row r="59471" spans="32:32" x14ac:dyDescent="0.2">
      <c r="AF59471" s="12"/>
    </row>
    <row r="59472" spans="32:32" x14ac:dyDescent="0.2">
      <c r="AF59472" s="12"/>
    </row>
    <row r="59473" spans="32:32" x14ac:dyDescent="0.2">
      <c r="AF59473" s="12"/>
    </row>
    <row r="59474" spans="32:32" x14ac:dyDescent="0.2">
      <c r="AF59474" s="12"/>
    </row>
    <row r="59475" spans="32:32" x14ac:dyDescent="0.2">
      <c r="AF59475" s="12"/>
    </row>
    <row r="59476" spans="32:32" x14ac:dyDescent="0.2">
      <c r="AF59476" s="12"/>
    </row>
    <row r="59477" spans="32:32" x14ac:dyDescent="0.2">
      <c r="AF59477" s="12"/>
    </row>
    <row r="59478" spans="32:32" x14ac:dyDescent="0.2">
      <c r="AF59478" s="12"/>
    </row>
    <row r="59479" spans="32:32" x14ac:dyDescent="0.2">
      <c r="AF59479" s="12"/>
    </row>
    <row r="59480" spans="32:32" x14ac:dyDescent="0.2">
      <c r="AF59480" s="12"/>
    </row>
    <row r="59481" spans="32:32" x14ac:dyDescent="0.2">
      <c r="AF59481" s="12"/>
    </row>
    <row r="59482" spans="32:32" x14ac:dyDescent="0.2">
      <c r="AF59482" s="12"/>
    </row>
    <row r="59483" spans="32:32" x14ac:dyDescent="0.2">
      <c r="AF59483" s="12"/>
    </row>
    <row r="59484" spans="32:32" x14ac:dyDescent="0.2">
      <c r="AF59484" s="12"/>
    </row>
    <row r="59485" spans="32:32" x14ac:dyDescent="0.2">
      <c r="AF59485" s="12"/>
    </row>
    <row r="59486" spans="32:32" x14ac:dyDescent="0.2">
      <c r="AF59486" s="12"/>
    </row>
    <row r="59487" spans="32:32" x14ac:dyDescent="0.2">
      <c r="AF59487" s="12"/>
    </row>
    <row r="59488" spans="32:32" x14ac:dyDescent="0.2">
      <c r="AF59488" s="12"/>
    </row>
    <row r="59489" spans="32:32" x14ac:dyDescent="0.2">
      <c r="AF59489" s="12"/>
    </row>
    <row r="59490" spans="32:32" x14ac:dyDescent="0.2">
      <c r="AF59490" s="12"/>
    </row>
    <row r="59491" spans="32:32" x14ac:dyDescent="0.2">
      <c r="AF59491" s="12"/>
    </row>
    <row r="59492" spans="32:32" x14ac:dyDescent="0.2">
      <c r="AF59492" s="12"/>
    </row>
    <row r="59493" spans="32:32" x14ac:dyDescent="0.2">
      <c r="AF59493" s="12"/>
    </row>
    <row r="59494" spans="32:32" x14ac:dyDescent="0.2">
      <c r="AF59494" s="12"/>
    </row>
    <row r="59495" spans="32:32" x14ac:dyDescent="0.2">
      <c r="AF59495" s="12"/>
    </row>
    <row r="59496" spans="32:32" x14ac:dyDescent="0.2">
      <c r="AF59496" s="12"/>
    </row>
    <row r="59497" spans="32:32" x14ac:dyDescent="0.2">
      <c r="AF59497" s="12"/>
    </row>
    <row r="59498" spans="32:32" x14ac:dyDescent="0.2">
      <c r="AF59498" s="12"/>
    </row>
    <row r="59499" spans="32:32" x14ac:dyDescent="0.2">
      <c r="AF59499" s="12"/>
    </row>
    <row r="59500" spans="32:32" x14ac:dyDescent="0.2">
      <c r="AF59500" s="12"/>
    </row>
    <row r="59501" spans="32:32" x14ac:dyDescent="0.2">
      <c r="AF59501" s="12"/>
    </row>
    <row r="59502" spans="32:32" x14ac:dyDescent="0.2">
      <c r="AF59502" s="12"/>
    </row>
    <row r="59503" spans="32:32" x14ac:dyDescent="0.2">
      <c r="AF59503" s="12"/>
    </row>
    <row r="59504" spans="32:32" x14ac:dyDescent="0.2">
      <c r="AF59504" s="12"/>
    </row>
    <row r="59505" spans="32:32" x14ac:dyDescent="0.2">
      <c r="AF59505" s="12"/>
    </row>
    <row r="59506" spans="32:32" x14ac:dyDescent="0.2">
      <c r="AF59506" s="12"/>
    </row>
    <row r="59507" spans="32:32" x14ac:dyDescent="0.2">
      <c r="AF59507" s="12"/>
    </row>
    <row r="59508" spans="32:32" x14ac:dyDescent="0.2">
      <c r="AF59508" s="12"/>
    </row>
    <row r="59509" spans="32:32" x14ac:dyDescent="0.2">
      <c r="AF59509" s="12"/>
    </row>
    <row r="59510" spans="32:32" x14ac:dyDescent="0.2">
      <c r="AF59510" s="12"/>
    </row>
    <row r="59511" spans="32:32" x14ac:dyDescent="0.2">
      <c r="AF59511" s="12"/>
    </row>
    <row r="59512" spans="32:32" x14ac:dyDescent="0.2">
      <c r="AF59512" s="12"/>
    </row>
    <row r="59513" spans="32:32" x14ac:dyDescent="0.2">
      <c r="AF59513" s="12"/>
    </row>
    <row r="59514" spans="32:32" x14ac:dyDescent="0.2">
      <c r="AF59514" s="12"/>
    </row>
    <row r="59515" spans="32:32" x14ac:dyDescent="0.2">
      <c r="AF59515" s="12"/>
    </row>
    <row r="59516" spans="32:32" x14ac:dyDescent="0.2">
      <c r="AF59516" s="12"/>
    </row>
    <row r="59517" spans="32:32" x14ac:dyDescent="0.2">
      <c r="AF59517" s="12"/>
    </row>
    <row r="59518" spans="32:32" x14ac:dyDescent="0.2">
      <c r="AF59518" s="12"/>
    </row>
    <row r="59519" spans="32:32" x14ac:dyDescent="0.2">
      <c r="AF59519" s="12"/>
    </row>
    <row r="59520" spans="32:32" x14ac:dyDescent="0.2">
      <c r="AF59520" s="12"/>
    </row>
    <row r="59521" spans="32:32" x14ac:dyDescent="0.2">
      <c r="AF59521" s="12"/>
    </row>
    <row r="59522" spans="32:32" x14ac:dyDescent="0.2">
      <c r="AF59522" s="12"/>
    </row>
    <row r="59523" spans="32:32" x14ac:dyDescent="0.2">
      <c r="AF59523" s="12"/>
    </row>
    <row r="59524" spans="32:32" x14ac:dyDescent="0.2">
      <c r="AF59524" s="12"/>
    </row>
    <row r="59525" spans="32:32" x14ac:dyDescent="0.2">
      <c r="AF59525" s="12"/>
    </row>
    <row r="59526" spans="32:32" x14ac:dyDescent="0.2">
      <c r="AF59526" s="12"/>
    </row>
    <row r="59527" spans="32:32" x14ac:dyDescent="0.2">
      <c r="AF59527" s="12"/>
    </row>
    <row r="59528" spans="32:32" x14ac:dyDescent="0.2">
      <c r="AF59528" s="12"/>
    </row>
    <row r="59529" spans="32:32" x14ac:dyDescent="0.2">
      <c r="AF59529" s="12"/>
    </row>
    <row r="59530" spans="32:32" x14ac:dyDescent="0.2">
      <c r="AF59530" s="12"/>
    </row>
    <row r="59531" spans="32:32" x14ac:dyDescent="0.2">
      <c r="AF59531" s="12"/>
    </row>
    <row r="59532" spans="32:32" x14ac:dyDescent="0.2">
      <c r="AF59532" s="12"/>
    </row>
    <row r="59533" spans="32:32" x14ac:dyDescent="0.2">
      <c r="AF59533" s="12"/>
    </row>
    <row r="59534" spans="32:32" x14ac:dyDescent="0.2">
      <c r="AF59534" s="12"/>
    </row>
    <row r="59535" spans="32:32" x14ac:dyDescent="0.2">
      <c r="AF59535" s="12"/>
    </row>
    <row r="59536" spans="32:32" x14ac:dyDescent="0.2">
      <c r="AF59536" s="12"/>
    </row>
    <row r="59537" spans="32:32" x14ac:dyDescent="0.2">
      <c r="AF59537" s="12"/>
    </row>
    <row r="59538" spans="32:32" x14ac:dyDescent="0.2">
      <c r="AF59538" s="12"/>
    </row>
    <row r="59539" spans="32:32" x14ac:dyDescent="0.2">
      <c r="AF59539" s="12"/>
    </row>
    <row r="59540" spans="32:32" x14ac:dyDescent="0.2">
      <c r="AF59540" s="12"/>
    </row>
    <row r="59541" spans="32:32" x14ac:dyDescent="0.2">
      <c r="AF59541" s="12"/>
    </row>
    <row r="59542" spans="32:32" x14ac:dyDescent="0.2">
      <c r="AF59542" s="12"/>
    </row>
    <row r="59543" spans="32:32" x14ac:dyDescent="0.2">
      <c r="AF59543" s="12"/>
    </row>
    <row r="59544" spans="32:32" x14ac:dyDescent="0.2">
      <c r="AF59544" s="12"/>
    </row>
    <row r="59545" spans="32:32" x14ac:dyDescent="0.2">
      <c r="AF59545" s="12"/>
    </row>
    <row r="59546" spans="32:32" x14ac:dyDescent="0.2">
      <c r="AF59546" s="12"/>
    </row>
    <row r="59547" spans="32:32" x14ac:dyDescent="0.2">
      <c r="AF59547" s="12"/>
    </row>
    <row r="59548" spans="32:32" x14ac:dyDescent="0.2">
      <c r="AF59548" s="12"/>
    </row>
    <row r="59549" spans="32:32" x14ac:dyDescent="0.2">
      <c r="AF59549" s="12"/>
    </row>
    <row r="59550" spans="32:32" x14ac:dyDescent="0.2">
      <c r="AF59550" s="12"/>
    </row>
    <row r="59551" spans="32:32" x14ac:dyDescent="0.2">
      <c r="AF59551" s="12"/>
    </row>
    <row r="59552" spans="32:32" x14ac:dyDescent="0.2">
      <c r="AF59552" s="12"/>
    </row>
    <row r="59553" spans="32:32" x14ac:dyDescent="0.2">
      <c r="AF59553" s="12"/>
    </row>
    <row r="59554" spans="32:32" x14ac:dyDescent="0.2">
      <c r="AF59554" s="12"/>
    </row>
    <row r="59555" spans="32:32" x14ac:dyDescent="0.2">
      <c r="AF59555" s="12"/>
    </row>
    <row r="59556" spans="32:32" x14ac:dyDescent="0.2">
      <c r="AF59556" s="12"/>
    </row>
    <row r="59557" spans="32:32" x14ac:dyDescent="0.2">
      <c r="AF59557" s="12"/>
    </row>
    <row r="59558" spans="32:32" x14ac:dyDescent="0.2">
      <c r="AF59558" s="12"/>
    </row>
    <row r="59559" spans="32:32" x14ac:dyDescent="0.2">
      <c r="AF59559" s="12"/>
    </row>
    <row r="59560" spans="32:32" x14ac:dyDescent="0.2">
      <c r="AF59560" s="12"/>
    </row>
    <row r="59561" spans="32:32" x14ac:dyDescent="0.2">
      <c r="AF59561" s="12"/>
    </row>
    <row r="59562" spans="32:32" x14ac:dyDescent="0.2">
      <c r="AF59562" s="12"/>
    </row>
    <row r="59563" spans="32:32" x14ac:dyDescent="0.2">
      <c r="AF59563" s="12"/>
    </row>
    <row r="59564" spans="32:32" x14ac:dyDescent="0.2">
      <c r="AF59564" s="12"/>
    </row>
    <row r="59565" spans="32:32" x14ac:dyDescent="0.2">
      <c r="AF59565" s="12"/>
    </row>
    <row r="59566" spans="32:32" x14ac:dyDescent="0.2">
      <c r="AF59566" s="12"/>
    </row>
    <row r="59567" spans="32:32" x14ac:dyDescent="0.2">
      <c r="AF59567" s="12"/>
    </row>
    <row r="59568" spans="32:32" x14ac:dyDescent="0.2">
      <c r="AF59568" s="12"/>
    </row>
    <row r="59569" spans="32:32" x14ac:dyDescent="0.2">
      <c r="AF59569" s="12"/>
    </row>
    <row r="59570" spans="32:32" x14ac:dyDescent="0.2">
      <c r="AF59570" s="12"/>
    </row>
    <row r="59571" spans="32:32" x14ac:dyDescent="0.2">
      <c r="AF59571" s="12"/>
    </row>
    <row r="59572" spans="32:32" x14ac:dyDescent="0.2">
      <c r="AF59572" s="12"/>
    </row>
    <row r="59573" spans="32:32" x14ac:dyDescent="0.2">
      <c r="AF59573" s="12"/>
    </row>
    <row r="59574" spans="32:32" x14ac:dyDescent="0.2">
      <c r="AF59574" s="12"/>
    </row>
    <row r="59575" spans="32:32" x14ac:dyDescent="0.2">
      <c r="AF59575" s="12"/>
    </row>
    <row r="59576" spans="32:32" x14ac:dyDescent="0.2">
      <c r="AF59576" s="12"/>
    </row>
    <row r="59577" spans="32:32" x14ac:dyDescent="0.2">
      <c r="AF59577" s="12"/>
    </row>
    <row r="59578" spans="32:32" x14ac:dyDescent="0.2">
      <c r="AF59578" s="12"/>
    </row>
    <row r="59579" spans="32:32" x14ac:dyDescent="0.2">
      <c r="AF59579" s="12"/>
    </row>
    <row r="59580" spans="32:32" x14ac:dyDescent="0.2">
      <c r="AF59580" s="12"/>
    </row>
    <row r="59581" spans="32:32" x14ac:dyDescent="0.2">
      <c r="AF59581" s="12"/>
    </row>
    <row r="59582" spans="32:32" x14ac:dyDescent="0.2">
      <c r="AF59582" s="12"/>
    </row>
    <row r="59583" spans="32:32" x14ac:dyDescent="0.2">
      <c r="AF59583" s="12"/>
    </row>
    <row r="59584" spans="32:32" x14ac:dyDescent="0.2">
      <c r="AF59584" s="12"/>
    </row>
    <row r="59585" spans="32:32" x14ac:dyDescent="0.2">
      <c r="AF59585" s="12"/>
    </row>
    <row r="59586" spans="32:32" x14ac:dyDescent="0.2">
      <c r="AF59586" s="12"/>
    </row>
    <row r="59587" spans="32:32" x14ac:dyDescent="0.2">
      <c r="AF59587" s="12"/>
    </row>
    <row r="59588" spans="32:32" x14ac:dyDescent="0.2">
      <c r="AF59588" s="12"/>
    </row>
    <row r="59589" spans="32:32" x14ac:dyDescent="0.2">
      <c r="AF59589" s="12"/>
    </row>
    <row r="59590" spans="32:32" x14ac:dyDescent="0.2">
      <c r="AF59590" s="12"/>
    </row>
    <row r="59591" spans="32:32" x14ac:dyDescent="0.2">
      <c r="AF59591" s="12"/>
    </row>
    <row r="59592" spans="32:32" x14ac:dyDescent="0.2">
      <c r="AF59592" s="12"/>
    </row>
    <row r="59593" spans="32:32" x14ac:dyDescent="0.2">
      <c r="AF59593" s="12"/>
    </row>
    <row r="59594" spans="32:32" x14ac:dyDescent="0.2">
      <c r="AF59594" s="12"/>
    </row>
    <row r="59595" spans="32:32" x14ac:dyDescent="0.2">
      <c r="AF59595" s="12"/>
    </row>
    <row r="59596" spans="32:32" x14ac:dyDescent="0.2">
      <c r="AF59596" s="12"/>
    </row>
    <row r="59597" spans="32:32" x14ac:dyDescent="0.2">
      <c r="AF59597" s="12"/>
    </row>
    <row r="59598" spans="32:32" x14ac:dyDescent="0.2">
      <c r="AF59598" s="12"/>
    </row>
    <row r="59599" spans="32:32" x14ac:dyDescent="0.2">
      <c r="AF59599" s="12"/>
    </row>
    <row r="59600" spans="32:32" x14ac:dyDescent="0.2">
      <c r="AF59600" s="12"/>
    </row>
    <row r="59601" spans="32:32" x14ac:dyDescent="0.2">
      <c r="AF59601" s="12"/>
    </row>
    <row r="59602" spans="32:32" x14ac:dyDescent="0.2">
      <c r="AF59602" s="12"/>
    </row>
    <row r="59603" spans="32:32" x14ac:dyDescent="0.2">
      <c r="AF59603" s="12"/>
    </row>
    <row r="59604" spans="32:32" x14ac:dyDescent="0.2">
      <c r="AF59604" s="12"/>
    </row>
    <row r="59605" spans="32:32" x14ac:dyDescent="0.2">
      <c r="AF59605" s="12"/>
    </row>
    <row r="59606" spans="32:32" x14ac:dyDescent="0.2">
      <c r="AF59606" s="12"/>
    </row>
    <row r="59607" spans="32:32" x14ac:dyDescent="0.2">
      <c r="AF59607" s="12"/>
    </row>
    <row r="59608" spans="32:32" x14ac:dyDescent="0.2">
      <c r="AF59608" s="12"/>
    </row>
    <row r="59609" spans="32:32" x14ac:dyDescent="0.2">
      <c r="AF59609" s="12"/>
    </row>
    <row r="59610" spans="32:32" x14ac:dyDescent="0.2">
      <c r="AF59610" s="12"/>
    </row>
    <row r="59611" spans="32:32" x14ac:dyDescent="0.2">
      <c r="AF59611" s="12"/>
    </row>
    <row r="59612" spans="32:32" x14ac:dyDescent="0.2">
      <c r="AF59612" s="12"/>
    </row>
    <row r="59613" spans="32:32" x14ac:dyDescent="0.2">
      <c r="AF59613" s="12"/>
    </row>
    <row r="59614" spans="32:32" x14ac:dyDescent="0.2">
      <c r="AF59614" s="12"/>
    </row>
    <row r="59615" spans="32:32" x14ac:dyDescent="0.2">
      <c r="AF59615" s="12"/>
    </row>
    <row r="59616" spans="32:32" x14ac:dyDescent="0.2">
      <c r="AF59616" s="12"/>
    </row>
    <row r="59617" spans="32:32" x14ac:dyDescent="0.2">
      <c r="AF59617" s="12"/>
    </row>
    <row r="59618" spans="32:32" x14ac:dyDescent="0.2">
      <c r="AF59618" s="12"/>
    </row>
    <row r="59619" spans="32:32" x14ac:dyDescent="0.2">
      <c r="AF59619" s="12"/>
    </row>
    <row r="59620" spans="32:32" x14ac:dyDescent="0.2">
      <c r="AF59620" s="12"/>
    </row>
    <row r="59621" spans="32:32" x14ac:dyDescent="0.2">
      <c r="AF59621" s="12"/>
    </row>
    <row r="59622" spans="32:32" x14ac:dyDescent="0.2">
      <c r="AF59622" s="12"/>
    </row>
    <row r="59623" spans="32:32" x14ac:dyDescent="0.2">
      <c r="AF59623" s="12"/>
    </row>
    <row r="59624" spans="32:32" x14ac:dyDescent="0.2">
      <c r="AF59624" s="12"/>
    </row>
    <row r="59625" spans="32:32" x14ac:dyDescent="0.2">
      <c r="AF59625" s="12"/>
    </row>
    <row r="59626" spans="32:32" x14ac:dyDescent="0.2">
      <c r="AF59626" s="12"/>
    </row>
    <row r="59627" spans="32:32" x14ac:dyDescent="0.2">
      <c r="AF59627" s="12"/>
    </row>
    <row r="59628" spans="32:32" x14ac:dyDescent="0.2">
      <c r="AF59628" s="12"/>
    </row>
    <row r="59629" spans="32:32" x14ac:dyDescent="0.2">
      <c r="AF59629" s="12"/>
    </row>
    <row r="59630" spans="32:32" x14ac:dyDescent="0.2">
      <c r="AF59630" s="12"/>
    </row>
    <row r="59631" spans="32:32" x14ac:dyDescent="0.2">
      <c r="AF59631" s="12"/>
    </row>
    <row r="59632" spans="32:32" x14ac:dyDescent="0.2">
      <c r="AF59632" s="12"/>
    </row>
    <row r="59633" spans="32:32" x14ac:dyDescent="0.2">
      <c r="AF59633" s="12"/>
    </row>
    <row r="59634" spans="32:32" x14ac:dyDescent="0.2">
      <c r="AF59634" s="12"/>
    </row>
    <row r="59635" spans="32:32" x14ac:dyDescent="0.2">
      <c r="AF59635" s="12"/>
    </row>
    <row r="59636" spans="32:32" x14ac:dyDescent="0.2">
      <c r="AF59636" s="12"/>
    </row>
    <row r="59637" spans="32:32" x14ac:dyDescent="0.2">
      <c r="AF59637" s="12"/>
    </row>
    <row r="59638" spans="32:32" x14ac:dyDescent="0.2">
      <c r="AF59638" s="12"/>
    </row>
    <row r="59639" spans="32:32" x14ac:dyDescent="0.2">
      <c r="AF59639" s="12"/>
    </row>
    <row r="59640" spans="32:32" x14ac:dyDescent="0.2">
      <c r="AF59640" s="12"/>
    </row>
    <row r="59641" spans="32:32" x14ac:dyDescent="0.2">
      <c r="AF59641" s="12"/>
    </row>
    <row r="59642" spans="32:32" x14ac:dyDescent="0.2">
      <c r="AF59642" s="12"/>
    </row>
    <row r="59643" spans="32:32" x14ac:dyDescent="0.2">
      <c r="AF59643" s="12"/>
    </row>
    <row r="59644" spans="32:32" x14ac:dyDescent="0.2">
      <c r="AF59644" s="12"/>
    </row>
    <row r="59645" spans="32:32" x14ac:dyDescent="0.2">
      <c r="AF59645" s="12"/>
    </row>
    <row r="59646" spans="32:32" x14ac:dyDescent="0.2">
      <c r="AF59646" s="12"/>
    </row>
    <row r="59647" spans="32:32" x14ac:dyDescent="0.2">
      <c r="AF59647" s="12"/>
    </row>
    <row r="59648" spans="32:32" x14ac:dyDescent="0.2">
      <c r="AF59648" s="12"/>
    </row>
    <row r="59649" spans="32:32" x14ac:dyDescent="0.2">
      <c r="AF59649" s="12"/>
    </row>
    <row r="59650" spans="32:32" x14ac:dyDescent="0.2">
      <c r="AF59650" s="12"/>
    </row>
    <row r="59651" spans="32:32" x14ac:dyDescent="0.2">
      <c r="AF59651" s="12"/>
    </row>
    <row r="59652" spans="32:32" x14ac:dyDescent="0.2">
      <c r="AF59652" s="12"/>
    </row>
    <row r="59653" spans="32:32" x14ac:dyDescent="0.2">
      <c r="AF59653" s="12"/>
    </row>
    <row r="59654" spans="32:32" x14ac:dyDescent="0.2">
      <c r="AF59654" s="12"/>
    </row>
    <row r="59655" spans="32:32" x14ac:dyDescent="0.2">
      <c r="AF59655" s="12"/>
    </row>
    <row r="59656" spans="32:32" x14ac:dyDescent="0.2">
      <c r="AF59656" s="12"/>
    </row>
    <row r="59657" spans="32:32" x14ac:dyDescent="0.2">
      <c r="AF59657" s="12"/>
    </row>
    <row r="59658" spans="32:32" x14ac:dyDescent="0.2">
      <c r="AF59658" s="12"/>
    </row>
    <row r="59659" spans="32:32" x14ac:dyDescent="0.2">
      <c r="AF59659" s="12"/>
    </row>
    <row r="59660" spans="32:32" x14ac:dyDescent="0.2">
      <c r="AF59660" s="12"/>
    </row>
    <row r="59661" spans="32:32" x14ac:dyDescent="0.2">
      <c r="AF59661" s="12"/>
    </row>
    <row r="59662" spans="32:32" x14ac:dyDescent="0.2">
      <c r="AF59662" s="12"/>
    </row>
    <row r="59663" spans="32:32" x14ac:dyDescent="0.2">
      <c r="AF59663" s="12"/>
    </row>
    <row r="59664" spans="32:32" x14ac:dyDescent="0.2">
      <c r="AF59664" s="12"/>
    </row>
    <row r="59665" spans="32:32" x14ac:dyDescent="0.2">
      <c r="AF59665" s="12"/>
    </row>
    <row r="59666" spans="32:32" x14ac:dyDescent="0.2">
      <c r="AF59666" s="12"/>
    </row>
    <row r="59667" spans="32:32" x14ac:dyDescent="0.2">
      <c r="AF59667" s="12"/>
    </row>
    <row r="59668" spans="32:32" x14ac:dyDescent="0.2">
      <c r="AF59668" s="12"/>
    </row>
    <row r="59669" spans="32:32" x14ac:dyDescent="0.2">
      <c r="AF59669" s="12"/>
    </row>
    <row r="59670" spans="32:32" x14ac:dyDescent="0.2">
      <c r="AF59670" s="12"/>
    </row>
    <row r="59671" spans="32:32" x14ac:dyDescent="0.2">
      <c r="AF59671" s="12"/>
    </row>
    <row r="59672" spans="32:32" x14ac:dyDescent="0.2">
      <c r="AF59672" s="12"/>
    </row>
    <row r="59673" spans="32:32" x14ac:dyDescent="0.2">
      <c r="AF59673" s="12"/>
    </row>
    <row r="59674" spans="32:32" x14ac:dyDescent="0.2">
      <c r="AF59674" s="12"/>
    </row>
    <row r="59675" spans="32:32" x14ac:dyDescent="0.2">
      <c r="AF59675" s="12"/>
    </row>
    <row r="59676" spans="32:32" x14ac:dyDescent="0.2">
      <c r="AF59676" s="12"/>
    </row>
    <row r="59677" spans="32:32" x14ac:dyDescent="0.2">
      <c r="AF59677" s="12"/>
    </row>
    <row r="59678" spans="32:32" x14ac:dyDescent="0.2">
      <c r="AF59678" s="12"/>
    </row>
    <row r="59679" spans="32:32" x14ac:dyDescent="0.2">
      <c r="AF59679" s="12"/>
    </row>
    <row r="59680" spans="32:32" x14ac:dyDescent="0.2">
      <c r="AF59680" s="12"/>
    </row>
    <row r="59681" spans="32:32" x14ac:dyDescent="0.2">
      <c r="AF59681" s="12"/>
    </row>
    <row r="59682" spans="32:32" x14ac:dyDescent="0.2">
      <c r="AF59682" s="12"/>
    </row>
    <row r="59683" spans="32:32" x14ac:dyDescent="0.2">
      <c r="AF59683" s="12"/>
    </row>
    <row r="59684" spans="32:32" x14ac:dyDescent="0.2">
      <c r="AF59684" s="12"/>
    </row>
    <row r="59685" spans="32:32" x14ac:dyDescent="0.2">
      <c r="AF59685" s="12"/>
    </row>
    <row r="59686" spans="32:32" x14ac:dyDescent="0.2">
      <c r="AF59686" s="12"/>
    </row>
    <row r="59687" spans="32:32" x14ac:dyDescent="0.2">
      <c r="AF59687" s="12"/>
    </row>
    <row r="59688" spans="32:32" x14ac:dyDescent="0.2">
      <c r="AF59688" s="12"/>
    </row>
    <row r="59689" spans="32:32" x14ac:dyDescent="0.2">
      <c r="AF59689" s="12"/>
    </row>
    <row r="59690" spans="32:32" x14ac:dyDescent="0.2">
      <c r="AF59690" s="12"/>
    </row>
    <row r="59691" spans="32:32" x14ac:dyDescent="0.2">
      <c r="AF59691" s="12"/>
    </row>
    <row r="59692" spans="32:32" x14ac:dyDescent="0.2">
      <c r="AF59692" s="12"/>
    </row>
    <row r="59693" spans="32:32" x14ac:dyDescent="0.2">
      <c r="AF59693" s="12"/>
    </row>
    <row r="59694" spans="32:32" x14ac:dyDescent="0.2">
      <c r="AF59694" s="12"/>
    </row>
    <row r="59695" spans="32:32" x14ac:dyDescent="0.2">
      <c r="AF59695" s="12"/>
    </row>
    <row r="59696" spans="32:32" x14ac:dyDescent="0.2">
      <c r="AF59696" s="12"/>
    </row>
    <row r="59697" spans="32:32" x14ac:dyDescent="0.2">
      <c r="AF59697" s="12"/>
    </row>
    <row r="59698" spans="32:32" x14ac:dyDescent="0.2">
      <c r="AF59698" s="12"/>
    </row>
    <row r="59699" spans="32:32" x14ac:dyDescent="0.2">
      <c r="AF59699" s="12"/>
    </row>
    <row r="59700" spans="32:32" x14ac:dyDescent="0.2">
      <c r="AF59700" s="12"/>
    </row>
    <row r="59701" spans="32:32" x14ac:dyDescent="0.2">
      <c r="AF59701" s="12"/>
    </row>
    <row r="59702" spans="32:32" x14ac:dyDescent="0.2">
      <c r="AF59702" s="12"/>
    </row>
    <row r="59703" spans="32:32" x14ac:dyDescent="0.2">
      <c r="AF59703" s="12"/>
    </row>
    <row r="59704" spans="32:32" x14ac:dyDescent="0.2">
      <c r="AF59704" s="12"/>
    </row>
    <row r="59705" spans="32:32" x14ac:dyDescent="0.2">
      <c r="AF59705" s="12"/>
    </row>
    <row r="59706" spans="32:32" x14ac:dyDescent="0.2">
      <c r="AF59706" s="12"/>
    </row>
    <row r="59707" spans="32:32" x14ac:dyDescent="0.2">
      <c r="AF59707" s="12"/>
    </row>
    <row r="59708" spans="32:32" x14ac:dyDescent="0.2">
      <c r="AF59708" s="12"/>
    </row>
    <row r="59709" spans="32:32" x14ac:dyDescent="0.2">
      <c r="AF59709" s="12"/>
    </row>
    <row r="59710" spans="32:32" x14ac:dyDescent="0.2">
      <c r="AF59710" s="12"/>
    </row>
    <row r="59711" spans="32:32" x14ac:dyDescent="0.2">
      <c r="AF59711" s="12"/>
    </row>
    <row r="59712" spans="32:32" x14ac:dyDescent="0.2">
      <c r="AF59712" s="12"/>
    </row>
    <row r="59713" spans="32:32" x14ac:dyDescent="0.2">
      <c r="AF59713" s="12"/>
    </row>
    <row r="59714" spans="32:32" x14ac:dyDescent="0.2">
      <c r="AF59714" s="12"/>
    </row>
    <row r="59715" spans="32:32" x14ac:dyDescent="0.2">
      <c r="AF59715" s="12"/>
    </row>
    <row r="59716" spans="32:32" x14ac:dyDescent="0.2">
      <c r="AF59716" s="12"/>
    </row>
    <row r="59717" spans="32:32" x14ac:dyDescent="0.2">
      <c r="AF59717" s="12"/>
    </row>
    <row r="59718" spans="32:32" x14ac:dyDescent="0.2">
      <c r="AF59718" s="12"/>
    </row>
    <row r="59719" spans="32:32" x14ac:dyDescent="0.2">
      <c r="AF59719" s="12"/>
    </row>
    <row r="59720" spans="32:32" x14ac:dyDescent="0.2">
      <c r="AF59720" s="12"/>
    </row>
    <row r="59721" spans="32:32" x14ac:dyDescent="0.2">
      <c r="AF59721" s="12"/>
    </row>
    <row r="59722" spans="32:32" x14ac:dyDescent="0.2">
      <c r="AF59722" s="12"/>
    </row>
    <row r="59723" spans="32:32" x14ac:dyDescent="0.2">
      <c r="AF59723" s="12"/>
    </row>
    <row r="59724" spans="32:32" x14ac:dyDescent="0.2">
      <c r="AF59724" s="12"/>
    </row>
    <row r="59725" spans="32:32" x14ac:dyDescent="0.2">
      <c r="AF59725" s="12"/>
    </row>
    <row r="59726" spans="32:32" x14ac:dyDescent="0.2">
      <c r="AF59726" s="12"/>
    </row>
    <row r="59727" spans="32:32" x14ac:dyDescent="0.2">
      <c r="AF59727" s="12"/>
    </row>
    <row r="59728" spans="32:32" x14ac:dyDescent="0.2">
      <c r="AF59728" s="12"/>
    </row>
    <row r="59729" spans="32:32" x14ac:dyDescent="0.2">
      <c r="AF59729" s="12"/>
    </row>
    <row r="59730" spans="32:32" x14ac:dyDescent="0.2">
      <c r="AF59730" s="12"/>
    </row>
    <row r="59731" spans="32:32" x14ac:dyDescent="0.2">
      <c r="AF59731" s="12"/>
    </row>
    <row r="59732" spans="32:32" x14ac:dyDescent="0.2">
      <c r="AF59732" s="12"/>
    </row>
    <row r="59733" spans="32:32" x14ac:dyDescent="0.2">
      <c r="AF59733" s="12"/>
    </row>
    <row r="59734" spans="32:32" x14ac:dyDescent="0.2">
      <c r="AF59734" s="12"/>
    </row>
    <row r="59735" spans="32:32" x14ac:dyDescent="0.2">
      <c r="AF59735" s="12"/>
    </row>
    <row r="59736" spans="32:32" x14ac:dyDescent="0.2">
      <c r="AF59736" s="12"/>
    </row>
    <row r="59737" spans="32:32" x14ac:dyDescent="0.2">
      <c r="AF59737" s="12"/>
    </row>
    <row r="59738" spans="32:32" x14ac:dyDescent="0.2">
      <c r="AF59738" s="12"/>
    </row>
    <row r="59739" spans="32:32" x14ac:dyDescent="0.2">
      <c r="AF59739" s="12"/>
    </row>
    <row r="59740" spans="32:32" x14ac:dyDescent="0.2">
      <c r="AF59740" s="12"/>
    </row>
    <row r="59741" spans="32:32" x14ac:dyDescent="0.2">
      <c r="AF59741" s="12"/>
    </row>
    <row r="59742" spans="32:32" x14ac:dyDescent="0.2">
      <c r="AF59742" s="12"/>
    </row>
    <row r="59743" spans="32:32" x14ac:dyDescent="0.2">
      <c r="AF59743" s="12"/>
    </row>
    <row r="59744" spans="32:32" x14ac:dyDescent="0.2">
      <c r="AF59744" s="12"/>
    </row>
    <row r="59745" spans="32:32" x14ac:dyDescent="0.2">
      <c r="AF59745" s="12"/>
    </row>
    <row r="59746" spans="32:32" x14ac:dyDescent="0.2">
      <c r="AF59746" s="12"/>
    </row>
    <row r="59747" spans="32:32" x14ac:dyDescent="0.2">
      <c r="AF59747" s="12"/>
    </row>
    <row r="59748" spans="32:32" x14ac:dyDescent="0.2">
      <c r="AF59748" s="12"/>
    </row>
    <row r="59749" spans="32:32" x14ac:dyDescent="0.2">
      <c r="AF59749" s="12"/>
    </row>
    <row r="59750" spans="32:32" x14ac:dyDescent="0.2">
      <c r="AF59750" s="12"/>
    </row>
    <row r="59751" spans="32:32" x14ac:dyDescent="0.2">
      <c r="AF59751" s="12"/>
    </row>
    <row r="59752" spans="32:32" x14ac:dyDescent="0.2">
      <c r="AF59752" s="12"/>
    </row>
    <row r="59753" spans="32:32" x14ac:dyDescent="0.2">
      <c r="AF59753" s="12"/>
    </row>
    <row r="59754" spans="32:32" x14ac:dyDescent="0.2">
      <c r="AF59754" s="12"/>
    </row>
    <row r="59755" spans="32:32" x14ac:dyDescent="0.2">
      <c r="AF59755" s="12"/>
    </row>
    <row r="59756" spans="32:32" x14ac:dyDescent="0.2">
      <c r="AF59756" s="12"/>
    </row>
    <row r="59757" spans="32:32" x14ac:dyDescent="0.2">
      <c r="AF59757" s="12"/>
    </row>
    <row r="59758" spans="32:32" x14ac:dyDescent="0.2">
      <c r="AF59758" s="12"/>
    </row>
    <row r="59759" spans="32:32" x14ac:dyDescent="0.2">
      <c r="AF59759" s="12"/>
    </row>
    <row r="59760" spans="32:32" x14ac:dyDescent="0.2">
      <c r="AF59760" s="12"/>
    </row>
    <row r="59761" spans="32:32" x14ac:dyDescent="0.2">
      <c r="AF59761" s="12"/>
    </row>
    <row r="59762" spans="32:32" x14ac:dyDescent="0.2">
      <c r="AF59762" s="12"/>
    </row>
    <row r="59763" spans="32:32" x14ac:dyDescent="0.2">
      <c r="AF59763" s="12"/>
    </row>
    <row r="59764" spans="32:32" x14ac:dyDescent="0.2">
      <c r="AF59764" s="12"/>
    </row>
    <row r="59765" spans="32:32" x14ac:dyDescent="0.2">
      <c r="AF59765" s="12"/>
    </row>
    <row r="59766" spans="32:32" x14ac:dyDescent="0.2">
      <c r="AF59766" s="12"/>
    </row>
    <row r="59767" spans="32:32" x14ac:dyDescent="0.2">
      <c r="AF59767" s="12"/>
    </row>
    <row r="59768" spans="32:32" x14ac:dyDescent="0.2">
      <c r="AF59768" s="12"/>
    </row>
    <row r="59769" spans="32:32" x14ac:dyDescent="0.2">
      <c r="AF59769" s="12"/>
    </row>
    <row r="59770" spans="32:32" x14ac:dyDescent="0.2">
      <c r="AF59770" s="12"/>
    </row>
    <row r="59771" spans="32:32" x14ac:dyDescent="0.2">
      <c r="AF59771" s="12"/>
    </row>
    <row r="59772" spans="32:32" x14ac:dyDescent="0.2">
      <c r="AF59772" s="12"/>
    </row>
    <row r="59773" spans="32:32" x14ac:dyDescent="0.2">
      <c r="AF59773" s="12"/>
    </row>
    <row r="59774" spans="32:32" x14ac:dyDescent="0.2">
      <c r="AF59774" s="12"/>
    </row>
    <row r="59775" spans="32:32" x14ac:dyDescent="0.2">
      <c r="AF59775" s="12"/>
    </row>
    <row r="59776" spans="32:32" x14ac:dyDescent="0.2">
      <c r="AF59776" s="12"/>
    </row>
    <row r="59777" spans="32:32" x14ac:dyDescent="0.2">
      <c r="AF59777" s="12"/>
    </row>
    <row r="59778" spans="32:32" x14ac:dyDescent="0.2">
      <c r="AF59778" s="12"/>
    </row>
    <row r="59779" spans="32:32" x14ac:dyDescent="0.2">
      <c r="AF59779" s="12"/>
    </row>
    <row r="59780" spans="32:32" x14ac:dyDescent="0.2">
      <c r="AF59780" s="12"/>
    </row>
    <row r="59781" spans="32:32" x14ac:dyDescent="0.2">
      <c r="AF59781" s="12"/>
    </row>
    <row r="59782" spans="32:32" x14ac:dyDescent="0.2">
      <c r="AF59782" s="12"/>
    </row>
    <row r="59783" spans="32:32" x14ac:dyDescent="0.2">
      <c r="AF59783" s="12"/>
    </row>
    <row r="59784" spans="32:32" x14ac:dyDescent="0.2">
      <c r="AF59784" s="12"/>
    </row>
    <row r="59785" spans="32:32" x14ac:dyDescent="0.2">
      <c r="AF59785" s="12"/>
    </row>
    <row r="59786" spans="32:32" x14ac:dyDescent="0.2">
      <c r="AF59786" s="12"/>
    </row>
    <row r="59787" spans="32:32" x14ac:dyDescent="0.2">
      <c r="AF59787" s="12"/>
    </row>
    <row r="59788" spans="32:32" x14ac:dyDescent="0.2">
      <c r="AF59788" s="12"/>
    </row>
    <row r="59789" spans="32:32" x14ac:dyDescent="0.2">
      <c r="AF59789" s="12"/>
    </row>
    <row r="59790" spans="32:32" x14ac:dyDescent="0.2">
      <c r="AF59790" s="12"/>
    </row>
    <row r="59791" spans="32:32" x14ac:dyDescent="0.2">
      <c r="AF59791" s="12"/>
    </row>
    <row r="59792" spans="32:32" x14ac:dyDescent="0.2">
      <c r="AF59792" s="12"/>
    </row>
    <row r="59793" spans="32:32" x14ac:dyDescent="0.2">
      <c r="AF59793" s="12"/>
    </row>
    <row r="59794" spans="32:32" x14ac:dyDescent="0.2">
      <c r="AF59794" s="12"/>
    </row>
    <row r="59795" spans="32:32" x14ac:dyDescent="0.2">
      <c r="AF59795" s="12"/>
    </row>
    <row r="59796" spans="32:32" x14ac:dyDescent="0.2">
      <c r="AF59796" s="12"/>
    </row>
    <row r="59797" spans="32:32" x14ac:dyDescent="0.2">
      <c r="AF59797" s="12"/>
    </row>
    <row r="59798" spans="32:32" x14ac:dyDescent="0.2">
      <c r="AF59798" s="12"/>
    </row>
    <row r="59799" spans="32:32" x14ac:dyDescent="0.2">
      <c r="AF59799" s="12"/>
    </row>
    <row r="59800" spans="32:32" x14ac:dyDescent="0.2">
      <c r="AF59800" s="12"/>
    </row>
    <row r="59801" spans="32:32" x14ac:dyDescent="0.2">
      <c r="AF59801" s="12"/>
    </row>
    <row r="59802" spans="32:32" x14ac:dyDescent="0.2">
      <c r="AF59802" s="12"/>
    </row>
    <row r="59803" spans="32:32" x14ac:dyDescent="0.2">
      <c r="AF59803" s="12"/>
    </row>
    <row r="59804" spans="32:32" x14ac:dyDescent="0.2">
      <c r="AF59804" s="12"/>
    </row>
    <row r="59805" spans="32:32" x14ac:dyDescent="0.2">
      <c r="AF59805" s="12"/>
    </row>
    <row r="59806" spans="32:32" x14ac:dyDescent="0.2">
      <c r="AF59806" s="12"/>
    </row>
    <row r="59807" spans="32:32" x14ac:dyDescent="0.2">
      <c r="AF59807" s="12"/>
    </row>
    <row r="59808" spans="32:32" x14ac:dyDescent="0.2">
      <c r="AF59808" s="12"/>
    </row>
    <row r="59809" spans="32:32" x14ac:dyDescent="0.2">
      <c r="AF59809" s="12"/>
    </row>
    <row r="59810" spans="32:32" x14ac:dyDescent="0.2">
      <c r="AF59810" s="12"/>
    </row>
    <row r="59811" spans="32:32" x14ac:dyDescent="0.2">
      <c r="AF59811" s="12"/>
    </row>
    <row r="59812" spans="32:32" x14ac:dyDescent="0.2">
      <c r="AF59812" s="12"/>
    </row>
    <row r="59813" spans="32:32" x14ac:dyDescent="0.2">
      <c r="AF59813" s="12"/>
    </row>
    <row r="59814" spans="32:32" x14ac:dyDescent="0.2">
      <c r="AF59814" s="12"/>
    </row>
    <row r="59815" spans="32:32" x14ac:dyDescent="0.2">
      <c r="AF59815" s="12"/>
    </row>
    <row r="59816" spans="32:32" x14ac:dyDescent="0.2">
      <c r="AF59816" s="12"/>
    </row>
    <row r="59817" spans="32:32" x14ac:dyDescent="0.2">
      <c r="AF59817" s="12"/>
    </row>
    <row r="59818" spans="32:32" x14ac:dyDescent="0.2">
      <c r="AF59818" s="12"/>
    </row>
    <row r="59819" spans="32:32" x14ac:dyDescent="0.2">
      <c r="AF59819" s="12"/>
    </row>
    <row r="59820" spans="32:32" x14ac:dyDescent="0.2">
      <c r="AF59820" s="12"/>
    </row>
    <row r="59821" spans="32:32" x14ac:dyDescent="0.2">
      <c r="AF59821" s="12"/>
    </row>
    <row r="59822" spans="32:32" x14ac:dyDescent="0.2">
      <c r="AF59822" s="12"/>
    </row>
    <row r="59823" spans="32:32" x14ac:dyDescent="0.2">
      <c r="AF59823" s="12"/>
    </row>
    <row r="59824" spans="32:32" x14ac:dyDescent="0.2">
      <c r="AF59824" s="12"/>
    </row>
    <row r="59825" spans="32:32" x14ac:dyDescent="0.2">
      <c r="AF59825" s="12"/>
    </row>
    <row r="59826" spans="32:32" x14ac:dyDescent="0.2">
      <c r="AF59826" s="12"/>
    </row>
    <row r="59827" spans="32:32" x14ac:dyDescent="0.2">
      <c r="AF59827" s="12"/>
    </row>
    <row r="59828" spans="32:32" x14ac:dyDescent="0.2">
      <c r="AF59828" s="12"/>
    </row>
    <row r="59829" spans="32:32" x14ac:dyDescent="0.2">
      <c r="AF59829" s="12"/>
    </row>
    <row r="59830" spans="32:32" x14ac:dyDescent="0.2">
      <c r="AF59830" s="12"/>
    </row>
    <row r="59831" spans="32:32" x14ac:dyDescent="0.2">
      <c r="AF59831" s="12"/>
    </row>
    <row r="59832" spans="32:32" x14ac:dyDescent="0.2">
      <c r="AF59832" s="12"/>
    </row>
    <row r="59833" spans="32:32" x14ac:dyDescent="0.2">
      <c r="AF59833" s="12"/>
    </row>
    <row r="59834" spans="32:32" x14ac:dyDescent="0.2">
      <c r="AF59834" s="12"/>
    </row>
    <row r="59835" spans="32:32" x14ac:dyDescent="0.2">
      <c r="AF59835" s="12"/>
    </row>
    <row r="59836" spans="32:32" x14ac:dyDescent="0.2">
      <c r="AF59836" s="12"/>
    </row>
    <row r="59837" spans="32:32" x14ac:dyDescent="0.2">
      <c r="AF59837" s="12"/>
    </row>
    <row r="59838" spans="32:32" x14ac:dyDescent="0.2">
      <c r="AF59838" s="12"/>
    </row>
    <row r="59839" spans="32:32" x14ac:dyDescent="0.2">
      <c r="AF59839" s="12"/>
    </row>
    <row r="59840" spans="32:32" x14ac:dyDescent="0.2">
      <c r="AF59840" s="12"/>
    </row>
    <row r="59841" spans="32:32" x14ac:dyDescent="0.2">
      <c r="AF59841" s="12"/>
    </row>
    <row r="59842" spans="32:32" x14ac:dyDescent="0.2">
      <c r="AF59842" s="12"/>
    </row>
    <row r="59843" spans="32:32" x14ac:dyDescent="0.2">
      <c r="AF59843" s="12"/>
    </row>
    <row r="59844" spans="32:32" x14ac:dyDescent="0.2">
      <c r="AF59844" s="12"/>
    </row>
    <row r="59845" spans="32:32" x14ac:dyDescent="0.2">
      <c r="AF59845" s="12"/>
    </row>
    <row r="59846" spans="32:32" x14ac:dyDescent="0.2">
      <c r="AF59846" s="12"/>
    </row>
    <row r="59847" spans="32:32" x14ac:dyDescent="0.2">
      <c r="AF59847" s="12"/>
    </row>
    <row r="59848" spans="32:32" x14ac:dyDescent="0.2">
      <c r="AF59848" s="12"/>
    </row>
    <row r="59849" spans="32:32" x14ac:dyDescent="0.2">
      <c r="AF59849" s="12"/>
    </row>
    <row r="59850" spans="32:32" x14ac:dyDescent="0.2">
      <c r="AF59850" s="12"/>
    </row>
    <row r="59851" spans="32:32" x14ac:dyDescent="0.2">
      <c r="AF59851" s="12"/>
    </row>
    <row r="59852" spans="32:32" x14ac:dyDescent="0.2">
      <c r="AF59852" s="12"/>
    </row>
    <row r="59853" spans="32:32" x14ac:dyDescent="0.2">
      <c r="AF59853" s="12"/>
    </row>
    <row r="59854" spans="32:32" x14ac:dyDescent="0.2">
      <c r="AF59854" s="12"/>
    </row>
    <row r="59855" spans="32:32" x14ac:dyDescent="0.2">
      <c r="AF59855" s="12"/>
    </row>
    <row r="59856" spans="32:32" x14ac:dyDescent="0.2">
      <c r="AF59856" s="12"/>
    </row>
    <row r="59857" spans="32:32" x14ac:dyDescent="0.2">
      <c r="AF59857" s="12"/>
    </row>
    <row r="59858" spans="32:32" x14ac:dyDescent="0.2">
      <c r="AF59858" s="12"/>
    </row>
    <row r="59859" spans="32:32" x14ac:dyDescent="0.2">
      <c r="AF59859" s="12"/>
    </row>
    <row r="59860" spans="32:32" x14ac:dyDescent="0.2">
      <c r="AF59860" s="12"/>
    </row>
    <row r="59861" spans="32:32" x14ac:dyDescent="0.2">
      <c r="AF59861" s="12"/>
    </row>
    <row r="59862" spans="32:32" x14ac:dyDescent="0.2">
      <c r="AF59862" s="12"/>
    </row>
    <row r="59863" spans="32:32" x14ac:dyDescent="0.2">
      <c r="AF59863" s="12"/>
    </row>
    <row r="59864" spans="32:32" x14ac:dyDescent="0.2">
      <c r="AF59864" s="12"/>
    </row>
    <row r="59865" spans="32:32" x14ac:dyDescent="0.2">
      <c r="AF59865" s="12"/>
    </row>
    <row r="59866" spans="32:32" x14ac:dyDescent="0.2">
      <c r="AF59866" s="12"/>
    </row>
    <row r="59867" spans="32:32" x14ac:dyDescent="0.2">
      <c r="AF59867" s="12"/>
    </row>
    <row r="59868" spans="32:32" x14ac:dyDescent="0.2">
      <c r="AF59868" s="12"/>
    </row>
    <row r="59869" spans="32:32" x14ac:dyDescent="0.2">
      <c r="AF59869" s="12"/>
    </row>
    <row r="59870" spans="32:32" x14ac:dyDescent="0.2">
      <c r="AF59870" s="12"/>
    </row>
    <row r="59871" spans="32:32" x14ac:dyDescent="0.2">
      <c r="AF59871" s="12"/>
    </row>
    <row r="59872" spans="32:32" x14ac:dyDescent="0.2">
      <c r="AF59872" s="12"/>
    </row>
    <row r="59873" spans="32:32" x14ac:dyDescent="0.2">
      <c r="AF59873" s="12"/>
    </row>
    <row r="59874" spans="32:32" x14ac:dyDescent="0.2">
      <c r="AF59874" s="12"/>
    </row>
    <row r="59875" spans="32:32" x14ac:dyDescent="0.2">
      <c r="AF59875" s="12"/>
    </row>
    <row r="59876" spans="32:32" x14ac:dyDescent="0.2">
      <c r="AF59876" s="12"/>
    </row>
    <row r="59877" spans="32:32" x14ac:dyDescent="0.2">
      <c r="AF59877" s="12"/>
    </row>
    <row r="59878" spans="32:32" x14ac:dyDescent="0.2">
      <c r="AF59878" s="12"/>
    </row>
    <row r="59879" spans="32:32" x14ac:dyDescent="0.2">
      <c r="AF59879" s="12"/>
    </row>
    <row r="59880" spans="32:32" x14ac:dyDescent="0.2">
      <c r="AF59880" s="12"/>
    </row>
    <row r="59881" spans="32:32" x14ac:dyDescent="0.2">
      <c r="AF59881" s="12"/>
    </row>
    <row r="59882" spans="32:32" x14ac:dyDescent="0.2">
      <c r="AF59882" s="12"/>
    </row>
    <row r="59883" spans="32:32" x14ac:dyDescent="0.2">
      <c r="AF59883" s="12"/>
    </row>
    <row r="59884" spans="32:32" x14ac:dyDescent="0.2">
      <c r="AF59884" s="12"/>
    </row>
    <row r="59885" spans="32:32" x14ac:dyDescent="0.2">
      <c r="AF59885" s="12"/>
    </row>
    <row r="59886" spans="32:32" x14ac:dyDescent="0.2">
      <c r="AF59886" s="12"/>
    </row>
    <row r="59887" spans="32:32" x14ac:dyDescent="0.2">
      <c r="AF59887" s="12"/>
    </row>
    <row r="59888" spans="32:32" x14ac:dyDescent="0.2">
      <c r="AF59888" s="12"/>
    </row>
    <row r="59889" spans="32:32" x14ac:dyDescent="0.2">
      <c r="AF59889" s="12"/>
    </row>
    <row r="59890" spans="32:32" x14ac:dyDescent="0.2">
      <c r="AF59890" s="12"/>
    </row>
    <row r="59891" spans="32:32" x14ac:dyDescent="0.2">
      <c r="AF59891" s="12"/>
    </row>
    <row r="59892" spans="32:32" x14ac:dyDescent="0.2">
      <c r="AF59892" s="12"/>
    </row>
    <row r="59893" spans="32:32" x14ac:dyDescent="0.2">
      <c r="AF59893" s="12"/>
    </row>
    <row r="59894" spans="32:32" x14ac:dyDescent="0.2">
      <c r="AF59894" s="12"/>
    </row>
    <row r="59895" spans="32:32" x14ac:dyDescent="0.2">
      <c r="AF59895" s="12"/>
    </row>
    <row r="59896" spans="32:32" x14ac:dyDescent="0.2">
      <c r="AF59896" s="12"/>
    </row>
    <row r="59897" spans="32:32" x14ac:dyDescent="0.2">
      <c r="AF59897" s="12"/>
    </row>
    <row r="59898" spans="32:32" x14ac:dyDescent="0.2">
      <c r="AF59898" s="12"/>
    </row>
    <row r="59899" spans="32:32" x14ac:dyDescent="0.2">
      <c r="AF59899" s="12"/>
    </row>
    <row r="59900" spans="32:32" x14ac:dyDescent="0.2">
      <c r="AF59900" s="12"/>
    </row>
    <row r="59901" spans="32:32" x14ac:dyDescent="0.2">
      <c r="AF59901" s="12"/>
    </row>
    <row r="59902" spans="32:32" x14ac:dyDescent="0.2">
      <c r="AF59902" s="12"/>
    </row>
    <row r="59903" spans="32:32" x14ac:dyDescent="0.2">
      <c r="AF59903" s="12"/>
    </row>
    <row r="59904" spans="32:32" x14ac:dyDescent="0.2">
      <c r="AF59904" s="12"/>
    </row>
    <row r="59905" spans="32:32" x14ac:dyDescent="0.2">
      <c r="AF59905" s="12"/>
    </row>
    <row r="59906" spans="32:32" x14ac:dyDescent="0.2">
      <c r="AF59906" s="12"/>
    </row>
    <row r="59907" spans="32:32" x14ac:dyDescent="0.2">
      <c r="AF59907" s="12"/>
    </row>
    <row r="59908" spans="32:32" x14ac:dyDescent="0.2">
      <c r="AF59908" s="12"/>
    </row>
    <row r="59909" spans="32:32" x14ac:dyDescent="0.2">
      <c r="AF59909" s="12"/>
    </row>
    <row r="59910" spans="32:32" x14ac:dyDescent="0.2">
      <c r="AF59910" s="12"/>
    </row>
    <row r="59911" spans="32:32" x14ac:dyDescent="0.2">
      <c r="AF59911" s="12"/>
    </row>
    <row r="59912" spans="32:32" x14ac:dyDescent="0.2">
      <c r="AF59912" s="12"/>
    </row>
    <row r="59913" spans="32:32" x14ac:dyDescent="0.2">
      <c r="AF59913" s="12"/>
    </row>
    <row r="59914" spans="32:32" x14ac:dyDescent="0.2">
      <c r="AF59914" s="12"/>
    </row>
    <row r="59915" spans="32:32" x14ac:dyDescent="0.2">
      <c r="AF59915" s="12"/>
    </row>
    <row r="59916" spans="32:32" x14ac:dyDescent="0.2">
      <c r="AF59916" s="12"/>
    </row>
    <row r="59917" spans="32:32" x14ac:dyDescent="0.2">
      <c r="AF59917" s="12"/>
    </row>
    <row r="59918" spans="32:32" x14ac:dyDescent="0.2">
      <c r="AF59918" s="12"/>
    </row>
    <row r="59919" spans="32:32" x14ac:dyDescent="0.2">
      <c r="AF59919" s="12"/>
    </row>
    <row r="59920" spans="32:32" x14ac:dyDescent="0.2">
      <c r="AF59920" s="12"/>
    </row>
    <row r="59921" spans="32:32" x14ac:dyDescent="0.2">
      <c r="AF59921" s="12"/>
    </row>
    <row r="59922" spans="32:32" x14ac:dyDescent="0.2">
      <c r="AF59922" s="12"/>
    </row>
    <row r="59923" spans="32:32" x14ac:dyDescent="0.2">
      <c r="AF59923" s="12"/>
    </row>
    <row r="59924" spans="32:32" x14ac:dyDescent="0.2">
      <c r="AF59924" s="12"/>
    </row>
    <row r="59925" spans="32:32" x14ac:dyDescent="0.2">
      <c r="AF59925" s="12"/>
    </row>
    <row r="59926" spans="32:32" x14ac:dyDescent="0.2">
      <c r="AF59926" s="12"/>
    </row>
    <row r="59927" spans="32:32" x14ac:dyDescent="0.2">
      <c r="AF59927" s="12"/>
    </row>
    <row r="59928" spans="32:32" x14ac:dyDescent="0.2">
      <c r="AF59928" s="12"/>
    </row>
    <row r="59929" spans="32:32" x14ac:dyDescent="0.2">
      <c r="AF59929" s="12"/>
    </row>
    <row r="59930" spans="32:32" x14ac:dyDescent="0.2">
      <c r="AF59930" s="12"/>
    </row>
    <row r="59931" spans="32:32" x14ac:dyDescent="0.2">
      <c r="AF59931" s="12"/>
    </row>
    <row r="59932" spans="32:32" x14ac:dyDescent="0.2">
      <c r="AF59932" s="12"/>
    </row>
    <row r="59933" spans="32:32" x14ac:dyDescent="0.2">
      <c r="AF59933" s="12"/>
    </row>
    <row r="59934" spans="32:32" x14ac:dyDescent="0.2">
      <c r="AF59934" s="12"/>
    </row>
    <row r="59935" spans="32:32" x14ac:dyDescent="0.2">
      <c r="AF59935" s="12"/>
    </row>
    <row r="59936" spans="32:32" x14ac:dyDescent="0.2">
      <c r="AF59936" s="12"/>
    </row>
    <row r="59937" spans="32:32" x14ac:dyDescent="0.2">
      <c r="AF59937" s="12"/>
    </row>
    <row r="59938" spans="32:32" x14ac:dyDescent="0.2">
      <c r="AF59938" s="12"/>
    </row>
    <row r="59939" spans="32:32" x14ac:dyDescent="0.2">
      <c r="AF59939" s="12"/>
    </row>
    <row r="59940" spans="32:32" x14ac:dyDescent="0.2">
      <c r="AF59940" s="12"/>
    </row>
    <row r="59941" spans="32:32" x14ac:dyDescent="0.2">
      <c r="AF59941" s="12"/>
    </row>
    <row r="59942" spans="32:32" x14ac:dyDescent="0.2">
      <c r="AF59942" s="12"/>
    </row>
    <row r="59943" spans="32:32" x14ac:dyDescent="0.2">
      <c r="AF59943" s="12"/>
    </row>
    <row r="59944" spans="32:32" x14ac:dyDescent="0.2">
      <c r="AF59944" s="12"/>
    </row>
    <row r="59945" spans="32:32" x14ac:dyDescent="0.2">
      <c r="AF59945" s="12"/>
    </row>
    <row r="59946" spans="32:32" x14ac:dyDescent="0.2">
      <c r="AF59946" s="12"/>
    </row>
    <row r="59947" spans="32:32" x14ac:dyDescent="0.2">
      <c r="AF59947" s="12"/>
    </row>
    <row r="59948" spans="32:32" x14ac:dyDescent="0.2">
      <c r="AF59948" s="12"/>
    </row>
    <row r="59949" spans="32:32" x14ac:dyDescent="0.2">
      <c r="AF59949" s="12"/>
    </row>
    <row r="59950" spans="32:32" x14ac:dyDescent="0.2">
      <c r="AF59950" s="12"/>
    </row>
    <row r="59951" spans="32:32" x14ac:dyDescent="0.2">
      <c r="AF59951" s="12"/>
    </row>
    <row r="59952" spans="32:32" x14ac:dyDescent="0.2">
      <c r="AF59952" s="12"/>
    </row>
    <row r="59953" spans="32:32" x14ac:dyDescent="0.2">
      <c r="AF59953" s="12"/>
    </row>
    <row r="59954" spans="32:32" x14ac:dyDescent="0.2">
      <c r="AF59954" s="12"/>
    </row>
    <row r="59955" spans="32:32" x14ac:dyDescent="0.2">
      <c r="AF59955" s="12"/>
    </row>
    <row r="59956" spans="32:32" x14ac:dyDescent="0.2">
      <c r="AF59956" s="12"/>
    </row>
    <row r="59957" spans="32:32" x14ac:dyDescent="0.2">
      <c r="AF59957" s="12"/>
    </row>
    <row r="59958" spans="32:32" x14ac:dyDescent="0.2">
      <c r="AF59958" s="12"/>
    </row>
    <row r="59959" spans="32:32" x14ac:dyDescent="0.2">
      <c r="AF59959" s="12"/>
    </row>
    <row r="59960" spans="32:32" x14ac:dyDescent="0.2">
      <c r="AF59960" s="12"/>
    </row>
    <row r="59961" spans="32:32" x14ac:dyDescent="0.2">
      <c r="AF59961" s="12"/>
    </row>
    <row r="59962" spans="32:32" x14ac:dyDescent="0.2">
      <c r="AF59962" s="12"/>
    </row>
    <row r="59963" spans="32:32" x14ac:dyDescent="0.2">
      <c r="AF59963" s="12"/>
    </row>
    <row r="59964" spans="32:32" x14ac:dyDescent="0.2">
      <c r="AF59964" s="12"/>
    </row>
    <row r="59965" spans="32:32" x14ac:dyDescent="0.2">
      <c r="AF59965" s="12"/>
    </row>
    <row r="59966" spans="32:32" x14ac:dyDescent="0.2">
      <c r="AF59966" s="12"/>
    </row>
    <row r="59967" spans="32:32" x14ac:dyDescent="0.2">
      <c r="AF59967" s="12"/>
    </row>
    <row r="59968" spans="32:32" x14ac:dyDescent="0.2">
      <c r="AF59968" s="12"/>
    </row>
    <row r="59969" spans="32:32" x14ac:dyDescent="0.2">
      <c r="AF59969" s="12"/>
    </row>
    <row r="59970" spans="32:32" x14ac:dyDescent="0.2">
      <c r="AF59970" s="12"/>
    </row>
    <row r="59971" spans="32:32" x14ac:dyDescent="0.2">
      <c r="AF59971" s="12"/>
    </row>
    <row r="59972" spans="32:32" x14ac:dyDescent="0.2">
      <c r="AF59972" s="12"/>
    </row>
    <row r="59973" spans="32:32" x14ac:dyDescent="0.2">
      <c r="AF59973" s="12"/>
    </row>
    <row r="59974" spans="32:32" x14ac:dyDescent="0.2">
      <c r="AF59974" s="12"/>
    </row>
    <row r="59975" spans="32:32" x14ac:dyDescent="0.2">
      <c r="AF59975" s="12"/>
    </row>
    <row r="59976" spans="32:32" x14ac:dyDescent="0.2">
      <c r="AF59976" s="12"/>
    </row>
    <row r="59977" spans="32:32" x14ac:dyDescent="0.2">
      <c r="AF59977" s="12"/>
    </row>
    <row r="59978" spans="32:32" x14ac:dyDescent="0.2">
      <c r="AF59978" s="12"/>
    </row>
    <row r="59979" spans="32:32" x14ac:dyDescent="0.2">
      <c r="AF59979" s="12"/>
    </row>
    <row r="59980" spans="32:32" x14ac:dyDescent="0.2">
      <c r="AF59980" s="12"/>
    </row>
    <row r="59981" spans="32:32" x14ac:dyDescent="0.2">
      <c r="AF59981" s="12"/>
    </row>
    <row r="59982" spans="32:32" x14ac:dyDescent="0.2">
      <c r="AF59982" s="12"/>
    </row>
    <row r="59983" spans="32:32" x14ac:dyDescent="0.2">
      <c r="AF59983" s="12"/>
    </row>
    <row r="59984" spans="32:32" x14ac:dyDescent="0.2">
      <c r="AF59984" s="12"/>
    </row>
    <row r="59985" spans="32:32" x14ac:dyDescent="0.2">
      <c r="AF59985" s="12"/>
    </row>
    <row r="59986" spans="32:32" x14ac:dyDescent="0.2">
      <c r="AF59986" s="12"/>
    </row>
    <row r="59987" spans="32:32" x14ac:dyDescent="0.2">
      <c r="AF59987" s="12"/>
    </row>
    <row r="59988" spans="32:32" x14ac:dyDescent="0.2">
      <c r="AF59988" s="12"/>
    </row>
    <row r="59989" spans="32:32" x14ac:dyDescent="0.2">
      <c r="AF59989" s="12"/>
    </row>
    <row r="59990" spans="32:32" x14ac:dyDescent="0.2">
      <c r="AF59990" s="12"/>
    </row>
    <row r="59991" spans="32:32" x14ac:dyDescent="0.2">
      <c r="AF59991" s="12"/>
    </row>
    <row r="59992" spans="32:32" x14ac:dyDescent="0.2">
      <c r="AF59992" s="12"/>
    </row>
    <row r="59993" spans="32:32" x14ac:dyDescent="0.2">
      <c r="AF59993" s="12"/>
    </row>
    <row r="59994" spans="32:32" x14ac:dyDescent="0.2">
      <c r="AF59994" s="12"/>
    </row>
    <row r="59995" spans="32:32" x14ac:dyDescent="0.2">
      <c r="AF59995" s="12"/>
    </row>
    <row r="59996" spans="32:32" x14ac:dyDescent="0.2">
      <c r="AF59996" s="12"/>
    </row>
    <row r="59997" spans="32:32" x14ac:dyDescent="0.2">
      <c r="AF59997" s="12"/>
    </row>
    <row r="59998" spans="32:32" x14ac:dyDescent="0.2">
      <c r="AF59998" s="12"/>
    </row>
    <row r="59999" spans="32:32" x14ac:dyDescent="0.2">
      <c r="AF59999" s="12"/>
    </row>
    <row r="60000" spans="32:32" x14ac:dyDescent="0.2">
      <c r="AF60000" s="12"/>
    </row>
    <row r="60001" spans="32:32" x14ac:dyDescent="0.2">
      <c r="AF60001" s="12"/>
    </row>
    <row r="60002" spans="32:32" x14ac:dyDescent="0.2">
      <c r="AF60002" s="12"/>
    </row>
    <row r="60003" spans="32:32" x14ac:dyDescent="0.2">
      <c r="AF60003" s="12"/>
    </row>
    <row r="60004" spans="32:32" x14ac:dyDescent="0.2">
      <c r="AF60004" s="12"/>
    </row>
    <row r="60005" spans="32:32" x14ac:dyDescent="0.2">
      <c r="AF60005" s="12"/>
    </row>
    <row r="60006" spans="32:32" x14ac:dyDescent="0.2">
      <c r="AF60006" s="12"/>
    </row>
    <row r="60007" spans="32:32" x14ac:dyDescent="0.2">
      <c r="AF60007" s="12"/>
    </row>
    <row r="60008" spans="32:32" x14ac:dyDescent="0.2">
      <c r="AF60008" s="12"/>
    </row>
    <row r="60009" spans="32:32" x14ac:dyDescent="0.2">
      <c r="AF60009" s="12"/>
    </row>
    <row r="60010" spans="32:32" x14ac:dyDescent="0.2">
      <c r="AF60010" s="12"/>
    </row>
    <row r="60011" spans="32:32" x14ac:dyDescent="0.2">
      <c r="AF60011" s="12"/>
    </row>
    <row r="60012" spans="32:32" x14ac:dyDescent="0.2">
      <c r="AF60012" s="12"/>
    </row>
    <row r="60013" spans="32:32" x14ac:dyDescent="0.2">
      <c r="AF60013" s="12"/>
    </row>
    <row r="60014" spans="32:32" x14ac:dyDescent="0.2">
      <c r="AF60014" s="12"/>
    </row>
    <row r="60015" spans="32:32" x14ac:dyDescent="0.2">
      <c r="AF60015" s="12"/>
    </row>
    <row r="60016" spans="32:32" x14ac:dyDescent="0.2">
      <c r="AF60016" s="12"/>
    </row>
    <row r="60017" spans="32:32" x14ac:dyDescent="0.2">
      <c r="AF60017" s="12"/>
    </row>
    <row r="60018" spans="32:32" x14ac:dyDescent="0.2">
      <c r="AF60018" s="12"/>
    </row>
    <row r="60019" spans="32:32" x14ac:dyDescent="0.2">
      <c r="AF60019" s="12"/>
    </row>
    <row r="60020" spans="32:32" x14ac:dyDescent="0.2">
      <c r="AF60020" s="12"/>
    </row>
    <row r="60021" spans="32:32" x14ac:dyDescent="0.2">
      <c r="AF60021" s="12"/>
    </row>
    <row r="60022" spans="32:32" x14ac:dyDescent="0.2">
      <c r="AF60022" s="12"/>
    </row>
    <row r="60023" spans="32:32" x14ac:dyDescent="0.2">
      <c r="AF60023" s="12"/>
    </row>
    <row r="60024" spans="32:32" x14ac:dyDescent="0.2">
      <c r="AF60024" s="12"/>
    </row>
    <row r="60025" spans="32:32" x14ac:dyDescent="0.2">
      <c r="AF60025" s="12"/>
    </row>
    <row r="60026" spans="32:32" x14ac:dyDescent="0.2">
      <c r="AF60026" s="12"/>
    </row>
    <row r="60027" spans="32:32" x14ac:dyDescent="0.2">
      <c r="AF60027" s="12"/>
    </row>
    <row r="60028" spans="32:32" x14ac:dyDescent="0.2">
      <c r="AF60028" s="12"/>
    </row>
    <row r="60029" spans="32:32" x14ac:dyDescent="0.2">
      <c r="AF60029" s="12"/>
    </row>
    <row r="60030" spans="32:32" x14ac:dyDescent="0.2">
      <c r="AF60030" s="12"/>
    </row>
    <row r="60031" spans="32:32" x14ac:dyDescent="0.2">
      <c r="AF60031" s="12"/>
    </row>
    <row r="60032" spans="32:32" x14ac:dyDescent="0.2">
      <c r="AF60032" s="12"/>
    </row>
    <row r="60033" spans="32:32" x14ac:dyDescent="0.2">
      <c r="AF60033" s="12"/>
    </row>
    <row r="60034" spans="32:32" x14ac:dyDescent="0.2">
      <c r="AF60034" s="12"/>
    </row>
    <row r="60035" spans="32:32" x14ac:dyDescent="0.2">
      <c r="AF60035" s="12"/>
    </row>
    <row r="60036" spans="32:32" x14ac:dyDescent="0.2">
      <c r="AF60036" s="12"/>
    </row>
    <row r="60037" spans="32:32" x14ac:dyDescent="0.2">
      <c r="AF60037" s="12"/>
    </row>
    <row r="60038" spans="32:32" x14ac:dyDescent="0.2">
      <c r="AF60038" s="12"/>
    </row>
    <row r="60039" spans="32:32" x14ac:dyDescent="0.2">
      <c r="AF60039" s="12"/>
    </row>
    <row r="60040" spans="32:32" x14ac:dyDescent="0.2">
      <c r="AF60040" s="12"/>
    </row>
    <row r="60041" spans="32:32" x14ac:dyDescent="0.2">
      <c r="AF60041" s="12"/>
    </row>
    <row r="60042" spans="32:32" x14ac:dyDescent="0.2">
      <c r="AF60042" s="12"/>
    </row>
    <row r="60043" spans="32:32" x14ac:dyDescent="0.2">
      <c r="AF60043" s="12"/>
    </row>
    <row r="60044" spans="32:32" x14ac:dyDescent="0.2">
      <c r="AF60044" s="12"/>
    </row>
    <row r="60045" spans="32:32" x14ac:dyDescent="0.2">
      <c r="AF60045" s="12"/>
    </row>
    <row r="60046" spans="32:32" x14ac:dyDescent="0.2">
      <c r="AF60046" s="12"/>
    </row>
    <row r="60047" spans="32:32" x14ac:dyDescent="0.2">
      <c r="AF60047" s="12"/>
    </row>
    <row r="60048" spans="32:32" x14ac:dyDescent="0.2">
      <c r="AF60048" s="12"/>
    </row>
    <row r="60049" spans="32:32" x14ac:dyDescent="0.2">
      <c r="AF60049" s="12"/>
    </row>
    <row r="60050" spans="32:32" x14ac:dyDescent="0.2">
      <c r="AF60050" s="12"/>
    </row>
    <row r="60051" spans="32:32" x14ac:dyDescent="0.2">
      <c r="AF60051" s="12"/>
    </row>
    <row r="60052" spans="32:32" x14ac:dyDescent="0.2">
      <c r="AF60052" s="12"/>
    </row>
    <row r="60053" spans="32:32" x14ac:dyDescent="0.2">
      <c r="AF60053" s="12"/>
    </row>
    <row r="60054" spans="32:32" x14ac:dyDescent="0.2">
      <c r="AF60054" s="12"/>
    </row>
    <row r="60055" spans="32:32" x14ac:dyDescent="0.2">
      <c r="AF60055" s="12"/>
    </row>
    <row r="60056" spans="32:32" x14ac:dyDescent="0.2">
      <c r="AF60056" s="12"/>
    </row>
    <row r="60057" spans="32:32" x14ac:dyDescent="0.2">
      <c r="AF60057" s="12"/>
    </row>
    <row r="60058" spans="32:32" x14ac:dyDescent="0.2">
      <c r="AF60058" s="12"/>
    </row>
    <row r="60059" spans="32:32" x14ac:dyDescent="0.2">
      <c r="AF60059" s="12"/>
    </row>
    <row r="60060" spans="32:32" x14ac:dyDescent="0.2">
      <c r="AF60060" s="12"/>
    </row>
    <row r="60061" spans="32:32" x14ac:dyDescent="0.2">
      <c r="AF60061" s="12"/>
    </row>
    <row r="60062" spans="32:32" x14ac:dyDescent="0.2">
      <c r="AF60062" s="12"/>
    </row>
    <row r="60063" spans="32:32" x14ac:dyDescent="0.2">
      <c r="AF60063" s="12"/>
    </row>
    <row r="60064" spans="32:32" x14ac:dyDescent="0.2">
      <c r="AF60064" s="12"/>
    </row>
    <row r="60065" spans="32:32" x14ac:dyDescent="0.2">
      <c r="AF60065" s="12"/>
    </row>
    <row r="60066" spans="32:32" x14ac:dyDescent="0.2">
      <c r="AF60066" s="12"/>
    </row>
    <row r="60067" spans="32:32" x14ac:dyDescent="0.2">
      <c r="AF60067" s="12"/>
    </row>
    <row r="60068" spans="32:32" x14ac:dyDescent="0.2">
      <c r="AF60068" s="12"/>
    </row>
    <row r="60069" spans="32:32" x14ac:dyDescent="0.2">
      <c r="AF60069" s="12"/>
    </row>
    <row r="60070" spans="32:32" x14ac:dyDescent="0.2">
      <c r="AF60070" s="12"/>
    </row>
    <row r="60071" spans="32:32" x14ac:dyDescent="0.2">
      <c r="AF60071" s="12"/>
    </row>
    <row r="60072" spans="32:32" x14ac:dyDescent="0.2">
      <c r="AF60072" s="12"/>
    </row>
    <row r="60073" spans="32:32" x14ac:dyDescent="0.2">
      <c r="AF60073" s="12"/>
    </row>
    <row r="60074" spans="32:32" x14ac:dyDescent="0.2">
      <c r="AF60074" s="12"/>
    </row>
    <row r="60075" spans="32:32" x14ac:dyDescent="0.2">
      <c r="AF60075" s="12"/>
    </row>
    <row r="60076" spans="32:32" x14ac:dyDescent="0.2">
      <c r="AF60076" s="12"/>
    </row>
    <row r="60077" spans="32:32" x14ac:dyDescent="0.2">
      <c r="AF60077" s="12"/>
    </row>
    <row r="60078" spans="32:32" x14ac:dyDescent="0.2">
      <c r="AF60078" s="12"/>
    </row>
    <row r="60079" spans="32:32" x14ac:dyDescent="0.2">
      <c r="AF60079" s="12"/>
    </row>
    <row r="60080" spans="32:32" x14ac:dyDescent="0.2">
      <c r="AF60080" s="12"/>
    </row>
    <row r="60081" spans="32:32" x14ac:dyDescent="0.2">
      <c r="AF60081" s="12"/>
    </row>
    <row r="60082" spans="32:32" x14ac:dyDescent="0.2">
      <c r="AF60082" s="12"/>
    </row>
    <row r="60083" spans="32:32" x14ac:dyDescent="0.2">
      <c r="AF60083" s="12"/>
    </row>
    <row r="60084" spans="32:32" x14ac:dyDescent="0.2">
      <c r="AF60084" s="12"/>
    </row>
    <row r="60085" spans="32:32" x14ac:dyDescent="0.2">
      <c r="AF60085" s="12"/>
    </row>
    <row r="60086" spans="32:32" x14ac:dyDescent="0.2">
      <c r="AF60086" s="12"/>
    </row>
    <row r="60087" spans="32:32" x14ac:dyDescent="0.2">
      <c r="AF60087" s="12"/>
    </row>
    <row r="60088" spans="32:32" x14ac:dyDescent="0.2">
      <c r="AF60088" s="12"/>
    </row>
    <row r="60089" spans="32:32" x14ac:dyDescent="0.2">
      <c r="AF60089" s="12"/>
    </row>
    <row r="60090" spans="32:32" x14ac:dyDescent="0.2">
      <c r="AF60090" s="12"/>
    </row>
    <row r="60091" spans="32:32" x14ac:dyDescent="0.2">
      <c r="AF60091" s="12"/>
    </row>
    <row r="60092" spans="32:32" x14ac:dyDescent="0.2">
      <c r="AF60092" s="12"/>
    </row>
    <row r="60093" spans="32:32" x14ac:dyDescent="0.2">
      <c r="AF60093" s="12"/>
    </row>
    <row r="60094" spans="32:32" x14ac:dyDescent="0.2">
      <c r="AF60094" s="12"/>
    </row>
    <row r="60095" spans="32:32" x14ac:dyDescent="0.2">
      <c r="AF60095" s="12"/>
    </row>
    <row r="60096" spans="32:32" x14ac:dyDescent="0.2">
      <c r="AF60096" s="12"/>
    </row>
    <row r="60097" spans="32:32" x14ac:dyDescent="0.2">
      <c r="AF60097" s="12"/>
    </row>
    <row r="60098" spans="32:32" x14ac:dyDescent="0.2">
      <c r="AF60098" s="12"/>
    </row>
    <row r="60099" spans="32:32" x14ac:dyDescent="0.2">
      <c r="AF60099" s="12"/>
    </row>
    <row r="60100" spans="32:32" x14ac:dyDescent="0.2">
      <c r="AF60100" s="12"/>
    </row>
    <row r="60101" spans="32:32" x14ac:dyDescent="0.2">
      <c r="AF60101" s="12"/>
    </row>
    <row r="60102" spans="32:32" x14ac:dyDescent="0.2">
      <c r="AF60102" s="12"/>
    </row>
    <row r="60103" spans="32:32" x14ac:dyDescent="0.2">
      <c r="AF60103" s="12"/>
    </row>
    <row r="60104" spans="32:32" x14ac:dyDescent="0.2">
      <c r="AF60104" s="12"/>
    </row>
    <row r="60105" spans="32:32" x14ac:dyDescent="0.2">
      <c r="AF60105" s="12"/>
    </row>
    <row r="60106" spans="32:32" x14ac:dyDescent="0.2">
      <c r="AF60106" s="12"/>
    </row>
    <row r="60107" spans="32:32" x14ac:dyDescent="0.2">
      <c r="AF60107" s="12"/>
    </row>
    <row r="60108" spans="32:32" x14ac:dyDescent="0.2">
      <c r="AF60108" s="12"/>
    </row>
    <row r="60109" spans="32:32" x14ac:dyDescent="0.2">
      <c r="AF60109" s="12"/>
    </row>
    <row r="60110" spans="32:32" x14ac:dyDescent="0.2">
      <c r="AF60110" s="12"/>
    </row>
    <row r="60111" spans="32:32" x14ac:dyDescent="0.2">
      <c r="AF60111" s="12"/>
    </row>
    <row r="60112" spans="32:32" x14ac:dyDescent="0.2">
      <c r="AF60112" s="12"/>
    </row>
    <row r="60113" spans="32:32" x14ac:dyDescent="0.2">
      <c r="AF60113" s="12"/>
    </row>
    <row r="60114" spans="32:32" x14ac:dyDescent="0.2">
      <c r="AF60114" s="12"/>
    </row>
    <row r="60115" spans="32:32" x14ac:dyDescent="0.2">
      <c r="AF60115" s="12"/>
    </row>
    <row r="60116" spans="32:32" x14ac:dyDescent="0.2">
      <c r="AF60116" s="12"/>
    </row>
    <row r="60117" spans="32:32" x14ac:dyDescent="0.2">
      <c r="AF60117" s="12"/>
    </row>
    <row r="60118" spans="32:32" x14ac:dyDescent="0.2">
      <c r="AF60118" s="12"/>
    </row>
    <row r="60119" spans="32:32" x14ac:dyDescent="0.2">
      <c r="AF60119" s="12"/>
    </row>
    <row r="60120" spans="32:32" x14ac:dyDescent="0.2">
      <c r="AF60120" s="12"/>
    </row>
    <row r="60121" spans="32:32" x14ac:dyDescent="0.2">
      <c r="AF60121" s="12"/>
    </row>
    <row r="60122" spans="32:32" x14ac:dyDescent="0.2">
      <c r="AF60122" s="12"/>
    </row>
    <row r="60123" spans="32:32" x14ac:dyDescent="0.2">
      <c r="AF60123" s="12"/>
    </row>
    <row r="60124" spans="32:32" x14ac:dyDescent="0.2">
      <c r="AF60124" s="12"/>
    </row>
    <row r="60125" spans="32:32" x14ac:dyDescent="0.2">
      <c r="AF60125" s="12"/>
    </row>
    <row r="60126" spans="32:32" x14ac:dyDescent="0.2">
      <c r="AF60126" s="12"/>
    </row>
    <row r="60127" spans="32:32" x14ac:dyDescent="0.2">
      <c r="AF60127" s="12"/>
    </row>
    <row r="60128" spans="32:32" x14ac:dyDescent="0.2">
      <c r="AF60128" s="12"/>
    </row>
    <row r="60129" spans="32:32" x14ac:dyDescent="0.2">
      <c r="AF60129" s="12"/>
    </row>
    <row r="60130" spans="32:32" x14ac:dyDescent="0.2">
      <c r="AF60130" s="12"/>
    </row>
    <row r="60131" spans="32:32" x14ac:dyDescent="0.2">
      <c r="AF60131" s="12"/>
    </row>
    <row r="60132" spans="32:32" x14ac:dyDescent="0.2">
      <c r="AF60132" s="12"/>
    </row>
    <row r="60133" spans="32:32" x14ac:dyDescent="0.2">
      <c r="AF60133" s="12"/>
    </row>
    <row r="60134" spans="32:32" x14ac:dyDescent="0.2">
      <c r="AF60134" s="12"/>
    </row>
    <row r="60135" spans="32:32" x14ac:dyDescent="0.2">
      <c r="AF60135" s="12"/>
    </row>
    <row r="60136" spans="32:32" x14ac:dyDescent="0.2">
      <c r="AF60136" s="12"/>
    </row>
    <row r="60137" spans="32:32" x14ac:dyDescent="0.2">
      <c r="AF60137" s="12"/>
    </row>
    <row r="60138" spans="32:32" x14ac:dyDescent="0.2">
      <c r="AF60138" s="12"/>
    </row>
    <row r="60139" spans="32:32" x14ac:dyDescent="0.2">
      <c r="AF60139" s="12"/>
    </row>
    <row r="60140" spans="32:32" x14ac:dyDescent="0.2">
      <c r="AF60140" s="12"/>
    </row>
    <row r="60141" spans="32:32" x14ac:dyDescent="0.2">
      <c r="AF60141" s="12"/>
    </row>
    <row r="60142" spans="32:32" x14ac:dyDescent="0.2">
      <c r="AF60142" s="12"/>
    </row>
    <row r="60143" spans="32:32" x14ac:dyDescent="0.2">
      <c r="AF60143" s="12"/>
    </row>
    <row r="60144" spans="32:32" x14ac:dyDescent="0.2">
      <c r="AF60144" s="12"/>
    </row>
    <row r="60145" spans="32:32" x14ac:dyDescent="0.2">
      <c r="AF60145" s="12"/>
    </row>
    <row r="60146" spans="32:32" x14ac:dyDescent="0.2">
      <c r="AF60146" s="12"/>
    </row>
    <row r="60147" spans="32:32" x14ac:dyDescent="0.2">
      <c r="AF60147" s="12"/>
    </row>
    <row r="60148" spans="32:32" x14ac:dyDescent="0.2">
      <c r="AF60148" s="12"/>
    </row>
    <row r="60149" spans="32:32" x14ac:dyDescent="0.2">
      <c r="AF60149" s="12"/>
    </row>
    <row r="60150" spans="32:32" x14ac:dyDescent="0.2">
      <c r="AF60150" s="12"/>
    </row>
    <row r="60151" spans="32:32" x14ac:dyDescent="0.2">
      <c r="AF60151" s="12"/>
    </row>
    <row r="60152" spans="32:32" x14ac:dyDescent="0.2">
      <c r="AF60152" s="12"/>
    </row>
    <row r="60153" spans="32:32" x14ac:dyDescent="0.2">
      <c r="AF60153" s="12"/>
    </row>
    <row r="60154" spans="32:32" x14ac:dyDescent="0.2">
      <c r="AF60154" s="12"/>
    </row>
    <row r="60155" spans="32:32" x14ac:dyDescent="0.2">
      <c r="AF60155" s="12"/>
    </row>
    <row r="60156" spans="32:32" x14ac:dyDescent="0.2">
      <c r="AF60156" s="12"/>
    </row>
    <row r="60157" spans="32:32" x14ac:dyDescent="0.2">
      <c r="AF60157" s="12"/>
    </row>
    <row r="60158" spans="32:32" x14ac:dyDescent="0.2">
      <c r="AF60158" s="12"/>
    </row>
    <row r="60159" spans="32:32" x14ac:dyDescent="0.2">
      <c r="AF60159" s="12"/>
    </row>
    <row r="60160" spans="32:32" x14ac:dyDescent="0.2">
      <c r="AF60160" s="12"/>
    </row>
    <row r="60161" spans="32:32" x14ac:dyDescent="0.2">
      <c r="AF60161" s="12"/>
    </row>
    <row r="60162" spans="32:32" x14ac:dyDescent="0.2">
      <c r="AF60162" s="12"/>
    </row>
    <row r="60163" spans="32:32" x14ac:dyDescent="0.2">
      <c r="AF60163" s="12"/>
    </row>
    <row r="60164" spans="32:32" x14ac:dyDescent="0.2">
      <c r="AF60164" s="12"/>
    </row>
    <row r="60165" spans="32:32" x14ac:dyDescent="0.2">
      <c r="AF60165" s="12"/>
    </row>
    <row r="60166" spans="32:32" x14ac:dyDescent="0.2">
      <c r="AF60166" s="12"/>
    </row>
    <row r="60167" spans="32:32" x14ac:dyDescent="0.2">
      <c r="AF60167" s="12"/>
    </row>
    <row r="60168" spans="32:32" x14ac:dyDescent="0.2">
      <c r="AF60168" s="12"/>
    </row>
    <row r="60169" spans="32:32" x14ac:dyDescent="0.2">
      <c r="AF60169" s="12"/>
    </row>
    <row r="60170" spans="32:32" x14ac:dyDescent="0.2">
      <c r="AF60170" s="12"/>
    </row>
    <row r="60171" spans="32:32" x14ac:dyDescent="0.2">
      <c r="AF60171" s="12"/>
    </row>
    <row r="60172" spans="32:32" x14ac:dyDescent="0.2">
      <c r="AF60172" s="12"/>
    </row>
    <row r="60173" spans="32:32" x14ac:dyDescent="0.2">
      <c r="AF60173" s="12"/>
    </row>
    <row r="60174" spans="32:32" x14ac:dyDescent="0.2">
      <c r="AF60174" s="12"/>
    </row>
    <row r="60175" spans="32:32" x14ac:dyDescent="0.2">
      <c r="AF60175" s="12"/>
    </row>
    <row r="60176" spans="32:32" x14ac:dyDescent="0.2">
      <c r="AF60176" s="12"/>
    </row>
    <row r="60177" spans="32:32" x14ac:dyDescent="0.2">
      <c r="AF60177" s="12"/>
    </row>
    <row r="60178" spans="32:32" x14ac:dyDescent="0.2">
      <c r="AF60178" s="12"/>
    </row>
    <row r="60179" spans="32:32" x14ac:dyDescent="0.2">
      <c r="AF60179" s="12"/>
    </row>
    <row r="60180" spans="32:32" x14ac:dyDescent="0.2">
      <c r="AF60180" s="12"/>
    </row>
    <row r="60181" spans="32:32" x14ac:dyDescent="0.2">
      <c r="AF60181" s="12"/>
    </row>
    <row r="60182" spans="32:32" x14ac:dyDescent="0.2">
      <c r="AF60182" s="12"/>
    </row>
    <row r="60183" spans="32:32" x14ac:dyDescent="0.2">
      <c r="AF60183" s="12"/>
    </row>
    <row r="60184" spans="32:32" x14ac:dyDescent="0.2">
      <c r="AF60184" s="12"/>
    </row>
    <row r="60185" spans="32:32" x14ac:dyDescent="0.2">
      <c r="AF60185" s="12"/>
    </row>
    <row r="60186" spans="32:32" x14ac:dyDescent="0.2">
      <c r="AF60186" s="12"/>
    </row>
    <row r="60187" spans="32:32" x14ac:dyDescent="0.2">
      <c r="AF60187" s="12"/>
    </row>
    <row r="60188" spans="32:32" x14ac:dyDescent="0.2">
      <c r="AF60188" s="12"/>
    </row>
    <row r="60189" spans="32:32" x14ac:dyDescent="0.2">
      <c r="AF60189" s="12"/>
    </row>
    <row r="60190" spans="32:32" x14ac:dyDescent="0.2">
      <c r="AF60190" s="12"/>
    </row>
    <row r="60191" spans="32:32" x14ac:dyDescent="0.2">
      <c r="AF60191" s="12"/>
    </row>
    <row r="60192" spans="32:32" x14ac:dyDescent="0.2">
      <c r="AF60192" s="12"/>
    </row>
    <row r="60193" spans="32:32" x14ac:dyDescent="0.2">
      <c r="AF60193" s="12"/>
    </row>
    <row r="60194" spans="32:32" x14ac:dyDescent="0.2">
      <c r="AF60194" s="12"/>
    </row>
    <row r="60195" spans="32:32" x14ac:dyDescent="0.2">
      <c r="AF60195" s="12"/>
    </row>
    <row r="60196" spans="32:32" x14ac:dyDescent="0.2">
      <c r="AF60196" s="12"/>
    </row>
    <row r="60197" spans="32:32" x14ac:dyDescent="0.2">
      <c r="AF60197" s="12"/>
    </row>
    <row r="60198" spans="32:32" x14ac:dyDescent="0.2">
      <c r="AF60198" s="12"/>
    </row>
    <row r="60199" spans="32:32" x14ac:dyDescent="0.2">
      <c r="AF60199" s="12"/>
    </row>
    <row r="60200" spans="32:32" x14ac:dyDescent="0.2">
      <c r="AF60200" s="12"/>
    </row>
    <row r="60201" spans="32:32" x14ac:dyDescent="0.2">
      <c r="AF60201" s="12"/>
    </row>
    <row r="60202" spans="32:32" x14ac:dyDescent="0.2">
      <c r="AF60202" s="12"/>
    </row>
    <row r="60203" spans="32:32" x14ac:dyDescent="0.2">
      <c r="AF60203" s="12"/>
    </row>
    <row r="60204" spans="32:32" x14ac:dyDescent="0.2">
      <c r="AF60204" s="12"/>
    </row>
    <row r="60205" spans="32:32" x14ac:dyDescent="0.2">
      <c r="AF60205" s="12"/>
    </row>
    <row r="60206" spans="32:32" x14ac:dyDescent="0.2">
      <c r="AF60206" s="12"/>
    </row>
    <row r="60207" spans="32:32" x14ac:dyDescent="0.2">
      <c r="AF60207" s="12"/>
    </row>
    <row r="60208" spans="32:32" x14ac:dyDescent="0.2">
      <c r="AF60208" s="12"/>
    </row>
    <row r="60209" spans="32:32" x14ac:dyDescent="0.2">
      <c r="AF60209" s="12"/>
    </row>
    <row r="60210" spans="32:32" x14ac:dyDescent="0.2">
      <c r="AF60210" s="12"/>
    </row>
    <row r="60211" spans="32:32" x14ac:dyDescent="0.2">
      <c r="AF60211" s="12"/>
    </row>
    <row r="60212" spans="32:32" x14ac:dyDescent="0.2">
      <c r="AF60212" s="12"/>
    </row>
    <row r="60213" spans="32:32" x14ac:dyDescent="0.2">
      <c r="AF60213" s="12"/>
    </row>
    <row r="60214" spans="32:32" x14ac:dyDescent="0.2">
      <c r="AF60214" s="12"/>
    </row>
    <row r="60215" spans="32:32" x14ac:dyDescent="0.2">
      <c r="AF60215" s="12"/>
    </row>
    <row r="60216" spans="32:32" x14ac:dyDescent="0.2">
      <c r="AF60216" s="12"/>
    </row>
    <row r="60217" spans="32:32" x14ac:dyDescent="0.2">
      <c r="AF60217" s="12"/>
    </row>
    <row r="60218" spans="32:32" x14ac:dyDescent="0.2">
      <c r="AF60218" s="12"/>
    </row>
    <row r="60219" spans="32:32" x14ac:dyDescent="0.2">
      <c r="AF60219" s="12"/>
    </row>
    <row r="60220" spans="32:32" x14ac:dyDescent="0.2">
      <c r="AF60220" s="12"/>
    </row>
    <row r="60221" spans="32:32" x14ac:dyDescent="0.2">
      <c r="AF60221" s="12"/>
    </row>
    <row r="60222" spans="32:32" x14ac:dyDescent="0.2">
      <c r="AF60222" s="12"/>
    </row>
    <row r="60223" spans="32:32" x14ac:dyDescent="0.2">
      <c r="AF60223" s="12"/>
    </row>
    <row r="60224" spans="32:32" x14ac:dyDescent="0.2">
      <c r="AF60224" s="12"/>
    </row>
    <row r="60225" spans="32:32" x14ac:dyDescent="0.2">
      <c r="AF60225" s="12"/>
    </row>
    <row r="60226" spans="32:32" x14ac:dyDescent="0.2">
      <c r="AF60226" s="12"/>
    </row>
    <row r="60227" spans="32:32" x14ac:dyDescent="0.2">
      <c r="AF60227" s="12"/>
    </row>
    <row r="60228" spans="32:32" x14ac:dyDescent="0.2">
      <c r="AF60228" s="12"/>
    </row>
    <row r="60229" spans="32:32" x14ac:dyDescent="0.2">
      <c r="AF60229" s="12"/>
    </row>
    <row r="60230" spans="32:32" x14ac:dyDescent="0.2">
      <c r="AF60230" s="12"/>
    </row>
    <row r="60231" spans="32:32" x14ac:dyDescent="0.2">
      <c r="AF60231" s="12"/>
    </row>
    <row r="60232" spans="32:32" x14ac:dyDescent="0.2">
      <c r="AF60232" s="12"/>
    </row>
    <row r="60233" spans="32:32" x14ac:dyDescent="0.2">
      <c r="AF60233" s="12"/>
    </row>
    <row r="60234" spans="32:32" x14ac:dyDescent="0.2">
      <c r="AF60234" s="12"/>
    </row>
    <row r="60235" spans="32:32" x14ac:dyDescent="0.2">
      <c r="AF60235" s="12"/>
    </row>
    <row r="60236" spans="32:32" x14ac:dyDescent="0.2">
      <c r="AF60236" s="12"/>
    </row>
    <row r="60237" spans="32:32" x14ac:dyDescent="0.2">
      <c r="AF60237" s="12"/>
    </row>
    <row r="60238" spans="32:32" x14ac:dyDescent="0.2">
      <c r="AF60238" s="12"/>
    </row>
    <row r="60239" spans="32:32" x14ac:dyDescent="0.2">
      <c r="AF60239" s="12"/>
    </row>
    <row r="60240" spans="32:32" x14ac:dyDescent="0.2">
      <c r="AF60240" s="12"/>
    </row>
    <row r="60241" spans="32:32" x14ac:dyDescent="0.2">
      <c r="AF60241" s="12"/>
    </row>
    <row r="60242" spans="32:32" x14ac:dyDescent="0.2">
      <c r="AF60242" s="12"/>
    </row>
    <row r="60243" spans="32:32" x14ac:dyDescent="0.2">
      <c r="AF60243" s="12"/>
    </row>
    <row r="60244" spans="32:32" x14ac:dyDescent="0.2">
      <c r="AF60244" s="12"/>
    </row>
    <row r="60245" spans="32:32" x14ac:dyDescent="0.2">
      <c r="AF60245" s="12"/>
    </row>
    <row r="60246" spans="32:32" x14ac:dyDescent="0.2">
      <c r="AF60246" s="12"/>
    </row>
    <row r="60247" spans="32:32" x14ac:dyDescent="0.2">
      <c r="AF60247" s="12"/>
    </row>
    <row r="60248" spans="32:32" x14ac:dyDescent="0.2">
      <c r="AF60248" s="12"/>
    </row>
    <row r="60249" spans="32:32" x14ac:dyDescent="0.2">
      <c r="AF60249" s="12"/>
    </row>
    <row r="60250" spans="32:32" x14ac:dyDescent="0.2">
      <c r="AF60250" s="12"/>
    </row>
    <row r="60251" spans="32:32" x14ac:dyDescent="0.2">
      <c r="AF60251" s="12"/>
    </row>
    <row r="60252" spans="32:32" x14ac:dyDescent="0.2">
      <c r="AF60252" s="12"/>
    </row>
    <row r="60253" spans="32:32" x14ac:dyDescent="0.2">
      <c r="AF60253" s="12"/>
    </row>
    <row r="60254" spans="32:32" x14ac:dyDescent="0.2">
      <c r="AF60254" s="12"/>
    </row>
    <row r="60255" spans="32:32" x14ac:dyDescent="0.2">
      <c r="AF60255" s="12"/>
    </row>
    <row r="60256" spans="32:32" x14ac:dyDescent="0.2">
      <c r="AF60256" s="12"/>
    </row>
    <row r="60257" spans="32:32" x14ac:dyDescent="0.2">
      <c r="AF60257" s="12"/>
    </row>
    <row r="60258" spans="32:32" x14ac:dyDescent="0.2">
      <c r="AF60258" s="12"/>
    </row>
    <row r="60259" spans="32:32" x14ac:dyDescent="0.2">
      <c r="AF60259" s="12"/>
    </row>
    <row r="60260" spans="32:32" x14ac:dyDescent="0.2">
      <c r="AF60260" s="12"/>
    </row>
    <row r="60261" spans="32:32" x14ac:dyDescent="0.2">
      <c r="AF60261" s="12"/>
    </row>
    <row r="60262" spans="32:32" x14ac:dyDescent="0.2">
      <c r="AF60262" s="12"/>
    </row>
    <row r="60263" spans="32:32" x14ac:dyDescent="0.2">
      <c r="AF60263" s="12"/>
    </row>
    <row r="60264" spans="32:32" x14ac:dyDescent="0.2">
      <c r="AF60264" s="12"/>
    </row>
    <row r="60265" spans="32:32" x14ac:dyDescent="0.2">
      <c r="AF60265" s="12"/>
    </row>
    <row r="60266" spans="32:32" x14ac:dyDescent="0.2">
      <c r="AF60266" s="12"/>
    </row>
    <row r="60267" spans="32:32" x14ac:dyDescent="0.2">
      <c r="AF60267" s="12"/>
    </row>
    <row r="60268" spans="32:32" x14ac:dyDescent="0.2">
      <c r="AF60268" s="12"/>
    </row>
    <row r="60269" spans="32:32" x14ac:dyDescent="0.2">
      <c r="AF60269" s="12"/>
    </row>
    <row r="60270" spans="32:32" x14ac:dyDescent="0.2">
      <c r="AF60270" s="12"/>
    </row>
    <row r="60271" spans="32:32" x14ac:dyDescent="0.2">
      <c r="AF60271" s="12"/>
    </row>
    <row r="60272" spans="32:32" x14ac:dyDescent="0.2">
      <c r="AF60272" s="12"/>
    </row>
    <row r="60273" spans="32:32" x14ac:dyDescent="0.2">
      <c r="AF60273" s="12"/>
    </row>
    <row r="60274" spans="32:32" x14ac:dyDescent="0.2">
      <c r="AF60274" s="12"/>
    </row>
    <row r="60275" spans="32:32" x14ac:dyDescent="0.2">
      <c r="AF60275" s="12"/>
    </row>
    <row r="60276" spans="32:32" x14ac:dyDescent="0.2">
      <c r="AF60276" s="12"/>
    </row>
    <row r="60277" spans="32:32" x14ac:dyDescent="0.2">
      <c r="AF60277" s="12"/>
    </row>
    <row r="60278" spans="32:32" x14ac:dyDescent="0.2">
      <c r="AF60278" s="12"/>
    </row>
    <row r="60279" spans="32:32" x14ac:dyDescent="0.2">
      <c r="AF60279" s="12"/>
    </row>
    <row r="60280" spans="32:32" x14ac:dyDescent="0.2">
      <c r="AF60280" s="12"/>
    </row>
    <row r="60281" spans="32:32" x14ac:dyDescent="0.2">
      <c r="AF60281" s="12"/>
    </row>
    <row r="60282" spans="32:32" x14ac:dyDescent="0.2">
      <c r="AF60282" s="12"/>
    </row>
    <row r="60283" spans="32:32" x14ac:dyDescent="0.2">
      <c r="AF60283" s="12"/>
    </row>
    <row r="60284" spans="32:32" x14ac:dyDescent="0.2">
      <c r="AF60284" s="12"/>
    </row>
    <row r="60285" spans="32:32" x14ac:dyDescent="0.2">
      <c r="AF60285" s="12"/>
    </row>
    <row r="60286" spans="32:32" x14ac:dyDescent="0.2">
      <c r="AF60286" s="12"/>
    </row>
    <row r="60287" spans="32:32" x14ac:dyDescent="0.2">
      <c r="AF60287" s="12"/>
    </row>
    <row r="60288" spans="32:32" x14ac:dyDescent="0.2">
      <c r="AF60288" s="12"/>
    </row>
    <row r="60289" spans="32:32" x14ac:dyDescent="0.2">
      <c r="AF60289" s="12"/>
    </row>
    <row r="60290" spans="32:32" x14ac:dyDescent="0.2">
      <c r="AF60290" s="12"/>
    </row>
    <row r="60291" spans="32:32" x14ac:dyDescent="0.2">
      <c r="AF60291" s="12"/>
    </row>
    <row r="60292" spans="32:32" x14ac:dyDescent="0.2">
      <c r="AF60292" s="12"/>
    </row>
    <row r="60293" spans="32:32" x14ac:dyDescent="0.2">
      <c r="AF60293" s="12"/>
    </row>
    <row r="60294" spans="32:32" x14ac:dyDescent="0.2">
      <c r="AF60294" s="12"/>
    </row>
    <row r="60295" spans="32:32" x14ac:dyDescent="0.2">
      <c r="AF60295" s="12"/>
    </row>
    <row r="60296" spans="32:32" x14ac:dyDescent="0.2">
      <c r="AF60296" s="12"/>
    </row>
    <row r="60297" spans="32:32" x14ac:dyDescent="0.2">
      <c r="AF60297" s="12"/>
    </row>
    <row r="60298" spans="32:32" x14ac:dyDescent="0.2">
      <c r="AF60298" s="12"/>
    </row>
    <row r="60299" spans="32:32" x14ac:dyDescent="0.2">
      <c r="AF60299" s="12"/>
    </row>
    <row r="60300" spans="32:32" x14ac:dyDescent="0.2">
      <c r="AF60300" s="12"/>
    </row>
    <row r="60301" spans="32:32" x14ac:dyDescent="0.2">
      <c r="AF60301" s="12"/>
    </row>
    <row r="60302" spans="32:32" x14ac:dyDescent="0.2">
      <c r="AF60302" s="12"/>
    </row>
    <row r="60303" spans="32:32" x14ac:dyDescent="0.2">
      <c r="AF60303" s="12"/>
    </row>
    <row r="60304" spans="32:32" x14ac:dyDescent="0.2">
      <c r="AF60304" s="12"/>
    </row>
    <row r="60305" spans="32:32" x14ac:dyDescent="0.2">
      <c r="AF60305" s="12"/>
    </row>
    <row r="60306" spans="32:32" x14ac:dyDescent="0.2">
      <c r="AF60306" s="12"/>
    </row>
    <row r="60307" spans="32:32" x14ac:dyDescent="0.2">
      <c r="AF60307" s="12"/>
    </row>
    <row r="60308" spans="32:32" x14ac:dyDescent="0.2">
      <c r="AF60308" s="12"/>
    </row>
    <row r="60309" spans="32:32" x14ac:dyDescent="0.2">
      <c r="AF60309" s="12"/>
    </row>
    <row r="60310" spans="32:32" x14ac:dyDescent="0.2">
      <c r="AF60310" s="12"/>
    </row>
    <row r="60311" spans="32:32" x14ac:dyDescent="0.2">
      <c r="AF60311" s="12"/>
    </row>
    <row r="60312" spans="32:32" x14ac:dyDescent="0.2">
      <c r="AF60312" s="12"/>
    </row>
    <row r="60313" spans="32:32" x14ac:dyDescent="0.2">
      <c r="AF60313" s="12"/>
    </row>
    <row r="60314" spans="32:32" x14ac:dyDescent="0.2">
      <c r="AF60314" s="12"/>
    </row>
    <row r="60315" spans="32:32" x14ac:dyDescent="0.2">
      <c r="AF60315" s="12"/>
    </row>
    <row r="60316" spans="32:32" x14ac:dyDescent="0.2">
      <c r="AF60316" s="12"/>
    </row>
    <row r="60317" spans="32:32" x14ac:dyDescent="0.2">
      <c r="AF60317" s="12"/>
    </row>
    <row r="60318" spans="32:32" x14ac:dyDescent="0.2">
      <c r="AF60318" s="12"/>
    </row>
    <row r="60319" spans="32:32" x14ac:dyDescent="0.2">
      <c r="AF60319" s="12"/>
    </row>
    <row r="60320" spans="32:32" x14ac:dyDescent="0.2">
      <c r="AF60320" s="12"/>
    </row>
    <row r="60321" spans="32:32" x14ac:dyDescent="0.2">
      <c r="AF60321" s="12"/>
    </row>
    <row r="60322" spans="32:32" x14ac:dyDescent="0.2">
      <c r="AF60322" s="12"/>
    </row>
    <row r="60323" spans="32:32" x14ac:dyDescent="0.2">
      <c r="AF60323" s="12"/>
    </row>
    <row r="60324" spans="32:32" x14ac:dyDescent="0.2">
      <c r="AF60324" s="12"/>
    </row>
    <row r="60325" spans="32:32" x14ac:dyDescent="0.2">
      <c r="AF60325" s="12"/>
    </row>
    <row r="60326" spans="32:32" x14ac:dyDescent="0.2">
      <c r="AF60326" s="12"/>
    </row>
    <row r="60327" spans="32:32" x14ac:dyDescent="0.2">
      <c r="AF60327" s="12"/>
    </row>
    <row r="60328" spans="32:32" x14ac:dyDescent="0.2">
      <c r="AF60328" s="12"/>
    </row>
    <row r="60329" spans="32:32" x14ac:dyDescent="0.2">
      <c r="AF60329" s="12"/>
    </row>
    <row r="60330" spans="32:32" x14ac:dyDescent="0.2">
      <c r="AF60330" s="12"/>
    </row>
    <row r="60331" spans="32:32" x14ac:dyDescent="0.2">
      <c r="AF60331" s="12"/>
    </row>
    <row r="60332" spans="32:32" x14ac:dyDescent="0.2">
      <c r="AF60332" s="12"/>
    </row>
    <row r="60333" spans="32:32" x14ac:dyDescent="0.2">
      <c r="AF60333" s="12"/>
    </row>
    <row r="60334" spans="32:32" x14ac:dyDescent="0.2">
      <c r="AF60334" s="12"/>
    </row>
    <row r="60335" spans="32:32" x14ac:dyDescent="0.2">
      <c r="AF60335" s="12"/>
    </row>
    <row r="60336" spans="32:32" x14ac:dyDescent="0.2">
      <c r="AF60336" s="12"/>
    </row>
    <row r="60337" spans="32:32" x14ac:dyDescent="0.2">
      <c r="AF60337" s="12"/>
    </row>
    <row r="60338" spans="32:32" x14ac:dyDescent="0.2">
      <c r="AF60338" s="12"/>
    </row>
    <row r="60339" spans="32:32" x14ac:dyDescent="0.2">
      <c r="AF60339" s="12"/>
    </row>
    <row r="60340" spans="32:32" x14ac:dyDescent="0.2">
      <c r="AF60340" s="12"/>
    </row>
    <row r="60341" spans="32:32" x14ac:dyDescent="0.2">
      <c r="AF60341" s="12"/>
    </row>
    <row r="60342" spans="32:32" x14ac:dyDescent="0.2">
      <c r="AF60342" s="12"/>
    </row>
    <row r="60343" spans="32:32" x14ac:dyDescent="0.2">
      <c r="AF60343" s="12"/>
    </row>
    <row r="60344" spans="32:32" x14ac:dyDescent="0.2">
      <c r="AF60344" s="12"/>
    </row>
    <row r="60345" spans="32:32" x14ac:dyDescent="0.2">
      <c r="AF60345" s="12"/>
    </row>
    <row r="60346" spans="32:32" x14ac:dyDescent="0.2">
      <c r="AF60346" s="12"/>
    </row>
    <row r="60347" spans="32:32" x14ac:dyDescent="0.2">
      <c r="AF60347" s="12"/>
    </row>
    <row r="60348" spans="32:32" x14ac:dyDescent="0.2">
      <c r="AF60348" s="12"/>
    </row>
    <row r="60349" spans="32:32" x14ac:dyDescent="0.2">
      <c r="AF60349" s="12"/>
    </row>
    <row r="60350" spans="32:32" x14ac:dyDescent="0.2">
      <c r="AF60350" s="12"/>
    </row>
    <row r="60351" spans="32:32" x14ac:dyDescent="0.2">
      <c r="AF60351" s="12"/>
    </row>
    <row r="60352" spans="32:32" x14ac:dyDescent="0.2">
      <c r="AF60352" s="12"/>
    </row>
    <row r="60353" spans="32:32" x14ac:dyDescent="0.2">
      <c r="AF60353" s="12"/>
    </row>
    <row r="60354" spans="32:32" x14ac:dyDescent="0.2">
      <c r="AF60354" s="12"/>
    </row>
    <row r="60355" spans="32:32" x14ac:dyDescent="0.2">
      <c r="AF60355" s="12"/>
    </row>
    <row r="60356" spans="32:32" x14ac:dyDescent="0.2">
      <c r="AF60356" s="12"/>
    </row>
    <row r="60357" spans="32:32" x14ac:dyDescent="0.2">
      <c r="AF60357" s="12"/>
    </row>
    <row r="60358" spans="32:32" x14ac:dyDescent="0.2">
      <c r="AF60358" s="12"/>
    </row>
    <row r="60359" spans="32:32" x14ac:dyDescent="0.2">
      <c r="AF60359" s="12"/>
    </row>
    <row r="60360" spans="32:32" x14ac:dyDescent="0.2">
      <c r="AF60360" s="12"/>
    </row>
    <row r="60361" spans="32:32" x14ac:dyDescent="0.2">
      <c r="AF60361" s="12"/>
    </row>
    <row r="60362" spans="32:32" x14ac:dyDescent="0.2">
      <c r="AF60362" s="12"/>
    </row>
    <row r="60363" spans="32:32" x14ac:dyDescent="0.2">
      <c r="AF60363" s="12"/>
    </row>
    <row r="60364" spans="32:32" x14ac:dyDescent="0.2">
      <c r="AF60364" s="12"/>
    </row>
    <row r="60365" spans="32:32" x14ac:dyDescent="0.2">
      <c r="AF60365" s="12"/>
    </row>
    <row r="60366" spans="32:32" x14ac:dyDescent="0.2">
      <c r="AF60366" s="12"/>
    </row>
    <row r="60367" spans="32:32" x14ac:dyDescent="0.2">
      <c r="AF60367" s="12"/>
    </row>
    <row r="60368" spans="32:32" x14ac:dyDescent="0.2">
      <c r="AF60368" s="12"/>
    </row>
    <row r="60369" spans="32:32" x14ac:dyDescent="0.2">
      <c r="AF60369" s="12"/>
    </row>
    <row r="60370" spans="32:32" x14ac:dyDescent="0.2">
      <c r="AF60370" s="12"/>
    </row>
    <row r="60371" spans="32:32" x14ac:dyDescent="0.2">
      <c r="AF60371" s="12"/>
    </row>
    <row r="60372" spans="32:32" x14ac:dyDescent="0.2">
      <c r="AF60372" s="12"/>
    </row>
    <row r="60373" spans="32:32" x14ac:dyDescent="0.2">
      <c r="AF60373" s="12"/>
    </row>
    <row r="60374" spans="32:32" x14ac:dyDescent="0.2">
      <c r="AF60374" s="12"/>
    </row>
    <row r="60375" spans="32:32" x14ac:dyDescent="0.2">
      <c r="AF60375" s="12"/>
    </row>
    <row r="60376" spans="32:32" x14ac:dyDescent="0.2">
      <c r="AF60376" s="12"/>
    </row>
    <row r="60377" spans="32:32" x14ac:dyDescent="0.2">
      <c r="AF60377" s="12"/>
    </row>
    <row r="60378" spans="32:32" x14ac:dyDescent="0.2">
      <c r="AF60378" s="12"/>
    </row>
    <row r="60379" spans="32:32" x14ac:dyDescent="0.2">
      <c r="AF60379" s="12"/>
    </row>
    <row r="60380" spans="32:32" x14ac:dyDescent="0.2">
      <c r="AF60380" s="12"/>
    </row>
    <row r="60381" spans="32:32" x14ac:dyDescent="0.2">
      <c r="AF60381" s="12"/>
    </row>
    <row r="60382" spans="32:32" x14ac:dyDescent="0.2">
      <c r="AF60382" s="12"/>
    </row>
    <row r="60383" spans="32:32" x14ac:dyDescent="0.2">
      <c r="AF60383" s="12"/>
    </row>
    <row r="60384" spans="32:32" x14ac:dyDescent="0.2">
      <c r="AF60384" s="12"/>
    </row>
    <row r="60385" spans="32:32" x14ac:dyDescent="0.2">
      <c r="AF60385" s="12"/>
    </row>
    <row r="60386" spans="32:32" x14ac:dyDescent="0.2">
      <c r="AF60386" s="12"/>
    </row>
    <row r="60387" spans="32:32" x14ac:dyDescent="0.2">
      <c r="AF60387" s="12"/>
    </row>
    <row r="60388" spans="32:32" x14ac:dyDescent="0.2">
      <c r="AF60388" s="12"/>
    </row>
    <row r="60389" spans="32:32" x14ac:dyDescent="0.2">
      <c r="AF60389" s="12"/>
    </row>
    <row r="60390" spans="32:32" x14ac:dyDescent="0.2">
      <c r="AF60390" s="12"/>
    </row>
    <row r="60391" spans="32:32" x14ac:dyDescent="0.2">
      <c r="AF60391" s="12"/>
    </row>
    <row r="60392" spans="32:32" x14ac:dyDescent="0.2">
      <c r="AF60392" s="12"/>
    </row>
    <row r="60393" spans="32:32" x14ac:dyDescent="0.2">
      <c r="AF60393" s="12"/>
    </row>
    <row r="60394" spans="32:32" x14ac:dyDescent="0.2">
      <c r="AF60394" s="12"/>
    </row>
    <row r="60395" spans="32:32" x14ac:dyDescent="0.2">
      <c r="AF60395" s="12"/>
    </row>
    <row r="60396" spans="32:32" x14ac:dyDescent="0.2">
      <c r="AF60396" s="12"/>
    </row>
    <row r="60397" spans="32:32" x14ac:dyDescent="0.2">
      <c r="AF60397" s="12"/>
    </row>
    <row r="60398" spans="32:32" x14ac:dyDescent="0.2">
      <c r="AF60398" s="12"/>
    </row>
    <row r="60399" spans="32:32" x14ac:dyDescent="0.2">
      <c r="AF60399" s="12"/>
    </row>
    <row r="60400" spans="32:32" x14ac:dyDescent="0.2">
      <c r="AF60400" s="12"/>
    </row>
    <row r="60401" spans="32:32" x14ac:dyDescent="0.2">
      <c r="AF60401" s="12"/>
    </row>
    <row r="60402" spans="32:32" x14ac:dyDescent="0.2">
      <c r="AF60402" s="12"/>
    </row>
    <row r="60403" spans="32:32" x14ac:dyDescent="0.2">
      <c r="AF60403" s="12"/>
    </row>
    <row r="60404" spans="32:32" x14ac:dyDescent="0.2">
      <c r="AF60404" s="12"/>
    </row>
    <row r="60405" spans="32:32" x14ac:dyDescent="0.2">
      <c r="AF60405" s="12"/>
    </row>
    <row r="60406" spans="32:32" x14ac:dyDescent="0.2">
      <c r="AF60406" s="12"/>
    </row>
    <row r="60407" spans="32:32" x14ac:dyDescent="0.2">
      <c r="AF60407" s="12"/>
    </row>
    <row r="60408" spans="32:32" x14ac:dyDescent="0.2">
      <c r="AF60408" s="12"/>
    </row>
    <row r="60409" spans="32:32" x14ac:dyDescent="0.2">
      <c r="AF60409" s="12"/>
    </row>
    <row r="60410" spans="32:32" x14ac:dyDescent="0.2">
      <c r="AF60410" s="12"/>
    </row>
    <row r="60411" spans="32:32" x14ac:dyDescent="0.2">
      <c r="AF60411" s="12"/>
    </row>
    <row r="60412" spans="32:32" x14ac:dyDescent="0.2">
      <c r="AF60412" s="12"/>
    </row>
    <row r="60413" spans="32:32" x14ac:dyDescent="0.2">
      <c r="AF60413" s="12"/>
    </row>
    <row r="60414" spans="32:32" x14ac:dyDescent="0.2">
      <c r="AF60414" s="12"/>
    </row>
    <row r="60415" spans="32:32" x14ac:dyDescent="0.2">
      <c r="AF60415" s="12"/>
    </row>
    <row r="60416" spans="32:32" x14ac:dyDescent="0.2">
      <c r="AF60416" s="12"/>
    </row>
    <row r="60417" spans="32:32" x14ac:dyDescent="0.2">
      <c r="AF60417" s="12"/>
    </row>
    <row r="60418" spans="32:32" x14ac:dyDescent="0.2">
      <c r="AF60418" s="12"/>
    </row>
    <row r="60419" spans="32:32" x14ac:dyDescent="0.2">
      <c r="AF60419" s="12"/>
    </row>
    <row r="60420" spans="32:32" x14ac:dyDescent="0.2">
      <c r="AF60420" s="12"/>
    </row>
    <row r="60421" spans="32:32" x14ac:dyDescent="0.2">
      <c r="AF60421" s="12"/>
    </row>
    <row r="60422" spans="32:32" x14ac:dyDescent="0.2">
      <c r="AF60422" s="12"/>
    </row>
    <row r="60423" spans="32:32" x14ac:dyDescent="0.2">
      <c r="AF60423" s="12"/>
    </row>
    <row r="60424" spans="32:32" x14ac:dyDescent="0.2">
      <c r="AF60424" s="12"/>
    </row>
    <row r="60425" spans="32:32" x14ac:dyDescent="0.2">
      <c r="AF60425" s="12"/>
    </row>
    <row r="60426" spans="32:32" x14ac:dyDescent="0.2">
      <c r="AF60426" s="12"/>
    </row>
    <row r="60427" spans="32:32" x14ac:dyDescent="0.2">
      <c r="AF60427" s="12"/>
    </row>
    <row r="60428" spans="32:32" x14ac:dyDescent="0.2">
      <c r="AF60428" s="12"/>
    </row>
    <row r="60429" spans="32:32" x14ac:dyDescent="0.2">
      <c r="AF60429" s="12"/>
    </row>
    <row r="60430" spans="32:32" x14ac:dyDescent="0.2">
      <c r="AF60430" s="12"/>
    </row>
    <row r="60431" spans="32:32" x14ac:dyDescent="0.2">
      <c r="AF60431" s="12"/>
    </row>
    <row r="60432" spans="32:32" x14ac:dyDescent="0.2">
      <c r="AF60432" s="12"/>
    </row>
    <row r="60433" spans="32:32" x14ac:dyDescent="0.2">
      <c r="AF60433" s="12"/>
    </row>
    <row r="60434" spans="32:32" x14ac:dyDescent="0.2">
      <c r="AF60434" s="12"/>
    </row>
    <row r="60435" spans="32:32" x14ac:dyDescent="0.2">
      <c r="AF60435" s="12"/>
    </row>
    <row r="60436" spans="32:32" x14ac:dyDescent="0.2">
      <c r="AF60436" s="12"/>
    </row>
    <row r="60437" spans="32:32" x14ac:dyDescent="0.2">
      <c r="AF60437" s="12"/>
    </row>
    <row r="60438" spans="32:32" x14ac:dyDescent="0.2">
      <c r="AF60438" s="12"/>
    </row>
    <row r="60439" spans="32:32" x14ac:dyDescent="0.2">
      <c r="AF60439" s="12"/>
    </row>
    <row r="60440" spans="32:32" x14ac:dyDescent="0.2">
      <c r="AF60440" s="12"/>
    </row>
    <row r="60441" spans="32:32" x14ac:dyDescent="0.2">
      <c r="AF60441" s="12"/>
    </row>
    <row r="60442" spans="32:32" x14ac:dyDescent="0.2">
      <c r="AF60442" s="12"/>
    </row>
    <row r="60443" spans="32:32" x14ac:dyDescent="0.2">
      <c r="AF60443" s="12"/>
    </row>
    <row r="60444" spans="32:32" x14ac:dyDescent="0.2">
      <c r="AF60444" s="12"/>
    </row>
    <row r="60445" spans="32:32" x14ac:dyDescent="0.2">
      <c r="AF60445" s="12"/>
    </row>
    <row r="60446" spans="32:32" x14ac:dyDescent="0.2">
      <c r="AF60446" s="12"/>
    </row>
    <row r="60447" spans="32:32" x14ac:dyDescent="0.2">
      <c r="AF60447" s="12"/>
    </row>
    <row r="60448" spans="32:32" x14ac:dyDescent="0.2">
      <c r="AF60448" s="12"/>
    </row>
    <row r="60449" spans="32:32" x14ac:dyDescent="0.2">
      <c r="AF60449" s="12"/>
    </row>
    <row r="60450" spans="32:32" x14ac:dyDescent="0.2">
      <c r="AF60450" s="12"/>
    </row>
    <row r="60451" spans="32:32" x14ac:dyDescent="0.2">
      <c r="AF60451" s="12"/>
    </row>
    <row r="60452" spans="32:32" x14ac:dyDescent="0.2">
      <c r="AF60452" s="12"/>
    </row>
    <row r="60453" spans="32:32" x14ac:dyDescent="0.2">
      <c r="AF60453" s="12"/>
    </row>
    <row r="60454" spans="32:32" x14ac:dyDescent="0.2">
      <c r="AF60454" s="12"/>
    </row>
    <row r="60455" spans="32:32" x14ac:dyDescent="0.2">
      <c r="AF60455" s="12"/>
    </row>
    <row r="60456" spans="32:32" x14ac:dyDescent="0.2">
      <c r="AF60456" s="12"/>
    </row>
    <row r="60457" spans="32:32" x14ac:dyDescent="0.2">
      <c r="AF60457" s="12"/>
    </row>
    <row r="60458" spans="32:32" x14ac:dyDescent="0.2">
      <c r="AF60458" s="12"/>
    </row>
    <row r="60459" spans="32:32" x14ac:dyDescent="0.2">
      <c r="AF60459" s="12"/>
    </row>
    <row r="60460" spans="32:32" x14ac:dyDescent="0.2">
      <c r="AF60460" s="12"/>
    </row>
    <row r="60461" spans="32:32" x14ac:dyDescent="0.2">
      <c r="AF60461" s="12"/>
    </row>
    <row r="60462" spans="32:32" x14ac:dyDescent="0.2">
      <c r="AF60462" s="12"/>
    </row>
    <row r="60463" spans="32:32" x14ac:dyDescent="0.2">
      <c r="AF60463" s="12"/>
    </row>
    <row r="60464" spans="32:32" x14ac:dyDescent="0.2">
      <c r="AF60464" s="12"/>
    </row>
    <row r="60465" spans="32:32" x14ac:dyDescent="0.2">
      <c r="AF60465" s="12"/>
    </row>
    <row r="60466" spans="32:32" x14ac:dyDescent="0.2">
      <c r="AF60466" s="12"/>
    </row>
    <row r="60467" spans="32:32" x14ac:dyDescent="0.2">
      <c r="AF60467" s="12"/>
    </row>
    <row r="60468" spans="32:32" x14ac:dyDescent="0.2">
      <c r="AF60468" s="12"/>
    </row>
    <row r="60469" spans="32:32" x14ac:dyDescent="0.2">
      <c r="AF60469" s="12"/>
    </row>
    <row r="60470" spans="32:32" x14ac:dyDescent="0.2">
      <c r="AF60470" s="12"/>
    </row>
    <row r="60471" spans="32:32" x14ac:dyDescent="0.2">
      <c r="AF60471" s="12"/>
    </row>
    <row r="60472" spans="32:32" x14ac:dyDescent="0.2">
      <c r="AF60472" s="12"/>
    </row>
    <row r="60473" spans="32:32" x14ac:dyDescent="0.2">
      <c r="AF60473" s="12"/>
    </row>
    <row r="60474" spans="32:32" x14ac:dyDescent="0.2">
      <c r="AF60474" s="12"/>
    </row>
    <row r="60475" spans="32:32" x14ac:dyDescent="0.2">
      <c r="AF60475" s="12"/>
    </row>
    <row r="60476" spans="32:32" x14ac:dyDescent="0.2">
      <c r="AF60476" s="12"/>
    </row>
    <row r="60477" spans="32:32" x14ac:dyDescent="0.2">
      <c r="AF60477" s="12"/>
    </row>
    <row r="60478" spans="32:32" x14ac:dyDescent="0.2">
      <c r="AF60478" s="12"/>
    </row>
    <row r="60479" spans="32:32" x14ac:dyDescent="0.2">
      <c r="AF60479" s="12"/>
    </row>
    <row r="60480" spans="32:32" x14ac:dyDescent="0.2">
      <c r="AF60480" s="12"/>
    </row>
    <row r="60481" spans="32:32" x14ac:dyDescent="0.2">
      <c r="AF60481" s="12"/>
    </row>
    <row r="60482" spans="32:32" x14ac:dyDescent="0.2">
      <c r="AF60482" s="12"/>
    </row>
    <row r="60483" spans="32:32" x14ac:dyDescent="0.2">
      <c r="AF60483" s="12"/>
    </row>
    <row r="60484" spans="32:32" x14ac:dyDescent="0.2">
      <c r="AF60484" s="12"/>
    </row>
    <row r="60485" spans="32:32" x14ac:dyDescent="0.2">
      <c r="AF60485" s="12"/>
    </row>
    <row r="60486" spans="32:32" x14ac:dyDescent="0.2">
      <c r="AF60486" s="12"/>
    </row>
    <row r="60487" spans="32:32" x14ac:dyDescent="0.2">
      <c r="AF60487" s="12"/>
    </row>
    <row r="60488" spans="32:32" x14ac:dyDescent="0.2">
      <c r="AF60488" s="12"/>
    </row>
    <row r="60489" spans="32:32" x14ac:dyDescent="0.2">
      <c r="AF60489" s="12"/>
    </row>
    <row r="60490" spans="32:32" x14ac:dyDescent="0.2">
      <c r="AF60490" s="12"/>
    </row>
    <row r="60491" spans="32:32" x14ac:dyDescent="0.2">
      <c r="AF60491" s="12"/>
    </row>
    <row r="60492" spans="32:32" x14ac:dyDescent="0.2">
      <c r="AF60492" s="12"/>
    </row>
    <row r="60493" spans="32:32" x14ac:dyDescent="0.2">
      <c r="AF60493" s="12"/>
    </row>
    <row r="60494" spans="32:32" x14ac:dyDescent="0.2">
      <c r="AF60494" s="12"/>
    </row>
    <row r="60495" spans="32:32" x14ac:dyDescent="0.2">
      <c r="AF60495" s="12"/>
    </row>
    <row r="60496" spans="32:32" x14ac:dyDescent="0.2">
      <c r="AF60496" s="12"/>
    </row>
    <row r="60497" spans="32:32" x14ac:dyDescent="0.2">
      <c r="AF60497" s="12"/>
    </row>
    <row r="60498" spans="32:32" x14ac:dyDescent="0.2">
      <c r="AF60498" s="12"/>
    </row>
    <row r="60499" spans="32:32" x14ac:dyDescent="0.2">
      <c r="AF60499" s="12"/>
    </row>
    <row r="60500" spans="32:32" x14ac:dyDescent="0.2">
      <c r="AF60500" s="12"/>
    </row>
    <row r="60501" spans="32:32" x14ac:dyDescent="0.2">
      <c r="AF60501" s="12"/>
    </row>
    <row r="60502" spans="32:32" x14ac:dyDescent="0.2">
      <c r="AF60502" s="12"/>
    </row>
    <row r="60503" spans="32:32" x14ac:dyDescent="0.2">
      <c r="AF60503" s="12"/>
    </row>
    <row r="60504" spans="32:32" x14ac:dyDescent="0.2">
      <c r="AF60504" s="12"/>
    </row>
    <row r="60505" spans="32:32" x14ac:dyDescent="0.2">
      <c r="AF60505" s="12"/>
    </row>
    <row r="60506" spans="32:32" x14ac:dyDescent="0.2">
      <c r="AF60506" s="12"/>
    </row>
    <row r="60507" spans="32:32" x14ac:dyDescent="0.2">
      <c r="AF60507" s="12"/>
    </row>
    <row r="60508" spans="32:32" x14ac:dyDescent="0.2">
      <c r="AF60508" s="12"/>
    </row>
    <row r="60509" spans="32:32" x14ac:dyDescent="0.2">
      <c r="AF60509" s="12"/>
    </row>
    <row r="60510" spans="32:32" x14ac:dyDescent="0.2">
      <c r="AF60510" s="12"/>
    </row>
    <row r="60511" spans="32:32" x14ac:dyDescent="0.2">
      <c r="AF60511" s="12"/>
    </row>
    <row r="60512" spans="32:32" x14ac:dyDescent="0.2">
      <c r="AF60512" s="12"/>
    </row>
    <row r="60513" spans="32:32" x14ac:dyDescent="0.2">
      <c r="AF60513" s="12"/>
    </row>
    <row r="60514" spans="32:32" x14ac:dyDescent="0.2">
      <c r="AF60514" s="12"/>
    </row>
    <row r="60515" spans="32:32" x14ac:dyDescent="0.2">
      <c r="AF60515" s="12"/>
    </row>
    <row r="60516" spans="32:32" x14ac:dyDescent="0.2">
      <c r="AF60516" s="12"/>
    </row>
    <row r="60517" spans="32:32" x14ac:dyDescent="0.2">
      <c r="AF60517" s="12"/>
    </row>
    <row r="60518" spans="32:32" x14ac:dyDescent="0.2">
      <c r="AF60518" s="12"/>
    </row>
    <row r="60519" spans="32:32" x14ac:dyDescent="0.2">
      <c r="AF60519" s="12"/>
    </row>
    <row r="60520" spans="32:32" x14ac:dyDescent="0.2">
      <c r="AF60520" s="12"/>
    </row>
    <row r="60521" spans="32:32" x14ac:dyDescent="0.2">
      <c r="AF60521" s="12"/>
    </row>
    <row r="60522" spans="32:32" x14ac:dyDescent="0.2">
      <c r="AF60522" s="12"/>
    </row>
    <row r="60523" spans="32:32" x14ac:dyDescent="0.2">
      <c r="AF60523" s="12"/>
    </row>
    <row r="60524" spans="32:32" x14ac:dyDescent="0.2">
      <c r="AF60524" s="12"/>
    </row>
    <row r="60525" spans="32:32" x14ac:dyDescent="0.2">
      <c r="AF60525" s="12"/>
    </row>
    <row r="60526" spans="32:32" x14ac:dyDescent="0.2">
      <c r="AF60526" s="12"/>
    </row>
    <row r="60527" spans="32:32" x14ac:dyDescent="0.2">
      <c r="AF60527" s="12"/>
    </row>
    <row r="60528" spans="32:32" x14ac:dyDescent="0.2">
      <c r="AF60528" s="12"/>
    </row>
    <row r="60529" spans="32:32" x14ac:dyDescent="0.2">
      <c r="AF60529" s="12"/>
    </row>
    <row r="60530" spans="32:32" x14ac:dyDescent="0.2">
      <c r="AF60530" s="12"/>
    </row>
    <row r="60531" spans="32:32" x14ac:dyDescent="0.2">
      <c r="AF60531" s="12"/>
    </row>
    <row r="60532" spans="32:32" x14ac:dyDescent="0.2">
      <c r="AF60532" s="12"/>
    </row>
    <row r="60533" spans="32:32" x14ac:dyDescent="0.2">
      <c r="AF60533" s="12"/>
    </row>
    <row r="60534" spans="32:32" x14ac:dyDescent="0.2">
      <c r="AF60534" s="12"/>
    </row>
    <row r="60535" spans="32:32" x14ac:dyDescent="0.2">
      <c r="AF60535" s="12"/>
    </row>
    <row r="60536" spans="32:32" x14ac:dyDescent="0.2">
      <c r="AF60536" s="12"/>
    </row>
    <row r="60537" spans="32:32" x14ac:dyDescent="0.2">
      <c r="AF60537" s="12"/>
    </row>
    <row r="60538" spans="32:32" x14ac:dyDescent="0.2">
      <c r="AF60538" s="12"/>
    </row>
    <row r="60539" spans="32:32" x14ac:dyDescent="0.2">
      <c r="AF60539" s="12"/>
    </row>
    <row r="60540" spans="32:32" x14ac:dyDescent="0.2">
      <c r="AF60540" s="12"/>
    </row>
    <row r="60541" spans="32:32" x14ac:dyDescent="0.2">
      <c r="AF60541" s="12"/>
    </row>
    <row r="60542" spans="32:32" x14ac:dyDescent="0.2">
      <c r="AF60542" s="12"/>
    </row>
    <row r="60543" spans="32:32" x14ac:dyDescent="0.2">
      <c r="AF60543" s="12"/>
    </row>
    <row r="60544" spans="32:32" x14ac:dyDescent="0.2">
      <c r="AF60544" s="12"/>
    </row>
    <row r="60545" spans="32:32" x14ac:dyDescent="0.2">
      <c r="AF60545" s="12"/>
    </row>
    <row r="60546" spans="32:32" x14ac:dyDescent="0.2">
      <c r="AF60546" s="12"/>
    </row>
    <row r="60547" spans="32:32" x14ac:dyDescent="0.2">
      <c r="AF60547" s="12"/>
    </row>
    <row r="60548" spans="32:32" x14ac:dyDescent="0.2">
      <c r="AF60548" s="12"/>
    </row>
    <row r="60549" spans="32:32" x14ac:dyDescent="0.2">
      <c r="AF60549" s="12"/>
    </row>
    <row r="60550" spans="32:32" x14ac:dyDescent="0.2">
      <c r="AF60550" s="12"/>
    </row>
    <row r="60551" spans="32:32" x14ac:dyDescent="0.2">
      <c r="AF60551" s="12"/>
    </row>
    <row r="60552" spans="32:32" x14ac:dyDescent="0.2">
      <c r="AF60552" s="12"/>
    </row>
    <row r="60553" spans="32:32" x14ac:dyDescent="0.2">
      <c r="AF60553" s="12"/>
    </row>
    <row r="60554" spans="32:32" x14ac:dyDescent="0.2">
      <c r="AF60554" s="12"/>
    </row>
    <row r="60555" spans="32:32" x14ac:dyDescent="0.2">
      <c r="AF60555" s="12"/>
    </row>
    <row r="60556" spans="32:32" x14ac:dyDescent="0.2">
      <c r="AF60556" s="12"/>
    </row>
    <row r="60557" spans="32:32" x14ac:dyDescent="0.2">
      <c r="AF60557" s="12"/>
    </row>
    <row r="60558" spans="32:32" x14ac:dyDescent="0.2">
      <c r="AF60558" s="12"/>
    </row>
    <row r="60559" spans="32:32" x14ac:dyDescent="0.2">
      <c r="AF60559" s="12"/>
    </row>
    <row r="60560" spans="32:32" x14ac:dyDescent="0.2">
      <c r="AF60560" s="12"/>
    </row>
    <row r="60561" spans="32:32" x14ac:dyDescent="0.2">
      <c r="AF60561" s="12"/>
    </row>
    <row r="60562" spans="32:32" x14ac:dyDescent="0.2">
      <c r="AF60562" s="12"/>
    </row>
    <row r="60563" spans="32:32" x14ac:dyDescent="0.2">
      <c r="AF60563" s="12"/>
    </row>
    <row r="60564" spans="32:32" x14ac:dyDescent="0.2">
      <c r="AF60564" s="12"/>
    </row>
    <row r="60565" spans="32:32" x14ac:dyDescent="0.2">
      <c r="AF60565" s="12"/>
    </row>
    <row r="60566" spans="32:32" x14ac:dyDescent="0.2">
      <c r="AF60566" s="12"/>
    </row>
    <row r="60567" spans="32:32" x14ac:dyDescent="0.2">
      <c r="AF60567" s="12"/>
    </row>
    <row r="60568" spans="32:32" x14ac:dyDescent="0.2">
      <c r="AF60568" s="12"/>
    </row>
    <row r="60569" spans="32:32" x14ac:dyDescent="0.2">
      <c r="AF60569" s="12"/>
    </row>
    <row r="60570" spans="32:32" x14ac:dyDescent="0.2">
      <c r="AF60570" s="12"/>
    </row>
    <row r="60571" spans="32:32" x14ac:dyDescent="0.2">
      <c r="AF60571" s="12"/>
    </row>
    <row r="60572" spans="32:32" x14ac:dyDescent="0.2">
      <c r="AF60572" s="12"/>
    </row>
    <row r="60573" spans="32:32" x14ac:dyDescent="0.2">
      <c r="AF60573" s="12"/>
    </row>
    <row r="60574" spans="32:32" x14ac:dyDescent="0.2">
      <c r="AF60574" s="12"/>
    </row>
    <row r="60575" spans="32:32" x14ac:dyDescent="0.2">
      <c r="AF60575" s="12"/>
    </row>
    <row r="60576" spans="32:32" x14ac:dyDescent="0.2">
      <c r="AF60576" s="12"/>
    </row>
    <row r="60577" spans="32:32" x14ac:dyDescent="0.2">
      <c r="AF60577" s="12"/>
    </row>
    <row r="60578" spans="32:32" x14ac:dyDescent="0.2">
      <c r="AF60578" s="12"/>
    </row>
    <row r="60579" spans="32:32" x14ac:dyDescent="0.2">
      <c r="AF60579" s="12"/>
    </row>
    <row r="60580" spans="32:32" x14ac:dyDescent="0.2">
      <c r="AF60580" s="12"/>
    </row>
    <row r="60581" spans="32:32" x14ac:dyDescent="0.2">
      <c r="AF60581" s="12"/>
    </row>
    <row r="60582" spans="32:32" x14ac:dyDescent="0.2">
      <c r="AF60582" s="12"/>
    </row>
    <row r="60583" spans="32:32" x14ac:dyDescent="0.2">
      <c r="AF60583" s="12"/>
    </row>
    <row r="60584" spans="32:32" x14ac:dyDescent="0.2">
      <c r="AF60584" s="12"/>
    </row>
    <row r="60585" spans="32:32" x14ac:dyDescent="0.2">
      <c r="AF60585" s="12"/>
    </row>
    <row r="60586" spans="32:32" x14ac:dyDescent="0.2">
      <c r="AF60586" s="12"/>
    </row>
    <row r="60587" spans="32:32" x14ac:dyDescent="0.2">
      <c r="AF60587" s="12"/>
    </row>
    <row r="60588" spans="32:32" x14ac:dyDescent="0.2">
      <c r="AF60588" s="12"/>
    </row>
    <row r="60589" spans="32:32" x14ac:dyDescent="0.2">
      <c r="AF60589" s="12"/>
    </row>
    <row r="60590" spans="32:32" x14ac:dyDescent="0.2">
      <c r="AF60590" s="12"/>
    </row>
    <row r="60591" spans="32:32" x14ac:dyDescent="0.2">
      <c r="AF60591" s="12"/>
    </row>
    <row r="60592" spans="32:32" x14ac:dyDescent="0.2">
      <c r="AF60592" s="12"/>
    </row>
    <row r="60593" spans="32:32" x14ac:dyDescent="0.2">
      <c r="AF60593" s="12"/>
    </row>
    <row r="60594" spans="32:32" x14ac:dyDescent="0.2">
      <c r="AF60594" s="12"/>
    </row>
    <row r="60595" spans="32:32" x14ac:dyDescent="0.2">
      <c r="AF60595" s="12"/>
    </row>
    <row r="60596" spans="32:32" x14ac:dyDescent="0.2">
      <c r="AF60596" s="12"/>
    </row>
    <row r="60597" spans="32:32" x14ac:dyDescent="0.2">
      <c r="AF60597" s="12"/>
    </row>
    <row r="60598" spans="32:32" x14ac:dyDescent="0.2">
      <c r="AF60598" s="12"/>
    </row>
    <row r="60599" spans="32:32" x14ac:dyDescent="0.2">
      <c r="AF60599" s="12"/>
    </row>
    <row r="60600" spans="32:32" x14ac:dyDescent="0.2">
      <c r="AF60600" s="12"/>
    </row>
    <row r="60601" spans="32:32" x14ac:dyDescent="0.2">
      <c r="AF60601" s="12"/>
    </row>
    <row r="60602" spans="32:32" x14ac:dyDescent="0.2">
      <c r="AF60602" s="12"/>
    </row>
    <row r="60603" spans="32:32" x14ac:dyDescent="0.2">
      <c r="AF60603" s="12"/>
    </row>
    <row r="60604" spans="32:32" x14ac:dyDescent="0.2">
      <c r="AF60604" s="12"/>
    </row>
    <row r="60605" spans="32:32" x14ac:dyDescent="0.2">
      <c r="AF60605" s="12"/>
    </row>
    <row r="60606" spans="32:32" x14ac:dyDescent="0.2">
      <c r="AF60606" s="12"/>
    </row>
    <row r="60607" spans="32:32" x14ac:dyDescent="0.2">
      <c r="AF60607" s="12"/>
    </row>
    <row r="60608" spans="32:32" x14ac:dyDescent="0.2">
      <c r="AF60608" s="12"/>
    </row>
    <row r="60609" spans="32:32" x14ac:dyDescent="0.2">
      <c r="AF60609" s="12"/>
    </row>
    <row r="60610" spans="32:32" x14ac:dyDescent="0.2">
      <c r="AF60610" s="12"/>
    </row>
    <row r="60611" spans="32:32" x14ac:dyDescent="0.2">
      <c r="AF60611" s="12"/>
    </row>
    <row r="60612" spans="32:32" x14ac:dyDescent="0.2">
      <c r="AF60612" s="12"/>
    </row>
    <row r="60613" spans="32:32" x14ac:dyDescent="0.2">
      <c r="AF60613" s="12"/>
    </row>
    <row r="60614" spans="32:32" x14ac:dyDescent="0.2">
      <c r="AF60614" s="12"/>
    </row>
    <row r="60615" spans="32:32" x14ac:dyDescent="0.2">
      <c r="AF60615" s="12"/>
    </row>
    <row r="60616" spans="32:32" x14ac:dyDescent="0.2">
      <c r="AF60616" s="12"/>
    </row>
    <row r="60617" spans="32:32" x14ac:dyDescent="0.2">
      <c r="AF60617" s="12"/>
    </row>
    <row r="60618" spans="32:32" x14ac:dyDescent="0.2">
      <c r="AF60618" s="12"/>
    </row>
    <row r="60619" spans="32:32" x14ac:dyDescent="0.2">
      <c r="AF60619" s="12"/>
    </row>
    <row r="60620" spans="32:32" x14ac:dyDescent="0.2">
      <c r="AF60620" s="12"/>
    </row>
    <row r="60621" spans="32:32" x14ac:dyDescent="0.2">
      <c r="AF60621" s="12"/>
    </row>
    <row r="60622" spans="32:32" x14ac:dyDescent="0.2">
      <c r="AF60622" s="12"/>
    </row>
    <row r="60623" spans="32:32" x14ac:dyDescent="0.2">
      <c r="AF60623" s="12"/>
    </row>
    <row r="60624" spans="32:32" x14ac:dyDescent="0.2">
      <c r="AF60624" s="12"/>
    </row>
    <row r="60625" spans="32:32" x14ac:dyDescent="0.2">
      <c r="AF60625" s="12"/>
    </row>
    <row r="60626" spans="32:32" x14ac:dyDescent="0.2">
      <c r="AF60626" s="12"/>
    </row>
    <row r="60627" spans="32:32" x14ac:dyDescent="0.2">
      <c r="AF60627" s="12"/>
    </row>
    <row r="60628" spans="32:32" x14ac:dyDescent="0.2">
      <c r="AF60628" s="12"/>
    </row>
    <row r="60629" spans="32:32" x14ac:dyDescent="0.2">
      <c r="AF60629" s="12"/>
    </row>
    <row r="60630" spans="32:32" x14ac:dyDescent="0.2">
      <c r="AF60630" s="12"/>
    </row>
    <row r="60631" spans="32:32" x14ac:dyDescent="0.2">
      <c r="AF60631" s="12"/>
    </row>
    <row r="60632" spans="32:32" x14ac:dyDescent="0.2">
      <c r="AF60632" s="12"/>
    </row>
    <row r="60633" spans="32:32" x14ac:dyDescent="0.2">
      <c r="AF60633" s="12"/>
    </row>
    <row r="60634" spans="32:32" x14ac:dyDescent="0.2">
      <c r="AF60634" s="12"/>
    </row>
    <row r="60635" spans="32:32" x14ac:dyDescent="0.2">
      <c r="AF60635" s="12"/>
    </row>
    <row r="60636" spans="32:32" x14ac:dyDescent="0.2">
      <c r="AF60636" s="12"/>
    </row>
    <row r="60637" spans="32:32" x14ac:dyDescent="0.2">
      <c r="AF60637" s="12"/>
    </row>
    <row r="60638" spans="32:32" x14ac:dyDescent="0.2">
      <c r="AF60638" s="12"/>
    </row>
    <row r="60639" spans="32:32" x14ac:dyDescent="0.2">
      <c r="AF60639" s="12"/>
    </row>
    <row r="60640" spans="32:32" x14ac:dyDescent="0.2">
      <c r="AF60640" s="12"/>
    </row>
    <row r="60641" spans="32:32" x14ac:dyDescent="0.2">
      <c r="AF60641" s="12"/>
    </row>
    <row r="60642" spans="32:32" x14ac:dyDescent="0.2">
      <c r="AF60642" s="12"/>
    </row>
    <row r="60643" spans="32:32" x14ac:dyDescent="0.2">
      <c r="AF60643" s="12"/>
    </row>
    <row r="60644" spans="32:32" x14ac:dyDescent="0.2">
      <c r="AF60644" s="12"/>
    </row>
    <row r="60645" spans="32:32" x14ac:dyDescent="0.2">
      <c r="AF60645" s="12"/>
    </row>
    <row r="60646" spans="32:32" x14ac:dyDescent="0.2">
      <c r="AF60646" s="12"/>
    </row>
    <row r="60647" spans="32:32" x14ac:dyDescent="0.2">
      <c r="AF60647" s="12"/>
    </row>
    <row r="60648" spans="32:32" x14ac:dyDescent="0.2">
      <c r="AF60648" s="12"/>
    </row>
    <row r="60649" spans="32:32" x14ac:dyDescent="0.2">
      <c r="AF60649" s="12"/>
    </row>
    <row r="60650" spans="32:32" x14ac:dyDescent="0.2">
      <c r="AF60650" s="12"/>
    </row>
    <row r="60651" spans="32:32" x14ac:dyDescent="0.2">
      <c r="AF60651" s="12"/>
    </row>
    <row r="60652" spans="32:32" x14ac:dyDescent="0.2">
      <c r="AF60652" s="12"/>
    </row>
    <row r="60653" spans="32:32" x14ac:dyDescent="0.2">
      <c r="AF60653" s="12"/>
    </row>
    <row r="60654" spans="32:32" x14ac:dyDescent="0.2">
      <c r="AF60654" s="12"/>
    </row>
    <row r="60655" spans="32:32" x14ac:dyDescent="0.2">
      <c r="AF60655" s="12"/>
    </row>
    <row r="60656" spans="32:32" x14ac:dyDescent="0.2">
      <c r="AF60656" s="12"/>
    </row>
    <row r="60657" spans="32:32" x14ac:dyDescent="0.2">
      <c r="AF60657" s="12"/>
    </row>
    <row r="60658" spans="32:32" x14ac:dyDescent="0.2">
      <c r="AF60658" s="12"/>
    </row>
    <row r="60659" spans="32:32" x14ac:dyDescent="0.2">
      <c r="AF60659" s="12"/>
    </row>
    <row r="60660" spans="32:32" x14ac:dyDescent="0.2">
      <c r="AF60660" s="12"/>
    </row>
    <row r="60661" spans="32:32" x14ac:dyDescent="0.2">
      <c r="AF60661" s="12"/>
    </row>
    <row r="60662" spans="32:32" x14ac:dyDescent="0.2">
      <c r="AF60662" s="12"/>
    </row>
    <row r="60663" spans="32:32" x14ac:dyDescent="0.2">
      <c r="AF60663" s="12"/>
    </row>
    <row r="60664" spans="32:32" x14ac:dyDescent="0.2">
      <c r="AF60664" s="12"/>
    </row>
    <row r="60665" spans="32:32" x14ac:dyDescent="0.2">
      <c r="AF60665" s="12"/>
    </row>
    <row r="60666" spans="32:32" x14ac:dyDescent="0.2">
      <c r="AF60666" s="12"/>
    </row>
    <row r="60667" spans="32:32" x14ac:dyDescent="0.2">
      <c r="AF60667" s="12"/>
    </row>
    <row r="60668" spans="32:32" x14ac:dyDescent="0.2">
      <c r="AF60668" s="12"/>
    </row>
    <row r="60669" spans="32:32" x14ac:dyDescent="0.2">
      <c r="AF60669" s="12"/>
    </row>
    <row r="60670" spans="32:32" x14ac:dyDescent="0.2">
      <c r="AF60670" s="12"/>
    </row>
    <row r="60671" spans="32:32" x14ac:dyDescent="0.2">
      <c r="AF60671" s="12"/>
    </row>
    <row r="60672" spans="32:32" x14ac:dyDescent="0.2">
      <c r="AF60672" s="12"/>
    </row>
    <row r="60673" spans="32:32" x14ac:dyDescent="0.2">
      <c r="AF60673" s="12"/>
    </row>
    <row r="60674" spans="32:32" x14ac:dyDescent="0.2">
      <c r="AF60674" s="12"/>
    </row>
    <row r="60675" spans="32:32" x14ac:dyDescent="0.2">
      <c r="AF60675" s="12"/>
    </row>
    <row r="60676" spans="32:32" x14ac:dyDescent="0.2">
      <c r="AF60676" s="12"/>
    </row>
    <row r="60677" spans="32:32" x14ac:dyDescent="0.2">
      <c r="AF60677" s="12"/>
    </row>
    <row r="60678" spans="32:32" x14ac:dyDescent="0.2">
      <c r="AF60678" s="12"/>
    </row>
    <row r="60679" spans="32:32" x14ac:dyDescent="0.2">
      <c r="AF60679" s="12"/>
    </row>
    <row r="60680" spans="32:32" x14ac:dyDescent="0.2">
      <c r="AF60680" s="12"/>
    </row>
    <row r="60681" spans="32:32" x14ac:dyDescent="0.2">
      <c r="AF60681" s="12"/>
    </row>
    <row r="60682" spans="32:32" x14ac:dyDescent="0.2">
      <c r="AF60682" s="12"/>
    </row>
    <row r="60683" spans="32:32" x14ac:dyDescent="0.2">
      <c r="AF60683" s="12"/>
    </row>
    <row r="60684" spans="32:32" x14ac:dyDescent="0.2">
      <c r="AF60684" s="12"/>
    </row>
    <row r="60685" spans="32:32" x14ac:dyDescent="0.2">
      <c r="AF60685" s="12"/>
    </row>
    <row r="60686" spans="32:32" x14ac:dyDescent="0.2">
      <c r="AF60686" s="12"/>
    </row>
    <row r="60687" spans="32:32" x14ac:dyDescent="0.2">
      <c r="AF60687" s="12"/>
    </row>
    <row r="60688" spans="32:32" x14ac:dyDescent="0.2">
      <c r="AF60688" s="12"/>
    </row>
    <row r="60689" spans="32:32" x14ac:dyDescent="0.2">
      <c r="AF60689" s="12"/>
    </row>
    <row r="60690" spans="32:32" x14ac:dyDescent="0.2">
      <c r="AF60690" s="12"/>
    </row>
    <row r="60691" spans="32:32" x14ac:dyDescent="0.2">
      <c r="AF60691" s="12"/>
    </row>
    <row r="60692" spans="32:32" x14ac:dyDescent="0.2">
      <c r="AF60692" s="12"/>
    </row>
    <row r="60693" spans="32:32" x14ac:dyDescent="0.2">
      <c r="AF60693" s="12"/>
    </row>
    <row r="60694" spans="32:32" x14ac:dyDescent="0.2">
      <c r="AF60694" s="12"/>
    </row>
    <row r="60695" spans="32:32" x14ac:dyDescent="0.2">
      <c r="AF60695" s="12"/>
    </row>
    <row r="60696" spans="32:32" x14ac:dyDescent="0.2">
      <c r="AF60696" s="12"/>
    </row>
    <row r="60697" spans="32:32" x14ac:dyDescent="0.2">
      <c r="AF60697" s="12"/>
    </row>
    <row r="60698" spans="32:32" x14ac:dyDescent="0.2">
      <c r="AF60698" s="12"/>
    </row>
    <row r="60699" spans="32:32" x14ac:dyDescent="0.2">
      <c r="AF60699" s="12"/>
    </row>
    <row r="60700" spans="32:32" x14ac:dyDescent="0.2">
      <c r="AF60700" s="12"/>
    </row>
    <row r="60701" spans="32:32" x14ac:dyDescent="0.2">
      <c r="AF60701" s="12"/>
    </row>
    <row r="60702" spans="32:32" x14ac:dyDescent="0.2">
      <c r="AF60702" s="12"/>
    </row>
    <row r="60703" spans="32:32" x14ac:dyDescent="0.2">
      <c r="AF60703" s="12"/>
    </row>
    <row r="60704" spans="32:32" x14ac:dyDescent="0.2">
      <c r="AF60704" s="12"/>
    </row>
    <row r="60705" spans="32:32" x14ac:dyDescent="0.2">
      <c r="AF60705" s="12"/>
    </row>
    <row r="60706" spans="32:32" x14ac:dyDescent="0.2">
      <c r="AF60706" s="12"/>
    </row>
    <row r="60707" spans="32:32" x14ac:dyDescent="0.2">
      <c r="AF60707" s="12"/>
    </row>
    <row r="60708" spans="32:32" x14ac:dyDescent="0.2">
      <c r="AF60708" s="12"/>
    </row>
    <row r="60709" spans="32:32" x14ac:dyDescent="0.2">
      <c r="AF60709" s="12"/>
    </row>
    <row r="60710" spans="32:32" x14ac:dyDescent="0.2">
      <c r="AF60710" s="12"/>
    </row>
    <row r="60711" spans="32:32" x14ac:dyDescent="0.2">
      <c r="AF60711" s="12"/>
    </row>
    <row r="60712" spans="32:32" x14ac:dyDescent="0.2">
      <c r="AF60712" s="12"/>
    </row>
    <row r="60713" spans="32:32" x14ac:dyDescent="0.2">
      <c r="AF60713" s="12"/>
    </row>
    <row r="60714" spans="32:32" x14ac:dyDescent="0.2">
      <c r="AF60714" s="12"/>
    </row>
    <row r="60715" spans="32:32" x14ac:dyDescent="0.2">
      <c r="AF60715" s="12"/>
    </row>
    <row r="60716" spans="32:32" x14ac:dyDescent="0.2">
      <c r="AF60716" s="12"/>
    </row>
    <row r="60717" spans="32:32" x14ac:dyDescent="0.2">
      <c r="AF60717" s="12"/>
    </row>
    <row r="60718" spans="32:32" x14ac:dyDescent="0.2">
      <c r="AF60718" s="12"/>
    </row>
    <row r="60719" spans="32:32" x14ac:dyDescent="0.2">
      <c r="AF60719" s="12"/>
    </row>
    <row r="60720" spans="32:32" x14ac:dyDescent="0.2">
      <c r="AF60720" s="12"/>
    </row>
    <row r="60721" spans="32:32" x14ac:dyDescent="0.2">
      <c r="AF60721" s="12"/>
    </row>
    <row r="60722" spans="32:32" x14ac:dyDescent="0.2">
      <c r="AF60722" s="12"/>
    </row>
    <row r="60723" spans="32:32" x14ac:dyDescent="0.2">
      <c r="AF60723" s="12"/>
    </row>
    <row r="60724" spans="32:32" x14ac:dyDescent="0.2">
      <c r="AF60724" s="12"/>
    </row>
    <row r="60725" spans="32:32" x14ac:dyDescent="0.2">
      <c r="AF60725" s="12"/>
    </row>
    <row r="60726" spans="32:32" x14ac:dyDescent="0.2">
      <c r="AF60726" s="12"/>
    </row>
    <row r="60727" spans="32:32" x14ac:dyDescent="0.2">
      <c r="AF60727" s="12"/>
    </row>
    <row r="60728" spans="32:32" x14ac:dyDescent="0.2">
      <c r="AF60728" s="12"/>
    </row>
    <row r="60729" spans="32:32" x14ac:dyDescent="0.2">
      <c r="AF60729" s="12"/>
    </row>
    <row r="60730" spans="32:32" x14ac:dyDescent="0.2">
      <c r="AF60730" s="12"/>
    </row>
    <row r="60731" spans="32:32" x14ac:dyDescent="0.2">
      <c r="AF60731" s="12"/>
    </row>
    <row r="60732" spans="32:32" x14ac:dyDescent="0.2">
      <c r="AF60732" s="12"/>
    </row>
    <row r="60733" spans="32:32" x14ac:dyDescent="0.2">
      <c r="AF60733" s="12"/>
    </row>
    <row r="60734" spans="32:32" x14ac:dyDescent="0.2">
      <c r="AF60734" s="12"/>
    </row>
    <row r="60735" spans="32:32" x14ac:dyDescent="0.2">
      <c r="AF60735" s="12"/>
    </row>
    <row r="60736" spans="32:32" x14ac:dyDescent="0.2">
      <c r="AF60736" s="12"/>
    </row>
    <row r="60737" spans="32:32" x14ac:dyDescent="0.2">
      <c r="AF60737" s="12"/>
    </row>
    <row r="60738" spans="32:32" x14ac:dyDescent="0.2">
      <c r="AF60738" s="12"/>
    </row>
    <row r="60739" spans="32:32" x14ac:dyDescent="0.2">
      <c r="AF60739" s="12"/>
    </row>
    <row r="60740" spans="32:32" x14ac:dyDescent="0.2">
      <c r="AF60740" s="12"/>
    </row>
    <row r="60741" spans="32:32" x14ac:dyDescent="0.2">
      <c r="AF60741" s="12"/>
    </row>
    <row r="60742" spans="32:32" x14ac:dyDescent="0.2">
      <c r="AF60742" s="12"/>
    </row>
    <row r="60743" spans="32:32" x14ac:dyDescent="0.2">
      <c r="AF60743" s="12"/>
    </row>
    <row r="60744" spans="32:32" x14ac:dyDescent="0.2">
      <c r="AF60744" s="12"/>
    </row>
    <row r="60745" spans="32:32" x14ac:dyDescent="0.2">
      <c r="AF60745" s="12"/>
    </row>
    <row r="60746" spans="32:32" x14ac:dyDescent="0.2">
      <c r="AF60746" s="12"/>
    </row>
    <row r="60747" spans="32:32" x14ac:dyDescent="0.2">
      <c r="AF60747" s="12"/>
    </row>
    <row r="60748" spans="32:32" x14ac:dyDescent="0.2">
      <c r="AF60748" s="12"/>
    </row>
    <row r="60749" spans="32:32" x14ac:dyDescent="0.2">
      <c r="AF60749" s="12"/>
    </row>
    <row r="60750" spans="32:32" x14ac:dyDescent="0.2">
      <c r="AF60750" s="12"/>
    </row>
    <row r="60751" spans="32:32" x14ac:dyDescent="0.2">
      <c r="AF60751" s="12"/>
    </row>
    <row r="60752" spans="32:32" x14ac:dyDescent="0.2">
      <c r="AF60752" s="12"/>
    </row>
    <row r="60753" spans="32:32" x14ac:dyDescent="0.2">
      <c r="AF60753" s="12"/>
    </row>
    <row r="60754" spans="32:32" x14ac:dyDescent="0.2">
      <c r="AF60754" s="12"/>
    </row>
    <row r="60755" spans="32:32" x14ac:dyDescent="0.2">
      <c r="AF60755" s="12"/>
    </row>
    <row r="60756" spans="32:32" x14ac:dyDescent="0.2">
      <c r="AF60756" s="12"/>
    </row>
    <row r="60757" spans="32:32" x14ac:dyDescent="0.2">
      <c r="AF60757" s="12"/>
    </row>
    <row r="60758" spans="32:32" x14ac:dyDescent="0.2">
      <c r="AF60758" s="12"/>
    </row>
    <row r="60759" spans="32:32" x14ac:dyDescent="0.2">
      <c r="AF60759" s="12"/>
    </row>
    <row r="60760" spans="32:32" x14ac:dyDescent="0.2">
      <c r="AF60760" s="12"/>
    </row>
    <row r="60761" spans="32:32" x14ac:dyDescent="0.2">
      <c r="AF60761" s="12"/>
    </row>
    <row r="60762" spans="32:32" x14ac:dyDescent="0.2">
      <c r="AF60762" s="12"/>
    </row>
    <row r="60763" spans="32:32" x14ac:dyDescent="0.2">
      <c r="AF60763" s="12"/>
    </row>
    <row r="60764" spans="32:32" x14ac:dyDescent="0.2">
      <c r="AF60764" s="12"/>
    </row>
    <row r="60765" spans="32:32" x14ac:dyDescent="0.2">
      <c r="AF60765" s="12"/>
    </row>
    <row r="60766" spans="32:32" x14ac:dyDescent="0.2">
      <c r="AF60766" s="12"/>
    </row>
    <row r="60767" spans="32:32" x14ac:dyDescent="0.2">
      <c r="AF60767" s="12"/>
    </row>
    <row r="60768" spans="32:32" x14ac:dyDescent="0.2">
      <c r="AF60768" s="12"/>
    </row>
    <row r="60769" spans="32:32" x14ac:dyDescent="0.2">
      <c r="AF60769" s="12"/>
    </row>
    <row r="60770" spans="32:32" x14ac:dyDescent="0.2">
      <c r="AF60770" s="12"/>
    </row>
    <row r="60771" spans="32:32" x14ac:dyDescent="0.2">
      <c r="AF60771" s="12"/>
    </row>
    <row r="60772" spans="32:32" x14ac:dyDescent="0.2">
      <c r="AF60772" s="12"/>
    </row>
    <row r="60773" spans="32:32" x14ac:dyDescent="0.2">
      <c r="AF60773" s="12"/>
    </row>
    <row r="60774" spans="32:32" x14ac:dyDescent="0.2">
      <c r="AF60774" s="12"/>
    </row>
    <row r="60775" spans="32:32" x14ac:dyDescent="0.2">
      <c r="AF60775" s="12"/>
    </row>
    <row r="60776" spans="32:32" x14ac:dyDescent="0.2">
      <c r="AF60776" s="12"/>
    </row>
    <row r="60777" spans="32:32" x14ac:dyDescent="0.2">
      <c r="AF60777" s="12"/>
    </row>
    <row r="60778" spans="32:32" x14ac:dyDescent="0.2">
      <c r="AF60778" s="12"/>
    </row>
    <row r="60779" spans="32:32" x14ac:dyDescent="0.2">
      <c r="AF60779" s="12"/>
    </row>
    <row r="60780" spans="32:32" x14ac:dyDescent="0.2">
      <c r="AF60780" s="12"/>
    </row>
    <row r="60781" spans="32:32" x14ac:dyDescent="0.2">
      <c r="AF60781" s="12"/>
    </row>
    <row r="60782" spans="32:32" x14ac:dyDescent="0.2">
      <c r="AF60782" s="12"/>
    </row>
    <row r="60783" spans="32:32" x14ac:dyDescent="0.2">
      <c r="AF60783" s="12"/>
    </row>
    <row r="60784" spans="32:32" x14ac:dyDescent="0.2">
      <c r="AF60784" s="12"/>
    </row>
    <row r="60785" spans="32:32" x14ac:dyDescent="0.2">
      <c r="AF60785" s="12"/>
    </row>
    <row r="60786" spans="32:32" x14ac:dyDescent="0.2">
      <c r="AF60786" s="12"/>
    </row>
    <row r="60787" spans="32:32" x14ac:dyDescent="0.2">
      <c r="AF60787" s="12"/>
    </row>
    <row r="60788" spans="32:32" x14ac:dyDescent="0.2">
      <c r="AF60788" s="12"/>
    </row>
    <row r="60789" spans="32:32" x14ac:dyDescent="0.2">
      <c r="AF60789" s="12"/>
    </row>
    <row r="60790" spans="32:32" x14ac:dyDescent="0.2">
      <c r="AF60790" s="12"/>
    </row>
    <row r="60791" spans="32:32" x14ac:dyDescent="0.2">
      <c r="AF60791" s="12"/>
    </row>
    <row r="60792" spans="32:32" x14ac:dyDescent="0.2">
      <c r="AF60792" s="12"/>
    </row>
    <row r="60793" spans="32:32" x14ac:dyDescent="0.2">
      <c r="AF60793" s="12"/>
    </row>
    <row r="60794" spans="32:32" x14ac:dyDescent="0.2">
      <c r="AF60794" s="12"/>
    </row>
    <row r="60795" spans="32:32" x14ac:dyDescent="0.2">
      <c r="AF60795" s="12"/>
    </row>
    <row r="60796" spans="32:32" x14ac:dyDescent="0.2">
      <c r="AF60796" s="12"/>
    </row>
    <row r="60797" spans="32:32" x14ac:dyDescent="0.2">
      <c r="AF60797" s="12"/>
    </row>
    <row r="60798" spans="32:32" x14ac:dyDescent="0.2">
      <c r="AF60798" s="12"/>
    </row>
    <row r="60799" spans="32:32" x14ac:dyDescent="0.2">
      <c r="AF60799" s="12"/>
    </row>
    <row r="60800" spans="32:32" x14ac:dyDescent="0.2">
      <c r="AF60800" s="12"/>
    </row>
    <row r="60801" spans="32:32" x14ac:dyDescent="0.2">
      <c r="AF60801" s="12"/>
    </row>
    <row r="60802" spans="32:32" x14ac:dyDescent="0.2">
      <c r="AF60802" s="12"/>
    </row>
    <row r="60803" spans="32:32" x14ac:dyDescent="0.2">
      <c r="AF60803" s="12"/>
    </row>
    <row r="60804" spans="32:32" x14ac:dyDescent="0.2">
      <c r="AF60804" s="12"/>
    </row>
    <row r="60805" spans="32:32" x14ac:dyDescent="0.2">
      <c r="AF60805" s="12"/>
    </row>
    <row r="60806" spans="32:32" x14ac:dyDescent="0.2">
      <c r="AF60806" s="12"/>
    </row>
    <row r="60807" spans="32:32" x14ac:dyDescent="0.2">
      <c r="AF60807" s="12"/>
    </row>
    <row r="60808" spans="32:32" x14ac:dyDescent="0.2">
      <c r="AF60808" s="12"/>
    </row>
    <row r="60809" spans="32:32" x14ac:dyDescent="0.2">
      <c r="AF60809" s="12"/>
    </row>
    <row r="60810" spans="32:32" x14ac:dyDescent="0.2">
      <c r="AF60810" s="12"/>
    </row>
    <row r="60811" spans="32:32" x14ac:dyDescent="0.2">
      <c r="AF60811" s="12"/>
    </row>
    <row r="60812" spans="32:32" x14ac:dyDescent="0.2">
      <c r="AF60812" s="12"/>
    </row>
    <row r="60813" spans="32:32" x14ac:dyDescent="0.2">
      <c r="AF60813" s="12"/>
    </row>
    <row r="60814" spans="32:32" x14ac:dyDescent="0.2">
      <c r="AF60814" s="12"/>
    </row>
    <row r="60815" spans="32:32" x14ac:dyDescent="0.2">
      <c r="AF60815" s="12"/>
    </row>
    <row r="60816" spans="32:32" x14ac:dyDescent="0.2">
      <c r="AF60816" s="12"/>
    </row>
    <row r="60817" spans="32:32" x14ac:dyDescent="0.2">
      <c r="AF60817" s="12"/>
    </row>
    <row r="60818" spans="32:32" x14ac:dyDescent="0.2">
      <c r="AF60818" s="12"/>
    </row>
    <row r="60819" spans="32:32" x14ac:dyDescent="0.2">
      <c r="AF60819" s="12"/>
    </row>
    <row r="60820" spans="32:32" x14ac:dyDescent="0.2">
      <c r="AF60820" s="12"/>
    </row>
    <row r="60821" spans="32:32" x14ac:dyDescent="0.2">
      <c r="AF60821" s="12"/>
    </row>
    <row r="60822" spans="32:32" x14ac:dyDescent="0.2">
      <c r="AF60822" s="12"/>
    </row>
    <row r="60823" spans="32:32" x14ac:dyDescent="0.2">
      <c r="AF60823" s="12"/>
    </row>
    <row r="60824" spans="32:32" x14ac:dyDescent="0.2">
      <c r="AF60824" s="12"/>
    </row>
    <row r="60825" spans="32:32" x14ac:dyDescent="0.2">
      <c r="AF60825" s="12"/>
    </row>
    <row r="60826" spans="32:32" x14ac:dyDescent="0.2">
      <c r="AF60826" s="12"/>
    </row>
    <row r="60827" spans="32:32" x14ac:dyDescent="0.2">
      <c r="AF60827" s="12"/>
    </row>
    <row r="60828" spans="32:32" x14ac:dyDescent="0.2">
      <c r="AF60828" s="12"/>
    </row>
    <row r="60829" spans="32:32" x14ac:dyDescent="0.2">
      <c r="AF60829" s="12"/>
    </row>
    <row r="60830" spans="32:32" x14ac:dyDescent="0.2">
      <c r="AF60830" s="12"/>
    </row>
    <row r="60831" spans="32:32" x14ac:dyDescent="0.2">
      <c r="AF60831" s="12"/>
    </row>
    <row r="60832" spans="32:32" x14ac:dyDescent="0.2">
      <c r="AF60832" s="12"/>
    </row>
    <row r="60833" spans="32:32" x14ac:dyDescent="0.2">
      <c r="AF60833" s="12"/>
    </row>
    <row r="60834" spans="32:32" x14ac:dyDescent="0.2">
      <c r="AF60834" s="12"/>
    </row>
    <row r="60835" spans="32:32" x14ac:dyDescent="0.2">
      <c r="AF60835" s="12"/>
    </row>
    <row r="60836" spans="32:32" x14ac:dyDescent="0.2">
      <c r="AF60836" s="12"/>
    </row>
    <row r="60837" spans="32:32" x14ac:dyDescent="0.2">
      <c r="AF60837" s="12"/>
    </row>
    <row r="60838" spans="32:32" x14ac:dyDescent="0.2">
      <c r="AF60838" s="12"/>
    </row>
    <row r="60839" spans="32:32" x14ac:dyDescent="0.2">
      <c r="AF60839" s="12"/>
    </row>
    <row r="60840" spans="32:32" x14ac:dyDescent="0.2">
      <c r="AF60840" s="12"/>
    </row>
    <row r="60841" spans="32:32" x14ac:dyDescent="0.2">
      <c r="AF60841" s="12"/>
    </row>
    <row r="60842" spans="32:32" x14ac:dyDescent="0.2">
      <c r="AF60842" s="12"/>
    </row>
    <row r="60843" spans="32:32" x14ac:dyDescent="0.2">
      <c r="AF60843" s="12"/>
    </row>
    <row r="60844" spans="32:32" x14ac:dyDescent="0.2">
      <c r="AF60844" s="12"/>
    </row>
    <row r="60845" spans="32:32" x14ac:dyDescent="0.2">
      <c r="AF60845" s="12"/>
    </row>
    <row r="60846" spans="32:32" x14ac:dyDescent="0.2">
      <c r="AF60846" s="12"/>
    </row>
    <row r="60847" spans="32:32" x14ac:dyDescent="0.2">
      <c r="AF60847" s="12"/>
    </row>
    <row r="60848" spans="32:32" x14ac:dyDescent="0.2">
      <c r="AF60848" s="12"/>
    </row>
    <row r="60849" spans="32:32" x14ac:dyDescent="0.2">
      <c r="AF60849" s="12"/>
    </row>
    <row r="60850" spans="32:32" x14ac:dyDescent="0.2">
      <c r="AF60850" s="12"/>
    </row>
    <row r="60851" spans="32:32" x14ac:dyDescent="0.2">
      <c r="AF60851" s="12"/>
    </row>
    <row r="60852" spans="32:32" x14ac:dyDescent="0.2">
      <c r="AF60852" s="12"/>
    </row>
    <row r="60853" spans="32:32" x14ac:dyDescent="0.2">
      <c r="AF60853" s="12"/>
    </row>
    <row r="60854" spans="32:32" x14ac:dyDescent="0.2">
      <c r="AF60854" s="12"/>
    </row>
    <row r="60855" spans="32:32" x14ac:dyDescent="0.2">
      <c r="AF60855" s="12"/>
    </row>
    <row r="60856" spans="32:32" x14ac:dyDescent="0.2">
      <c r="AF60856" s="12"/>
    </row>
    <row r="60857" spans="32:32" x14ac:dyDescent="0.2">
      <c r="AF60857" s="12"/>
    </row>
    <row r="60858" spans="32:32" x14ac:dyDescent="0.2">
      <c r="AF60858" s="12"/>
    </row>
    <row r="60859" spans="32:32" x14ac:dyDescent="0.2">
      <c r="AF60859" s="12"/>
    </row>
    <row r="60860" spans="32:32" x14ac:dyDescent="0.2">
      <c r="AF60860" s="12"/>
    </row>
    <row r="60861" spans="32:32" x14ac:dyDescent="0.2">
      <c r="AF60861" s="12"/>
    </row>
    <row r="60862" spans="32:32" x14ac:dyDescent="0.2">
      <c r="AF60862" s="12"/>
    </row>
    <row r="60863" spans="32:32" x14ac:dyDescent="0.2">
      <c r="AF60863" s="12"/>
    </row>
    <row r="60864" spans="32:32" x14ac:dyDescent="0.2">
      <c r="AF60864" s="12"/>
    </row>
    <row r="60865" spans="32:32" x14ac:dyDescent="0.2">
      <c r="AF60865" s="12"/>
    </row>
    <row r="60866" spans="32:32" x14ac:dyDescent="0.2">
      <c r="AF60866" s="12"/>
    </row>
    <row r="60867" spans="32:32" x14ac:dyDescent="0.2">
      <c r="AF60867" s="12"/>
    </row>
    <row r="60868" spans="32:32" x14ac:dyDescent="0.2">
      <c r="AF60868" s="12"/>
    </row>
    <row r="60869" spans="32:32" x14ac:dyDescent="0.2">
      <c r="AF60869" s="12"/>
    </row>
    <row r="60870" spans="32:32" x14ac:dyDescent="0.2">
      <c r="AF60870" s="12"/>
    </row>
    <row r="60871" spans="32:32" x14ac:dyDescent="0.2">
      <c r="AF60871" s="12"/>
    </row>
    <row r="60872" spans="32:32" x14ac:dyDescent="0.2">
      <c r="AF60872" s="12"/>
    </row>
    <row r="60873" spans="32:32" x14ac:dyDescent="0.2">
      <c r="AF60873" s="12"/>
    </row>
    <row r="60874" spans="32:32" x14ac:dyDescent="0.2">
      <c r="AF60874" s="12"/>
    </row>
    <row r="60875" spans="32:32" x14ac:dyDescent="0.2">
      <c r="AF60875" s="12"/>
    </row>
    <row r="60876" spans="32:32" x14ac:dyDescent="0.2">
      <c r="AF60876" s="12"/>
    </row>
    <row r="60877" spans="32:32" x14ac:dyDescent="0.2">
      <c r="AF60877" s="12"/>
    </row>
    <row r="60878" spans="32:32" x14ac:dyDescent="0.2">
      <c r="AF60878" s="12"/>
    </row>
    <row r="60879" spans="32:32" x14ac:dyDescent="0.2">
      <c r="AF60879" s="12"/>
    </row>
    <row r="60880" spans="32:32" x14ac:dyDescent="0.2">
      <c r="AF60880" s="12"/>
    </row>
    <row r="60881" spans="32:32" x14ac:dyDescent="0.2">
      <c r="AF60881" s="12"/>
    </row>
    <row r="60882" spans="32:32" x14ac:dyDescent="0.2">
      <c r="AF60882" s="12"/>
    </row>
    <row r="60883" spans="32:32" x14ac:dyDescent="0.2">
      <c r="AF60883" s="12"/>
    </row>
    <row r="60884" spans="32:32" x14ac:dyDescent="0.2">
      <c r="AF60884" s="12"/>
    </row>
    <row r="60885" spans="32:32" x14ac:dyDescent="0.2">
      <c r="AF60885" s="12"/>
    </row>
    <row r="60886" spans="32:32" x14ac:dyDescent="0.2">
      <c r="AF60886" s="12"/>
    </row>
    <row r="60887" spans="32:32" x14ac:dyDescent="0.2">
      <c r="AF60887" s="12"/>
    </row>
    <row r="60888" spans="32:32" x14ac:dyDescent="0.2">
      <c r="AF60888" s="12"/>
    </row>
    <row r="60889" spans="32:32" x14ac:dyDescent="0.2">
      <c r="AF60889" s="12"/>
    </row>
    <row r="60890" spans="32:32" x14ac:dyDescent="0.2">
      <c r="AF60890" s="12"/>
    </row>
    <row r="60891" spans="32:32" x14ac:dyDescent="0.2">
      <c r="AF60891" s="12"/>
    </row>
    <row r="60892" spans="32:32" x14ac:dyDescent="0.2">
      <c r="AF60892" s="12"/>
    </row>
    <row r="60893" spans="32:32" x14ac:dyDescent="0.2">
      <c r="AF60893" s="12"/>
    </row>
    <row r="60894" spans="32:32" x14ac:dyDescent="0.2">
      <c r="AF60894" s="12"/>
    </row>
    <row r="60895" spans="32:32" x14ac:dyDescent="0.2">
      <c r="AF60895" s="12"/>
    </row>
    <row r="60896" spans="32:32" x14ac:dyDescent="0.2">
      <c r="AF60896" s="12"/>
    </row>
    <row r="60897" spans="32:32" x14ac:dyDescent="0.2">
      <c r="AF60897" s="12"/>
    </row>
    <row r="60898" spans="32:32" x14ac:dyDescent="0.2">
      <c r="AF60898" s="12"/>
    </row>
    <row r="60899" spans="32:32" x14ac:dyDescent="0.2">
      <c r="AF60899" s="12"/>
    </row>
    <row r="60900" spans="32:32" x14ac:dyDescent="0.2">
      <c r="AF60900" s="12"/>
    </row>
    <row r="60901" spans="32:32" x14ac:dyDescent="0.2">
      <c r="AF60901" s="12"/>
    </row>
    <row r="60902" spans="32:32" x14ac:dyDescent="0.2">
      <c r="AF60902" s="12"/>
    </row>
    <row r="60903" spans="32:32" x14ac:dyDescent="0.2">
      <c r="AF60903" s="12"/>
    </row>
    <row r="60904" spans="32:32" x14ac:dyDescent="0.2">
      <c r="AF60904" s="12"/>
    </row>
    <row r="60905" spans="32:32" x14ac:dyDescent="0.2">
      <c r="AF60905" s="12"/>
    </row>
    <row r="60906" spans="32:32" x14ac:dyDescent="0.2">
      <c r="AF60906" s="12"/>
    </row>
    <row r="60907" spans="32:32" x14ac:dyDescent="0.2">
      <c r="AF60907" s="12"/>
    </row>
    <row r="60908" spans="32:32" x14ac:dyDescent="0.2">
      <c r="AF60908" s="12"/>
    </row>
    <row r="60909" spans="32:32" x14ac:dyDescent="0.2">
      <c r="AF60909" s="12"/>
    </row>
    <row r="60910" spans="32:32" x14ac:dyDescent="0.2">
      <c r="AF60910" s="12"/>
    </row>
    <row r="60911" spans="32:32" x14ac:dyDescent="0.2">
      <c r="AF60911" s="12"/>
    </row>
    <row r="60912" spans="32:32" x14ac:dyDescent="0.2">
      <c r="AF60912" s="12"/>
    </row>
    <row r="60913" spans="32:32" x14ac:dyDescent="0.2">
      <c r="AF60913" s="12"/>
    </row>
    <row r="60914" spans="32:32" x14ac:dyDescent="0.2">
      <c r="AF60914" s="12"/>
    </row>
    <row r="60915" spans="32:32" x14ac:dyDescent="0.2">
      <c r="AF60915" s="12"/>
    </row>
    <row r="60916" spans="32:32" x14ac:dyDescent="0.2">
      <c r="AF60916" s="12"/>
    </row>
    <row r="60917" spans="32:32" x14ac:dyDescent="0.2">
      <c r="AF60917" s="12"/>
    </row>
    <row r="60918" spans="32:32" x14ac:dyDescent="0.2">
      <c r="AF60918" s="12"/>
    </row>
    <row r="60919" spans="32:32" x14ac:dyDescent="0.2">
      <c r="AF60919" s="12"/>
    </row>
    <row r="60920" spans="32:32" x14ac:dyDescent="0.2">
      <c r="AF60920" s="12"/>
    </row>
    <row r="60921" spans="32:32" x14ac:dyDescent="0.2">
      <c r="AF60921" s="12"/>
    </row>
    <row r="60922" spans="32:32" x14ac:dyDescent="0.2">
      <c r="AF60922" s="12"/>
    </row>
    <row r="60923" spans="32:32" x14ac:dyDescent="0.2">
      <c r="AF60923" s="12"/>
    </row>
    <row r="60924" spans="32:32" x14ac:dyDescent="0.2">
      <c r="AF60924" s="12"/>
    </row>
    <row r="60925" spans="32:32" x14ac:dyDescent="0.2">
      <c r="AF60925" s="12"/>
    </row>
    <row r="60926" spans="32:32" x14ac:dyDescent="0.2">
      <c r="AF60926" s="12"/>
    </row>
    <row r="60927" spans="32:32" x14ac:dyDescent="0.2">
      <c r="AF60927" s="12"/>
    </row>
    <row r="60928" spans="32:32" x14ac:dyDescent="0.2">
      <c r="AF60928" s="12"/>
    </row>
    <row r="60929" spans="32:32" x14ac:dyDescent="0.2">
      <c r="AF60929" s="12"/>
    </row>
    <row r="60930" spans="32:32" x14ac:dyDescent="0.2">
      <c r="AF60930" s="12"/>
    </row>
    <row r="60931" spans="32:32" x14ac:dyDescent="0.2">
      <c r="AF60931" s="12"/>
    </row>
    <row r="60932" spans="32:32" x14ac:dyDescent="0.2">
      <c r="AF60932" s="12"/>
    </row>
    <row r="60933" spans="32:32" x14ac:dyDescent="0.2">
      <c r="AF60933" s="12"/>
    </row>
    <row r="60934" spans="32:32" x14ac:dyDescent="0.2">
      <c r="AF60934" s="12"/>
    </row>
    <row r="60935" spans="32:32" x14ac:dyDescent="0.2">
      <c r="AF60935" s="12"/>
    </row>
    <row r="60936" spans="32:32" x14ac:dyDescent="0.2">
      <c r="AF60936" s="12"/>
    </row>
    <row r="60937" spans="32:32" x14ac:dyDescent="0.2">
      <c r="AF60937" s="12"/>
    </row>
    <row r="60938" spans="32:32" x14ac:dyDescent="0.2">
      <c r="AF60938" s="12"/>
    </row>
    <row r="60939" spans="32:32" x14ac:dyDescent="0.2">
      <c r="AF60939" s="12"/>
    </row>
    <row r="60940" spans="32:32" x14ac:dyDescent="0.2">
      <c r="AF60940" s="12"/>
    </row>
    <row r="60941" spans="32:32" x14ac:dyDescent="0.2">
      <c r="AF60941" s="12"/>
    </row>
    <row r="60942" spans="32:32" x14ac:dyDescent="0.2">
      <c r="AF60942" s="12"/>
    </row>
    <row r="60943" spans="32:32" x14ac:dyDescent="0.2">
      <c r="AF60943" s="12"/>
    </row>
    <row r="60944" spans="32:32" x14ac:dyDescent="0.2">
      <c r="AF60944" s="12"/>
    </row>
    <row r="60945" spans="32:32" x14ac:dyDescent="0.2">
      <c r="AF60945" s="12"/>
    </row>
    <row r="60946" spans="32:32" x14ac:dyDescent="0.2">
      <c r="AF60946" s="12"/>
    </row>
    <row r="60947" spans="32:32" x14ac:dyDescent="0.2">
      <c r="AF60947" s="12"/>
    </row>
    <row r="60948" spans="32:32" x14ac:dyDescent="0.2">
      <c r="AF60948" s="12"/>
    </row>
    <row r="60949" spans="32:32" x14ac:dyDescent="0.2">
      <c r="AF60949" s="12"/>
    </row>
    <row r="60950" spans="32:32" x14ac:dyDescent="0.2">
      <c r="AF60950" s="12"/>
    </row>
    <row r="60951" spans="32:32" x14ac:dyDescent="0.2">
      <c r="AF60951" s="12"/>
    </row>
    <row r="60952" spans="32:32" x14ac:dyDescent="0.2">
      <c r="AF60952" s="12"/>
    </row>
    <row r="60953" spans="32:32" x14ac:dyDescent="0.2">
      <c r="AF60953" s="12"/>
    </row>
    <row r="60954" spans="32:32" x14ac:dyDescent="0.2">
      <c r="AF60954" s="12"/>
    </row>
    <row r="60955" spans="32:32" x14ac:dyDescent="0.2">
      <c r="AF60955" s="12"/>
    </row>
    <row r="60956" spans="32:32" x14ac:dyDescent="0.2">
      <c r="AF60956" s="12"/>
    </row>
    <row r="60957" spans="32:32" x14ac:dyDescent="0.2">
      <c r="AF60957" s="12"/>
    </row>
    <row r="60958" spans="32:32" x14ac:dyDescent="0.2">
      <c r="AF60958" s="12"/>
    </row>
    <row r="60959" spans="32:32" x14ac:dyDescent="0.2">
      <c r="AF60959" s="12"/>
    </row>
    <row r="60960" spans="32:32" x14ac:dyDescent="0.2">
      <c r="AF60960" s="12"/>
    </row>
    <row r="60961" spans="32:32" x14ac:dyDescent="0.2">
      <c r="AF60961" s="12"/>
    </row>
    <row r="60962" spans="32:32" x14ac:dyDescent="0.2">
      <c r="AF60962" s="12"/>
    </row>
    <row r="60963" spans="32:32" x14ac:dyDescent="0.2">
      <c r="AF60963" s="12"/>
    </row>
    <row r="60964" spans="32:32" x14ac:dyDescent="0.2">
      <c r="AF60964" s="12"/>
    </row>
    <row r="60965" spans="32:32" x14ac:dyDescent="0.2">
      <c r="AF60965" s="12"/>
    </row>
    <row r="60966" spans="32:32" x14ac:dyDescent="0.2">
      <c r="AF60966" s="12"/>
    </row>
    <row r="60967" spans="32:32" x14ac:dyDescent="0.2">
      <c r="AF60967" s="12"/>
    </row>
    <row r="60968" spans="32:32" x14ac:dyDescent="0.2">
      <c r="AF60968" s="12"/>
    </row>
    <row r="60969" spans="32:32" x14ac:dyDescent="0.2">
      <c r="AF60969" s="12"/>
    </row>
    <row r="60970" spans="32:32" x14ac:dyDescent="0.2">
      <c r="AF60970" s="12"/>
    </row>
    <row r="60971" spans="32:32" x14ac:dyDescent="0.2">
      <c r="AF60971" s="12"/>
    </row>
    <row r="60972" spans="32:32" x14ac:dyDescent="0.2">
      <c r="AF60972" s="12"/>
    </row>
    <row r="60973" spans="32:32" x14ac:dyDescent="0.2">
      <c r="AF60973" s="12"/>
    </row>
    <row r="60974" spans="32:32" x14ac:dyDescent="0.2">
      <c r="AF60974" s="12"/>
    </row>
    <row r="60975" spans="32:32" x14ac:dyDescent="0.2">
      <c r="AF60975" s="12"/>
    </row>
    <row r="60976" spans="32:32" x14ac:dyDescent="0.2">
      <c r="AF60976" s="12"/>
    </row>
    <row r="60977" spans="32:32" x14ac:dyDescent="0.2">
      <c r="AF60977" s="12"/>
    </row>
    <row r="60978" spans="32:32" x14ac:dyDescent="0.2">
      <c r="AF60978" s="12"/>
    </row>
    <row r="60979" spans="32:32" x14ac:dyDescent="0.2">
      <c r="AF60979" s="12"/>
    </row>
    <row r="60980" spans="32:32" x14ac:dyDescent="0.2">
      <c r="AF60980" s="12"/>
    </row>
    <row r="60981" spans="32:32" x14ac:dyDescent="0.2">
      <c r="AF60981" s="12"/>
    </row>
    <row r="60982" spans="32:32" x14ac:dyDescent="0.2">
      <c r="AF60982" s="12"/>
    </row>
    <row r="60983" spans="32:32" x14ac:dyDescent="0.2">
      <c r="AF60983" s="12"/>
    </row>
    <row r="60984" spans="32:32" x14ac:dyDescent="0.2">
      <c r="AF60984" s="12"/>
    </row>
    <row r="60985" spans="32:32" x14ac:dyDescent="0.2">
      <c r="AF60985" s="12"/>
    </row>
    <row r="60986" spans="32:32" x14ac:dyDescent="0.2">
      <c r="AF60986" s="12"/>
    </row>
    <row r="60987" spans="32:32" x14ac:dyDescent="0.2">
      <c r="AF60987" s="12"/>
    </row>
    <row r="60988" spans="32:32" x14ac:dyDescent="0.2">
      <c r="AF60988" s="12"/>
    </row>
    <row r="60989" spans="32:32" x14ac:dyDescent="0.2">
      <c r="AF60989" s="12"/>
    </row>
    <row r="60990" spans="32:32" x14ac:dyDescent="0.2">
      <c r="AF60990" s="12"/>
    </row>
    <row r="60991" spans="32:32" x14ac:dyDescent="0.2">
      <c r="AF60991" s="12"/>
    </row>
    <row r="60992" spans="32:32" x14ac:dyDescent="0.2">
      <c r="AF60992" s="12"/>
    </row>
    <row r="60993" spans="32:32" x14ac:dyDescent="0.2">
      <c r="AF60993" s="12"/>
    </row>
    <row r="60994" spans="32:32" x14ac:dyDescent="0.2">
      <c r="AF60994" s="12"/>
    </row>
    <row r="60995" spans="32:32" x14ac:dyDescent="0.2">
      <c r="AF60995" s="12"/>
    </row>
    <row r="60996" spans="32:32" x14ac:dyDescent="0.2">
      <c r="AF60996" s="12"/>
    </row>
    <row r="60997" spans="32:32" x14ac:dyDescent="0.2">
      <c r="AF60997" s="12"/>
    </row>
    <row r="60998" spans="32:32" x14ac:dyDescent="0.2">
      <c r="AF60998" s="12"/>
    </row>
    <row r="60999" spans="32:32" x14ac:dyDescent="0.2">
      <c r="AF60999" s="12"/>
    </row>
    <row r="61000" spans="32:32" x14ac:dyDescent="0.2">
      <c r="AF61000" s="12"/>
    </row>
    <row r="61001" spans="32:32" x14ac:dyDescent="0.2">
      <c r="AF61001" s="12"/>
    </row>
    <row r="61002" spans="32:32" x14ac:dyDescent="0.2">
      <c r="AF61002" s="12"/>
    </row>
    <row r="61003" spans="32:32" x14ac:dyDescent="0.2">
      <c r="AF61003" s="12"/>
    </row>
    <row r="61004" spans="32:32" x14ac:dyDescent="0.2">
      <c r="AF61004" s="12"/>
    </row>
    <row r="61005" spans="32:32" x14ac:dyDescent="0.2">
      <c r="AF61005" s="12"/>
    </row>
    <row r="61006" spans="32:32" x14ac:dyDescent="0.2">
      <c r="AF61006" s="12"/>
    </row>
    <row r="61007" spans="32:32" x14ac:dyDescent="0.2">
      <c r="AF61007" s="12"/>
    </row>
    <row r="61008" spans="32:32" x14ac:dyDescent="0.2">
      <c r="AF61008" s="12"/>
    </row>
    <row r="61009" spans="32:32" x14ac:dyDescent="0.2">
      <c r="AF61009" s="12"/>
    </row>
    <row r="61010" spans="32:32" x14ac:dyDescent="0.2">
      <c r="AF61010" s="12"/>
    </row>
    <row r="61011" spans="32:32" x14ac:dyDescent="0.2">
      <c r="AF61011" s="12"/>
    </row>
    <row r="61012" spans="32:32" x14ac:dyDescent="0.2">
      <c r="AF61012" s="12"/>
    </row>
    <row r="61013" spans="32:32" x14ac:dyDescent="0.2">
      <c r="AF61013" s="12"/>
    </row>
    <row r="61014" spans="32:32" x14ac:dyDescent="0.2">
      <c r="AF61014" s="12"/>
    </row>
    <row r="61015" spans="32:32" x14ac:dyDescent="0.2">
      <c r="AF61015" s="12"/>
    </row>
    <row r="61016" spans="32:32" x14ac:dyDescent="0.2">
      <c r="AF61016" s="12"/>
    </row>
    <row r="61017" spans="32:32" x14ac:dyDescent="0.2">
      <c r="AF61017" s="12"/>
    </row>
    <row r="61018" spans="32:32" x14ac:dyDescent="0.2">
      <c r="AF61018" s="12"/>
    </row>
    <row r="61019" spans="32:32" x14ac:dyDescent="0.2">
      <c r="AF61019" s="12"/>
    </row>
    <row r="61020" spans="32:32" x14ac:dyDescent="0.2">
      <c r="AF61020" s="12"/>
    </row>
    <row r="61021" spans="32:32" x14ac:dyDescent="0.2">
      <c r="AF61021" s="12"/>
    </row>
    <row r="61022" spans="32:32" x14ac:dyDescent="0.2">
      <c r="AF61022" s="12"/>
    </row>
    <row r="61023" spans="32:32" x14ac:dyDescent="0.2">
      <c r="AF61023" s="12"/>
    </row>
    <row r="61024" spans="32:32" x14ac:dyDescent="0.2">
      <c r="AF61024" s="12"/>
    </row>
    <row r="61025" spans="32:32" x14ac:dyDescent="0.2">
      <c r="AF61025" s="12"/>
    </row>
    <row r="61026" spans="32:32" x14ac:dyDescent="0.2">
      <c r="AF61026" s="12"/>
    </row>
    <row r="61027" spans="32:32" x14ac:dyDescent="0.2">
      <c r="AF61027" s="12"/>
    </row>
    <row r="61028" spans="32:32" x14ac:dyDescent="0.2">
      <c r="AF61028" s="12"/>
    </row>
    <row r="61029" spans="32:32" x14ac:dyDescent="0.2">
      <c r="AF61029" s="12"/>
    </row>
    <row r="61030" spans="32:32" x14ac:dyDescent="0.2">
      <c r="AF61030" s="12"/>
    </row>
    <row r="61031" spans="32:32" x14ac:dyDescent="0.2">
      <c r="AF61031" s="12"/>
    </row>
    <row r="61032" spans="32:32" x14ac:dyDescent="0.2">
      <c r="AF61032" s="12"/>
    </row>
    <row r="61033" spans="32:32" x14ac:dyDescent="0.2">
      <c r="AF61033" s="12"/>
    </row>
    <row r="61034" spans="32:32" x14ac:dyDescent="0.2">
      <c r="AF61034" s="12"/>
    </row>
    <row r="61035" spans="32:32" x14ac:dyDescent="0.2">
      <c r="AF61035" s="12"/>
    </row>
    <row r="61036" spans="32:32" x14ac:dyDescent="0.2">
      <c r="AF61036" s="12"/>
    </row>
    <row r="61037" spans="32:32" x14ac:dyDescent="0.2">
      <c r="AF61037" s="12"/>
    </row>
    <row r="61038" spans="32:32" x14ac:dyDescent="0.2">
      <c r="AF61038" s="12"/>
    </row>
    <row r="61039" spans="32:32" x14ac:dyDescent="0.2">
      <c r="AF61039" s="12"/>
    </row>
    <row r="61040" spans="32:32" x14ac:dyDescent="0.2">
      <c r="AF61040" s="12"/>
    </row>
    <row r="61041" spans="32:32" x14ac:dyDescent="0.2">
      <c r="AF61041" s="12"/>
    </row>
    <row r="61042" spans="32:32" x14ac:dyDescent="0.2">
      <c r="AF61042" s="12"/>
    </row>
    <row r="61043" spans="32:32" x14ac:dyDescent="0.2">
      <c r="AF61043" s="12"/>
    </row>
    <row r="61044" spans="32:32" x14ac:dyDescent="0.2">
      <c r="AF61044" s="12"/>
    </row>
    <row r="61045" spans="32:32" x14ac:dyDescent="0.2">
      <c r="AF61045" s="12"/>
    </row>
    <row r="61046" spans="32:32" x14ac:dyDescent="0.2">
      <c r="AF61046" s="12"/>
    </row>
    <row r="61047" spans="32:32" x14ac:dyDescent="0.2">
      <c r="AF61047" s="12"/>
    </row>
    <row r="61048" spans="32:32" x14ac:dyDescent="0.2">
      <c r="AF61048" s="12"/>
    </row>
    <row r="61049" spans="32:32" x14ac:dyDescent="0.2">
      <c r="AF61049" s="12"/>
    </row>
    <row r="61050" spans="32:32" x14ac:dyDescent="0.2">
      <c r="AF61050" s="12"/>
    </row>
    <row r="61051" spans="32:32" x14ac:dyDescent="0.2">
      <c r="AF61051" s="12"/>
    </row>
    <row r="61052" spans="32:32" x14ac:dyDescent="0.2">
      <c r="AF61052" s="12"/>
    </row>
    <row r="61053" spans="32:32" x14ac:dyDescent="0.2">
      <c r="AF61053" s="12"/>
    </row>
    <row r="61054" spans="32:32" x14ac:dyDescent="0.2">
      <c r="AF61054" s="12"/>
    </row>
    <row r="61055" spans="32:32" x14ac:dyDescent="0.2">
      <c r="AF61055" s="12"/>
    </row>
    <row r="61056" spans="32:32" x14ac:dyDescent="0.2">
      <c r="AF61056" s="12"/>
    </row>
    <row r="61057" spans="32:32" x14ac:dyDescent="0.2">
      <c r="AF61057" s="12"/>
    </row>
    <row r="61058" spans="32:32" x14ac:dyDescent="0.2">
      <c r="AF61058" s="12"/>
    </row>
    <row r="61059" spans="32:32" x14ac:dyDescent="0.2">
      <c r="AF61059" s="12"/>
    </row>
    <row r="61060" spans="32:32" x14ac:dyDescent="0.2">
      <c r="AF61060" s="12"/>
    </row>
    <row r="61061" spans="32:32" x14ac:dyDescent="0.2">
      <c r="AF61061" s="12"/>
    </row>
    <row r="61062" spans="32:32" x14ac:dyDescent="0.2">
      <c r="AF61062" s="12"/>
    </row>
    <row r="61063" spans="32:32" x14ac:dyDescent="0.2">
      <c r="AF61063" s="12"/>
    </row>
    <row r="61064" spans="32:32" x14ac:dyDescent="0.2">
      <c r="AF61064" s="12"/>
    </row>
    <row r="61065" spans="32:32" x14ac:dyDescent="0.2">
      <c r="AF61065" s="12"/>
    </row>
    <row r="61066" spans="32:32" x14ac:dyDescent="0.2">
      <c r="AF61066" s="12"/>
    </row>
    <row r="61067" spans="32:32" x14ac:dyDescent="0.2">
      <c r="AF61067" s="12"/>
    </row>
    <row r="61068" spans="32:32" x14ac:dyDescent="0.2">
      <c r="AF61068" s="12"/>
    </row>
    <row r="61069" spans="32:32" x14ac:dyDescent="0.2">
      <c r="AF61069" s="12"/>
    </row>
    <row r="61070" spans="32:32" x14ac:dyDescent="0.2">
      <c r="AF61070" s="12"/>
    </row>
    <row r="61071" spans="32:32" x14ac:dyDescent="0.2">
      <c r="AF61071" s="12"/>
    </row>
    <row r="61072" spans="32:32" x14ac:dyDescent="0.2">
      <c r="AF61072" s="12"/>
    </row>
    <row r="61073" spans="32:32" x14ac:dyDescent="0.2">
      <c r="AF61073" s="12"/>
    </row>
    <row r="61074" spans="32:32" x14ac:dyDescent="0.2">
      <c r="AF61074" s="12"/>
    </row>
    <row r="61075" spans="32:32" x14ac:dyDescent="0.2">
      <c r="AF61075" s="12"/>
    </row>
    <row r="61076" spans="32:32" x14ac:dyDescent="0.2">
      <c r="AF61076" s="12"/>
    </row>
    <row r="61077" spans="32:32" x14ac:dyDescent="0.2">
      <c r="AF61077" s="12"/>
    </row>
    <row r="61078" spans="32:32" x14ac:dyDescent="0.2">
      <c r="AF61078" s="12"/>
    </row>
    <row r="61079" spans="32:32" x14ac:dyDescent="0.2">
      <c r="AF61079" s="12"/>
    </row>
    <row r="61080" spans="32:32" x14ac:dyDescent="0.2">
      <c r="AF61080" s="12"/>
    </row>
    <row r="61081" spans="32:32" x14ac:dyDescent="0.2">
      <c r="AF61081" s="12"/>
    </row>
    <row r="61082" spans="32:32" x14ac:dyDescent="0.2">
      <c r="AF61082" s="12"/>
    </row>
    <row r="61083" spans="32:32" x14ac:dyDescent="0.2">
      <c r="AF61083" s="12"/>
    </row>
    <row r="61084" spans="32:32" x14ac:dyDescent="0.2">
      <c r="AF61084" s="12"/>
    </row>
    <row r="61085" spans="32:32" x14ac:dyDescent="0.2">
      <c r="AF61085" s="12"/>
    </row>
    <row r="61086" spans="32:32" x14ac:dyDescent="0.2">
      <c r="AF61086" s="12"/>
    </row>
    <row r="61087" spans="32:32" x14ac:dyDescent="0.2">
      <c r="AF61087" s="12"/>
    </row>
    <row r="61088" spans="32:32" x14ac:dyDescent="0.2">
      <c r="AF61088" s="12"/>
    </row>
    <row r="61089" spans="32:32" x14ac:dyDescent="0.2">
      <c r="AF61089" s="12"/>
    </row>
    <row r="61090" spans="32:32" x14ac:dyDescent="0.2">
      <c r="AF61090" s="12"/>
    </row>
    <row r="61091" spans="32:32" x14ac:dyDescent="0.2">
      <c r="AF61091" s="12"/>
    </row>
    <row r="61092" spans="32:32" x14ac:dyDescent="0.2">
      <c r="AF61092" s="12"/>
    </row>
    <row r="61093" spans="32:32" x14ac:dyDescent="0.2">
      <c r="AF61093" s="12"/>
    </row>
    <row r="61094" spans="32:32" x14ac:dyDescent="0.2">
      <c r="AF61094" s="12"/>
    </row>
    <row r="61095" spans="32:32" x14ac:dyDescent="0.2">
      <c r="AF61095" s="12"/>
    </row>
    <row r="61096" spans="32:32" x14ac:dyDescent="0.2">
      <c r="AF61096" s="12"/>
    </row>
    <row r="61097" spans="32:32" x14ac:dyDescent="0.2">
      <c r="AF61097" s="12"/>
    </row>
    <row r="61098" spans="32:32" x14ac:dyDescent="0.2">
      <c r="AF61098" s="12"/>
    </row>
    <row r="61099" spans="32:32" x14ac:dyDescent="0.2">
      <c r="AF61099" s="12"/>
    </row>
    <row r="61100" spans="32:32" x14ac:dyDescent="0.2">
      <c r="AF61100" s="12"/>
    </row>
    <row r="61101" spans="32:32" x14ac:dyDescent="0.2">
      <c r="AF61101" s="12"/>
    </row>
    <row r="61102" spans="32:32" x14ac:dyDescent="0.2">
      <c r="AF61102" s="12"/>
    </row>
    <row r="61103" spans="32:32" x14ac:dyDescent="0.2">
      <c r="AF61103" s="12"/>
    </row>
    <row r="61104" spans="32:32" x14ac:dyDescent="0.2">
      <c r="AF61104" s="12"/>
    </row>
    <row r="61105" spans="32:32" x14ac:dyDescent="0.2">
      <c r="AF61105" s="12"/>
    </row>
    <row r="61106" spans="32:32" x14ac:dyDescent="0.2">
      <c r="AF61106" s="12"/>
    </row>
    <row r="61107" spans="32:32" x14ac:dyDescent="0.2">
      <c r="AF61107" s="12"/>
    </row>
    <row r="61108" spans="32:32" x14ac:dyDescent="0.2">
      <c r="AF61108" s="12"/>
    </row>
    <row r="61109" spans="32:32" x14ac:dyDescent="0.2">
      <c r="AF61109" s="12"/>
    </row>
    <row r="61110" spans="32:32" x14ac:dyDescent="0.2">
      <c r="AF61110" s="12"/>
    </row>
    <row r="61111" spans="32:32" x14ac:dyDescent="0.2">
      <c r="AF61111" s="12"/>
    </row>
    <row r="61112" spans="32:32" x14ac:dyDescent="0.2">
      <c r="AF61112" s="12"/>
    </row>
    <row r="61113" spans="32:32" x14ac:dyDescent="0.2">
      <c r="AF61113" s="12"/>
    </row>
    <row r="61114" spans="32:32" x14ac:dyDescent="0.2">
      <c r="AF61114" s="12"/>
    </row>
    <row r="61115" spans="32:32" x14ac:dyDescent="0.2">
      <c r="AF61115" s="12"/>
    </row>
    <row r="61116" spans="32:32" x14ac:dyDescent="0.2">
      <c r="AF61116" s="12"/>
    </row>
    <row r="61117" spans="32:32" x14ac:dyDescent="0.2">
      <c r="AF61117" s="12"/>
    </row>
    <row r="61118" spans="32:32" x14ac:dyDescent="0.2">
      <c r="AF61118" s="12"/>
    </row>
    <row r="61119" spans="32:32" x14ac:dyDescent="0.2">
      <c r="AF61119" s="12"/>
    </row>
    <row r="61120" spans="32:32" x14ac:dyDescent="0.2">
      <c r="AF61120" s="12"/>
    </row>
    <row r="61121" spans="32:32" x14ac:dyDescent="0.2">
      <c r="AF61121" s="12"/>
    </row>
    <row r="61122" spans="32:32" x14ac:dyDescent="0.2">
      <c r="AF61122" s="12"/>
    </row>
    <row r="61123" spans="32:32" x14ac:dyDescent="0.2">
      <c r="AF61123" s="12"/>
    </row>
    <row r="61124" spans="32:32" x14ac:dyDescent="0.2">
      <c r="AF61124" s="12"/>
    </row>
    <row r="61125" spans="32:32" x14ac:dyDescent="0.2">
      <c r="AF61125" s="12"/>
    </row>
    <row r="61126" spans="32:32" x14ac:dyDescent="0.2">
      <c r="AF61126" s="12"/>
    </row>
    <row r="61127" spans="32:32" x14ac:dyDescent="0.2">
      <c r="AF61127" s="12"/>
    </row>
    <row r="61128" spans="32:32" x14ac:dyDescent="0.2">
      <c r="AF61128" s="12"/>
    </row>
    <row r="61129" spans="32:32" x14ac:dyDescent="0.2">
      <c r="AF61129" s="12"/>
    </row>
    <row r="61130" spans="32:32" x14ac:dyDescent="0.2">
      <c r="AF61130" s="12"/>
    </row>
    <row r="61131" spans="32:32" x14ac:dyDescent="0.2">
      <c r="AF61131" s="12"/>
    </row>
    <row r="61132" spans="32:32" x14ac:dyDescent="0.2">
      <c r="AF61132" s="12"/>
    </row>
    <row r="61133" spans="32:32" x14ac:dyDescent="0.2">
      <c r="AF61133" s="12"/>
    </row>
    <row r="61134" spans="32:32" x14ac:dyDescent="0.2">
      <c r="AF61134" s="12"/>
    </row>
    <row r="61135" spans="32:32" x14ac:dyDescent="0.2">
      <c r="AF61135" s="12"/>
    </row>
    <row r="61136" spans="32:32" x14ac:dyDescent="0.2">
      <c r="AF61136" s="12"/>
    </row>
    <row r="61137" spans="32:32" x14ac:dyDescent="0.2">
      <c r="AF61137" s="12"/>
    </row>
    <row r="61138" spans="32:32" x14ac:dyDescent="0.2">
      <c r="AF61138" s="12"/>
    </row>
    <row r="61139" spans="32:32" x14ac:dyDescent="0.2">
      <c r="AF61139" s="12"/>
    </row>
    <row r="61140" spans="32:32" x14ac:dyDescent="0.2">
      <c r="AF61140" s="12"/>
    </row>
    <row r="61141" spans="32:32" x14ac:dyDescent="0.2">
      <c r="AF61141" s="12"/>
    </row>
    <row r="61142" spans="32:32" x14ac:dyDescent="0.2">
      <c r="AF61142" s="12"/>
    </row>
    <row r="61143" spans="32:32" x14ac:dyDescent="0.2">
      <c r="AF61143" s="12"/>
    </row>
    <row r="61144" spans="32:32" x14ac:dyDescent="0.2">
      <c r="AF61144" s="12"/>
    </row>
    <row r="61145" spans="32:32" x14ac:dyDescent="0.2">
      <c r="AF61145" s="12"/>
    </row>
    <row r="61146" spans="32:32" x14ac:dyDescent="0.2">
      <c r="AF61146" s="12"/>
    </row>
    <row r="61147" spans="32:32" x14ac:dyDescent="0.2">
      <c r="AF61147" s="12"/>
    </row>
    <row r="61148" spans="32:32" x14ac:dyDescent="0.2">
      <c r="AF61148" s="12"/>
    </row>
    <row r="61149" spans="32:32" x14ac:dyDescent="0.2">
      <c r="AF61149" s="12"/>
    </row>
    <row r="61150" spans="32:32" x14ac:dyDescent="0.2">
      <c r="AF61150" s="12"/>
    </row>
    <row r="61151" spans="32:32" x14ac:dyDescent="0.2">
      <c r="AF61151" s="12"/>
    </row>
    <row r="61152" spans="32:32" x14ac:dyDescent="0.2">
      <c r="AF61152" s="12"/>
    </row>
    <row r="61153" spans="32:32" x14ac:dyDescent="0.2">
      <c r="AF61153" s="12"/>
    </row>
    <row r="61154" spans="32:32" x14ac:dyDescent="0.2">
      <c r="AF61154" s="12"/>
    </row>
    <row r="61155" spans="32:32" x14ac:dyDescent="0.2">
      <c r="AF61155" s="12"/>
    </row>
    <row r="61156" spans="32:32" x14ac:dyDescent="0.2">
      <c r="AF61156" s="12"/>
    </row>
    <row r="61157" spans="32:32" x14ac:dyDescent="0.2">
      <c r="AF61157" s="12"/>
    </row>
    <row r="61158" spans="32:32" x14ac:dyDescent="0.2">
      <c r="AF61158" s="12"/>
    </row>
    <row r="61159" spans="32:32" x14ac:dyDescent="0.2">
      <c r="AF61159" s="12"/>
    </row>
    <row r="61160" spans="32:32" x14ac:dyDescent="0.2">
      <c r="AF61160" s="12"/>
    </row>
    <row r="61161" spans="32:32" x14ac:dyDescent="0.2">
      <c r="AF61161" s="12"/>
    </row>
    <row r="61162" spans="32:32" x14ac:dyDescent="0.2">
      <c r="AF61162" s="12"/>
    </row>
    <row r="61163" spans="32:32" x14ac:dyDescent="0.2">
      <c r="AF61163" s="12"/>
    </row>
    <row r="61164" spans="32:32" x14ac:dyDescent="0.2">
      <c r="AF61164" s="12"/>
    </row>
    <row r="61165" spans="32:32" x14ac:dyDescent="0.2">
      <c r="AF61165" s="12"/>
    </row>
    <row r="61166" spans="32:32" x14ac:dyDescent="0.2">
      <c r="AF61166" s="12"/>
    </row>
    <row r="61167" spans="32:32" x14ac:dyDescent="0.2">
      <c r="AF61167" s="12"/>
    </row>
    <row r="61168" spans="32:32" x14ac:dyDescent="0.2">
      <c r="AF61168" s="12"/>
    </row>
    <row r="61169" spans="32:32" x14ac:dyDescent="0.2">
      <c r="AF61169" s="12"/>
    </row>
    <row r="61170" spans="32:32" x14ac:dyDescent="0.2">
      <c r="AF61170" s="12"/>
    </row>
    <row r="61171" spans="32:32" x14ac:dyDescent="0.2">
      <c r="AF61171" s="12"/>
    </row>
    <row r="61172" spans="32:32" x14ac:dyDescent="0.2">
      <c r="AF61172" s="12"/>
    </row>
    <row r="61173" spans="32:32" x14ac:dyDescent="0.2">
      <c r="AF61173" s="12"/>
    </row>
    <row r="61174" spans="32:32" x14ac:dyDescent="0.2">
      <c r="AF61174" s="12"/>
    </row>
    <row r="61175" spans="32:32" x14ac:dyDescent="0.2">
      <c r="AF61175" s="12"/>
    </row>
    <row r="61176" spans="32:32" x14ac:dyDescent="0.2">
      <c r="AF61176" s="12"/>
    </row>
    <row r="61177" spans="32:32" x14ac:dyDescent="0.2">
      <c r="AF61177" s="12"/>
    </row>
    <row r="61178" spans="32:32" x14ac:dyDescent="0.2">
      <c r="AF61178" s="12"/>
    </row>
    <row r="61179" spans="32:32" x14ac:dyDescent="0.2">
      <c r="AF61179" s="12"/>
    </row>
    <row r="61180" spans="32:32" x14ac:dyDescent="0.2">
      <c r="AF61180" s="12"/>
    </row>
    <row r="61181" spans="32:32" x14ac:dyDescent="0.2">
      <c r="AF61181" s="12"/>
    </row>
    <row r="61182" spans="32:32" x14ac:dyDescent="0.2">
      <c r="AF61182" s="12"/>
    </row>
    <row r="61183" spans="32:32" x14ac:dyDescent="0.2">
      <c r="AF61183" s="12"/>
    </row>
    <row r="61184" spans="32:32" x14ac:dyDescent="0.2">
      <c r="AF61184" s="12"/>
    </row>
    <row r="61185" spans="32:32" x14ac:dyDescent="0.2">
      <c r="AF61185" s="12"/>
    </row>
    <row r="61186" spans="32:32" x14ac:dyDescent="0.2">
      <c r="AF61186" s="12"/>
    </row>
    <row r="61187" spans="32:32" x14ac:dyDescent="0.2">
      <c r="AF61187" s="12"/>
    </row>
    <row r="61188" spans="32:32" x14ac:dyDescent="0.2">
      <c r="AF61188" s="12"/>
    </row>
    <row r="61189" spans="32:32" x14ac:dyDescent="0.2">
      <c r="AF61189" s="12"/>
    </row>
    <row r="61190" spans="32:32" x14ac:dyDescent="0.2">
      <c r="AF61190" s="12"/>
    </row>
    <row r="61191" spans="32:32" x14ac:dyDescent="0.2">
      <c r="AF61191" s="12"/>
    </row>
    <row r="61192" spans="32:32" x14ac:dyDescent="0.2">
      <c r="AF61192" s="12"/>
    </row>
    <row r="61193" spans="32:32" x14ac:dyDescent="0.2">
      <c r="AF61193" s="12"/>
    </row>
    <row r="61194" spans="32:32" x14ac:dyDescent="0.2">
      <c r="AF61194" s="12"/>
    </row>
    <row r="61195" spans="32:32" x14ac:dyDescent="0.2">
      <c r="AF61195" s="12"/>
    </row>
    <row r="61196" spans="32:32" x14ac:dyDescent="0.2">
      <c r="AF61196" s="12"/>
    </row>
    <row r="61197" spans="32:32" x14ac:dyDescent="0.2">
      <c r="AF61197" s="12"/>
    </row>
    <row r="61198" spans="32:32" x14ac:dyDescent="0.2">
      <c r="AF61198" s="12"/>
    </row>
    <row r="61199" spans="32:32" x14ac:dyDescent="0.2">
      <c r="AF61199" s="12"/>
    </row>
    <row r="61200" spans="32:32" x14ac:dyDescent="0.2">
      <c r="AF61200" s="12"/>
    </row>
    <row r="61201" spans="32:32" x14ac:dyDescent="0.2">
      <c r="AF61201" s="12"/>
    </row>
    <row r="61202" spans="32:32" x14ac:dyDescent="0.2">
      <c r="AF61202" s="12"/>
    </row>
    <row r="61203" spans="32:32" x14ac:dyDescent="0.2">
      <c r="AF61203" s="12"/>
    </row>
    <row r="61204" spans="32:32" x14ac:dyDescent="0.2">
      <c r="AF61204" s="12"/>
    </row>
    <row r="61205" spans="32:32" x14ac:dyDescent="0.2">
      <c r="AF61205" s="12"/>
    </row>
    <row r="61206" spans="32:32" x14ac:dyDescent="0.2">
      <c r="AF61206" s="12"/>
    </row>
    <row r="61207" spans="32:32" x14ac:dyDescent="0.2">
      <c r="AF61207" s="12"/>
    </row>
    <row r="61208" spans="32:32" x14ac:dyDescent="0.2">
      <c r="AF61208" s="12"/>
    </row>
    <row r="61209" spans="32:32" x14ac:dyDescent="0.2">
      <c r="AF61209" s="12"/>
    </row>
    <row r="61210" spans="32:32" x14ac:dyDescent="0.2">
      <c r="AF61210" s="12"/>
    </row>
    <row r="61211" spans="32:32" x14ac:dyDescent="0.2">
      <c r="AF61211" s="12"/>
    </row>
    <row r="61212" spans="32:32" x14ac:dyDescent="0.2">
      <c r="AF61212" s="12"/>
    </row>
    <row r="61213" spans="32:32" x14ac:dyDescent="0.2">
      <c r="AF61213" s="12"/>
    </row>
    <row r="61214" spans="32:32" x14ac:dyDescent="0.2">
      <c r="AF61214" s="12"/>
    </row>
    <row r="61215" spans="32:32" x14ac:dyDescent="0.2">
      <c r="AF61215" s="12"/>
    </row>
    <row r="61216" spans="32:32" x14ac:dyDescent="0.2">
      <c r="AF61216" s="12"/>
    </row>
    <row r="61217" spans="32:32" x14ac:dyDescent="0.2">
      <c r="AF61217" s="12"/>
    </row>
    <row r="61218" spans="32:32" x14ac:dyDescent="0.2">
      <c r="AF61218" s="12"/>
    </row>
    <row r="61219" spans="32:32" x14ac:dyDescent="0.2">
      <c r="AF61219" s="12"/>
    </row>
    <row r="61220" spans="32:32" x14ac:dyDescent="0.2">
      <c r="AF61220" s="12"/>
    </row>
    <row r="61221" spans="32:32" x14ac:dyDescent="0.2">
      <c r="AF61221" s="12"/>
    </row>
    <row r="61222" spans="32:32" x14ac:dyDescent="0.2">
      <c r="AF61222" s="12"/>
    </row>
    <row r="61223" spans="32:32" x14ac:dyDescent="0.2">
      <c r="AF61223" s="12"/>
    </row>
    <row r="61224" spans="32:32" x14ac:dyDescent="0.2">
      <c r="AF61224" s="12"/>
    </row>
    <row r="61225" spans="32:32" x14ac:dyDescent="0.2">
      <c r="AF61225" s="12"/>
    </row>
    <row r="61226" spans="32:32" x14ac:dyDescent="0.2">
      <c r="AF61226" s="12"/>
    </row>
    <row r="61227" spans="32:32" x14ac:dyDescent="0.2">
      <c r="AF61227" s="12"/>
    </row>
    <row r="61228" spans="32:32" x14ac:dyDescent="0.2">
      <c r="AF61228" s="12"/>
    </row>
    <row r="61229" spans="32:32" x14ac:dyDescent="0.2">
      <c r="AF61229" s="12"/>
    </row>
    <row r="61230" spans="32:32" x14ac:dyDescent="0.2">
      <c r="AF61230" s="12"/>
    </row>
    <row r="61231" spans="32:32" x14ac:dyDescent="0.2">
      <c r="AF61231" s="12"/>
    </row>
    <row r="61232" spans="32:32" x14ac:dyDescent="0.2">
      <c r="AF61232" s="12"/>
    </row>
    <row r="61233" spans="32:32" x14ac:dyDescent="0.2">
      <c r="AF61233" s="12"/>
    </row>
    <row r="61234" spans="32:32" x14ac:dyDescent="0.2">
      <c r="AF61234" s="12"/>
    </row>
    <row r="61235" spans="32:32" x14ac:dyDescent="0.2">
      <c r="AF61235" s="12"/>
    </row>
    <row r="61236" spans="32:32" x14ac:dyDescent="0.2">
      <c r="AF61236" s="12"/>
    </row>
    <row r="61237" spans="32:32" x14ac:dyDescent="0.2">
      <c r="AF61237" s="12"/>
    </row>
    <row r="61238" spans="32:32" x14ac:dyDescent="0.2">
      <c r="AF61238" s="12"/>
    </row>
    <row r="61239" spans="32:32" x14ac:dyDescent="0.2">
      <c r="AF61239" s="12"/>
    </row>
    <row r="61240" spans="32:32" x14ac:dyDescent="0.2">
      <c r="AF61240" s="12"/>
    </row>
    <row r="61241" spans="32:32" x14ac:dyDescent="0.2">
      <c r="AF61241" s="12"/>
    </row>
    <row r="61242" spans="32:32" x14ac:dyDescent="0.2">
      <c r="AF61242" s="12"/>
    </row>
    <row r="61243" spans="32:32" x14ac:dyDescent="0.2">
      <c r="AF61243" s="12"/>
    </row>
    <row r="61244" spans="32:32" x14ac:dyDescent="0.2">
      <c r="AF61244" s="12"/>
    </row>
    <row r="61245" spans="32:32" x14ac:dyDescent="0.2">
      <c r="AF61245" s="12"/>
    </row>
    <row r="61246" spans="32:32" x14ac:dyDescent="0.2">
      <c r="AF61246" s="12"/>
    </row>
    <row r="61247" spans="32:32" x14ac:dyDescent="0.2">
      <c r="AF61247" s="12"/>
    </row>
    <row r="61248" spans="32:32" x14ac:dyDescent="0.2">
      <c r="AF61248" s="12"/>
    </row>
    <row r="61249" spans="32:32" x14ac:dyDescent="0.2">
      <c r="AF61249" s="12"/>
    </row>
    <row r="61250" spans="32:32" x14ac:dyDescent="0.2">
      <c r="AF61250" s="12"/>
    </row>
    <row r="61251" spans="32:32" x14ac:dyDescent="0.2">
      <c r="AF61251" s="12"/>
    </row>
    <row r="61252" spans="32:32" x14ac:dyDescent="0.2">
      <c r="AF61252" s="12"/>
    </row>
    <row r="61253" spans="32:32" x14ac:dyDescent="0.2">
      <c r="AF61253" s="12"/>
    </row>
    <row r="61254" spans="32:32" x14ac:dyDescent="0.2">
      <c r="AF61254" s="12"/>
    </row>
    <row r="61255" spans="32:32" x14ac:dyDescent="0.2">
      <c r="AF61255" s="12"/>
    </row>
    <row r="61256" spans="32:32" x14ac:dyDescent="0.2">
      <c r="AF61256" s="12"/>
    </row>
    <row r="61257" spans="32:32" x14ac:dyDescent="0.2">
      <c r="AF61257" s="12"/>
    </row>
    <row r="61258" spans="32:32" x14ac:dyDescent="0.2">
      <c r="AF61258" s="12"/>
    </row>
    <row r="61259" spans="32:32" x14ac:dyDescent="0.2">
      <c r="AF61259" s="12"/>
    </row>
    <row r="61260" spans="32:32" x14ac:dyDescent="0.2">
      <c r="AF61260" s="12"/>
    </row>
    <row r="61261" spans="32:32" x14ac:dyDescent="0.2">
      <c r="AF61261" s="12"/>
    </row>
    <row r="61262" spans="32:32" x14ac:dyDescent="0.2">
      <c r="AF61262" s="12"/>
    </row>
    <row r="61263" spans="32:32" x14ac:dyDescent="0.2">
      <c r="AF61263" s="12"/>
    </row>
    <row r="61264" spans="32:32" x14ac:dyDescent="0.2">
      <c r="AF61264" s="12"/>
    </row>
    <row r="61265" spans="32:32" x14ac:dyDescent="0.2">
      <c r="AF61265" s="12"/>
    </row>
    <row r="61266" spans="32:32" x14ac:dyDescent="0.2">
      <c r="AF61266" s="12"/>
    </row>
    <row r="61267" spans="32:32" x14ac:dyDescent="0.2">
      <c r="AF61267" s="12"/>
    </row>
    <row r="61268" spans="32:32" x14ac:dyDescent="0.2">
      <c r="AF61268" s="12"/>
    </row>
    <row r="61269" spans="32:32" x14ac:dyDescent="0.2">
      <c r="AF61269" s="12"/>
    </row>
    <row r="61270" spans="32:32" x14ac:dyDescent="0.2">
      <c r="AF61270" s="12"/>
    </row>
    <row r="61271" spans="32:32" x14ac:dyDescent="0.2">
      <c r="AF61271" s="12"/>
    </row>
    <row r="61272" spans="32:32" x14ac:dyDescent="0.2">
      <c r="AF61272" s="12"/>
    </row>
    <row r="61273" spans="32:32" x14ac:dyDescent="0.2">
      <c r="AF61273" s="12"/>
    </row>
    <row r="61274" spans="32:32" x14ac:dyDescent="0.2">
      <c r="AF61274" s="12"/>
    </row>
    <row r="61275" spans="32:32" x14ac:dyDescent="0.2">
      <c r="AF61275" s="12"/>
    </row>
    <row r="61276" spans="32:32" x14ac:dyDescent="0.2">
      <c r="AF61276" s="12"/>
    </row>
    <row r="61277" spans="32:32" x14ac:dyDescent="0.2">
      <c r="AF61277" s="12"/>
    </row>
    <row r="61278" spans="32:32" x14ac:dyDescent="0.2">
      <c r="AF61278" s="12"/>
    </row>
    <row r="61279" spans="32:32" x14ac:dyDescent="0.2">
      <c r="AF61279" s="12"/>
    </row>
    <row r="61280" spans="32:32" x14ac:dyDescent="0.2">
      <c r="AF61280" s="12"/>
    </row>
    <row r="61281" spans="32:32" x14ac:dyDescent="0.2">
      <c r="AF61281" s="12"/>
    </row>
    <row r="61282" spans="32:32" x14ac:dyDescent="0.2">
      <c r="AF61282" s="12"/>
    </row>
    <row r="61283" spans="32:32" x14ac:dyDescent="0.2">
      <c r="AF61283" s="12"/>
    </row>
    <row r="61284" spans="32:32" x14ac:dyDescent="0.2">
      <c r="AF61284" s="12"/>
    </row>
    <row r="61285" spans="32:32" x14ac:dyDescent="0.2">
      <c r="AF61285" s="12"/>
    </row>
    <row r="61286" spans="32:32" x14ac:dyDescent="0.2">
      <c r="AF61286" s="12"/>
    </row>
    <row r="61287" spans="32:32" x14ac:dyDescent="0.2">
      <c r="AF61287" s="12"/>
    </row>
    <row r="61288" spans="32:32" x14ac:dyDescent="0.2">
      <c r="AF61288" s="12"/>
    </row>
    <row r="61289" spans="32:32" x14ac:dyDescent="0.2">
      <c r="AF61289" s="12"/>
    </row>
    <row r="61290" spans="32:32" x14ac:dyDescent="0.2">
      <c r="AF61290" s="12"/>
    </row>
    <row r="61291" spans="32:32" x14ac:dyDescent="0.2">
      <c r="AF61291" s="12"/>
    </row>
    <row r="61292" spans="32:32" x14ac:dyDescent="0.2">
      <c r="AF61292" s="12"/>
    </row>
    <row r="61293" spans="32:32" x14ac:dyDescent="0.2">
      <c r="AF61293" s="12"/>
    </row>
    <row r="61294" spans="32:32" x14ac:dyDescent="0.2">
      <c r="AF61294" s="12"/>
    </row>
    <row r="61295" spans="32:32" x14ac:dyDescent="0.2">
      <c r="AF61295" s="12"/>
    </row>
    <row r="61296" spans="32:32" x14ac:dyDescent="0.2">
      <c r="AF61296" s="12"/>
    </row>
    <row r="61297" spans="32:32" x14ac:dyDescent="0.2">
      <c r="AF61297" s="12"/>
    </row>
    <row r="61298" spans="32:32" x14ac:dyDescent="0.2">
      <c r="AF61298" s="12"/>
    </row>
    <row r="61299" spans="32:32" x14ac:dyDescent="0.2">
      <c r="AF61299" s="12"/>
    </row>
    <row r="61300" spans="32:32" x14ac:dyDescent="0.2">
      <c r="AF61300" s="12"/>
    </row>
    <row r="61301" spans="32:32" x14ac:dyDescent="0.2">
      <c r="AF61301" s="12"/>
    </row>
    <row r="61302" spans="32:32" x14ac:dyDescent="0.2">
      <c r="AF61302" s="12"/>
    </row>
    <row r="61303" spans="32:32" x14ac:dyDescent="0.2">
      <c r="AF61303" s="12"/>
    </row>
    <row r="61304" spans="32:32" x14ac:dyDescent="0.2">
      <c r="AF61304" s="12"/>
    </row>
    <row r="61305" spans="32:32" x14ac:dyDescent="0.2">
      <c r="AF61305" s="12"/>
    </row>
    <row r="61306" spans="32:32" x14ac:dyDescent="0.2">
      <c r="AF61306" s="12"/>
    </row>
    <row r="61307" spans="32:32" x14ac:dyDescent="0.2">
      <c r="AF61307" s="12"/>
    </row>
    <row r="61308" spans="32:32" x14ac:dyDescent="0.2">
      <c r="AF61308" s="12"/>
    </row>
    <row r="61309" spans="32:32" x14ac:dyDescent="0.2">
      <c r="AF61309" s="12"/>
    </row>
    <row r="61310" spans="32:32" x14ac:dyDescent="0.2">
      <c r="AF61310" s="12"/>
    </row>
    <row r="61311" spans="32:32" x14ac:dyDescent="0.2">
      <c r="AF61311" s="12"/>
    </row>
    <row r="61312" spans="32:32" x14ac:dyDescent="0.2">
      <c r="AF61312" s="12"/>
    </row>
    <row r="61313" spans="32:32" x14ac:dyDescent="0.2">
      <c r="AF61313" s="12"/>
    </row>
    <row r="61314" spans="32:32" x14ac:dyDescent="0.2">
      <c r="AF61314" s="12"/>
    </row>
    <row r="61315" spans="32:32" x14ac:dyDescent="0.2">
      <c r="AF61315" s="12"/>
    </row>
    <row r="61316" spans="32:32" x14ac:dyDescent="0.2">
      <c r="AF61316" s="12"/>
    </row>
    <row r="61317" spans="32:32" x14ac:dyDescent="0.2">
      <c r="AF61317" s="12"/>
    </row>
    <row r="61318" spans="32:32" x14ac:dyDescent="0.2">
      <c r="AF61318" s="12"/>
    </row>
    <row r="61319" spans="32:32" x14ac:dyDescent="0.2">
      <c r="AF61319" s="12"/>
    </row>
    <row r="61320" spans="32:32" x14ac:dyDescent="0.2">
      <c r="AF61320" s="12"/>
    </row>
    <row r="61321" spans="32:32" x14ac:dyDescent="0.2">
      <c r="AF61321" s="12"/>
    </row>
    <row r="61322" spans="32:32" x14ac:dyDescent="0.2">
      <c r="AF61322" s="12"/>
    </row>
    <row r="61323" spans="32:32" x14ac:dyDescent="0.2">
      <c r="AF61323" s="12"/>
    </row>
    <row r="61324" spans="32:32" x14ac:dyDescent="0.2">
      <c r="AF61324" s="12"/>
    </row>
    <row r="61325" spans="32:32" x14ac:dyDescent="0.2">
      <c r="AF61325" s="12"/>
    </row>
    <row r="61326" spans="32:32" x14ac:dyDescent="0.2">
      <c r="AF61326" s="12"/>
    </row>
    <row r="61327" spans="32:32" x14ac:dyDescent="0.2">
      <c r="AF61327" s="12"/>
    </row>
    <row r="61328" spans="32:32" x14ac:dyDescent="0.2">
      <c r="AF61328" s="12"/>
    </row>
    <row r="61329" spans="32:32" x14ac:dyDescent="0.2">
      <c r="AF61329" s="12"/>
    </row>
    <row r="61330" spans="32:32" x14ac:dyDescent="0.2">
      <c r="AF61330" s="12"/>
    </row>
    <row r="61331" spans="32:32" x14ac:dyDescent="0.2">
      <c r="AF61331" s="12"/>
    </row>
    <row r="61332" spans="32:32" x14ac:dyDescent="0.2">
      <c r="AF61332" s="12"/>
    </row>
    <row r="61333" spans="32:32" x14ac:dyDescent="0.2">
      <c r="AF61333" s="12"/>
    </row>
    <row r="61334" spans="32:32" x14ac:dyDescent="0.2">
      <c r="AF61334" s="12"/>
    </row>
    <row r="61335" spans="32:32" x14ac:dyDescent="0.2">
      <c r="AF61335" s="12"/>
    </row>
    <row r="61336" spans="32:32" x14ac:dyDescent="0.2">
      <c r="AF61336" s="12"/>
    </row>
    <row r="61337" spans="32:32" x14ac:dyDescent="0.2">
      <c r="AF61337" s="12"/>
    </row>
    <row r="61338" spans="32:32" x14ac:dyDescent="0.2">
      <c r="AF61338" s="12"/>
    </row>
    <row r="61339" spans="32:32" x14ac:dyDescent="0.2">
      <c r="AF61339" s="12"/>
    </row>
    <row r="61340" spans="32:32" x14ac:dyDescent="0.2">
      <c r="AF61340" s="12"/>
    </row>
    <row r="61341" spans="32:32" x14ac:dyDescent="0.2">
      <c r="AF61341" s="12"/>
    </row>
    <row r="61342" spans="32:32" x14ac:dyDescent="0.2">
      <c r="AF61342" s="12"/>
    </row>
    <row r="61343" spans="32:32" x14ac:dyDescent="0.2">
      <c r="AF61343" s="12"/>
    </row>
    <row r="61344" spans="32:32" x14ac:dyDescent="0.2">
      <c r="AF61344" s="12"/>
    </row>
    <row r="61345" spans="32:32" x14ac:dyDescent="0.2">
      <c r="AF61345" s="12"/>
    </row>
    <row r="61346" spans="32:32" x14ac:dyDescent="0.2">
      <c r="AF61346" s="12"/>
    </row>
    <row r="61347" spans="32:32" x14ac:dyDescent="0.2">
      <c r="AF61347" s="12"/>
    </row>
    <row r="61348" spans="32:32" x14ac:dyDescent="0.2">
      <c r="AF61348" s="12"/>
    </row>
    <row r="61349" spans="32:32" x14ac:dyDescent="0.2">
      <c r="AF61349" s="12"/>
    </row>
    <row r="61350" spans="32:32" x14ac:dyDescent="0.2">
      <c r="AF61350" s="12"/>
    </row>
    <row r="61351" spans="32:32" x14ac:dyDescent="0.2">
      <c r="AF61351" s="12"/>
    </row>
    <row r="61352" spans="32:32" x14ac:dyDescent="0.2">
      <c r="AF61352" s="12"/>
    </row>
    <row r="61353" spans="32:32" x14ac:dyDescent="0.2">
      <c r="AF61353" s="12"/>
    </row>
    <row r="61354" spans="32:32" x14ac:dyDescent="0.2">
      <c r="AF61354" s="12"/>
    </row>
    <row r="61355" spans="32:32" x14ac:dyDescent="0.2">
      <c r="AF61355" s="12"/>
    </row>
    <row r="61356" spans="32:32" x14ac:dyDescent="0.2">
      <c r="AF61356" s="12"/>
    </row>
    <row r="61357" spans="32:32" x14ac:dyDescent="0.2">
      <c r="AF61357" s="12"/>
    </row>
    <row r="61358" spans="32:32" x14ac:dyDescent="0.2">
      <c r="AF61358" s="12"/>
    </row>
    <row r="61359" spans="32:32" x14ac:dyDescent="0.2">
      <c r="AF61359" s="12"/>
    </row>
    <row r="61360" spans="32:32" x14ac:dyDescent="0.2">
      <c r="AF61360" s="12"/>
    </row>
    <row r="61361" spans="32:32" x14ac:dyDescent="0.2">
      <c r="AF61361" s="12"/>
    </row>
    <row r="61362" spans="32:32" x14ac:dyDescent="0.2">
      <c r="AF61362" s="12"/>
    </row>
    <row r="61363" spans="32:32" x14ac:dyDescent="0.2">
      <c r="AF61363" s="12"/>
    </row>
    <row r="61364" spans="32:32" x14ac:dyDescent="0.2">
      <c r="AF61364" s="12"/>
    </row>
    <row r="61365" spans="32:32" x14ac:dyDescent="0.2">
      <c r="AF61365" s="12"/>
    </row>
    <row r="61366" spans="32:32" x14ac:dyDescent="0.2">
      <c r="AF61366" s="12"/>
    </row>
    <row r="61367" spans="32:32" x14ac:dyDescent="0.2">
      <c r="AF61367" s="12"/>
    </row>
    <row r="61368" spans="32:32" x14ac:dyDescent="0.2">
      <c r="AF61368" s="12"/>
    </row>
    <row r="61369" spans="32:32" x14ac:dyDescent="0.2">
      <c r="AF61369" s="12"/>
    </row>
    <row r="61370" spans="32:32" x14ac:dyDescent="0.2">
      <c r="AF61370" s="12"/>
    </row>
    <row r="61371" spans="32:32" x14ac:dyDescent="0.2">
      <c r="AF61371" s="12"/>
    </row>
    <row r="61372" spans="32:32" x14ac:dyDescent="0.2">
      <c r="AF61372" s="12"/>
    </row>
    <row r="61373" spans="32:32" x14ac:dyDescent="0.2">
      <c r="AF61373" s="12"/>
    </row>
    <row r="61374" spans="32:32" x14ac:dyDescent="0.2">
      <c r="AF61374" s="12"/>
    </row>
    <row r="61375" spans="32:32" x14ac:dyDescent="0.2">
      <c r="AF61375" s="12"/>
    </row>
    <row r="61376" spans="32:32" x14ac:dyDescent="0.2">
      <c r="AF61376" s="12"/>
    </row>
    <row r="61377" spans="32:32" x14ac:dyDescent="0.2">
      <c r="AF61377" s="12"/>
    </row>
    <row r="61378" spans="32:32" x14ac:dyDescent="0.2">
      <c r="AF61378" s="12"/>
    </row>
    <row r="61379" spans="32:32" x14ac:dyDescent="0.2">
      <c r="AF61379" s="12"/>
    </row>
    <row r="61380" spans="32:32" x14ac:dyDescent="0.2">
      <c r="AF61380" s="12"/>
    </row>
    <row r="61381" spans="32:32" x14ac:dyDescent="0.2">
      <c r="AF61381" s="12"/>
    </row>
    <row r="61382" spans="32:32" x14ac:dyDescent="0.2">
      <c r="AF61382" s="12"/>
    </row>
    <row r="61383" spans="32:32" x14ac:dyDescent="0.2">
      <c r="AF61383" s="12"/>
    </row>
    <row r="61384" spans="32:32" x14ac:dyDescent="0.2">
      <c r="AF61384" s="12"/>
    </row>
    <row r="61385" spans="32:32" x14ac:dyDescent="0.2">
      <c r="AF61385" s="12"/>
    </row>
    <row r="61386" spans="32:32" x14ac:dyDescent="0.2">
      <c r="AF61386" s="12"/>
    </row>
    <row r="61387" spans="32:32" x14ac:dyDescent="0.2">
      <c r="AF61387" s="12"/>
    </row>
    <row r="61388" spans="32:32" x14ac:dyDescent="0.2">
      <c r="AF61388" s="12"/>
    </row>
    <row r="61389" spans="32:32" x14ac:dyDescent="0.2">
      <c r="AF61389" s="12"/>
    </row>
    <row r="61390" spans="32:32" x14ac:dyDescent="0.2">
      <c r="AF61390" s="12"/>
    </row>
    <row r="61391" spans="32:32" x14ac:dyDescent="0.2">
      <c r="AF61391" s="12"/>
    </row>
    <row r="61392" spans="32:32" x14ac:dyDescent="0.2">
      <c r="AF61392" s="12"/>
    </row>
    <row r="61393" spans="32:32" x14ac:dyDescent="0.2">
      <c r="AF61393" s="12"/>
    </row>
    <row r="61394" spans="32:32" x14ac:dyDescent="0.2">
      <c r="AF61394" s="12"/>
    </row>
    <row r="61395" spans="32:32" x14ac:dyDescent="0.2">
      <c r="AF61395" s="12"/>
    </row>
    <row r="61396" spans="32:32" x14ac:dyDescent="0.2">
      <c r="AF61396" s="12"/>
    </row>
    <row r="61397" spans="32:32" x14ac:dyDescent="0.2">
      <c r="AF61397" s="12"/>
    </row>
    <row r="61398" spans="32:32" x14ac:dyDescent="0.2">
      <c r="AF61398" s="12"/>
    </row>
    <row r="61399" spans="32:32" x14ac:dyDescent="0.2">
      <c r="AF61399" s="12"/>
    </row>
    <row r="61400" spans="32:32" x14ac:dyDescent="0.2">
      <c r="AF61400" s="12"/>
    </row>
    <row r="61401" spans="32:32" x14ac:dyDescent="0.2">
      <c r="AF61401" s="12"/>
    </row>
    <row r="61402" spans="32:32" x14ac:dyDescent="0.2">
      <c r="AF61402" s="12"/>
    </row>
    <row r="61403" spans="32:32" x14ac:dyDescent="0.2">
      <c r="AF61403" s="12"/>
    </row>
    <row r="61404" spans="32:32" x14ac:dyDescent="0.2">
      <c r="AF61404" s="12"/>
    </row>
    <row r="61405" spans="32:32" x14ac:dyDescent="0.2">
      <c r="AF61405" s="12"/>
    </row>
    <row r="61406" spans="32:32" x14ac:dyDescent="0.2">
      <c r="AF61406" s="12"/>
    </row>
    <row r="61407" spans="32:32" x14ac:dyDescent="0.2">
      <c r="AF61407" s="12"/>
    </row>
    <row r="61408" spans="32:32" x14ac:dyDescent="0.2">
      <c r="AF61408" s="12"/>
    </row>
    <row r="61409" spans="32:32" x14ac:dyDescent="0.2">
      <c r="AF61409" s="12"/>
    </row>
    <row r="61410" spans="32:32" x14ac:dyDescent="0.2">
      <c r="AF61410" s="12"/>
    </row>
    <row r="61411" spans="32:32" x14ac:dyDescent="0.2">
      <c r="AF61411" s="12"/>
    </row>
    <row r="61412" spans="32:32" x14ac:dyDescent="0.2">
      <c r="AF61412" s="12"/>
    </row>
    <row r="61413" spans="32:32" x14ac:dyDescent="0.2">
      <c r="AF61413" s="12"/>
    </row>
    <row r="61414" spans="32:32" x14ac:dyDescent="0.2">
      <c r="AF61414" s="12"/>
    </row>
    <row r="61415" spans="32:32" x14ac:dyDescent="0.2">
      <c r="AF61415" s="12"/>
    </row>
    <row r="61416" spans="32:32" x14ac:dyDescent="0.2">
      <c r="AF61416" s="12"/>
    </row>
    <row r="61417" spans="32:32" x14ac:dyDescent="0.2">
      <c r="AF61417" s="12"/>
    </row>
    <row r="61418" spans="32:32" x14ac:dyDescent="0.2">
      <c r="AF61418" s="12"/>
    </row>
    <row r="61419" spans="32:32" x14ac:dyDescent="0.2">
      <c r="AF61419" s="12"/>
    </row>
    <row r="61420" spans="32:32" x14ac:dyDescent="0.2">
      <c r="AF61420" s="12"/>
    </row>
    <row r="61421" spans="32:32" x14ac:dyDescent="0.2">
      <c r="AF61421" s="12"/>
    </row>
    <row r="61422" spans="32:32" x14ac:dyDescent="0.2">
      <c r="AF61422" s="12"/>
    </row>
    <row r="61423" spans="32:32" x14ac:dyDescent="0.2">
      <c r="AF61423" s="12"/>
    </row>
    <row r="61424" spans="32:32" x14ac:dyDescent="0.2">
      <c r="AF61424" s="12"/>
    </row>
    <row r="61425" spans="32:32" x14ac:dyDescent="0.2">
      <c r="AF61425" s="12"/>
    </row>
    <row r="61426" spans="32:32" x14ac:dyDescent="0.2">
      <c r="AF61426" s="12"/>
    </row>
    <row r="61427" spans="32:32" x14ac:dyDescent="0.2">
      <c r="AF61427" s="12"/>
    </row>
    <row r="61428" spans="32:32" x14ac:dyDescent="0.2">
      <c r="AF61428" s="12"/>
    </row>
    <row r="61429" spans="32:32" x14ac:dyDescent="0.2">
      <c r="AF61429" s="12"/>
    </row>
    <row r="61430" spans="32:32" x14ac:dyDescent="0.2">
      <c r="AF61430" s="12"/>
    </row>
    <row r="61431" spans="32:32" x14ac:dyDescent="0.2">
      <c r="AF61431" s="12"/>
    </row>
    <row r="61432" spans="32:32" x14ac:dyDescent="0.2">
      <c r="AF61432" s="12"/>
    </row>
    <row r="61433" spans="32:32" x14ac:dyDescent="0.2">
      <c r="AF61433" s="12"/>
    </row>
    <row r="61434" spans="32:32" x14ac:dyDescent="0.2">
      <c r="AF61434" s="12"/>
    </row>
    <row r="61435" spans="32:32" x14ac:dyDescent="0.2">
      <c r="AF61435" s="12"/>
    </row>
    <row r="61436" spans="32:32" x14ac:dyDescent="0.2">
      <c r="AF61436" s="12"/>
    </row>
    <row r="61437" spans="32:32" x14ac:dyDescent="0.2">
      <c r="AF61437" s="12"/>
    </row>
    <row r="61438" spans="32:32" x14ac:dyDescent="0.2">
      <c r="AF61438" s="12"/>
    </row>
    <row r="61439" spans="32:32" x14ac:dyDescent="0.2">
      <c r="AF61439" s="12"/>
    </row>
    <row r="61440" spans="32:32" x14ac:dyDescent="0.2">
      <c r="AF61440" s="12"/>
    </row>
    <row r="61441" spans="32:32" x14ac:dyDescent="0.2">
      <c r="AF61441" s="12"/>
    </row>
    <row r="61442" spans="32:32" x14ac:dyDescent="0.2">
      <c r="AF61442" s="12"/>
    </row>
    <row r="61443" spans="32:32" x14ac:dyDescent="0.2">
      <c r="AF61443" s="12"/>
    </row>
    <row r="61444" spans="32:32" x14ac:dyDescent="0.2">
      <c r="AF61444" s="12"/>
    </row>
    <row r="61445" spans="32:32" x14ac:dyDescent="0.2">
      <c r="AF61445" s="12"/>
    </row>
    <row r="61446" spans="32:32" x14ac:dyDescent="0.2">
      <c r="AF61446" s="12"/>
    </row>
    <row r="61447" spans="32:32" x14ac:dyDescent="0.2">
      <c r="AF61447" s="12"/>
    </row>
    <row r="61448" spans="32:32" x14ac:dyDescent="0.2">
      <c r="AF61448" s="12"/>
    </row>
    <row r="61449" spans="32:32" x14ac:dyDescent="0.2">
      <c r="AF61449" s="12"/>
    </row>
    <row r="61450" spans="32:32" x14ac:dyDescent="0.2">
      <c r="AF61450" s="12"/>
    </row>
    <row r="61451" spans="32:32" x14ac:dyDescent="0.2">
      <c r="AF61451" s="12"/>
    </row>
    <row r="61452" spans="32:32" x14ac:dyDescent="0.2">
      <c r="AF61452" s="12"/>
    </row>
    <row r="61453" spans="32:32" x14ac:dyDescent="0.2">
      <c r="AF61453" s="12"/>
    </row>
    <row r="61454" spans="32:32" x14ac:dyDescent="0.2">
      <c r="AF61454" s="12"/>
    </row>
    <row r="61455" spans="32:32" x14ac:dyDescent="0.2">
      <c r="AF61455" s="12"/>
    </row>
    <row r="61456" spans="32:32" x14ac:dyDescent="0.2">
      <c r="AF61456" s="12"/>
    </row>
    <row r="61457" spans="32:32" x14ac:dyDescent="0.2">
      <c r="AF61457" s="12"/>
    </row>
    <row r="61458" spans="32:32" x14ac:dyDescent="0.2">
      <c r="AF61458" s="12"/>
    </row>
    <row r="61459" spans="32:32" x14ac:dyDescent="0.2">
      <c r="AF61459" s="12"/>
    </row>
    <row r="61460" spans="32:32" x14ac:dyDescent="0.2">
      <c r="AF61460" s="12"/>
    </row>
    <row r="61461" spans="32:32" x14ac:dyDescent="0.2">
      <c r="AF61461" s="12"/>
    </row>
    <row r="61462" spans="32:32" x14ac:dyDescent="0.2">
      <c r="AF61462" s="12"/>
    </row>
    <row r="61463" spans="32:32" x14ac:dyDescent="0.2">
      <c r="AF61463" s="12"/>
    </row>
    <row r="61464" spans="32:32" x14ac:dyDescent="0.2">
      <c r="AF61464" s="12"/>
    </row>
    <row r="61465" spans="32:32" x14ac:dyDescent="0.2">
      <c r="AF61465" s="12"/>
    </row>
    <row r="61466" spans="32:32" x14ac:dyDescent="0.2">
      <c r="AF61466" s="12"/>
    </row>
    <row r="61467" spans="32:32" x14ac:dyDescent="0.2">
      <c r="AF61467" s="12"/>
    </row>
    <row r="61468" spans="32:32" x14ac:dyDescent="0.2">
      <c r="AF61468" s="12"/>
    </row>
    <row r="61469" spans="32:32" x14ac:dyDescent="0.2">
      <c r="AF61469" s="12"/>
    </row>
    <row r="61470" spans="32:32" x14ac:dyDescent="0.2">
      <c r="AF61470" s="12"/>
    </row>
    <row r="61471" spans="32:32" x14ac:dyDescent="0.2">
      <c r="AF61471" s="12"/>
    </row>
    <row r="61472" spans="32:32" x14ac:dyDescent="0.2">
      <c r="AF61472" s="12"/>
    </row>
    <row r="61473" spans="32:32" x14ac:dyDescent="0.2">
      <c r="AF61473" s="12"/>
    </row>
    <row r="61474" spans="32:32" x14ac:dyDescent="0.2">
      <c r="AF61474" s="12"/>
    </row>
    <row r="61475" spans="32:32" x14ac:dyDescent="0.2">
      <c r="AF61475" s="12"/>
    </row>
    <row r="61476" spans="32:32" x14ac:dyDescent="0.2">
      <c r="AF61476" s="12"/>
    </row>
    <row r="61477" spans="32:32" x14ac:dyDescent="0.2">
      <c r="AF61477" s="12"/>
    </row>
    <row r="61478" spans="32:32" x14ac:dyDescent="0.2">
      <c r="AF61478" s="12"/>
    </row>
    <row r="61479" spans="32:32" x14ac:dyDescent="0.2">
      <c r="AF61479" s="12"/>
    </row>
    <row r="61480" spans="32:32" x14ac:dyDescent="0.2">
      <c r="AF61480" s="12"/>
    </row>
    <row r="61481" spans="32:32" x14ac:dyDescent="0.2">
      <c r="AF61481" s="12"/>
    </row>
    <row r="61482" spans="32:32" x14ac:dyDescent="0.2">
      <c r="AF61482" s="12"/>
    </row>
    <row r="61483" spans="32:32" x14ac:dyDescent="0.2">
      <c r="AF61483" s="12"/>
    </row>
    <row r="61484" spans="32:32" x14ac:dyDescent="0.2">
      <c r="AF61484" s="12"/>
    </row>
    <row r="61485" spans="32:32" x14ac:dyDescent="0.2">
      <c r="AF61485" s="12"/>
    </row>
    <row r="61486" spans="32:32" x14ac:dyDescent="0.2">
      <c r="AF61486" s="12"/>
    </row>
    <row r="61487" spans="32:32" x14ac:dyDescent="0.2">
      <c r="AF61487" s="12"/>
    </row>
    <row r="61488" spans="32:32" x14ac:dyDescent="0.2">
      <c r="AF61488" s="12"/>
    </row>
    <row r="61489" spans="32:32" x14ac:dyDescent="0.2">
      <c r="AF61489" s="12"/>
    </row>
    <row r="61490" spans="32:32" x14ac:dyDescent="0.2">
      <c r="AF61490" s="12"/>
    </row>
    <row r="61491" spans="32:32" x14ac:dyDescent="0.2">
      <c r="AF61491" s="12"/>
    </row>
    <row r="61492" spans="32:32" x14ac:dyDescent="0.2">
      <c r="AF61492" s="12"/>
    </row>
    <row r="61493" spans="32:32" x14ac:dyDescent="0.2">
      <c r="AF61493" s="12"/>
    </row>
    <row r="61494" spans="32:32" x14ac:dyDescent="0.2">
      <c r="AF61494" s="12"/>
    </row>
    <row r="61495" spans="32:32" x14ac:dyDescent="0.2">
      <c r="AF61495" s="12"/>
    </row>
    <row r="61496" spans="32:32" x14ac:dyDescent="0.2">
      <c r="AF61496" s="12"/>
    </row>
    <row r="61497" spans="32:32" x14ac:dyDescent="0.2">
      <c r="AF61497" s="12"/>
    </row>
    <row r="61498" spans="32:32" x14ac:dyDescent="0.2">
      <c r="AF61498" s="12"/>
    </row>
    <row r="61499" spans="32:32" x14ac:dyDescent="0.2">
      <c r="AF61499" s="12"/>
    </row>
    <row r="61500" spans="32:32" x14ac:dyDescent="0.2">
      <c r="AF61500" s="12"/>
    </row>
    <row r="61501" spans="32:32" x14ac:dyDescent="0.2">
      <c r="AF61501" s="12"/>
    </row>
    <row r="61502" spans="32:32" x14ac:dyDescent="0.2">
      <c r="AF61502" s="12"/>
    </row>
    <row r="61503" spans="32:32" x14ac:dyDescent="0.2">
      <c r="AF61503" s="12"/>
    </row>
    <row r="61504" spans="32:32" x14ac:dyDescent="0.2">
      <c r="AF61504" s="12"/>
    </row>
    <row r="61505" spans="32:32" x14ac:dyDescent="0.2">
      <c r="AF61505" s="12"/>
    </row>
    <row r="61506" spans="32:32" x14ac:dyDescent="0.2">
      <c r="AF61506" s="12"/>
    </row>
    <row r="61507" spans="32:32" x14ac:dyDescent="0.2">
      <c r="AF61507" s="12"/>
    </row>
    <row r="61508" spans="32:32" x14ac:dyDescent="0.2">
      <c r="AF61508" s="12"/>
    </row>
    <row r="61509" spans="32:32" x14ac:dyDescent="0.2">
      <c r="AF61509" s="12"/>
    </row>
    <row r="61510" spans="32:32" x14ac:dyDescent="0.2">
      <c r="AF61510" s="12"/>
    </row>
    <row r="61511" spans="32:32" x14ac:dyDescent="0.2">
      <c r="AF61511" s="12"/>
    </row>
    <row r="61512" spans="32:32" x14ac:dyDescent="0.2">
      <c r="AF61512" s="12"/>
    </row>
    <row r="61513" spans="32:32" x14ac:dyDescent="0.2">
      <c r="AF61513" s="12"/>
    </row>
    <row r="61514" spans="32:32" x14ac:dyDescent="0.2">
      <c r="AF61514" s="12"/>
    </row>
    <row r="61515" spans="32:32" x14ac:dyDescent="0.2">
      <c r="AF61515" s="12"/>
    </row>
    <row r="61516" spans="32:32" x14ac:dyDescent="0.2">
      <c r="AF61516" s="12"/>
    </row>
    <row r="61517" spans="32:32" x14ac:dyDescent="0.2">
      <c r="AF61517" s="12"/>
    </row>
    <row r="61518" spans="32:32" x14ac:dyDescent="0.2">
      <c r="AF61518" s="12"/>
    </row>
    <row r="61519" spans="32:32" x14ac:dyDescent="0.2">
      <c r="AF61519" s="12"/>
    </row>
    <row r="61520" spans="32:32" x14ac:dyDescent="0.2">
      <c r="AF61520" s="12"/>
    </row>
    <row r="61521" spans="32:32" x14ac:dyDescent="0.2">
      <c r="AF61521" s="12"/>
    </row>
    <row r="61522" spans="32:32" x14ac:dyDescent="0.2">
      <c r="AF61522" s="12"/>
    </row>
    <row r="61523" spans="32:32" x14ac:dyDescent="0.2">
      <c r="AF61523" s="12"/>
    </row>
    <row r="61524" spans="32:32" x14ac:dyDescent="0.2">
      <c r="AF61524" s="12"/>
    </row>
    <row r="61525" spans="32:32" x14ac:dyDescent="0.2">
      <c r="AF61525" s="12"/>
    </row>
    <row r="61526" spans="32:32" x14ac:dyDescent="0.2">
      <c r="AF61526" s="12"/>
    </row>
    <row r="61527" spans="32:32" x14ac:dyDescent="0.2">
      <c r="AF61527" s="12"/>
    </row>
    <row r="61528" spans="32:32" x14ac:dyDescent="0.2">
      <c r="AF61528" s="12"/>
    </row>
    <row r="61529" spans="32:32" x14ac:dyDescent="0.2">
      <c r="AF61529" s="12"/>
    </row>
    <row r="61530" spans="32:32" x14ac:dyDescent="0.2">
      <c r="AF61530" s="12"/>
    </row>
    <row r="61531" spans="32:32" x14ac:dyDescent="0.2">
      <c r="AF61531" s="12"/>
    </row>
    <row r="61532" spans="32:32" x14ac:dyDescent="0.2">
      <c r="AF61532" s="12"/>
    </row>
    <row r="61533" spans="32:32" x14ac:dyDescent="0.2">
      <c r="AF61533" s="12"/>
    </row>
    <row r="61534" spans="32:32" x14ac:dyDescent="0.2">
      <c r="AF61534" s="12"/>
    </row>
    <row r="61535" spans="32:32" x14ac:dyDescent="0.2">
      <c r="AF61535" s="12"/>
    </row>
    <row r="61536" spans="32:32" x14ac:dyDescent="0.2">
      <c r="AF61536" s="12"/>
    </row>
    <row r="61537" spans="32:32" x14ac:dyDescent="0.2">
      <c r="AF61537" s="12"/>
    </row>
    <row r="61538" spans="32:32" x14ac:dyDescent="0.2">
      <c r="AF61538" s="12"/>
    </row>
    <row r="61539" spans="32:32" x14ac:dyDescent="0.2">
      <c r="AF61539" s="12"/>
    </row>
    <row r="61540" spans="32:32" x14ac:dyDescent="0.2">
      <c r="AF61540" s="12"/>
    </row>
    <row r="61541" spans="32:32" x14ac:dyDescent="0.2">
      <c r="AF61541" s="12"/>
    </row>
    <row r="61542" spans="32:32" x14ac:dyDescent="0.2">
      <c r="AF61542" s="12"/>
    </row>
    <row r="61543" spans="32:32" x14ac:dyDescent="0.2">
      <c r="AF61543" s="12"/>
    </row>
    <row r="61544" spans="32:32" x14ac:dyDescent="0.2">
      <c r="AF61544" s="12"/>
    </row>
    <row r="61545" spans="32:32" x14ac:dyDescent="0.2">
      <c r="AF61545" s="12"/>
    </row>
    <row r="61546" spans="32:32" x14ac:dyDescent="0.2">
      <c r="AF61546" s="12"/>
    </row>
    <row r="61547" spans="32:32" x14ac:dyDescent="0.2">
      <c r="AF61547" s="12"/>
    </row>
    <row r="61548" spans="32:32" x14ac:dyDescent="0.2">
      <c r="AF61548" s="12"/>
    </row>
    <row r="61549" spans="32:32" x14ac:dyDescent="0.2">
      <c r="AF61549" s="12"/>
    </row>
    <row r="61550" spans="32:32" x14ac:dyDescent="0.2">
      <c r="AF61550" s="12"/>
    </row>
    <row r="61551" spans="32:32" x14ac:dyDescent="0.2">
      <c r="AF61551" s="12"/>
    </row>
    <row r="61552" spans="32:32" x14ac:dyDescent="0.2">
      <c r="AF61552" s="12"/>
    </row>
    <row r="61553" spans="32:32" x14ac:dyDescent="0.2">
      <c r="AF61553" s="12"/>
    </row>
    <row r="61554" spans="32:32" x14ac:dyDescent="0.2">
      <c r="AF61554" s="12"/>
    </row>
    <row r="61555" spans="32:32" x14ac:dyDescent="0.2">
      <c r="AF61555" s="12"/>
    </row>
    <row r="61556" spans="32:32" x14ac:dyDescent="0.2">
      <c r="AF61556" s="12"/>
    </row>
    <row r="61557" spans="32:32" x14ac:dyDescent="0.2">
      <c r="AF61557" s="12"/>
    </row>
    <row r="61558" spans="32:32" x14ac:dyDescent="0.2">
      <c r="AF61558" s="12"/>
    </row>
    <row r="61559" spans="32:32" x14ac:dyDescent="0.2">
      <c r="AF61559" s="12"/>
    </row>
    <row r="61560" spans="32:32" x14ac:dyDescent="0.2">
      <c r="AF61560" s="12"/>
    </row>
    <row r="61561" spans="32:32" x14ac:dyDescent="0.2">
      <c r="AF61561" s="12"/>
    </row>
    <row r="61562" spans="32:32" x14ac:dyDescent="0.2">
      <c r="AF61562" s="12"/>
    </row>
    <row r="61563" spans="32:32" x14ac:dyDescent="0.2">
      <c r="AF61563" s="12"/>
    </row>
    <row r="61564" spans="32:32" x14ac:dyDescent="0.2">
      <c r="AF61564" s="12"/>
    </row>
    <row r="61565" spans="32:32" x14ac:dyDescent="0.2">
      <c r="AF61565" s="12"/>
    </row>
    <row r="61566" spans="32:32" x14ac:dyDescent="0.2">
      <c r="AF61566" s="12"/>
    </row>
    <row r="61567" spans="32:32" x14ac:dyDescent="0.2">
      <c r="AF61567" s="12"/>
    </row>
    <row r="61568" spans="32:32" x14ac:dyDescent="0.2">
      <c r="AF61568" s="12"/>
    </row>
    <row r="61569" spans="32:32" x14ac:dyDescent="0.2">
      <c r="AF61569" s="12"/>
    </row>
    <row r="61570" spans="32:32" x14ac:dyDescent="0.2">
      <c r="AF61570" s="12"/>
    </row>
    <row r="61571" spans="32:32" x14ac:dyDescent="0.2">
      <c r="AF61571" s="12"/>
    </row>
    <row r="61572" spans="32:32" x14ac:dyDescent="0.2">
      <c r="AF61572" s="12"/>
    </row>
    <row r="61573" spans="32:32" x14ac:dyDescent="0.2">
      <c r="AF61573" s="12"/>
    </row>
    <row r="61574" spans="32:32" x14ac:dyDescent="0.2">
      <c r="AF61574" s="12"/>
    </row>
    <row r="61575" spans="32:32" x14ac:dyDescent="0.2">
      <c r="AF61575" s="12"/>
    </row>
    <row r="61576" spans="32:32" x14ac:dyDescent="0.2">
      <c r="AF61576" s="12"/>
    </row>
    <row r="61577" spans="32:32" x14ac:dyDescent="0.2">
      <c r="AF61577" s="12"/>
    </row>
    <row r="61578" spans="32:32" x14ac:dyDescent="0.2">
      <c r="AF61578" s="12"/>
    </row>
    <row r="61579" spans="32:32" x14ac:dyDescent="0.2">
      <c r="AF61579" s="12"/>
    </row>
    <row r="61580" spans="32:32" x14ac:dyDescent="0.2">
      <c r="AF61580" s="12"/>
    </row>
    <row r="61581" spans="32:32" x14ac:dyDescent="0.2">
      <c r="AF61581" s="12"/>
    </row>
    <row r="61582" spans="32:32" x14ac:dyDescent="0.2">
      <c r="AF61582" s="12"/>
    </row>
    <row r="61583" spans="32:32" x14ac:dyDescent="0.2">
      <c r="AF61583" s="12"/>
    </row>
    <row r="61584" spans="32:32" x14ac:dyDescent="0.2">
      <c r="AF61584" s="12"/>
    </row>
    <row r="61585" spans="32:32" x14ac:dyDescent="0.2">
      <c r="AF61585" s="12"/>
    </row>
    <row r="61586" spans="32:32" x14ac:dyDescent="0.2">
      <c r="AF61586" s="12"/>
    </row>
    <row r="61587" spans="32:32" x14ac:dyDescent="0.2">
      <c r="AF61587" s="12"/>
    </row>
    <row r="61588" spans="32:32" x14ac:dyDescent="0.2">
      <c r="AF61588" s="12"/>
    </row>
    <row r="61589" spans="32:32" x14ac:dyDescent="0.2">
      <c r="AF61589" s="12"/>
    </row>
    <row r="61590" spans="32:32" x14ac:dyDescent="0.2">
      <c r="AF61590" s="12"/>
    </row>
    <row r="61591" spans="32:32" x14ac:dyDescent="0.2">
      <c r="AF61591" s="12"/>
    </row>
    <row r="61592" spans="32:32" x14ac:dyDescent="0.2">
      <c r="AF61592" s="12"/>
    </row>
    <row r="61593" spans="32:32" x14ac:dyDescent="0.2">
      <c r="AF61593" s="12"/>
    </row>
    <row r="61594" spans="32:32" x14ac:dyDescent="0.2">
      <c r="AF61594" s="12"/>
    </row>
    <row r="61595" spans="32:32" x14ac:dyDescent="0.2">
      <c r="AF61595" s="12"/>
    </row>
    <row r="61596" spans="32:32" x14ac:dyDescent="0.2">
      <c r="AF61596" s="12"/>
    </row>
    <row r="61597" spans="32:32" x14ac:dyDescent="0.2">
      <c r="AF61597" s="12"/>
    </row>
    <row r="61598" spans="32:32" x14ac:dyDescent="0.2">
      <c r="AF61598" s="12"/>
    </row>
    <row r="61599" spans="32:32" x14ac:dyDescent="0.2">
      <c r="AF61599" s="12"/>
    </row>
    <row r="61600" spans="32:32" x14ac:dyDescent="0.2">
      <c r="AF61600" s="12"/>
    </row>
    <row r="61601" spans="32:32" x14ac:dyDescent="0.2">
      <c r="AF61601" s="12"/>
    </row>
    <row r="61602" spans="32:32" x14ac:dyDescent="0.2">
      <c r="AF61602" s="12"/>
    </row>
    <row r="61603" spans="32:32" x14ac:dyDescent="0.2">
      <c r="AF61603" s="12"/>
    </row>
    <row r="61604" spans="32:32" x14ac:dyDescent="0.2">
      <c r="AF61604" s="12"/>
    </row>
    <row r="61605" spans="32:32" x14ac:dyDescent="0.2">
      <c r="AF61605" s="12"/>
    </row>
    <row r="61606" spans="32:32" x14ac:dyDescent="0.2">
      <c r="AF61606" s="12"/>
    </row>
    <row r="61607" spans="32:32" x14ac:dyDescent="0.2">
      <c r="AF61607" s="12"/>
    </row>
    <row r="61608" spans="32:32" x14ac:dyDescent="0.2">
      <c r="AF61608" s="12"/>
    </row>
    <row r="61609" spans="32:32" x14ac:dyDescent="0.2">
      <c r="AF61609" s="12"/>
    </row>
    <row r="61610" spans="32:32" x14ac:dyDescent="0.2">
      <c r="AF61610" s="12"/>
    </row>
    <row r="61611" spans="32:32" x14ac:dyDescent="0.2">
      <c r="AF61611" s="12"/>
    </row>
    <row r="61612" spans="32:32" x14ac:dyDescent="0.2">
      <c r="AF61612" s="12"/>
    </row>
    <row r="61613" spans="32:32" x14ac:dyDescent="0.2">
      <c r="AF61613" s="12"/>
    </row>
    <row r="61614" spans="32:32" x14ac:dyDescent="0.2">
      <c r="AF61614" s="12"/>
    </row>
    <row r="61615" spans="32:32" x14ac:dyDescent="0.2">
      <c r="AF61615" s="12"/>
    </row>
    <row r="61616" spans="32:32" x14ac:dyDescent="0.2">
      <c r="AF61616" s="12"/>
    </row>
    <row r="61617" spans="32:32" x14ac:dyDescent="0.2">
      <c r="AF61617" s="12"/>
    </row>
    <row r="61618" spans="32:32" x14ac:dyDescent="0.2">
      <c r="AF61618" s="12"/>
    </row>
    <row r="61619" spans="32:32" x14ac:dyDescent="0.2">
      <c r="AF61619" s="12"/>
    </row>
    <row r="61620" spans="32:32" x14ac:dyDescent="0.2">
      <c r="AF61620" s="12"/>
    </row>
    <row r="61621" spans="32:32" x14ac:dyDescent="0.2">
      <c r="AF61621" s="12"/>
    </row>
    <row r="61622" spans="32:32" x14ac:dyDescent="0.2">
      <c r="AF61622" s="12"/>
    </row>
    <row r="61623" spans="32:32" x14ac:dyDescent="0.2">
      <c r="AF61623" s="12"/>
    </row>
    <row r="61624" spans="32:32" x14ac:dyDescent="0.2">
      <c r="AF61624" s="12"/>
    </row>
    <row r="61625" spans="32:32" x14ac:dyDescent="0.2">
      <c r="AF61625" s="12"/>
    </row>
    <row r="61626" spans="32:32" x14ac:dyDescent="0.2">
      <c r="AF61626" s="12"/>
    </row>
    <row r="61627" spans="32:32" x14ac:dyDescent="0.2">
      <c r="AF61627" s="12"/>
    </row>
    <row r="61628" spans="32:32" x14ac:dyDescent="0.2">
      <c r="AF61628" s="12"/>
    </row>
    <row r="61629" spans="32:32" x14ac:dyDescent="0.2">
      <c r="AF61629" s="12"/>
    </row>
    <row r="61630" spans="32:32" x14ac:dyDescent="0.2">
      <c r="AF61630" s="12"/>
    </row>
    <row r="61631" spans="32:32" x14ac:dyDescent="0.2">
      <c r="AF61631" s="12"/>
    </row>
    <row r="61632" spans="32:32" x14ac:dyDescent="0.2">
      <c r="AF61632" s="12"/>
    </row>
    <row r="61633" spans="32:32" x14ac:dyDescent="0.2">
      <c r="AF61633" s="12"/>
    </row>
    <row r="61634" spans="32:32" x14ac:dyDescent="0.2">
      <c r="AF61634" s="12"/>
    </row>
    <row r="61635" spans="32:32" x14ac:dyDescent="0.2">
      <c r="AF61635" s="12"/>
    </row>
    <row r="61636" spans="32:32" x14ac:dyDescent="0.2">
      <c r="AF61636" s="12"/>
    </row>
    <row r="61637" spans="32:32" x14ac:dyDescent="0.2">
      <c r="AF61637" s="12"/>
    </row>
    <row r="61638" spans="32:32" x14ac:dyDescent="0.2">
      <c r="AF61638" s="12"/>
    </row>
    <row r="61639" spans="32:32" x14ac:dyDescent="0.2">
      <c r="AF61639" s="12"/>
    </row>
    <row r="61640" spans="32:32" x14ac:dyDescent="0.2">
      <c r="AF61640" s="12"/>
    </row>
    <row r="61641" spans="32:32" x14ac:dyDescent="0.2">
      <c r="AF61641" s="12"/>
    </row>
    <row r="61642" spans="32:32" x14ac:dyDescent="0.2">
      <c r="AF61642" s="12"/>
    </row>
    <row r="61643" spans="32:32" x14ac:dyDescent="0.2">
      <c r="AF61643" s="12"/>
    </row>
    <row r="61644" spans="32:32" x14ac:dyDescent="0.2">
      <c r="AF61644" s="12"/>
    </row>
    <row r="61645" spans="32:32" x14ac:dyDescent="0.2">
      <c r="AF61645" s="12"/>
    </row>
    <row r="61646" spans="32:32" x14ac:dyDescent="0.2">
      <c r="AF61646" s="12"/>
    </row>
    <row r="61647" spans="32:32" x14ac:dyDescent="0.2">
      <c r="AF61647" s="12"/>
    </row>
    <row r="61648" spans="32:32" x14ac:dyDescent="0.2">
      <c r="AF61648" s="12"/>
    </row>
    <row r="61649" spans="32:32" x14ac:dyDescent="0.2">
      <c r="AF61649" s="12"/>
    </row>
    <row r="61650" spans="32:32" x14ac:dyDescent="0.2">
      <c r="AF61650" s="12"/>
    </row>
    <row r="61651" spans="32:32" x14ac:dyDescent="0.2">
      <c r="AF61651" s="12"/>
    </row>
    <row r="61652" spans="32:32" x14ac:dyDescent="0.2">
      <c r="AF61652" s="12"/>
    </row>
    <row r="61653" spans="32:32" x14ac:dyDescent="0.2">
      <c r="AF61653" s="12"/>
    </row>
    <row r="61654" spans="32:32" x14ac:dyDescent="0.2">
      <c r="AF61654" s="12"/>
    </row>
    <row r="61655" spans="32:32" x14ac:dyDescent="0.2">
      <c r="AF61655" s="12"/>
    </row>
    <row r="61656" spans="32:32" x14ac:dyDescent="0.2">
      <c r="AF61656" s="12"/>
    </row>
    <row r="61657" spans="32:32" x14ac:dyDescent="0.2">
      <c r="AF61657" s="12"/>
    </row>
    <row r="61658" spans="32:32" x14ac:dyDescent="0.2">
      <c r="AF61658" s="12"/>
    </row>
    <row r="61659" spans="32:32" x14ac:dyDescent="0.2">
      <c r="AF61659" s="12"/>
    </row>
    <row r="61660" spans="32:32" x14ac:dyDescent="0.2">
      <c r="AF61660" s="12"/>
    </row>
    <row r="61661" spans="32:32" x14ac:dyDescent="0.2">
      <c r="AF61661" s="12"/>
    </row>
    <row r="61662" spans="32:32" x14ac:dyDescent="0.2">
      <c r="AF61662" s="12"/>
    </row>
    <row r="61663" spans="32:32" x14ac:dyDescent="0.2">
      <c r="AF61663" s="12"/>
    </row>
    <row r="61664" spans="32:32" x14ac:dyDescent="0.2">
      <c r="AF61664" s="12"/>
    </row>
    <row r="61665" spans="32:32" x14ac:dyDescent="0.2">
      <c r="AF61665" s="12"/>
    </row>
    <row r="61666" spans="32:32" x14ac:dyDescent="0.2">
      <c r="AF61666" s="12"/>
    </row>
    <row r="61667" spans="32:32" x14ac:dyDescent="0.2">
      <c r="AF61667" s="12"/>
    </row>
    <row r="61668" spans="32:32" x14ac:dyDescent="0.2">
      <c r="AF61668" s="12"/>
    </row>
    <row r="61669" spans="32:32" x14ac:dyDescent="0.2">
      <c r="AF61669" s="12"/>
    </row>
    <row r="61670" spans="32:32" x14ac:dyDescent="0.2">
      <c r="AF61670" s="12"/>
    </row>
    <row r="61671" spans="32:32" x14ac:dyDescent="0.2">
      <c r="AF61671" s="12"/>
    </row>
    <row r="61672" spans="32:32" x14ac:dyDescent="0.2">
      <c r="AF61672" s="12"/>
    </row>
    <row r="61673" spans="32:32" x14ac:dyDescent="0.2">
      <c r="AF61673" s="12"/>
    </row>
    <row r="61674" spans="32:32" x14ac:dyDescent="0.2">
      <c r="AF61674" s="12"/>
    </row>
    <row r="61675" spans="32:32" x14ac:dyDescent="0.2">
      <c r="AF61675" s="12"/>
    </row>
    <row r="61676" spans="32:32" x14ac:dyDescent="0.2">
      <c r="AF61676" s="12"/>
    </row>
    <row r="61677" spans="32:32" x14ac:dyDescent="0.2">
      <c r="AF61677" s="12"/>
    </row>
    <row r="61678" spans="32:32" x14ac:dyDescent="0.2">
      <c r="AF61678" s="12"/>
    </row>
    <row r="61679" spans="32:32" x14ac:dyDescent="0.2">
      <c r="AF61679" s="12"/>
    </row>
    <row r="61680" spans="32:32" x14ac:dyDescent="0.2">
      <c r="AF61680" s="12"/>
    </row>
    <row r="61681" spans="32:32" x14ac:dyDescent="0.2">
      <c r="AF61681" s="12"/>
    </row>
    <row r="61682" spans="32:32" x14ac:dyDescent="0.2">
      <c r="AF61682" s="12"/>
    </row>
    <row r="61683" spans="32:32" x14ac:dyDescent="0.2">
      <c r="AF61683" s="12"/>
    </row>
    <row r="61684" spans="32:32" x14ac:dyDescent="0.2">
      <c r="AF61684" s="12"/>
    </row>
    <row r="61685" spans="32:32" x14ac:dyDescent="0.2">
      <c r="AF61685" s="12"/>
    </row>
    <row r="61686" spans="32:32" x14ac:dyDescent="0.2">
      <c r="AF61686" s="12"/>
    </row>
    <row r="61687" spans="32:32" x14ac:dyDescent="0.2">
      <c r="AF61687" s="12"/>
    </row>
    <row r="61688" spans="32:32" x14ac:dyDescent="0.2">
      <c r="AF61688" s="12"/>
    </row>
    <row r="61689" spans="32:32" x14ac:dyDescent="0.2">
      <c r="AF61689" s="12"/>
    </row>
    <row r="61690" spans="32:32" x14ac:dyDescent="0.2">
      <c r="AF61690" s="12"/>
    </row>
    <row r="61691" spans="32:32" x14ac:dyDescent="0.2">
      <c r="AF61691" s="12"/>
    </row>
    <row r="61692" spans="32:32" x14ac:dyDescent="0.2">
      <c r="AF61692" s="12"/>
    </row>
    <row r="61693" spans="32:32" x14ac:dyDescent="0.2">
      <c r="AF61693" s="12"/>
    </row>
    <row r="61694" spans="32:32" x14ac:dyDescent="0.2">
      <c r="AF61694" s="12"/>
    </row>
    <row r="61695" spans="32:32" x14ac:dyDescent="0.2">
      <c r="AF61695" s="12"/>
    </row>
    <row r="61696" spans="32:32" x14ac:dyDescent="0.2">
      <c r="AF61696" s="12"/>
    </row>
    <row r="61697" spans="32:32" x14ac:dyDescent="0.2">
      <c r="AF61697" s="12"/>
    </row>
    <row r="61698" spans="32:32" x14ac:dyDescent="0.2">
      <c r="AF61698" s="12"/>
    </row>
    <row r="61699" spans="32:32" x14ac:dyDescent="0.2">
      <c r="AF61699" s="12"/>
    </row>
    <row r="61700" spans="32:32" x14ac:dyDescent="0.2">
      <c r="AF61700" s="12"/>
    </row>
    <row r="61701" spans="32:32" x14ac:dyDescent="0.2">
      <c r="AF61701" s="12"/>
    </row>
    <row r="61702" spans="32:32" x14ac:dyDescent="0.2">
      <c r="AF61702" s="12"/>
    </row>
    <row r="61703" spans="32:32" x14ac:dyDescent="0.2">
      <c r="AF61703" s="12"/>
    </row>
    <row r="61704" spans="32:32" x14ac:dyDescent="0.2">
      <c r="AF61704" s="12"/>
    </row>
    <row r="61705" spans="32:32" x14ac:dyDescent="0.2">
      <c r="AF61705" s="12"/>
    </row>
    <row r="61706" spans="32:32" x14ac:dyDescent="0.2">
      <c r="AF61706" s="12"/>
    </row>
    <row r="61707" spans="32:32" x14ac:dyDescent="0.2">
      <c r="AF61707" s="12"/>
    </row>
    <row r="61708" spans="32:32" x14ac:dyDescent="0.2">
      <c r="AF61708" s="12"/>
    </row>
    <row r="61709" spans="32:32" x14ac:dyDescent="0.2">
      <c r="AF61709" s="12"/>
    </row>
    <row r="61710" spans="32:32" x14ac:dyDescent="0.2">
      <c r="AF61710" s="12"/>
    </row>
    <row r="61711" spans="32:32" x14ac:dyDescent="0.2">
      <c r="AF61711" s="12"/>
    </row>
    <row r="61712" spans="32:32" x14ac:dyDescent="0.2">
      <c r="AF61712" s="12"/>
    </row>
    <row r="61713" spans="32:32" x14ac:dyDescent="0.2">
      <c r="AF61713" s="12"/>
    </row>
    <row r="61714" spans="32:32" x14ac:dyDescent="0.2">
      <c r="AF61714" s="12"/>
    </row>
    <row r="61715" spans="32:32" x14ac:dyDescent="0.2">
      <c r="AF61715" s="12"/>
    </row>
    <row r="61716" spans="32:32" x14ac:dyDescent="0.2">
      <c r="AF61716" s="12"/>
    </row>
    <row r="61717" spans="32:32" x14ac:dyDescent="0.2">
      <c r="AF61717" s="12"/>
    </row>
    <row r="61718" spans="32:32" x14ac:dyDescent="0.2">
      <c r="AF61718" s="12"/>
    </row>
    <row r="61719" spans="32:32" x14ac:dyDescent="0.2">
      <c r="AF61719" s="12"/>
    </row>
    <row r="61720" spans="32:32" x14ac:dyDescent="0.2">
      <c r="AF61720" s="12"/>
    </row>
    <row r="61721" spans="32:32" x14ac:dyDescent="0.2">
      <c r="AF61721" s="12"/>
    </row>
    <row r="61722" spans="32:32" x14ac:dyDescent="0.2">
      <c r="AF61722" s="12"/>
    </row>
    <row r="61723" spans="32:32" x14ac:dyDescent="0.2">
      <c r="AF61723" s="12"/>
    </row>
    <row r="61724" spans="32:32" x14ac:dyDescent="0.2">
      <c r="AF61724" s="12"/>
    </row>
    <row r="61725" spans="32:32" x14ac:dyDescent="0.2">
      <c r="AF61725" s="12"/>
    </row>
    <row r="61726" spans="32:32" x14ac:dyDescent="0.2">
      <c r="AF61726" s="12"/>
    </row>
    <row r="61727" spans="32:32" x14ac:dyDescent="0.2">
      <c r="AF61727" s="12"/>
    </row>
    <row r="61728" spans="32:32" x14ac:dyDescent="0.2">
      <c r="AF61728" s="12"/>
    </row>
    <row r="61729" spans="32:32" x14ac:dyDescent="0.2">
      <c r="AF61729" s="12"/>
    </row>
    <row r="61730" spans="32:32" x14ac:dyDescent="0.2">
      <c r="AF61730" s="12"/>
    </row>
    <row r="61731" spans="32:32" x14ac:dyDescent="0.2">
      <c r="AF61731" s="12"/>
    </row>
    <row r="61732" spans="32:32" x14ac:dyDescent="0.2">
      <c r="AF61732" s="12"/>
    </row>
    <row r="61733" spans="32:32" x14ac:dyDescent="0.2">
      <c r="AF61733" s="12"/>
    </row>
    <row r="61734" spans="32:32" x14ac:dyDescent="0.2">
      <c r="AF61734" s="12"/>
    </row>
    <row r="61735" spans="32:32" x14ac:dyDescent="0.2">
      <c r="AF61735" s="12"/>
    </row>
    <row r="61736" spans="32:32" x14ac:dyDescent="0.2">
      <c r="AF61736" s="12"/>
    </row>
    <row r="61737" spans="32:32" x14ac:dyDescent="0.2">
      <c r="AF61737" s="12"/>
    </row>
    <row r="61738" spans="32:32" x14ac:dyDescent="0.2">
      <c r="AF61738" s="12"/>
    </row>
    <row r="61739" spans="32:32" x14ac:dyDescent="0.2">
      <c r="AF61739" s="12"/>
    </row>
    <row r="61740" spans="32:32" x14ac:dyDescent="0.2">
      <c r="AF61740" s="12"/>
    </row>
    <row r="61741" spans="32:32" x14ac:dyDescent="0.2">
      <c r="AF61741" s="12"/>
    </row>
    <row r="61742" spans="32:32" x14ac:dyDescent="0.2">
      <c r="AF61742" s="12"/>
    </row>
    <row r="61743" spans="32:32" x14ac:dyDescent="0.2">
      <c r="AF61743" s="12"/>
    </row>
    <row r="61744" spans="32:32" x14ac:dyDescent="0.2">
      <c r="AF61744" s="12"/>
    </row>
    <row r="61745" spans="32:32" x14ac:dyDescent="0.2">
      <c r="AF61745" s="12"/>
    </row>
    <row r="61746" spans="32:32" x14ac:dyDescent="0.2">
      <c r="AF61746" s="12"/>
    </row>
    <row r="61747" spans="32:32" x14ac:dyDescent="0.2">
      <c r="AF61747" s="12"/>
    </row>
    <row r="61748" spans="32:32" x14ac:dyDescent="0.2">
      <c r="AF61748" s="12"/>
    </row>
    <row r="61749" spans="32:32" x14ac:dyDescent="0.2">
      <c r="AF61749" s="12"/>
    </row>
    <row r="61750" spans="32:32" x14ac:dyDescent="0.2">
      <c r="AF61750" s="12"/>
    </row>
    <row r="61751" spans="32:32" x14ac:dyDescent="0.2">
      <c r="AF61751" s="12"/>
    </row>
    <row r="61752" spans="32:32" x14ac:dyDescent="0.2">
      <c r="AF61752" s="12"/>
    </row>
    <row r="61753" spans="32:32" x14ac:dyDescent="0.2">
      <c r="AF61753" s="12"/>
    </row>
    <row r="61754" spans="32:32" x14ac:dyDescent="0.2">
      <c r="AF61754" s="12"/>
    </row>
    <row r="61755" spans="32:32" x14ac:dyDescent="0.2">
      <c r="AF61755" s="12"/>
    </row>
    <row r="61756" spans="32:32" x14ac:dyDescent="0.2">
      <c r="AF61756" s="12"/>
    </row>
    <row r="61757" spans="32:32" x14ac:dyDescent="0.2">
      <c r="AF61757" s="12"/>
    </row>
    <row r="61758" spans="32:32" x14ac:dyDescent="0.2">
      <c r="AF61758" s="12"/>
    </row>
    <row r="61759" spans="32:32" x14ac:dyDescent="0.2">
      <c r="AF61759" s="12"/>
    </row>
    <row r="61760" spans="32:32" x14ac:dyDescent="0.2">
      <c r="AF61760" s="12"/>
    </row>
    <row r="61761" spans="32:32" x14ac:dyDescent="0.2">
      <c r="AF61761" s="12"/>
    </row>
    <row r="61762" spans="32:32" x14ac:dyDescent="0.2">
      <c r="AF61762" s="12"/>
    </row>
    <row r="61763" spans="32:32" x14ac:dyDescent="0.2">
      <c r="AF61763" s="12"/>
    </row>
    <row r="61764" spans="32:32" x14ac:dyDescent="0.2">
      <c r="AF61764" s="12"/>
    </row>
    <row r="61765" spans="32:32" x14ac:dyDescent="0.2">
      <c r="AF61765" s="12"/>
    </row>
    <row r="61766" spans="32:32" x14ac:dyDescent="0.2">
      <c r="AF61766" s="12"/>
    </row>
    <row r="61767" spans="32:32" x14ac:dyDescent="0.2">
      <c r="AF61767" s="12"/>
    </row>
    <row r="61768" spans="32:32" x14ac:dyDescent="0.2">
      <c r="AF61768" s="12"/>
    </row>
    <row r="61769" spans="32:32" x14ac:dyDescent="0.2">
      <c r="AF61769" s="12"/>
    </row>
    <row r="61770" spans="32:32" x14ac:dyDescent="0.2">
      <c r="AF61770" s="12"/>
    </row>
    <row r="61771" spans="32:32" x14ac:dyDescent="0.2">
      <c r="AF61771" s="12"/>
    </row>
    <row r="61772" spans="32:32" x14ac:dyDescent="0.2">
      <c r="AF61772" s="12"/>
    </row>
    <row r="61773" spans="32:32" x14ac:dyDescent="0.2">
      <c r="AF61773" s="12"/>
    </row>
    <row r="61774" spans="32:32" x14ac:dyDescent="0.2">
      <c r="AF61774" s="12"/>
    </row>
    <row r="61775" spans="32:32" x14ac:dyDescent="0.2">
      <c r="AF61775" s="12"/>
    </row>
    <row r="61776" spans="32:32" x14ac:dyDescent="0.2">
      <c r="AF61776" s="12"/>
    </row>
    <row r="61777" spans="32:32" x14ac:dyDescent="0.2">
      <c r="AF61777" s="12"/>
    </row>
    <row r="61778" spans="32:32" x14ac:dyDescent="0.2">
      <c r="AF61778" s="12"/>
    </row>
    <row r="61779" spans="32:32" x14ac:dyDescent="0.2">
      <c r="AF61779" s="12"/>
    </row>
    <row r="61780" spans="32:32" x14ac:dyDescent="0.2">
      <c r="AF61780" s="12"/>
    </row>
    <row r="61781" spans="32:32" x14ac:dyDescent="0.2">
      <c r="AF61781" s="12"/>
    </row>
    <row r="61782" spans="32:32" x14ac:dyDescent="0.2">
      <c r="AF61782" s="12"/>
    </row>
    <row r="61783" spans="32:32" x14ac:dyDescent="0.2">
      <c r="AF61783" s="12"/>
    </row>
    <row r="61784" spans="32:32" x14ac:dyDescent="0.2">
      <c r="AF61784" s="12"/>
    </row>
    <row r="61785" spans="32:32" x14ac:dyDescent="0.2">
      <c r="AF61785" s="12"/>
    </row>
    <row r="61786" spans="32:32" x14ac:dyDescent="0.2">
      <c r="AF61786" s="12"/>
    </row>
    <row r="61787" spans="32:32" x14ac:dyDescent="0.2">
      <c r="AF61787" s="12"/>
    </row>
    <row r="61788" spans="32:32" x14ac:dyDescent="0.2">
      <c r="AF61788" s="12"/>
    </row>
    <row r="61789" spans="32:32" x14ac:dyDescent="0.2">
      <c r="AF61789" s="12"/>
    </row>
    <row r="61790" spans="32:32" x14ac:dyDescent="0.2">
      <c r="AF61790" s="12"/>
    </row>
    <row r="61791" spans="32:32" x14ac:dyDescent="0.2">
      <c r="AF61791" s="12"/>
    </row>
    <row r="61792" spans="32:32" x14ac:dyDescent="0.2">
      <c r="AF61792" s="12"/>
    </row>
    <row r="61793" spans="32:32" x14ac:dyDescent="0.2">
      <c r="AF61793" s="12"/>
    </row>
    <row r="61794" spans="32:32" x14ac:dyDescent="0.2">
      <c r="AF61794" s="12"/>
    </row>
    <row r="61795" spans="32:32" x14ac:dyDescent="0.2">
      <c r="AF61795" s="12"/>
    </row>
    <row r="61796" spans="32:32" x14ac:dyDescent="0.2">
      <c r="AF61796" s="12"/>
    </row>
    <row r="61797" spans="32:32" x14ac:dyDescent="0.2">
      <c r="AF61797" s="12"/>
    </row>
    <row r="61798" spans="32:32" x14ac:dyDescent="0.2">
      <c r="AF61798" s="12"/>
    </row>
    <row r="61799" spans="32:32" x14ac:dyDescent="0.2">
      <c r="AF61799" s="12"/>
    </row>
    <row r="61800" spans="32:32" x14ac:dyDescent="0.2">
      <c r="AF61800" s="12"/>
    </row>
    <row r="61801" spans="32:32" x14ac:dyDescent="0.2">
      <c r="AF61801" s="12"/>
    </row>
    <row r="61802" spans="32:32" x14ac:dyDescent="0.2">
      <c r="AF61802" s="12"/>
    </row>
    <row r="61803" spans="32:32" x14ac:dyDescent="0.2">
      <c r="AF61803" s="12"/>
    </row>
    <row r="61804" spans="32:32" x14ac:dyDescent="0.2">
      <c r="AF61804" s="12"/>
    </row>
    <row r="61805" spans="32:32" x14ac:dyDescent="0.2">
      <c r="AF61805" s="12"/>
    </row>
    <row r="61806" spans="32:32" x14ac:dyDescent="0.2">
      <c r="AF61806" s="12"/>
    </row>
    <row r="61807" spans="32:32" x14ac:dyDescent="0.2">
      <c r="AF61807" s="12"/>
    </row>
    <row r="61808" spans="32:32" x14ac:dyDescent="0.2">
      <c r="AF61808" s="12"/>
    </row>
    <row r="61809" spans="32:32" x14ac:dyDescent="0.2">
      <c r="AF61809" s="12"/>
    </row>
    <row r="61810" spans="32:32" x14ac:dyDescent="0.2">
      <c r="AF61810" s="12"/>
    </row>
    <row r="61811" spans="32:32" x14ac:dyDescent="0.2">
      <c r="AF61811" s="12"/>
    </row>
    <row r="61812" spans="32:32" x14ac:dyDescent="0.2">
      <c r="AF61812" s="12"/>
    </row>
    <row r="61813" spans="32:32" x14ac:dyDescent="0.2">
      <c r="AF61813" s="12"/>
    </row>
    <row r="61814" spans="32:32" x14ac:dyDescent="0.2">
      <c r="AF61814" s="12"/>
    </row>
    <row r="61815" spans="32:32" x14ac:dyDescent="0.2">
      <c r="AF61815" s="12"/>
    </row>
    <row r="61816" spans="32:32" x14ac:dyDescent="0.2">
      <c r="AF61816" s="12"/>
    </row>
    <row r="61817" spans="32:32" x14ac:dyDescent="0.2">
      <c r="AF61817" s="12"/>
    </row>
    <row r="61818" spans="32:32" x14ac:dyDescent="0.2">
      <c r="AF61818" s="12"/>
    </row>
    <row r="61819" spans="32:32" x14ac:dyDescent="0.2">
      <c r="AF61819" s="12"/>
    </row>
    <row r="61820" spans="32:32" x14ac:dyDescent="0.2">
      <c r="AF61820" s="12"/>
    </row>
    <row r="61821" spans="32:32" x14ac:dyDescent="0.2">
      <c r="AF61821" s="12"/>
    </row>
    <row r="61822" spans="32:32" x14ac:dyDescent="0.2">
      <c r="AF61822" s="12"/>
    </row>
    <row r="61823" spans="32:32" x14ac:dyDescent="0.2">
      <c r="AF61823" s="12"/>
    </row>
    <row r="61824" spans="32:32" x14ac:dyDescent="0.2">
      <c r="AF61824" s="12"/>
    </row>
    <row r="61825" spans="32:32" x14ac:dyDescent="0.2">
      <c r="AF61825" s="12"/>
    </row>
    <row r="61826" spans="32:32" x14ac:dyDescent="0.2">
      <c r="AF61826" s="12"/>
    </row>
    <row r="61827" spans="32:32" x14ac:dyDescent="0.2">
      <c r="AF61827" s="12"/>
    </row>
    <row r="61828" spans="32:32" x14ac:dyDescent="0.2">
      <c r="AF61828" s="12"/>
    </row>
    <row r="61829" spans="32:32" x14ac:dyDescent="0.2">
      <c r="AF61829" s="12"/>
    </row>
    <row r="61830" spans="32:32" x14ac:dyDescent="0.2">
      <c r="AF61830" s="12"/>
    </row>
    <row r="61831" spans="32:32" x14ac:dyDescent="0.2">
      <c r="AF61831" s="12"/>
    </row>
    <row r="61832" spans="32:32" x14ac:dyDescent="0.2">
      <c r="AF61832" s="12"/>
    </row>
    <row r="61833" spans="32:32" x14ac:dyDescent="0.2">
      <c r="AF61833" s="12"/>
    </row>
    <row r="61834" spans="32:32" x14ac:dyDescent="0.2">
      <c r="AF61834" s="12"/>
    </row>
    <row r="61835" spans="32:32" x14ac:dyDescent="0.2">
      <c r="AF61835" s="12"/>
    </row>
    <row r="61836" spans="32:32" x14ac:dyDescent="0.2">
      <c r="AF61836" s="12"/>
    </row>
    <row r="61837" spans="32:32" x14ac:dyDescent="0.2">
      <c r="AF61837" s="12"/>
    </row>
    <row r="61838" spans="32:32" x14ac:dyDescent="0.2">
      <c r="AF61838" s="12"/>
    </row>
    <row r="61839" spans="32:32" x14ac:dyDescent="0.2">
      <c r="AF61839" s="12"/>
    </row>
    <row r="61840" spans="32:32" x14ac:dyDescent="0.2">
      <c r="AF61840" s="12"/>
    </row>
    <row r="61841" spans="32:32" x14ac:dyDescent="0.2">
      <c r="AF61841" s="12"/>
    </row>
    <row r="61842" spans="32:32" x14ac:dyDescent="0.2">
      <c r="AF61842" s="12"/>
    </row>
    <row r="61843" spans="32:32" x14ac:dyDescent="0.2">
      <c r="AF61843" s="12"/>
    </row>
    <row r="61844" spans="32:32" x14ac:dyDescent="0.2">
      <c r="AF61844" s="12"/>
    </row>
    <row r="61845" spans="32:32" x14ac:dyDescent="0.2">
      <c r="AF61845" s="12"/>
    </row>
    <row r="61846" spans="32:32" x14ac:dyDescent="0.2">
      <c r="AF61846" s="12"/>
    </row>
    <row r="61847" spans="32:32" x14ac:dyDescent="0.2">
      <c r="AF61847" s="12"/>
    </row>
    <row r="61848" spans="32:32" x14ac:dyDescent="0.2">
      <c r="AF61848" s="12"/>
    </row>
    <row r="61849" spans="32:32" x14ac:dyDescent="0.2">
      <c r="AF61849" s="12"/>
    </row>
    <row r="61850" spans="32:32" x14ac:dyDescent="0.2">
      <c r="AF61850" s="12"/>
    </row>
    <row r="61851" spans="32:32" x14ac:dyDescent="0.2">
      <c r="AF61851" s="12"/>
    </row>
    <row r="61852" spans="32:32" x14ac:dyDescent="0.2">
      <c r="AF61852" s="12"/>
    </row>
    <row r="61853" spans="32:32" x14ac:dyDescent="0.2">
      <c r="AF61853" s="12"/>
    </row>
    <row r="61854" spans="32:32" x14ac:dyDescent="0.2">
      <c r="AF61854" s="12"/>
    </row>
    <row r="61855" spans="32:32" x14ac:dyDescent="0.2">
      <c r="AF61855" s="12"/>
    </row>
    <row r="61856" spans="32:32" x14ac:dyDescent="0.2">
      <c r="AF61856" s="12"/>
    </row>
    <row r="61857" spans="32:32" x14ac:dyDescent="0.2">
      <c r="AF61857" s="12"/>
    </row>
    <row r="61858" spans="32:32" x14ac:dyDescent="0.2">
      <c r="AF61858" s="12"/>
    </row>
    <row r="61859" spans="32:32" x14ac:dyDescent="0.2">
      <c r="AF61859" s="12"/>
    </row>
    <row r="61860" spans="32:32" x14ac:dyDescent="0.2">
      <c r="AF61860" s="12"/>
    </row>
    <row r="61861" spans="32:32" x14ac:dyDescent="0.2">
      <c r="AF61861" s="12"/>
    </row>
    <row r="61862" spans="32:32" x14ac:dyDescent="0.2">
      <c r="AF61862" s="12"/>
    </row>
    <row r="61863" spans="32:32" x14ac:dyDescent="0.2">
      <c r="AF61863" s="12"/>
    </row>
    <row r="61864" spans="32:32" x14ac:dyDescent="0.2">
      <c r="AF61864" s="12"/>
    </row>
    <row r="61865" spans="32:32" x14ac:dyDescent="0.2">
      <c r="AF61865" s="12"/>
    </row>
    <row r="61866" spans="32:32" x14ac:dyDescent="0.2">
      <c r="AF61866" s="12"/>
    </row>
    <row r="61867" spans="32:32" x14ac:dyDescent="0.2">
      <c r="AF61867" s="12"/>
    </row>
    <row r="61868" spans="32:32" x14ac:dyDescent="0.2">
      <c r="AF61868" s="12"/>
    </row>
    <row r="61869" spans="32:32" x14ac:dyDescent="0.2">
      <c r="AF61869" s="12"/>
    </row>
    <row r="61870" spans="32:32" x14ac:dyDescent="0.2">
      <c r="AF61870" s="12"/>
    </row>
    <row r="61871" spans="32:32" x14ac:dyDescent="0.2">
      <c r="AF61871" s="12"/>
    </row>
    <row r="61872" spans="32:32" x14ac:dyDescent="0.2">
      <c r="AF61872" s="12"/>
    </row>
    <row r="61873" spans="32:32" x14ac:dyDescent="0.2">
      <c r="AF61873" s="12"/>
    </row>
    <row r="61874" spans="32:32" x14ac:dyDescent="0.2">
      <c r="AF61874" s="12"/>
    </row>
    <row r="61875" spans="32:32" x14ac:dyDescent="0.2">
      <c r="AF61875" s="12"/>
    </row>
    <row r="61876" spans="32:32" x14ac:dyDescent="0.2">
      <c r="AF61876" s="12"/>
    </row>
    <row r="61877" spans="32:32" x14ac:dyDescent="0.2">
      <c r="AF61877" s="12"/>
    </row>
    <row r="61878" spans="32:32" x14ac:dyDescent="0.2">
      <c r="AF61878" s="12"/>
    </row>
    <row r="61879" spans="32:32" x14ac:dyDescent="0.2">
      <c r="AF61879" s="12"/>
    </row>
    <row r="61880" spans="32:32" x14ac:dyDescent="0.2">
      <c r="AF61880" s="12"/>
    </row>
    <row r="61881" spans="32:32" x14ac:dyDescent="0.2">
      <c r="AF61881" s="12"/>
    </row>
    <row r="61882" spans="32:32" x14ac:dyDescent="0.2">
      <c r="AF61882" s="12"/>
    </row>
    <row r="61883" spans="32:32" x14ac:dyDescent="0.2">
      <c r="AF61883" s="12"/>
    </row>
    <row r="61884" spans="32:32" x14ac:dyDescent="0.2">
      <c r="AF61884" s="12"/>
    </row>
    <row r="61885" spans="32:32" x14ac:dyDescent="0.2">
      <c r="AF61885" s="12"/>
    </row>
    <row r="61886" spans="32:32" x14ac:dyDescent="0.2">
      <c r="AF61886" s="12"/>
    </row>
    <row r="61887" spans="32:32" x14ac:dyDescent="0.2">
      <c r="AF61887" s="12"/>
    </row>
    <row r="61888" spans="32:32" x14ac:dyDescent="0.2">
      <c r="AF61888" s="12"/>
    </row>
    <row r="61889" spans="32:32" x14ac:dyDescent="0.2">
      <c r="AF61889" s="12"/>
    </row>
    <row r="61890" spans="32:32" x14ac:dyDescent="0.2">
      <c r="AF61890" s="12"/>
    </row>
    <row r="61891" spans="32:32" x14ac:dyDescent="0.2">
      <c r="AF61891" s="12"/>
    </row>
    <row r="61892" spans="32:32" x14ac:dyDescent="0.2">
      <c r="AF61892" s="12"/>
    </row>
    <row r="61893" spans="32:32" x14ac:dyDescent="0.2">
      <c r="AF61893" s="12"/>
    </row>
    <row r="61894" spans="32:32" x14ac:dyDescent="0.2">
      <c r="AF61894" s="12"/>
    </row>
    <row r="61895" spans="32:32" x14ac:dyDescent="0.2">
      <c r="AF61895" s="12"/>
    </row>
    <row r="61896" spans="32:32" x14ac:dyDescent="0.2">
      <c r="AF61896" s="12"/>
    </row>
    <row r="61897" spans="32:32" x14ac:dyDescent="0.2">
      <c r="AF61897" s="12"/>
    </row>
    <row r="61898" spans="32:32" x14ac:dyDescent="0.2">
      <c r="AF61898" s="12"/>
    </row>
    <row r="61899" spans="32:32" x14ac:dyDescent="0.2">
      <c r="AF61899" s="12"/>
    </row>
    <row r="61900" spans="32:32" x14ac:dyDescent="0.2">
      <c r="AF61900" s="12"/>
    </row>
    <row r="61901" spans="32:32" x14ac:dyDescent="0.2">
      <c r="AF61901" s="12"/>
    </row>
    <row r="61902" spans="32:32" x14ac:dyDescent="0.2">
      <c r="AF61902" s="12"/>
    </row>
    <row r="61903" spans="32:32" x14ac:dyDescent="0.2">
      <c r="AF61903" s="12"/>
    </row>
    <row r="61904" spans="32:32" x14ac:dyDescent="0.2">
      <c r="AF61904" s="12"/>
    </row>
    <row r="61905" spans="32:32" x14ac:dyDescent="0.2">
      <c r="AF61905" s="12"/>
    </row>
    <row r="61906" spans="32:32" x14ac:dyDescent="0.2">
      <c r="AF61906" s="12"/>
    </row>
    <row r="61907" spans="32:32" x14ac:dyDescent="0.2">
      <c r="AF61907" s="12"/>
    </row>
    <row r="61908" spans="32:32" x14ac:dyDescent="0.2">
      <c r="AF61908" s="12"/>
    </row>
    <row r="61909" spans="32:32" x14ac:dyDescent="0.2">
      <c r="AF61909" s="12"/>
    </row>
    <row r="61910" spans="32:32" x14ac:dyDescent="0.2">
      <c r="AF61910" s="12"/>
    </row>
    <row r="61911" spans="32:32" x14ac:dyDescent="0.2">
      <c r="AF61911" s="12"/>
    </row>
    <row r="61912" spans="32:32" x14ac:dyDescent="0.2">
      <c r="AF61912" s="12"/>
    </row>
    <row r="61913" spans="32:32" x14ac:dyDescent="0.2">
      <c r="AF61913" s="12"/>
    </row>
    <row r="61914" spans="32:32" x14ac:dyDescent="0.2">
      <c r="AF61914" s="12"/>
    </row>
    <row r="61915" spans="32:32" x14ac:dyDescent="0.2">
      <c r="AF61915" s="12"/>
    </row>
    <row r="61916" spans="32:32" x14ac:dyDescent="0.2">
      <c r="AF61916" s="12"/>
    </row>
    <row r="61917" spans="32:32" x14ac:dyDescent="0.2">
      <c r="AF61917" s="12"/>
    </row>
    <row r="61918" spans="32:32" x14ac:dyDescent="0.2">
      <c r="AF61918" s="12"/>
    </row>
    <row r="61919" spans="32:32" x14ac:dyDescent="0.2">
      <c r="AF61919" s="12"/>
    </row>
    <row r="61920" spans="32:32" x14ac:dyDescent="0.2">
      <c r="AF61920" s="12"/>
    </row>
    <row r="61921" spans="32:32" x14ac:dyDescent="0.2">
      <c r="AF61921" s="12"/>
    </row>
    <row r="61922" spans="32:32" x14ac:dyDescent="0.2">
      <c r="AF61922" s="12"/>
    </row>
    <row r="61923" spans="32:32" x14ac:dyDescent="0.2">
      <c r="AF61923" s="12"/>
    </row>
    <row r="61924" spans="32:32" x14ac:dyDescent="0.2">
      <c r="AF61924" s="12"/>
    </row>
    <row r="61925" spans="32:32" x14ac:dyDescent="0.2">
      <c r="AF61925" s="12"/>
    </row>
    <row r="61926" spans="32:32" x14ac:dyDescent="0.2">
      <c r="AF61926" s="12"/>
    </row>
    <row r="61927" spans="32:32" x14ac:dyDescent="0.2">
      <c r="AF61927" s="12"/>
    </row>
    <row r="61928" spans="32:32" x14ac:dyDescent="0.2">
      <c r="AF61928" s="12"/>
    </row>
    <row r="61929" spans="32:32" x14ac:dyDescent="0.2">
      <c r="AF61929" s="12"/>
    </row>
    <row r="61930" spans="32:32" x14ac:dyDescent="0.2">
      <c r="AF61930" s="12"/>
    </row>
    <row r="61931" spans="32:32" x14ac:dyDescent="0.2">
      <c r="AF61931" s="12"/>
    </row>
    <row r="61932" spans="32:32" x14ac:dyDescent="0.2">
      <c r="AF61932" s="12"/>
    </row>
    <row r="61933" spans="32:32" x14ac:dyDescent="0.2">
      <c r="AF61933" s="12"/>
    </row>
    <row r="61934" spans="32:32" x14ac:dyDescent="0.2">
      <c r="AF61934" s="12"/>
    </row>
    <row r="61935" spans="32:32" x14ac:dyDescent="0.2">
      <c r="AF61935" s="12"/>
    </row>
    <row r="61936" spans="32:32" x14ac:dyDescent="0.2">
      <c r="AF61936" s="12"/>
    </row>
    <row r="61937" spans="32:32" x14ac:dyDescent="0.2">
      <c r="AF61937" s="12"/>
    </row>
    <row r="61938" spans="32:32" x14ac:dyDescent="0.2">
      <c r="AF61938" s="12"/>
    </row>
    <row r="61939" spans="32:32" x14ac:dyDescent="0.2">
      <c r="AF61939" s="12"/>
    </row>
    <row r="61940" spans="32:32" x14ac:dyDescent="0.2">
      <c r="AF61940" s="12"/>
    </row>
    <row r="61941" spans="32:32" x14ac:dyDescent="0.2">
      <c r="AF61941" s="12"/>
    </row>
    <row r="61942" spans="32:32" x14ac:dyDescent="0.2">
      <c r="AF61942" s="12"/>
    </row>
    <row r="61943" spans="32:32" x14ac:dyDescent="0.2">
      <c r="AF61943" s="12"/>
    </row>
    <row r="61944" spans="32:32" x14ac:dyDescent="0.2">
      <c r="AF61944" s="12"/>
    </row>
    <row r="61945" spans="32:32" x14ac:dyDescent="0.2">
      <c r="AF61945" s="12"/>
    </row>
    <row r="61946" spans="32:32" x14ac:dyDescent="0.2">
      <c r="AF61946" s="12"/>
    </row>
    <row r="61947" spans="32:32" x14ac:dyDescent="0.2">
      <c r="AF61947" s="12"/>
    </row>
    <row r="61948" spans="32:32" x14ac:dyDescent="0.2">
      <c r="AF61948" s="12"/>
    </row>
    <row r="61949" spans="32:32" x14ac:dyDescent="0.2">
      <c r="AF61949" s="12"/>
    </row>
    <row r="61950" spans="32:32" x14ac:dyDescent="0.2">
      <c r="AF61950" s="12"/>
    </row>
    <row r="61951" spans="32:32" x14ac:dyDescent="0.2">
      <c r="AF61951" s="12"/>
    </row>
    <row r="61952" spans="32:32" x14ac:dyDescent="0.2">
      <c r="AF61952" s="12"/>
    </row>
    <row r="61953" spans="32:32" x14ac:dyDescent="0.2">
      <c r="AF61953" s="12"/>
    </row>
    <row r="61954" spans="32:32" x14ac:dyDescent="0.2">
      <c r="AF61954" s="12"/>
    </row>
    <row r="61955" spans="32:32" x14ac:dyDescent="0.2">
      <c r="AF61955" s="12"/>
    </row>
    <row r="61956" spans="32:32" x14ac:dyDescent="0.2">
      <c r="AF61956" s="12"/>
    </row>
    <row r="61957" spans="32:32" x14ac:dyDescent="0.2">
      <c r="AF61957" s="12"/>
    </row>
    <row r="61958" spans="32:32" x14ac:dyDescent="0.2">
      <c r="AF61958" s="12"/>
    </row>
    <row r="61959" spans="32:32" x14ac:dyDescent="0.2">
      <c r="AF61959" s="12"/>
    </row>
    <row r="61960" spans="32:32" x14ac:dyDescent="0.2">
      <c r="AF61960" s="12"/>
    </row>
    <row r="61961" spans="32:32" x14ac:dyDescent="0.2">
      <c r="AF61961" s="12"/>
    </row>
    <row r="61962" spans="32:32" x14ac:dyDescent="0.2">
      <c r="AF61962" s="12"/>
    </row>
    <row r="61963" spans="32:32" x14ac:dyDescent="0.2">
      <c r="AF61963" s="12"/>
    </row>
    <row r="61964" spans="32:32" x14ac:dyDescent="0.2">
      <c r="AF61964" s="12"/>
    </row>
    <row r="61965" spans="32:32" x14ac:dyDescent="0.2">
      <c r="AF61965" s="12"/>
    </row>
    <row r="61966" spans="32:32" x14ac:dyDescent="0.2">
      <c r="AF61966" s="12"/>
    </row>
    <row r="61967" spans="32:32" x14ac:dyDescent="0.2">
      <c r="AF61967" s="12"/>
    </row>
    <row r="61968" spans="32:32" x14ac:dyDescent="0.2">
      <c r="AF61968" s="12"/>
    </row>
    <row r="61969" spans="32:32" x14ac:dyDescent="0.2">
      <c r="AF61969" s="12"/>
    </row>
    <row r="61970" spans="32:32" x14ac:dyDescent="0.2">
      <c r="AF61970" s="12"/>
    </row>
    <row r="61971" spans="32:32" x14ac:dyDescent="0.2">
      <c r="AF61971" s="12"/>
    </row>
    <row r="61972" spans="32:32" x14ac:dyDescent="0.2">
      <c r="AF61972" s="12"/>
    </row>
    <row r="61973" spans="32:32" x14ac:dyDescent="0.2">
      <c r="AF61973" s="12"/>
    </row>
    <row r="61974" spans="32:32" x14ac:dyDescent="0.2">
      <c r="AF61974" s="12"/>
    </row>
    <row r="61975" spans="32:32" x14ac:dyDescent="0.2">
      <c r="AF61975" s="12"/>
    </row>
    <row r="61976" spans="32:32" x14ac:dyDescent="0.2">
      <c r="AF61976" s="12"/>
    </row>
    <row r="61977" spans="32:32" x14ac:dyDescent="0.2">
      <c r="AF61977" s="12"/>
    </row>
    <row r="61978" spans="32:32" x14ac:dyDescent="0.2">
      <c r="AF61978" s="12"/>
    </row>
    <row r="61979" spans="32:32" x14ac:dyDescent="0.2">
      <c r="AF61979" s="12"/>
    </row>
    <row r="61980" spans="32:32" x14ac:dyDescent="0.2">
      <c r="AF61980" s="12"/>
    </row>
    <row r="61981" spans="32:32" x14ac:dyDescent="0.2">
      <c r="AF61981" s="12"/>
    </row>
    <row r="61982" spans="32:32" x14ac:dyDescent="0.2">
      <c r="AF61982" s="12"/>
    </row>
    <row r="61983" spans="32:32" x14ac:dyDescent="0.2">
      <c r="AF61983" s="12"/>
    </row>
    <row r="61984" spans="32:32" x14ac:dyDescent="0.2">
      <c r="AF61984" s="12"/>
    </row>
    <row r="61985" spans="32:32" x14ac:dyDescent="0.2">
      <c r="AF61985" s="12"/>
    </row>
    <row r="61986" spans="32:32" x14ac:dyDescent="0.2">
      <c r="AF61986" s="12"/>
    </row>
    <row r="61987" spans="32:32" x14ac:dyDescent="0.2">
      <c r="AF61987" s="12"/>
    </row>
    <row r="61988" spans="32:32" x14ac:dyDescent="0.2">
      <c r="AF61988" s="12"/>
    </row>
    <row r="61989" spans="32:32" x14ac:dyDescent="0.2">
      <c r="AF61989" s="12"/>
    </row>
    <row r="61990" spans="32:32" x14ac:dyDescent="0.2">
      <c r="AF61990" s="12"/>
    </row>
    <row r="61991" spans="32:32" x14ac:dyDescent="0.2">
      <c r="AF61991" s="12"/>
    </row>
    <row r="61992" spans="32:32" x14ac:dyDescent="0.2">
      <c r="AF61992" s="12"/>
    </row>
    <row r="61993" spans="32:32" x14ac:dyDescent="0.2">
      <c r="AF61993" s="12"/>
    </row>
    <row r="61994" spans="32:32" x14ac:dyDescent="0.2">
      <c r="AF61994" s="12"/>
    </row>
    <row r="61995" spans="32:32" x14ac:dyDescent="0.2">
      <c r="AF61995" s="12"/>
    </row>
    <row r="61996" spans="32:32" x14ac:dyDescent="0.2">
      <c r="AF61996" s="12"/>
    </row>
    <row r="61997" spans="32:32" x14ac:dyDescent="0.2">
      <c r="AF61997" s="12"/>
    </row>
    <row r="61998" spans="32:32" x14ac:dyDescent="0.2">
      <c r="AF61998" s="12"/>
    </row>
    <row r="61999" spans="32:32" x14ac:dyDescent="0.2">
      <c r="AF61999" s="12"/>
    </row>
    <row r="62000" spans="32:32" x14ac:dyDescent="0.2">
      <c r="AF62000" s="12"/>
    </row>
    <row r="62001" spans="32:32" x14ac:dyDescent="0.2">
      <c r="AF62001" s="12"/>
    </row>
    <row r="62002" spans="32:32" x14ac:dyDescent="0.2">
      <c r="AF62002" s="12"/>
    </row>
    <row r="62003" spans="32:32" x14ac:dyDescent="0.2">
      <c r="AF62003" s="12"/>
    </row>
    <row r="62004" spans="32:32" x14ac:dyDescent="0.2">
      <c r="AF62004" s="12"/>
    </row>
    <row r="62005" spans="32:32" x14ac:dyDescent="0.2">
      <c r="AF62005" s="12"/>
    </row>
    <row r="62006" spans="32:32" x14ac:dyDescent="0.2">
      <c r="AF62006" s="12"/>
    </row>
    <row r="62007" spans="32:32" x14ac:dyDescent="0.2">
      <c r="AF62007" s="12"/>
    </row>
    <row r="62008" spans="32:32" x14ac:dyDescent="0.2">
      <c r="AF62008" s="12"/>
    </row>
    <row r="62009" spans="32:32" x14ac:dyDescent="0.2">
      <c r="AF62009" s="12"/>
    </row>
    <row r="62010" spans="32:32" x14ac:dyDescent="0.2">
      <c r="AF62010" s="12"/>
    </row>
    <row r="62011" spans="32:32" x14ac:dyDescent="0.2">
      <c r="AF62011" s="12"/>
    </row>
    <row r="62012" spans="32:32" x14ac:dyDescent="0.2">
      <c r="AF62012" s="12"/>
    </row>
    <row r="62013" spans="32:32" x14ac:dyDescent="0.2">
      <c r="AF62013" s="12"/>
    </row>
    <row r="62014" spans="32:32" x14ac:dyDescent="0.2">
      <c r="AF62014" s="12"/>
    </row>
    <row r="62015" spans="32:32" x14ac:dyDescent="0.2">
      <c r="AF62015" s="12"/>
    </row>
    <row r="62016" spans="32:32" x14ac:dyDescent="0.2">
      <c r="AF62016" s="12"/>
    </row>
    <row r="62017" spans="32:32" x14ac:dyDescent="0.2">
      <c r="AF62017" s="12"/>
    </row>
    <row r="62018" spans="32:32" x14ac:dyDescent="0.2">
      <c r="AF62018" s="12"/>
    </row>
    <row r="62019" spans="32:32" x14ac:dyDescent="0.2">
      <c r="AF62019" s="12"/>
    </row>
    <row r="62020" spans="32:32" x14ac:dyDescent="0.2">
      <c r="AF62020" s="12"/>
    </row>
    <row r="62021" spans="32:32" x14ac:dyDescent="0.2">
      <c r="AF62021" s="12"/>
    </row>
    <row r="62022" spans="32:32" x14ac:dyDescent="0.2">
      <c r="AF62022" s="12"/>
    </row>
    <row r="62023" spans="32:32" x14ac:dyDescent="0.2">
      <c r="AF62023" s="12"/>
    </row>
    <row r="62024" spans="32:32" x14ac:dyDescent="0.2">
      <c r="AF62024" s="12"/>
    </row>
    <row r="62025" spans="32:32" x14ac:dyDescent="0.2">
      <c r="AF62025" s="12"/>
    </row>
    <row r="62026" spans="32:32" x14ac:dyDescent="0.2">
      <c r="AF62026" s="12"/>
    </row>
    <row r="62027" spans="32:32" x14ac:dyDescent="0.2">
      <c r="AF62027" s="12"/>
    </row>
    <row r="62028" spans="32:32" x14ac:dyDescent="0.2">
      <c r="AF62028" s="12"/>
    </row>
    <row r="62029" spans="32:32" x14ac:dyDescent="0.2">
      <c r="AF62029" s="12"/>
    </row>
    <row r="62030" spans="32:32" x14ac:dyDescent="0.2">
      <c r="AF62030" s="12"/>
    </row>
    <row r="62031" spans="32:32" x14ac:dyDescent="0.2">
      <c r="AF62031" s="12"/>
    </row>
    <row r="62032" spans="32:32" x14ac:dyDescent="0.2">
      <c r="AF62032" s="12"/>
    </row>
    <row r="62033" spans="32:32" x14ac:dyDescent="0.2">
      <c r="AF62033" s="12"/>
    </row>
    <row r="62034" spans="32:32" x14ac:dyDescent="0.2">
      <c r="AF62034" s="12"/>
    </row>
    <row r="62035" spans="32:32" x14ac:dyDescent="0.2">
      <c r="AF62035" s="12"/>
    </row>
    <row r="62036" spans="32:32" x14ac:dyDescent="0.2">
      <c r="AF62036" s="12"/>
    </row>
    <row r="62037" spans="32:32" x14ac:dyDescent="0.2">
      <c r="AF62037" s="12"/>
    </row>
    <row r="62038" spans="32:32" x14ac:dyDescent="0.2">
      <c r="AF62038" s="12"/>
    </row>
    <row r="62039" spans="32:32" x14ac:dyDescent="0.2">
      <c r="AF62039" s="12"/>
    </row>
    <row r="62040" spans="32:32" x14ac:dyDescent="0.2">
      <c r="AF62040" s="12"/>
    </row>
    <row r="62041" spans="32:32" x14ac:dyDescent="0.2">
      <c r="AF62041" s="12"/>
    </row>
    <row r="62042" spans="32:32" x14ac:dyDescent="0.2">
      <c r="AF62042" s="12"/>
    </row>
    <row r="62043" spans="32:32" x14ac:dyDescent="0.2">
      <c r="AF62043" s="12"/>
    </row>
    <row r="62044" spans="32:32" x14ac:dyDescent="0.2">
      <c r="AF62044" s="12"/>
    </row>
    <row r="62045" spans="32:32" x14ac:dyDescent="0.2">
      <c r="AF62045" s="12"/>
    </row>
    <row r="62046" spans="32:32" x14ac:dyDescent="0.2">
      <c r="AF62046" s="12"/>
    </row>
    <row r="62047" spans="32:32" x14ac:dyDescent="0.2">
      <c r="AF62047" s="12"/>
    </row>
    <row r="62048" spans="32:32" x14ac:dyDescent="0.2">
      <c r="AF62048" s="12"/>
    </row>
    <row r="62049" spans="32:32" x14ac:dyDescent="0.2">
      <c r="AF62049" s="12"/>
    </row>
    <row r="62050" spans="32:32" x14ac:dyDescent="0.2">
      <c r="AF62050" s="12"/>
    </row>
    <row r="62051" spans="32:32" x14ac:dyDescent="0.2">
      <c r="AF62051" s="12"/>
    </row>
    <row r="62052" spans="32:32" x14ac:dyDescent="0.2">
      <c r="AF62052" s="12"/>
    </row>
    <row r="62053" spans="32:32" x14ac:dyDescent="0.2">
      <c r="AF62053" s="12"/>
    </row>
    <row r="62054" spans="32:32" x14ac:dyDescent="0.2">
      <c r="AF62054" s="12"/>
    </row>
    <row r="62055" spans="32:32" x14ac:dyDescent="0.2">
      <c r="AF62055" s="12"/>
    </row>
    <row r="62056" spans="32:32" x14ac:dyDescent="0.2">
      <c r="AF62056" s="12"/>
    </row>
    <row r="62057" spans="32:32" x14ac:dyDescent="0.2">
      <c r="AF62057" s="12"/>
    </row>
    <row r="62058" spans="32:32" x14ac:dyDescent="0.2">
      <c r="AF62058" s="12"/>
    </row>
    <row r="62059" spans="32:32" x14ac:dyDescent="0.2">
      <c r="AF62059" s="12"/>
    </row>
    <row r="62060" spans="32:32" x14ac:dyDescent="0.2">
      <c r="AF62060" s="12"/>
    </row>
    <row r="62061" spans="32:32" x14ac:dyDescent="0.2">
      <c r="AF62061" s="12"/>
    </row>
    <row r="62062" spans="32:32" x14ac:dyDescent="0.2">
      <c r="AF62062" s="12"/>
    </row>
    <row r="62063" spans="32:32" x14ac:dyDescent="0.2">
      <c r="AF62063" s="12"/>
    </row>
    <row r="62064" spans="32:32" x14ac:dyDescent="0.2">
      <c r="AF62064" s="12"/>
    </row>
    <row r="62065" spans="32:32" x14ac:dyDescent="0.2">
      <c r="AF62065" s="12"/>
    </row>
    <row r="62066" spans="32:32" x14ac:dyDescent="0.2">
      <c r="AF62066" s="12"/>
    </row>
    <row r="62067" spans="32:32" x14ac:dyDescent="0.2">
      <c r="AF62067" s="12"/>
    </row>
    <row r="62068" spans="32:32" x14ac:dyDescent="0.2">
      <c r="AF62068" s="12"/>
    </row>
    <row r="62069" spans="32:32" x14ac:dyDescent="0.2">
      <c r="AF62069" s="12"/>
    </row>
    <row r="62070" spans="32:32" x14ac:dyDescent="0.2">
      <c r="AF62070" s="12"/>
    </row>
    <row r="62071" spans="32:32" x14ac:dyDescent="0.2">
      <c r="AF62071" s="12"/>
    </row>
    <row r="62072" spans="32:32" x14ac:dyDescent="0.2">
      <c r="AF62072" s="12"/>
    </row>
    <row r="62073" spans="32:32" x14ac:dyDescent="0.2">
      <c r="AF62073" s="12"/>
    </row>
    <row r="62074" spans="32:32" x14ac:dyDescent="0.2">
      <c r="AF62074" s="12"/>
    </row>
    <row r="62075" spans="32:32" x14ac:dyDescent="0.2">
      <c r="AF62075" s="12"/>
    </row>
    <row r="62076" spans="32:32" x14ac:dyDescent="0.2">
      <c r="AF62076" s="12"/>
    </row>
    <row r="62077" spans="32:32" x14ac:dyDescent="0.2">
      <c r="AF62077" s="12"/>
    </row>
    <row r="62078" spans="32:32" x14ac:dyDescent="0.2">
      <c r="AF62078" s="12"/>
    </row>
    <row r="62079" spans="32:32" x14ac:dyDescent="0.2">
      <c r="AF62079" s="12"/>
    </row>
    <row r="62080" spans="32:32" x14ac:dyDescent="0.2">
      <c r="AF62080" s="12"/>
    </row>
    <row r="62081" spans="32:32" x14ac:dyDescent="0.2">
      <c r="AF62081" s="12"/>
    </row>
    <row r="62082" spans="32:32" x14ac:dyDescent="0.2">
      <c r="AF62082" s="12"/>
    </row>
    <row r="62083" spans="32:32" x14ac:dyDescent="0.2">
      <c r="AF62083" s="12"/>
    </row>
    <row r="62084" spans="32:32" x14ac:dyDescent="0.2">
      <c r="AF62084" s="12"/>
    </row>
    <row r="62085" spans="32:32" x14ac:dyDescent="0.2">
      <c r="AF62085" s="12"/>
    </row>
    <row r="62086" spans="32:32" x14ac:dyDescent="0.2">
      <c r="AF62086" s="12"/>
    </row>
    <row r="62087" spans="32:32" x14ac:dyDescent="0.2">
      <c r="AF62087" s="12"/>
    </row>
    <row r="62088" spans="32:32" x14ac:dyDescent="0.2">
      <c r="AF62088" s="12"/>
    </row>
    <row r="62089" spans="32:32" x14ac:dyDescent="0.2">
      <c r="AF62089" s="12"/>
    </row>
    <row r="62090" spans="32:32" x14ac:dyDescent="0.2">
      <c r="AF62090" s="12"/>
    </row>
    <row r="62091" spans="32:32" x14ac:dyDescent="0.2">
      <c r="AF62091" s="12"/>
    </row>
    <row r="62092" spans="32:32" x14ac:dyDescent="0.2">
      <c r="AF62092" s="12"/>
    </row>
    <row r="62093" spans="32:32" x14ac:dyDescent="0.2">
      <c r="AF62093" s="12"/>
    </row>
    <row r="62094" spans="32:32" x14ac:dyDescent="0.2">
      <c r="AF62094" s="12"/>
    </row>
    <row r="62095" spans="32:32" x14ac:dyDescent="0.2">
      <c r="AF62095" s="12"/>
    </row>
    <row r="62096" spans="32:32" x14ac:dyDescent="0.2">
      <c r="AF62096" s="12"/>
    </row>
    <row r="62097" spans="32:32" x14ac:dyDescent="0.2">
      <c r="AF62097" s="12"/>
    </row>
    <row r="62098" spans="32:32" x14ac:dyDescent="0.2">
      <c r="AF62098" s="12"/>
    </row>
    <row r="62099" spans="32:32" x14ac:dyDescent="0.2">
      <c r="AF62099" s="12"/>
    </row>
    <row r="62100" spans="32:32" x14ac:dyDescent="0.2">
      <c r="AF62100" s="12"/>
    </row>
    <row r="62101" spans="32:32" x14ac:dyDescent="0.2">
      <c r="AF62101" s="12"/>
    </row>
    <row r="62102" spans="32:32" x14ac:dyDescent="0.2">
      <c r="AF62102" s="12"/>
    </row>
    <row r="62103" spans="32:32" x14ac:dyDescent="0.2">
      <c r="AF62103" s="12"/>
    </row>
    <row r="62104" spans="32:32" x14ac:dyDescent="0.2">
      <c r="AF62104" s="12"/>
    </row>
    <row r="62105" spans="32:32" x14ac:dyDescent="0.2">
      <c r="AF62105" s="12"/>
    </row>
    <row r="62106" spans="32:32" x14ac:dyDescent="0.2">
      <c r="AF62106" s="12"/>
    </row>
    <row r="62107" spans="32:32" x14ac:dyDescent="0.2">
      <c r="AF62107" s="12"/>
    </row>
    <row r="62108" spans="32:32" x14ac:dyDescent="0.2">
      <c r="AF62108" s="12"/>
    </row>
    <row r="62109" spans="32:32" x14ac:dyDescent="0.2">
      <c r="AF62109" s="12"/>
    </row>
    <row r="62110" spans="32:32" x14ac:dyDescent="0.2">
      <c r="AF62110" s="12"/>
    </row>
    <row r="62111" spans="32:32" x14ac:dyDescent="0.2">
      <c r="AF62111" s="12"/>
    </row>
    <row r="62112" spans="32:32" x14ac:dyDescent="0.2">
      <c r="AF62112" s="12"/>
    </row>
    <row r="62113" spans="32:32" x14ac:dyDescent="0.2">
      <c r="AF62113" s="12"/>
    </row>
    <row r="62114" spans="32:32" x14ac:dyDescent="0.2">
      <c r="AF62114" s="12"/>
    </row>
    <row r="62115" spans="32:32" x14ac:dyDescent="0.2">
      <c r="AF62115" s="12"/>
    </row>
    <row r="62116" spans="32:32" x14ac:dyDescent="0.2">
      <c r="AF62116" s="12"/>
    </row>
    <row r="62117" spans="32:32" x14ac:dyDescent="0.2">
      <c r="AF62117" s="12"/>
    </row>
    <row r="62118" spans="32:32" x14ac:dyDescent="0.2">
      <c r="AF62118" s="12"/>
    </row>
    <row r="62119" spans="32:32" x14ac:dyDescent="0.2">
      <c r="AF62119" s="12"/>
    </row>
    <row r="62120" spans="32:32" x14ac:dyDescent="0.2">
      <c r="AF62120" s="12"/>
    </row>
    <row r="62121" spans="32:32" x14ac:dyDescent="0.2">
      <c r="AF62121" s="12"/>
    </row>
    <row r="62122" spans="32:32" x14ac:dyDescent="0.2">
      <c r="AF62122" s="12"/>
    </row>
    <row r="62123" spans="32:32" x14ac:dyDescent="0.2">
      <c r="AF62123" s="12"/>
    </row>
    <row r="62124" spans="32:32" x14ac:dyDescent="0.2">
      <c r="AF62124" s="12"/>
    </row>
    <row r="62125" spans="32:32" x14ac:dyDescent="0.2">
      <c r="AF62125" s="12"/>
    </row>
    <row r="62126" spans="32:32" x14ac:dyDescent="0.2">
      <c r="AF62126" s="12"/>
    </row>
    <row r="62127" spans="32:32" x14ac:dyDescent="0.2">
      <c r="AF62127" s="12"/>
    </row>
    <row r="62128" spans="32:32" x14ac:dyDescent="0.2">
      <c r="AF62128" s="12"/>
    </row>
    <row r="62129" spans="32:32" x14ac:dyDescent="0.2">
      <c r="AF62129" s="12"/>
    </row>
    <row r="62130" spans="32:32" x14ac:dyDescent="0.2">
      <c r="AF62130" s="12"/>
    </row>
    <row r="62131" spans="32:32" x14ac:dyDescent="0.2">
      <c r="AF62131" s="12"/>
    </row>
    <row r="62132" spans="32:32" x14ac:dyDescent="0.2">
      <c r="AF62132" s="12"/>
    </row>
    <row r="62133" spans="32:32" x14ac:dyDescent="0.2">
      <c r="AF62133" s="12"/>
    </row>
    <row r="62134" spans="32:32" x14ac:dyDescent="0.2">
      <c r="AF62134" s="12"/>
    </row>
    <row r="62135" spans="32:32" x14ac:dyDescent="0.2">
      <c r="AF62135" s="12"/>
    </row>
    <row r="62136" spans="32:32" x14ac:dyDescent="0.2">
      <c r="AF62136" s="12"/>
    </row>
    <row r="62137" spans="32:32" x14ac:dyDescent="0.2">
      <c r="AF62137" s="12"/>
    </row>
    <row r="62138" spans="32:32" x14ac:dyDescent="0.2">
      <c r="AF62138" s="12"/>
    </row>
    <row r="62139" spans="32:32" x14ac:dyDescent="0.2">
      <c r="AF62139" s="12"/>
    </row>
    <row r="62140" spans="32:32" x14ac:dyDescent="0.2">
      <c r="AF62140" s="12"/>
    </row>
    <row r="62141" spans="32:32" x14ac:dyDescent="0.2">
      <c r="AF62141" s="12"/>
    </row>
    <row r="62142" spans="32:32" x14ac:dyDescent="0.2">
      <c r="AF62142" s="12"/>
    </row>
    <row r="62143" spans="32:32" x14ac:dyDescent="0.2">
      <c r="AF62143" s="12"/>
    </row>
    <row r="62144" spans="32:32" x14ac:dyDescent="0.2">
      <c r="AF62144" s="12"/>
    </row>
    <row r="62145" spans="32:32" x14ac:dyDescent="0.2">
      <c r="AF62145" s="12"/>
    </row>
    <row r="62146" spans="32:32" x14ac:dyDescent="0.2">
      <c r="AF62146" s="12"/>
    </row>
    <row r="62147" spans="32:32" x14ac:dyDescent="0.2">
      <c r="AF62147" s="12"/>
    </row>
    <row r="62148" spans="32:32" x14ac:dyDescent="0.2">
      <c r="AF62148" s="12"/>
    </row>
    <row r="62149" spans="32:32" x14ac:dyDescent="0.2">
      <c r="AF62149" s="12"/>
    </row>
    <row r="62150" spans="32:32" x14ac:dyDescent="0.2">
      <c r="AF62150" s="12"/>
    </row>
    <row r="62151" spans="32:32" x14ac:dyDescent="0.2">
      <c r="AF62151" s="12"/>
    </row>
    <row r="62152" spans="32:32" x14ac:dyDescent="0.2">
      <c r="AF62152" s="12"/>
    </row>
    <row r="62153" spans="32:32" x14ac:dyDescent="0.2">
      <c r="AF62153" s="12"/>
    </row>
    <row r="62154" spans="32:32" x14ac:dyDescent="0.2">
      <c r="AF62154" s="12"/>
    </row>
    <row r="62155" spans="32:32" x14ac:dyDescent="0.2">
      <c r="AF62155" s="12"/>
    </row>
    <row r="62156" spans="32:32" x14ac:dyDescent="0.2">
      <c r="AF62156" s="12"/>
    </row>
    <row r="62157" spans="32:32" x14ac:dyDescent="0.2">
      <c r="AF62157" s="12"/>
    </row>
    <row r="62158" spans="32:32" x14ac:dyDescent="0.2">
      <c r="AF62158" s="12"/>
    </row>
    <row r="62159" spans="32:32" x14ac:dyDescent="0.2">
      <c r="AF62159" s="12"/>
    </row>
    <row r="62160" spans="32:32" x14ac:dyDescent="0.2">
      <c r="AF62160" s="12"/>
    </row>
    <row r="62161" spans="32:32" x14ac:dyDescent="0.2">
      <c r="AF62161" s="12"/>
    </row>
    <row r="62162" spans="32:32" x14ac:dyDescent="0.2">
      <c r="AF62162" s="12"/>
    </row>
    <row r="62163" spans="32:32" x14ac:dyDescent="0.2">
      <c r="AF62163" s="12"/>
    </row>
    <row r="62164" spans="32:32" x14ac:dyDescent="0.2">
      <c r="AF62164" s="12"/>
    </row>
    <row r="62165" spans="32:32" x14ac:dyDescent="0.2">
      <c r="AF62165" s="12"/>
    </row>
    <row r="62166" spans="32:32" x14ac:dyDescent="0.2">
      <c r="AF62166" s="12"/>
    </row>
    <row r="62167" spans="32:32" x14ac:dyDescent="0.2">
      <c r="AF62167" s="12"/>
    </row>
    <row r="62168" spans="32:32" x14ac:dyDescent="0.2">
      <c r="AF62168" s="12"/>
    </row>
    <row r="62169" spans="32:32" x14ac:dyDescent="0.2">
      <c r="AF62169" s="12"/>
    </row>
    <row r="62170" spans="32:32" x14ac:dyDescent="0.2">
      <c r="AF62170" s="12"/>
    </row>
    <row r="62171" spans="32:32" x14ac:dyDescent="0.2">
      <c r="AF62171" s="12"/>
    </row>
    <row r="62172" spans="32:32" x14ac:dyDescent="0.2">
      <c r="AF62172" s="12"/>
    </row>
    <row r="62173" spans="32:32" x14ac:dyDescent="0.2">
      <c r="AF62173" s="12"/>
    </row>
    <row r="62174" spans="32:32" x14ac:dyDescent="0.2">
      <c r="AF62174" s="12"/>
    </row>
    <row r="62175" spans="32:32" x14ac:dyDescent="0.2">
      <c r="AF62175" s="12"/>
    </row>
    <row r="62176" spans="32:32" x14ac:dyDescent="0.2">
      <c r="AF62176" s="12"/>
    </row>
    <row r="62177" spans="32:32" x14ac:dyDescent="0.2">
      <c r="AF62177" s="12"/>
    </row>
    <row r="62178" spans="32:32" x14ac:dyDescent="0.2">
      <c r="AF62178" s="12"/>
    </row>
    <row r="62179" spans="32:32" x14ac:dyDescent="0.2">
      <c r="AF62179" s="12"/>
    </row>
    <row r="62180" spans="32:32" x14ac:dyDescent="0.2">
      <c r="AF62180" s="12"/>
    </row>
    <row r="62181" spans="32:32" x14ac:dyDescent="0.2">
      <c r="AF62181" s="12"/>
    </row>
    <row r="62182" spans="32:32" x14ac:dyDescent="0.2">
      <c r="AF62182" s="12"/>
    </row>
    <row r="62183" spans="32:32" x14ac:dyDescent="0.2">
      <c r="AF62183" s="12"/>
    </row>
    <row r="62184" spans="32:32" x14ac:dyDescent="0.2">
      <c r="AF62184" s="12"/>
    </row>
    <row r="62185" spans="32:32" x14ac:dyDescent="0.2">
      <c r="AF62185" s="12"/>
    </row>
    <row r="62186" spans="32:32" x14ac:dyDescent="0.2">
      <c r="AF62186" s="12"/>
    </row>
    <row r="62187" spans="32:32" x14ac:dyDescent="0.2">
      <c r="AF62187" s="12"/>
    </row>
    <row r="62188" spans="32:32" x14ac:dyDescent="0.2">
      <c r="AF62188" s="12"/>
    </row>
    <row r="62189" spans="32:32" x14ac:dyDescent="0.2">
      <c r="AF62189" s="12"/>
    </row>
    <row r="62190" spans="32:32" x14ac:dyDescent="0.2">
      <c r="AF62190" s="12"/>
    </row>
    <row r="62191" spans="32:32" x14ac:dyDescent="0.2">
      <c r="AF62191" s="12"/>
    </row>
    <row r="62192" spans="32:32" x14ac:dyDescent="0.2">
      <c r="AF62192" s="12"/>
    </row>
    <row r="62193" spans="32:32" x14ac:dyDescent="0.2">
      <c r="AF62193" s="12"/>
    </row>
    <row r="62194" spans="32:32" x14ac:dyDescent="0.2">
      <c r="AF62194" s="12"/>
    </row>
    <row r="62195" spans="32:32" x14ac:dyDescent="0.2">
      <c r="AF62195" s="12"/>
    </row>
    <row r="62196" spans="32:32" x14ac:dyDescent="0.2">
      <c r="AF62196" s="12"/>
    </row>
    <row r="62197" spans="32:32" x14ac:dyDescent="0.2">
      <c r="AF62197" s="12"/>
    </row>
    <row r="62198" spans="32:32" x14ac:dyDescent="0.2">
      <c r="AF62198" s="12"/>
    </row>
    <row r="62199" spans="32:32" x14ac:dyDescent="0.2">
      <c r="AF62199" s="12"/>
    </row>
    <row r="62200" spans="32:32" x14ac:dyDescent="0.2">
      <c r="AF62200" s="12"/>
    </row>
    <row r="62201" spans="32:32" x14ac:dyDescent="0.2">
      <c r="AF62201" s="12"/>
    </row>
    <row r="62202" spans="32:32" x14ac:dyDescent="0.2">
      <c r="AF62202" s="12"/>
    </row>
    <row r="62203" spans="32:32" x14ac:dyDescent="0.2">
      <c r="AF62203" s="12"/>
    </row>
    <row r="62204" spans="32:32" x14ac:dyDescent="0.2">
      <c r="AF62204" s="12"/>
    </row>
    <row r="62205" spans="32:32" x14ac:dyDescent="0.2">
      <c r="AF62205" s="12"/>
    </row>
    <row r="62206" spans="32:32" x14ac:dyDescent="0.2">
      <c r="AF62206" s="12"/>
    </row>
    <row r="62207" spans="32:32" x14ac:dyDescent="0.2">
      <c r="AF62207" s="12"/>
    </row>
    <row r="62208" spans="32:32" x14ac:dyDescent="0.2">
      <c r="AF62208" s="12"/>
    </row>
    <row r="62209" spans="32:32" x14ac:dyDescent="0.2">
      <c r="AF62209" s="12"/>
    </row>
    <row r="62210" spans="32:32" x14ac:dyDescent="0.2">
      <c r="AF62210" s="12"/>
    </row>
    <row r="62211" spans="32:32" x14ac:dyDescent="0.2">
      <c r="AF62211" s="12"/>
    </row>
    <row r="62212" spans="32:32" x14ac:dyDescent="0.2">
      <c r="AF62212" s="12"/>
    </row>
    <row r="62213" spans="32:32" x14ac:dyDescent="0.2">
      <c r="AF62213" s="12"/>
    </row>
    <row r="62214" spans="32:32" x14ac:dyDescent="0.2">
      <c r="AF62214" s="12"/>
    </row>
    <row r="62215" spans="32:32" x14ac:dyDescent="0.2">
      <c r="AF62215" s="12"/>
    </row>
    <row r="62216" spans="32:32" x14ac:dyDescent="0.2">
      <c r="AF62216" s="12"/>
    </row>
    <row r="62217" spans="32:32" x14ac:dyDescent="0.2">
      <c r="AF62217" s="12"/>
    </row>
    <row r="62218" spans="32:32" x14ac:dyDescent="0.2">
      <c r="AF62218" s="12"/>
    </row>
    <row r="62219" spans="32:32" x14ac:dyDescent="0.2">
      <c r="AF62219" s="12"/>
    </row>
    <row r="62220" spans="32:32" x14ac:dyDescent="0.2">
      <c r="AF62220" s="12"/>
    </row>
    <row r="62221" spans="32:32" x14ac:dyDescent="0.2">
      <c r="AF62221" s="12"/>
    </row>
    <row r="62222" spans="32:32" x14ac:dyDescent="0.2">
      <c r="AF62222" s="12"/>
    </row>
    <row r="62223" spans="32:32" x14ac:dyDescent="0.2">
      <c r="AF62223" s="12"/>
    </row>
    <row r="62224" spans="32:32" x14ac:dyDescent="0.2">
      <c r="AF62224" s="12"/>
    </row>
    <row r="62225" spans="32:32" x14ac:dyDescent="0.2">
      <c r="AF62225" s="12"/>
    </row>
    <row r="62226" spans="32:32" x14ac:dyDescent="0.2">
      <c r="AF62226" s="12"/>
    </row>
    <row r="62227" spans="32:32" x14ac:dyDescent="0.2">
      <c r="AF62227" s="12"/>
    </row>
    <row r="62228" spans="32:32" x14ac:dyDescent="0.2">
      <c r="AF62228" s="12"/>
    </row>
    <row r="62229" spans="32:32" x14ac:dyDescent="0.2">
      <c r="AF62229" s="12"/>
    </row>
    <row r="62230" spans="32:32" x14ac:dyDescent="0.2">
      <c r="AF62230" s="12"/>
    </row>
    <row r="62231" spans="32:32" x14ac:dyDescent="0.2">
      <c r="AF62231" s="12"/>
    </row>
    <row r="62232" spans="32:32" x14ac:dyDescent="0.2">
      <c r="AF62232" s="12"/>
    </row>
    <row r="62233" spans="32:32" x14ac:dyDescent="0.2">
      <c r="AF62233" s="12"/>
    </row>
    <row r="62234" spans="32:32" x14ac:dyDescent="0.2">
      <c r="AF62234" s="12"/>
    </row>
    <row r="62235" spans="32:32" x14ac:dyDescent="0.2">
      <c r="AF62235" s="12"/>
    </row>
    <row r="62236" spans="32:32" x14ac:dyDescent="0.2">
      <c r="AF62236" s="12"/>
    </row>
    <row r="62237" spans="32:32" x14ac:dyDescent="0.2">
      <c r="AF62237" s="12"/>
    </row>
    <row r="62238" spans="32:32" x14ac:dyDescent="0.2">
      <c r="AF62238" s="12"/>
    </row>
    <row r="62239" spans="32:32" x14ac:dyDescent="0.2">
      <c r="AF62239" s="12"/>
    </row>
    <row r="62240" spans="32:32" x14ac:dyDescent="0.2">
      <c r="AF62240" s="12"/>
    </row>
    <row r="62241" spans="32:32" x14ac:dyDescent="0.2">
      <c r="AF62241" s="12"/>
    </row>
    <row r="62242" spans="32:32" x14ac:dyDescent="0.2">
      <c r="AF62242" s="12"/>
    </row>
    <row r="62243" spans="32:32" x14ac:dyDescent="0.2">
      <c r="AF62243" s="12"/>
    </row>
    <row r="62244" spans="32:32" x14ac:dyDescent="0.2">
      <c r="AF62244" s="12"/>
    </row>
    <row r="62245" spans="32:32" x14ac:dyDescent="0.2">
      <c r="AF62245" s="12"/>
    </row>
    <row r="62246" spans="32:32" x14ac:dyDescent="0.2">
      <c r="AF62246" s="12"/>
    </row>
    <row r="62247" spans="32:32" x14ac:dyDescent="0.2">
      <c r="AF62247" s="12"/>
    </row>
    <row r="62248" spans="32:32" x14ac:dyDescent="0.2">
      <c r="AF62248" s="12"/>
    </row>
    <row r="62249" spans="32:32" x14ac:dyDescent="0.2">
      <c r="AF62249" s="12"/>
    </row>
    <row r="62250" spans="32:32" x14ac:dyDescent="0.2">
      <c r="AF62250" s="12"/>
    </row>
    <row r="62251" spans="32:32" x14ac:dyDescent="0.2">
      <c r="AF62251" s="12"/>
    </row>
    <row r="62252" spans="32:32" x14ac:dyDescent="0.2">
      <c r="AF62252" s="12"/>
    </row>
    <row r="62253" spans="32:32" x14ac:dyDescent="0.2">
      <c r="AF62253" s="12"/>
    </row>
    <row r="62254" spans="32:32" x14ac:dyDescent="0.2">
      <c r="AF62254" s="12"/>
    </row>
    <row r="62255" spans="32:32" x14ac:dyDescent="0.2">
      <c r="AF62255" s="12"/>
    </row>
    <row r="62256" spans="32:32" x14ac:dyDescent="0.2">
      <c r="AF62256" s="12"/>
    </row>
    <row r="62257" spans="32:32" x14ac:dyDescent="0.2">
      <c r="AF62257" s="12"/>
    </row>
    <row r="62258" spans="32:32" x14ac:dyDescent="0.2">
      <c r="AF62258" s="12"/>
    </row>
    <row r="62259" spans="32:32" x14ac:dyDescent="0.2">
      <c r="AF62259" s="12"/>
    </row>
    <row r="62260" spans="32:32" x14ac:dyDescent="0.2">
      <c r="AF62260" s="12"/>
    </row>
    <row r="62261" spans="32:32" x14ac:dyDescent="0.2">
      <c r="AF62261" s="12"/>
    </row>
    <row r="62262" spans="32:32" x14ac:dyDescent="0.2">
      <c r="AF62262" s="12"/>
    </row>
    <row r="62263" spans="32:32" x14ac:dyDescent="0.2">
      <c r="AF62263" s="12"/>
    </row>
    <row r="62264" spans="32:32" x14ac:dyDescent="0.2">
      <c r="AF62264" s="12"/>
    </row>
    <row r="62265" spans="32:32" x14ac:dyDescent="0.2">
      <c r="AF62265" s="12"/>
    </row>
    <row r="62266" spans="32:32" x14ac:dyDescent="0.2">
      <c r="AF62266" s="12"/>
    </row>
    <row r="62267" spans="32:32" x14ac:dyDescent="0.2">
      <c r="AF62267" s="12"/>
    </row>
    <row r="62268" spans="32:32" x14ac:dyDescent="0.2">
      <c r="AF62268" s="12"/>
    </row>
    <row r="62269" spans="32:32" x14ac:dyDescent="0.2">
      <c r="AF62269" s="12"/>
    </row>
    <row r="62270" spans="32:32" x14ac:dyDescent="0.2">
      <c r="AF62270" s="12"/>
    </row>
    <row r="62271" spans="32:32" x14ac:dyDescent="0.2">
      <c r="AF62271" s="12"/>
    </row>
    <row r="62272" spans="32:32" x14ac:dyDescent="0.2">
      <c r="AF62272" s="12"/>
    </row>
    <row r="62273" spans="32:32" x14ac:dyDescent="0.2">
      <c r="AF62273" s="12"/>
    </row>
    <row r="62274" spans="32:32" x14ac:dyDescent="0.2">
      <c r="AF62274" s="12"/>
    </row>
    <row r="62275" spans="32:32" x14ac:dyDescent="0.2">
      <c r="AF62275" s="12"/>
    </row>
    <row r="62276" spans="32:32" x14ac:dyDescent="0.2">
      <c r="AF62276" s="12"/>
    </row>
    <row r="62277" spans="32:32" x14ac:dyDescent="0.2">
      <c r="AF62277" s="12"/>
    </row>
    <row r="62278" spans="32:32" x14ac:dyDescent="0.2">
      <c r="AF62278" s="12"/>
    </row>
    <row r="62279" spans="32:32" x14ac:dyDescent="0.2">
      <c r="AF62279" s="12"/>
    </row>
    <row r="62280" spans="32:32" x14ac:dyDescent="0.2">
      <c r="AF62280" s="12"/>
    </row>
    <row r="62281" spans="32:32" x14ac:dyDescent="0.2">
      <c r="AF62281" s="12"/>
    </row>
    <row r="62282" spans="32:32" x14ac:dyDescent="0.2">
      <c r="AF62282" s="12"/>
    </row>
    <row r="62283" spans="32:32" x14ac:dyDescent="0.2">
      <c r="AF62283" s="12"/>
    </row>
    <row r="62284" spans="32:32" x14ac:dyDescent="0.2">
      <c r="AF62284" s="12"/>
    </row>
    <row r="62285" spans="32:32" x14ac:dyDescent="0.2">
      <c r="AF62285" s="12"/>
    </row>
    <row r="62286" spans="32:32" x14ac:dyDescent="0.2">
      <c r="AF62286" s="12"/>
    </row>
    <row r="62287" spans="32:32" x14ac:dyDescent="0.2">
      <c r="AF62287" s="12"/>
    </row>
    <row r="62288" spans="32:32" x14ac:dyDescent="0.2">
      <c r="AF62288" s="12"/>
    </row>
    <row r="62289" spans="32:32" x14ac:dyDescent="0.2">
      <c r="AF62289" s="12"/>
    </row>
    <row r="62290" spans="32:32" x14ac:dyDescent="0.2">
      <c r="AF62290" s="12"/>
    </row>
    <row r="62291" spans="32:32" x14ac:dyDescent="0.2">
      <c r="AF62291" s="12"/>
    </row>
    <row r="62292" spans="32:32" x14ac:dyDescent="0.2">
      <c r="AF62292" s="12"/>
    </row>
    <row r="62293" spans="32:32" x14ac:dyDescent="0.2">
      <c r="AF62293" s="12"/>
    </row>
    <row r="62294" spans="32:32" x14ac:dyDescent="0.2">
      <c r="AF62294" s="12"/>
    </row>
    <row r="62295" spans="32:32" x14ac:dyDescent="0.2">
      <c r="AF62295" s="12"/>
    </row>
    <row r="62296" spans="32:32" x14ac:dyDescent="0.2">
      <c r="AF62296" s="12"/>
    </row>
    <row r="62297" spans="32:32" x14ac:dyDescent="0.2">
      <c r="AF62297" s="12"/>
    </row>
    <row r="62298" spans="32:32" x14ac:dyDescent="0.2">
      <c r="AF62298" s="12"/>
    </row>
    <row r="62299" spans="32:32" x14ac:dyDescent="0.2">
      <c r="AF62299" s="12"/>
    </row>
    <row r="62300" spans="32:32" x14ac:dyDescent="0.2">
      <c r="AF62300" s="12"/>
    </row>
    <row r="62301" spans="32:32" x14ac:dyDescent="0.2">
      <c r="AF62301" s="12"/>
    </row>
    <row r="62302" spans="32:32" x14ac:dyDescent="0.2">
      <c r="AF62302" s="12"/>
    </row>
    <row r="62303" spans="32:32" x14ac:dyDescent="0.2">
      <c r="AF62303" s="12"/>
    </row>
    <row r="62304" spans="32:32" x14ac:dyDescent="0.2">
      <c r="AF62304" s="12"/>
    </row>
    <row r="62305" spans="32:32" x14ac:dyDescent="0.2">
      <c r="AF62305" s="12"/>
    </row>
    <row r="62306" spans="32:32" x14ac:dyDescent="0.2">
      <c r="AF62306" s="12"/>
    </row>
    <row r="62307" spans="32:32" x14ac:dyDescent="0.2">
      <c r="AF62307" s="12"/>
    </row>
    <row r="62308" spans="32:32" x14ac:dyDescent="0.2">
      <c r="AF62308" s="12"/>
    </row>
    <row r="62309" spans="32:32" x14ac:dyDescent="0.2">
      <c r="AF62309" s="12"/>
    </row>
    <row r="62310" spans="32:32" x14ac:dyDescent="0.2">
      <c r="AF62310" s="12"/>
    </row>
    <row r="62311" spans="32:32" x14ac:dyDescent="0.2">
      <c r="AF62311" s="12"/>
    </row>
    <row r="62312" spans="32:32" x14ac:dyDescent="0.2">
      <c r="AF62312" s="12"/>
    </row>
    <row r="62313" spans="32:32" x14ac:dyDescent="0.2">
      <c r="AF62313" s="12"/>
    </row>
    <row r="62314" spans="32:32" x14ac:dyDescent="0.2">
      <c r="AF62314" s="12"/>
    </row>
    <row r="62315" spans="32:32" x14ac:dyDescent="0.2">
      <c r="AF62315" s="12"/>
    </row>
    <row r="62316" spans="32:32" x14ac:dyDescent="0.2">
      <c r="AF62316" s="12"/>
    </row>
    <row r="62317" spans="32:32" x14ac:dyDescent="0.2">
      <c r="AF62317" s="12"/>
    </row>
    <row r="62318" spans="32:32" x14ac:dyDescent="0.2">
      <c r="AF62318" s="12"/>
    </row>
    <row r="62319" spans="32:32" x14ac:dyDescent="0.2">
      <c r="AF62319" s="12"/>
    </row>
    <row r="62320" spans="32:32" x14ac:dyDescent="0.2">
      <c r="AF62320" s="12"/>
    </row>
    <row r="62321" spans="32:32" x14ac:dyDescent="0.2">
      <c r="AF62321" s="12"/>
    </row>
    <row r="62322" spans="32:32" x14ac:dyDescent="0.2">
      <c r="AF62322" s="12"/>
    </row>
    <row r="62323" spans="32:32" x14ac:dyDescent="0.2">
      <c r="AF62323" s="12"/>
    </row>
    <row r="62324" spans="32:32" x14ac:dyDescent="0.2">
      <c r="AF62324" s="12"/>
    </row>
    <row r="62325" spans="32:32" x14ac:dyDescent="0.2">
      <c r="AF62325" s="12"/>
    </row>
    <row r="62326" spans="32:32" x14ac:dyDescent="0.2">
      <c r="AF62326" s="12"/>
    </row>
    <row r="62327" spans="32:32" x14ac:dyDescent="0.2">
      <c r="AF62327" s="12"/>
    </row>
    <row r="62328" spans="32:32" x14ac:dyDescent="0.2">
      <c r="AF62328" s="12"/>
    </row>
    <row r="62329" spans="32:32" x14ac:dyDescent="0.2">
      <c r="AF62329" s="12"/>
    </row>
    <row r="62330" spans="32:32" x14ac:dyDescent="0.2">
      <c r="AF62330" s="12"/>
    </row>
    <row r="62331" spans="32:32" x14ac:dyDescent="0.2">
      <c r="AF62331" s="12"/>
    </row>
    <row r="62332" spans="32:32" x14ac:dyDescent="0.2">
      <c r="AF62332" s="12"/>
    </row>
    <row r="62333" spans="32:32" x14ac:dyDescent="0.2">
      <c r="AF62333" s="12"/>
    </row>
    <row r="62334" spans="32:32" x14ac:dyDescent="0.2">
      <c r="AF62334" s="12"/>
    </row>
    <row r="62335" spans="32:32" x14ac:dyDescent="0.2">
      <c r="AF62335" s="12"/>
    </row>
    <row r="62336" spans="32:32" x14ac:dyDescent="0.2">
      <c r="AF62336" s="12"/>
    </row>
    <row r="62337" spans="32:32" x14ac:dyDescent="0.2">
      <c r="AF62337" s="12"/>
    </row>
    <row r="62338" spans="32:32" x14ac:dyDescent="0.2">
      <c r="AF62338" s="12"/>
    </row>
    <row r="62339" spans="32:32" x14ac:dyDescent="0.2">
      <c r="AF62339" s="12"/>
    </row>
    <row r="62340" spans="32:32" x14ac:dyDescent="0.2">
      <c r="AF62340" s="12"/>
    </row>
    <row r="62341" spans="32:32" x14ac:dyDescent="0.2">
      <c r="AF62341" s="12"/>
    </row>
    <row r="62342" spans="32:32" x14ac:dyDescent="0.2">
      <c r="AF62342" s="12"/>
    </row>
    <row r="62343" spans="32:32" x14ac:dyDescent="0.2">
      <c r="AF62343" s="12"/>
    </row>
    <row r="62344" spans="32:32" x14ac:dyDescent="0.2">
      <c r="AF62344" s="12"/>
    </row>
    <row r="62345" spans="32:32" x14ac:dyDescent="0.2">
      <c r="AF62345" s="12"/>
    </row>
    <row r="62346" spans="32:32" x14ac:dyDescent="0.2">
      <c r="AF62346" s="12"/>
    </row>
    <row r="62347" spans="32:32" x14ac:dyDescent="0.2">
      <c r="AF62347" s="12"/>
    </row>
    <row r="62348" spans="32:32" x14ac:dyDescent="0.2">
      <c r="AF62348" s="12"/>
    </row>
    <row r="62349" spans="32:32" x14ac:dyDescent="0.2">
      <c r="AF62349" s="12"/>
    </row>
    <row r="62350" spans="32:32" x14ac:dyDescent="0.2">
      <c r="AF62350" s="12"/>
    </row>
    <row r="62351" spans="32:32" x14ac:dyDescent="0.2">
      <c r="AF62351" s="12"/>
    </row>
    <row r="62352" spans="32:32" x14ac:dyDescent="0.2">
      <c r="AF62352" s="12"/>
    </row>
    <row r="62353" spans="32:32" x14ac:dyDescent="0.2">
      <c r="AF62353" s="12"/>
    </row>
    <row r="62354" spans="32:32" x14ac:dyDescent="0.2">
      <c r="AF62354" s="12"/>
    </row>
    <row r="62355" spans="32:32" x14ac:dyDescent="0.2">
      <c r="AF62355" s="12"/>
    </row>
    <row r="62356" spans="32:32" x14ac:dyDescent="0.2">
      <c r="AF62356" s="12"/>
    </row>
    <row r="62357" spans="32:32" x14ac:dyDescent="0.2">
      <c r="AF62357" s="12"/>
    </row>
    <row r="62358" spans="32:32" x14ac:dyDescent="0.2">
      <c r="AF62358" s="12"/>
    </row>
    <row r="62359" spans="32:32" x14ac:dyDescent="0.2">
      <c r="AF62359" s="12"/>
    </row>
    <row r="62360" spans="32:32" x14ac:dyDescent="0.2">
      <c r="AF62360" s="12"/>
    </row>
    <row r="62361" spans="32:32" x14ac:dyDescent="0.2">
      <c r="AF62361" s="12"/>
    </row>
    <row r="62362" spans="32:32" x14ac:dyDescent="0.2">
      <c r="AF62362" s="12"/>
    </row>
    <row r="62363" spans="32:32" x14ac:dyDescent="0.2">
      <c r="AF62363" s="12"/>
    </row>
    <row r="62364" spans="32:32" x14ac:dyDescent="0.2">
      <c r="AF62364" s="12"/>
    </row>
    <row r="62365" spans="32:32" x14ac:dyDescent="0.2">
      <c r="AF62365" s="12"/>
    </row>
    <row r="62366" spans="32:32" x14ac:dyDescent="0.2">
      <c r="AF62366" s="12"/>
    </row>
    <row r="62367" spans="32:32" x14ac:dyDescent="0.2">
      <c r="AF62367" s="12"/>
    </row>
    <row r="62368" spans="32:32" x14ac:dyDescent="0.2">
      <c r="AF62368" s="12"/>
    </row>
    <row r="62369" spans="32:32" x14ac:dyDescent="0.2">
      <c r="AF62369" s="12"/>
    </row>
    <row r="62370" spans="32:32" x14ac:dyDescent="0.2">
      <c r="AF62370" s="12"/>
    </row>
    <row r="62371" spans="32:32" x14ac:dyDescent="0.2">
      <c r="AF62371" s="12"/>
    </row>
    <row r="62372" spans="32:32" x14ac:dyDescent="0.2">
      <c r="AF62372" s="12"/>
    </row>
    <row r="62373" spans="32:32" x14ac:dyDescent="0.2">
      <c r="AF62373" s="12"/>
    </row>
    <row r="62374" spans="32:32" x14ac:dyDescent="0.2">
      <c r="AF62374" s="12"/>
    </row>
    <row r="62375" spans="32:32" x14ac:dyDescent="0.2">
      <c r="AF62375" s="12"/>
    </row>
    <row r="62376" spans="32:32" x14ac:dyDescent="0.2">
      <c r="AF62376" s="12"/>
    </row>
    <row r="62377" spans="32:32" x14ac:dyDescent="0.2">
      <c r="AF62377" s="12"/>
    </row>
    <row r="62378" spans="32:32" x14ac:dyDescent="0.2">
      <c r="AF62378" s="12"/>
    </row>
    <row r="62379" spans="32:32" x14ac:dyDescent="0.2">
      <c r="AF62379" s="12"/>
    </row>
    <row r="62380" spans="32:32" x14ac:dyDescent="0.2">
      <c r="AF62380" s="12"/>
    </row>
    <row r="62381" spans="32:32" x14ac:dyDescent="0.2">
      <c r="AF62381" s="12"/>
    </row>
    <row r="62382" spans="32:32" x14ac:dyDescent="0.2">
      <c r="AF62382" s="12"/>
    </row>
    <row r="62383" spans="32:32" x14ac:dyDescent="0.2">
      <c r="AF62383" s="12"/>
    </row>
    <row r="62384" spans="32:32" x14ac:dyDescent="0.2">
      <c r="AF62384" s="12"/>
    </row>
    <row r="62385" spans="32:32" x14ac:dyDescent="0.2">
      <c r="AF62385" s="12"/>
    </row>
    <row r="62386" spans="32:32" x14ac:dyDescent="0.2">
      <c r="AF62386" s="12"/>
    </row>
    <row r="62387" spans="32:32" x14ac:dyDescent="0.2">
      <c r="AF62387" s="12"/>
    </row>
    <row r="62388" spans="32:32" x14ac:dyDescent="0.2">
      <c r="AF62388" s="12"/>
    </row>
    <row r="62389" spans="32:32" x14ac:dyDescent="0.2">
      <c r="AF62389" s="12"/>
    </row>
    <row r="62390" spans="32:32" x14ac:dyDescent="0.2">
      <c r="AF62390" s="12"/>
    </row>
    <row r="62391" spans="32:32" x14ac:dyDescent="0.2">
      <c r="AF62391" s="12"/>
    </row>
    <row r="62392" spans="32:32" x14ac:dyDescent="0.2">
      <c r="AF62392" s="12"/>
    </row>
    <row r="62393" spans="32:32" x14ac:dyDescent="0.2">
      <c r="AF62393" s="12"/>
    </row>
    <row r="62394" spans="32:32" x14ac:dyDescent="0.2">
      <c r="AF62394" s="12"/>
    </row>
    <row r="62395" spans="32:32" x14ac:dyDescent="0.2">
      <c r="AF62395" s="12"/>
    </row>
    <row r="62396" spans="32:32" x14ac:dyDescent="0.2">
      <c r="AF62396" s="12"/>
    </row>
    <row r="62397" spans="32:32" x14ac:dyDescent="0.2">
      <c r="AF62397" s="12"/>
    </row>
    <row r="62398" spans="32:32" x14ac:dyDescent="0.2">
      <c r="AF62398" s="12"/>
    </row>
    <row r="62399" spans="32:32" x14ac:dyDescent="0.2">
      <c r="AF62399" s="12"/>
    </row>
    <row r="62400" spans="32:32" x14ac:dyDescent="0.2">
      <c r="AF62400" s="12"/>
    </row>
    <row r="62401" spans="32:32" x14ac:dyDescent="0.2">
      <c r="AF62401" s="12"/>
    </row>
    <row r="62402" spans="32:32" x14ac:dyDescent="0.2">
      <c r="AF62402" s="12"/>
    </row>
    <row r="62403" spans="32:32" x14ac:dyDescent="0.2">
      <c r="AF62403" s="12"/>
    </row>
    <row r="62404" spans="32:32" x14ac:dyDescent="0.2">
      <c r="AF62404" s="12"/>
    </row>
    <row r="62405" spans="32:32" x14ac:dyDescent="0.2">
      <c r="AF62405" s="12"/>
    </row>
    <row r="62406" spans="32:32" x14ac:dyDescent="0.2">
      <c r="AF62406" s="12"/>
    </row>
    <row r="62407" spans="32:32" x14ac:dyDescent="0.2">
      <c r="AF62407" s="12"/>
    </row>
    <row r="62408" spans="32:32" x14ac:dyDescent="0.2">
      <c r="AF62408" s="12"/>
    </row>
    <row r="62409" spans="32:32" x14ac:dyDescent="0.2">
      <c r="AF62409" s="12"/>
    </row>
    <row r="62410" spans="32:32" x14ac:dyDescent="0.2">
      <c r="AF62410" s="12"/>
    </row>
    <row r="62411" spans="32:32" x14ac:dyDescent="0.2">
      <c r="AF62411" s="12"/>
    </row>
    <row r="62412" spans="32:32" x14ac:dyDescent="0.2">
      <c r="AF62412" s="12"/>
    </row>
    <row r="62413" spans="32:32" x14ac:dyDescent="0.2">
      <c r="AF62413" s="12"/>
    </row>
    <row r="62414" spans="32:32" x14ac:dyDescent="0.2">
      <c r="AF62414" s="12"/>
    </row>
    <row r="62415" spans="32:32" x14ac:dyDescent="0.2">
      <c r="AF62415" s="12"/>
    </row>
    <row r="62416" spans="32:32" x14ac:dyDescent="0.2">
      <c r="AF62416" s="12"/>
    </row>
    <row r="62417" spans="32:32" x14ac:dyDescent="0.2">
      <c r="AF62417" s="12"/>
    </row>
    <row r="62418" spans="32:32" x14ac:dyDescent="0.2">
      <c r="AF62418" s="12"/>
    </row>
    <row r="62419" spans="32:32" x14ac:dyDescent="0.2">
      <c r="AF62419" s="12"/>
    </row>
    <row r="62420" spans="32:32" x14ac:dyDescent="0.2">
      <c r="AF62420" s="12"/>
    </row>
    <row r="62421" spans="32:32" x14ac:dyDescent="0.2">
      <c r="AF62421" s="12"/>
    </row>
    <row r="62422" spans="32:32" x14ac:dyDescent="0.2">
      <c r="AF62422" s="12"/>
    </row>
    <row r="62423" spans="32:32" x14ac:dyDescent="0.2">
      <c r="AF62423" s="12"/>
    </row>
    <row r="62424" spans="32:32" x14ac:dyDescent="0.2">
      <c r="AF62424" s="12"/>
    </row>
    <row r="62425" spans="32:32" x14ac:dyDescent="0.2">
      <c r="AF62425" s="12"/>
    </row>
    <row r="62426" spans="32:32" x14ac:dyDescent="0.2">
      <c r="AF62426" s="12"/>
    </row>
    <row r="62427" spans="32:32" x14ac:dyDescent="0.2">
      <c r="AF62427" s="12"/>
    </row>
    <row r="62428" spans="32:32" x14ac:dyDescent="0.2">
      <c r="AF62428" s="12"/>
    </row>
    <row r="62429" spans="32:32" x14ac:dyDescent="0.2">
      <c r="AF62429" s="12"/>
    </row>
    <row r="62430" spans="32:32" x14ac:dyDescent="0.2">
      <c r="AF62430" s="12"/>
    </row>
    <row r="62431" spans="32:32" x14ac:dyDescent="0.2">
      <c r="AF62431" s="12"/>
    </row>
    <row r="62432" spans="32:32" x14ac:dyDescent="0.2">
      <c r="AF62432" s="12"/>
    </row>
    <row r="62433" spans="32:32" x14ac:dyDescent="0.2">
      <c r="AF62433" s="12"/>
    </row>
    <row r="62434" spans="32:32" x14ac:dyDescent="0.2">
      <c r="AF62434" s="12"/>
    </row>
    <row r="62435" spans="32:32" x14ac:dyDescent="0.2">
      <c r="AF62435" s="12"/>
    </row>
    <row r="62436" spans="32:32" x14ac:dyDescent="0.2">
      <c r="AF62436" s="12"/>
    </row>
    <row r="62437" spans="32:32" x14ac:dyDescent="0.2">
      <c r="AF62437" s="12"/>
    </row>
    <row r="62438" spans="32:32" x14ac:dyDescent="0.2">
      <c r="AF62438" s="12"/>
    </row>
    <row r="62439" spans="32:32" x14ac:dyDescent="0.2">
      <c r="AF62439" s="12"/>
    </row>
    <row r="62440" spans="32:32" x14ac:dyDescent="0.2">
      <c r="AF62440" s="12"/>
    </row>
    <row r="62441" spans="32:32" x14ac:dyDescent="0.2">
      <c r="AF62441" s="12"/>
    </row>
    <row r="62442" spans="32:32" x14ac:dyDescent="0.2">
      <c r="AF62442" s="12"/>
    </row>
    <row r="62443" spans="32:32" x14ac:dyDescent="0.2">
      <c r="AF62443" s="12"/>
    </row>
    <row r="62444" spans="32:32" x14ac:dyDescent="0.2">
      <c r="AF62444" s="12"/>
    </row>
    <row r="62445" spans="32:32" x14ac:dyDescent="0.2">
      <c r="AF62445" s="12"/>
    </row>
    <row r="62446" spans="32:32" x14ac:dyDescent="0.2">
      <c r="AF62446" s="12"/>
    </row>
    <row r="62447" spans="32:32" x14ac:dyDescent="0.2">
      <c r="AF62447" s="12"/>
    </row>
    <row r="62448" spans="32:32" x14ac:dyDescent="0.2">
      <c r="AF62448" s="12"/>
    </row>
    <row r="62449" spans="32:32" x14ac:dyDescent="0.2">
      <c r="AF62449" s="12"/>
    </row>
    <row r="62450" spans="32:32" x14ac:dyDescent="0.2">
      <c r="AF62450" s="12"/>
    </row>
    <row r="62451" spans="32:32" x14ac:dyDescent="0.2">
      <c r="AF62451" s="12"/>
    </row>
    <row r="62452" spans="32:32" x14ac:dyDescent="0.2">
      <c r="AF62452" s="12"/>
    </row>
    <row r="62453" spans="32:32" x14ac:dyDescent="0.2">
      <c r="AF62453" s="12"/>
    </row>
    <row r="62454" spans="32:32" x14ac:dyDescent="0.2">
      <c r="AF62454" s="12"/>
    </row>
    <row r="62455" spans="32:32" x14ac:dyDescent="0.2">
      <c r="AF62455" s="12"/>
    </row>
    <row r="62456" spans="32:32" x14ac:dyDescent="0.2">
      <c r="AF62456" s="12"/>
    </row>
    <row r="62457" spans="32:32" x14ac:dyDescent="0.2">
      <c r="AF62457" s="12"/>
    </row>
    <row r="62458" spans="32:32" x14ac:dyDescent="0.2">
      <c r="AF62458" s="12"/>
    </row>
    <row r="62459" spans="32:32" x14ac:dyDescent="0.2">
      <c r="AF62459" s="12"/>
    </row>
    <row r="62460" spans="32:32" x14ac:dyDescent="0.2">
      <c r="AF62460" s="12"/>
    </row>
    <row r="62461" spans="32:32" x14ac:dyDescent="0.2">
      <c r="AF62461" s="12"/>
    </row>
    <row r="62462" spans="32:32" x14ac:dyDescent="0.2">
      <c r="AF62462" s="12"/>
    </row>
    <row r="62463" spans="32:32" x14ac:dyDescent="0.2">
      <c r="AF62463" s="12"/>
    </row>
    <row r="62464" spans="32:32" x14ac:dyDescent="0.2">
      <c r="AF62464" s="12"/>
    </row>
    <row r="62465" spans="32:32" x14ac:dyDescent="0.2">
      <c r="AF62465" s="12"/>
    </row>
    <row r="62466" spans="32:32" x14ac:dyDescent="0.2">
      <c r="AF62466" s="12"/>
    </row>
    <row r="62467" spans="32:32" x14ac:dyDescent="0.2">
      <c r="AF62467" s="12"/>
    </row>
    <row r="62468" spans="32:32" x14ac:dyDescent="0.2">
      <c r="AF62468" s="12"/>
    </row>
    <row r="62469" spans="32:32" x14ac:dyDescent="0.2">
      <c r="AF62469" s="12"/>
    </row>
    <row r="62470" spans="32:32" x14ac:dyDescent="0.2">
      <c r="AF62470" s="12"/>
    </row>
    <row r="62471" spans="32:32" x14ac:dyDescent="0.2">
      <c r="AF62471" s="12"/>
    </row>
    <row r="62472" spans="32:32" x14ac:dyDescent="0.2">
      <c r="AF62472" s="12"/>
    </row>
    <row r="62473" spans="32:32" x14ac:dyDescent="0.2">
      <c r="AF62473" s="12"/>
    </row>
    <row r="62474" spans="32:32" x14ac:dyDescent="0.2">
      <c r="AF62474" s="12"/>
    </row>
    <row r="62475" spans="32:32" x14ac:dyDescent="0.2">
      <c r="AF62475" s="12"/>
    </row>
    <row r="62476" spans="32:32" x14ac:dyDescent="0.2">
      <c r="AF62476" s="12"/>
    </row>
    <row r="62477" spans="32:32" x14ac:dyDescent="0.2">
      <c r="AF62477" s="12"/>
    </row>
    <row r="62478" spans="32:32" x14ac:dyDescent="0.2">
      <c r="AF62478" s="12"/>
    </row>
    <row r="62479" spans="32:32" x14ac:dyDescent="0.2">
      <c r="AF62479" s="12"/>
    </row>
    <row r="62480" spans="32:32" x14ac:dyDescent="0.2">
      <c r="AF62480" s="12"/>
    </row>
    <row r="62481" spans="32:32" x14ac:dyDescent="0.2">
      <c r="AF62481" s="12"/>
    </row>
    <row r="62482" spans="32:32" x14ac:dyDescent="0.2">
      <c r="AF62482" s="12"/>
    </row>
    <row r="62483" spans="32:32" x14ac:dyDescent="0.2">
      <c r="AF62483" s="12"/>
    </row>
    <row r="62484" spans="32:32" x14ac:dyDescent="0.2">
      <c r="AF62484" s="12"/>
    </row>
    <row r="62485" spans="32:32" x14ac:dyDescent="0.2">
      <c r="AF62485" s="12"/>
    </row>
    <row r="62486" spans="32:32" x14ac:dyDescent="0.2">
      <c r="AF62486" s="12"/>
    </row>
    <row r="62487" spans="32:32" x14ac:dyDescent="0.2">
      <c r="AF62487" s="12"/>
    </row>
    <row r="62488" spans="32:32" x14ac:dyDescent="0.2">
      <c r="AF62488" s="12"/>
    </row>
    <row r="62489" spans="32:32" x14ac:dyDescent="0.2">
      <c r="AF62489" s="12"/>
    </row>
    <row r="62490" spans="32:32" x14ac:dyDescent="0.2">
      <c r="AF62490" s="12"/>
    </row>
    <row r="62491" spans="32:32" x14ac:dyDescent="0.2">
      <c r="AF62491" s="12"/>
    </row>
    <row r="62492" spans="32:32" x14ac:dyDescent="0.2">
      <c r="AF62492" s="12"/>
    </row>
    <row r="62493" spans="32:32" x14ac:dyDescent="0.2">
      <c r="AF62493" s="12"/>
    </row>
    <row r="62494" spans="32:32" x14ac:dyDescent="0.2">
      <c r="AF62494" s="12"/>
    </row>
    <row r="62495" spans="32:32" x14ac:dyDescent="0.2">
      <c r="AF62495" s="12"/>
    </row>
    <row r="62496" spans="32:32" x14ac:dyDescent="0.2">
      <c r="AF62496" s="12"/>
    </row>
    <row r="62497" spans="32:32" x14ac:dyDescent="0.2">
      <c r="AF62497" s="12"/>
    </row>
    <row r="62498" spans="32:32" x14ac:dyDescent="0.2">
      <c r="AF62498" s="12"/>
    </row>
    <row r="62499" spans="32:32" x14ac:dyDescent="0.2">
      <c r="AF62499" s="12"/>
    </row>
    <row r="62500" spans="32:32" x14ac:dyDescent="0.2">
      <c r="AF62500" s="12"/>
    </row>
    <row r="62501" spans="32:32" x14ac:dyDescent="0.2">
      <c r="AF62501" s="12"/>
    </row>
    <row r="62502" spans="32:32" x14ac:dyDescent="0.2">
      <c r="AF62502" s="12"/>
    </row>
    <row r="62503" spans="32:32" x14ac:dyDescent="0.2">
      <c r="AF62503" s="12"/>
    </row>
    <row r="62504" spans="32:32" x14ac:dyDescent="0.2">
      <c r="AF62504" s="12"/>
    </row>
    <row r="62505" spans="32:32" x14ac:dyDescent="0.2">
      <c r="AF62505" s="12"/>
    </row>
    <row r="62506" spans="32:32" x14ac:dyDescent="0.2">
      <c r="AF62506" s="12"/>
    </row>
    <row r="62507" spans="32:32" x14ac:dyDescent="0.2">
      <c r="AF62507" s="12"/>
    </row>
    <row r="62508" spans="32:32" x14ac:dyDescent="0.2">
      <c r="AF62508" s="12"/>
    </row>
    <row r="62509" spans="32:32" x14ac:dyDescent="0.2">
      <c r="AF62509" s="12"/>
    </row>
    <row r="62510" spans="32:32" x14ac:dyDescent="0.2">
      <c r="AF62510" s="12"/>
    </row>
    <row r="62511" spans="32:32" x14ac:dyDescent="0.2">
      <c r="AF62511" s="12"/>
    </row>
    <row r="62512" spans="32:32" x14ac:dyDescent="0.2">
      <c r="AF62512" s="12"/>
    </row>
    <row r="62513" spans="32:32" x14ac:dyDescent="0.2">
      <c r="AF62513" s="12"/>
    </row>
    <row r="62514" spans="32:32" x14ac:dyDescent="0.2">
      <c r="AF62514" s="12"/>
    </row>
    <row r="62515" spans="32:32" x14ac:dyDescent="0.2">
      <c r="AF62515" s="12"/>
    </row>
    <row r="62516" spans="32:32" x14ac:dyDescent="0.2">
      <c r="AF62516" s="12"/>
    </row>
    <row r="62517" spans="32:32" x14ac:dyDescent="0.2">
      <c r="AF62517" s="12"/>
    </row>
    <row r="62518" spans="32:32" x14ac:dyDescent="0.2">
      <c r="AF62518" s="12"/>
    </row>
    <row r="62519" spans="32:32" x14ac:dyDescent="0.2">
      <c r="AF62519" s="12"/>
    </row>
    <row r="62520" spans="32:32" x14ac:dyDescent="0.2">
      <c r="AF62520" s="12"/>
    </row>
    <row r="62521" spans="32:32" x14ac:dyDescent="0.2">
      <c r="AF62521" s="12"/>
    </row>
    <row r="62522" spans="32:32" x14ac:dyDescent="0.2">
      <c r="AF62522" s="12"/>
    </row>
    <row r="62523" spans="32:32" x14ac:dyDescent="0.2">
      <c r="AF62523" s="12"/>
    </row>
    <row r="62524" spans="32:32" x14ac:dyDescent="0.2">
      <c r="AF62524" s="12"/>
    </row>
    <row r="62525" spans="32:32" x14ac:dyDescent="0.2">
      <c r="AF62525" s="12"/>
    </row>
    <row r="62526" spans="32:32" x14ac:dyDescent="0.2">
      <c r="AF62526" s="12"/>
    </row>
    <row r="62527" spans="32:32" x14ac:dyDescent="0.2">
      <c r="AF62527" s="12"/>
    </row>
    <row r="62528" spans="32:32" x14ac:dyDescent="0.2">
      <c r="AF62528" s="12"/>
    </row>
    <row r="62529" spans="32:32" x14ac:dyDescent="0.2">
      <c r="AF62529" s="12"/>
    </row>
    <row r="62530" spans="32:32" x14ac:dyDescent="0.2">
      <c r="AF62530" s="12"/>
    </row>
    <row r="62531" spans="32:32" x14ac:dyDescent="0.2">
      <c r="AF62531" s="12"/>
    </row>
    <row r="62532" spans="32:32" x14ac:dyDescent="0.2">
      <c r="AF62532" s="12"/>
    </row>
    <row r="62533" spans="32:32" x14ac:dyDescent="0.2">
      <c r="AF62533" s="12"/>
    </row>
    <row r="62534" spans="32:32" x14ac:dyDescent="0.2">
      <c r="AF62534" s="12"/>
    </row>
    <row r="62535" spans="32:32" x14ac:dyDescent="0.2">
      <c r="AF62535" s="12"/>
    </row>
    <row r="62536" spans="32:32" x14ac:dyDescent="0.2">
      <c r="AF62536" s="12"/>
    </row>
    <row r="62537" spans="32:32" x14ac:dyDescent="0.2">
      <c r="AF62537" s="12"/>
    </row>
    <row r="62538" spans="32:32" x14ac:dyDescent="0.2">
      <c r="AF62538" s="12"/>
    </row>
    <row r="62539" spans="32:32" x14ac:dyDescent="0.2">
      <c r="AF62539" s="12"/>
    </row>
    <row r="62540" spans="32:32" x14ac:dyDescent="0.2">
      <c r="AF62540" s="12"/>
    </row>
    <row r="62541" spans="32:32" x14ac:dyDescent="0.2">
      <c r="AF62541" s="12"/>
    </row>
    <row r="62542" spans="32:32" x14ac:dyDescent="0.2">
      <c r="AF62542" s="12"/>
    </row>
    <row r="62543" spans="32:32" x14ac:dyDescent="0.2">
      <c r="AF62543" s="12"/>
    </row>
    <row r="62544" spans="32:32" x14ac:dyDescent="0.2">
      <c r="AF62544" s="12"/>
    </row>
    <row r="62545" spans="32:32" x14ac:dyDescent="0.2">
      <c r="AF62545" s="12"/>
    </row>
    <row r="62546" spans="32:32" x14ac:dyDescent="0.2">
      <c r="AF62546" s="12"/>
    </row>
    <row r="62547" spans="32:32" x14ac:dyDescent="0.2">
      <c r="AF62547" s="12"/>
    </row>
    <row r="62548" spans="32:32" x14ac:dyDescent="0.2">
      <c r="AF62548" s="12"/>
    </row>
    <row r="62549" spans="32:32" x14ac:dyDescent="0.2">
      <c r="AF62549" s="12"/>
    </row>
    <row r="62550" spans="32:32" x14ac:dyDescent="0.2">
      <c r="AF62550" s="12"/>
    </row>
    <row r="62551" spans="32:32" x14ac:dyDescent="0.2">
      <c r="AF62551" s="12"/>
    </row>
    <row r="62552" spans="32:32" x14ac:dyDescent="0.2">
      <c r="AF62552" s="12"/>
    </row>
    <row r="62553" spans="32:32" x14ac:dyDescent="0.2">
      <c r="AF62553" s="12"/>
    </row>
    <row r="62554" spans="32:32" x14ac:dyDescent="0.2">
      <c r="AF62554" s="12"/>
    </row>
    <row r="62555" spans="32:32" x14ac:dyDescent="0.2">
      <c r="AF62555" s="12"/>
    </row>
    <row r="62556" spans="32:32" x14ac:dyDescent="0.2">
      <c r="AF62556" s="12"/>
    </row>
    <row r="62557" spans="32:32" x14ac:dyDescent="0.2">
      <c r="AF62557" s="12"/>
    </row>
    <row r="62558" spans="32:32" x14ac:dyDescent="0.2">
      <c r="AF62558" s="12"/>
    </row>
    <row r="62559" spans="32:32" x14ac:dyDescent="0.2">
      <c r="AF62559" s="12"/>
    </row>
    <row r="62560" spans="32:32" x14ac:dyDescent="0.2">
      <c r="AF62560" s="12"/>
    </row>
    <row r="62561" spans="32:32" x14ac:dyDescent="0.2">
      <c r="AF62561" s="12"/>
    </row>
    <row r="62562" spans="32:32" x14ac:dyDescent="0.2">
      <c r="AF62562" s="12"/>
    </row>
    <row r="62563" spans="32:32" x14ac:dyDescent="0.2">
      <c r="AF62563" s="12"/>
    </row>
    <row r="62564" spans="32:32" x14ac:dyDescent="0.2">
      <c r="AF62564" s="12"/>
    </row>
    <row r="62565" spans="32:32" x14ac:dyDescent="0.2">
      <c r="AF62565" s="12"/>
    </row>
    <row r="62566" spans="32:32" x14ac:dyDescent="0.2">
      <c r="AF62566" s="12"/>
    </row>
    <row r="62567" spans="32:32" x14ac:dyDescent="0.2">
      <c r="AF62567" s="12"/>
    </row>
    <row r="62568" spans="32:32" x14ac:dyDescent="0.2">
      <c r="AF62568" s="12"/>
    </row>
    <row r="62569" spans="32:32" x14ac:dyDescent="0.2">
      <c r="AF62569" s="12"/>
    </row>
    <row r="62570" spans="32:32" x14ac:dyDescent="0.2">
      <c r="AF62570" s="12"/>
    </row>
    <row r="62571" spans="32:32" x14ac:dyDescent="0.2">
      <c r="AF62571" s="12"/>
    </row>
    <row r="62572" spans="32:32" x14ac:dyDescent="0.2">
      <c r="AF62572" s="12"/>
    </row>
    <row r="62573" spans="32:32" x14ac:dyDescent="0.2">
      <c r="AF62573" s="12"/>
    </row>
    <row r="62574" spans="32:32" x14ac:dyDescent="0.2">
      <c r="AF62574" s="12"/>
    </row>
    <row r="62575" spans="32:32" x14ac:dyDescent="0.2">
      <c r="AF62575" s="12"/>
    </row>
    <row r="62576" spans="32:32" x14ac:dyDescent="0.2">
      <c r="AF62576" s="12"/>
    </row>
    <row r="62577" spans="32:32" x14ac:dyDescent="0.2">
      <c r="AF62577" s="12"/>
    </row>
    <row r="62578" spans="32:32" x14ac:dyDescent="0.2">
      <c r="AF62578" s="12"/>
    </row>
    <row r="62579" spans="32:32" x14ac:dyDescent="0.2">
      <c r="AF62579" s="12"/>
    </row>
    <row r="62580" spans="32:32" x14ac:dyDescent="0.2">
      <c r="AF62580" s="12"/>
    </row>
    <row r="62581" spans="32:32" x14ac:dyDescent="0.2">
      <c r="AF62581" s="12"/>
    </row>
    <row r="62582" spans="32:32" x14ac:dyDescent="0.2">
      <c r="AF62582" s="12"/>
    </row>
    <row r="62583" spans="32:32" x14ac:dyDescent="0.2">
      <c r="AF62583" s="12"/>
    </row>
    <row r="62584" spans="32:32" x14ac:dyDescent="0.2">
      <c r="AF62584" s="12"/>
    </row>
    <row r="62585" spans="32:32" x14ac:dyDescent="0.2">
      <c r="AF62585" s="12"/>
    </row>
    <row r="62586" spans="32:32" x14ac:dyDescent="0.2">
      <c r="AF62586" s="12"/>
    </row>
    <row r="62587" spans="32:32" x14ac:dyDescent="0.2">
      <c r="AF62587" s="12"/>
    </row>
    <row r="62588" spans="32:32" x14ac:dyDescent="0.2">
      <c r="AF62588" s="12"/>
    </row>
    <row r="62589" spans="32:32" x14ac:dyDescent="0.2">
      <c r="AF62589" s="12"/>
    </row>
    <row r="62590" spans="32:32" x14ac:dyDescent="0.2">
      <c r="AF62590" s="12"/>
    </row>
    <row r="62591" spans="32:32" x14ac:dyDescent="0.2">
      <c r="AF62591" s="12"/>
    </row>
    <row r="62592" spans="32:32" x14ac:dyDescent="0.2">
      <c r="AF62592" s="12"/>
    </row>
    <row r="62593" spans="32:32" x14ac:dyDescent="0.2">
      <c r="AF62593" s="12"/>
    </row>
    <row r="62594" spans="32:32" x14ac:dyDescent="0.2">
      <c r="AF62594" s="12"/>
    </row>
    <row r="62595" spans="32:32" x14ac:dyDescent="0.2">
      <c r="AF62595" s="12"/>
    </row>
    <row r="62596" spans="32:32" x14ac:dyDescent="0.2">
      <c r="AF62596" s="12"/>
    </row>
    <row r="62597" spans="32:32" x14ac:dyDescent="0.2">
      <c r="AF62597" s="12"/>
    </row>
    <row r="62598" spans="32:32" x14ac:dyDescent="0.2">
      <c r="AF62598" s="12"/>
    </row>
    <row r="62599" spans="32:32" x14ac:dyDescent="0.2">
      <c r="AF62599" s="12"/>
    </row>
    <row r="62600" spans="32:32" x14ac:dyDescent="0.2">
      <c r="AF62600" s="12"/>
    </row>
    <row r="62601" spans="32:32" x14ac:dyDescent="0.2">
      <c r="AF62601" s="12"/>
    </row>
    <row r="62602" spans="32:32" x14ac:dyDescent="0.2">
      <c r="AF62602" s="12"/>
    </row>
    <row r="62603" spans="32:32" x14ac:dyDescent="0.2">
      <c r="AF62603" s="12"/>
    </row>
    <row r="62604" spans="32:32" x14ac:dyDescent="0.2">
      <c r="AF62604" s="12"/>
    </row>
    <row r="62605" spans="32:32" x14ac:dyDescent="0.2">
      <c r="AF62605" s="12"/>
    </row>
    <row r="62606" spans="32:32" x14ac:dyDescent="0.2">
      <c r="AF62606" s="12"/>
    </row>
    <row r="62607" spans="32:32" x14ac:dyDescent="0.2">
      <c r="AF62607" s="12"/>
    </row>
    <row r="62608" spans="32:32" x14ac:dyDescent="0.2">
      <c r="AF62608" s="12"/>
    </row>
    <row r="62609" spans="32:32" x14ac:dyDescent="0.2">
      <c r="AF62609" s="12"/>
    </row>
    <row r="62610" spans="32:32" x14ac:dyDescent="0.2">
      <c r="AF62610" s="12"/>
    </row>
    <row r="62611" spans="32:32" x14ac:dyDescent="0.2">
      <c r="AF62611" s="12"/>
    </row>
    <row r="62612" spans="32:32" x14ac:dyDescent="0.2">
      <c r="AF62612" s="12"/>
    </row>
    <row r="62613" spans="32:32" x14ac:dyDescent="0.2">
      <c r="AF62613" s="12"/>
    </row>
    <row r="62614" spans="32:32" x14ac:dyDescent="0.2">
      <c r="AF62614" s="12"/>
    </row>
    <row r="62615" spans="32:32" x14ac:dyDescent="0.2">
      <c r="AF62615" s="12"/>
    </row>
    <row r="62616" spans="32:32" x14ac:dyDescent="0.2">
      <c r="AF62616" s="12"/>
    </row>
    <row r="62617" spans="32:32" x14ac:dyDescent="0.2">
      <c r="AF62617" s="12"/>
    </row>
    <row r="62618" spans="32:32" x14ac:dyDescent="0.2">
      <c r="AF62618" s="12"/>
    </row>
    <row r="62619" spans="32:32" x14ac:dyDescent="0.2">
      <c r="AF62619" s="12"/>
    </row>
    <row r="62620" spans="32:32" x14ac:dyDescent="0.2">
      <c r="AF62620" s="12"/>
    </row>
    <row r="62621" spans="32:32" x14ac:dyDescent="0.2">
      <c r="AF62621" s="12"/>
    </row>
    <row r="62622" spans="32:32" x14ac:dyDescent="0.2">
      <c r="AF62622" s="12"/>
    </row>
    <row r="62623" spans="32:32" x14ac:dyDescent="0.2">
      <c r="AF62623" s="12"/>
    </row>
    <row r="62624" spans="32:32" x14ac:dyDescent="0.2">
      <c r="AF62624" s="12"/>
    </row>
    <row r="62625" spans="32:32" x14ac:dyDescent="0.2">
      <c r="AF62625" s="12"/>
    </row>
    <row r="62626" spans="32:32" x14ac:dyDescent="0.2">
      <c r="AF62626" s="12"/>
    </row>
    <row r="62627" spans="32:32" x14ac:dyDescent="0.2">
      <c r="AF62627" s="12"/>
    </row>
    <row r="62628" spans="32:32" x14ac:dyDescent="0.2">
      <c r="AF62628" s="12"/>
    </row>
    <row r="62629" spans="32:32" x14ac:dyDescent="0.2">
      <c r="AF62629" s="12"/>
    </row>
    <row r="62630" spans="32:32" x14ac:dyDescent="0.2">
      <c r="AF62630" s="12"/>
    </row>
    <row r="62631" spans="32:32" x14ac:dyDescent="0.2">
      <c r="AF62631" s="12"/>
    </row>
    <row r="62632" spans="32:32" x14ac:dyDescent="0.2">
      <c r="AF62632" s="12"/>
    </row>
    <row r="62633" spans="32:32" x14ac:dyDescent="0.2">
      <c r="AF62633" s="12"/>
    </row>
    <row r="62634" spans="32:32" x14ac:dyDescent="0.2">
      <c r="AF62634" s="12"/>
    </row>
    <row r="62635" spans="32:32" x14ac:dyDescent="0.2">
      <c r="AF62635" s="12"/>
    </row>
    <row r="62636" spans="32:32" x14ac:dyDescent="0.2">
      <c r="AF62636" s="12"/>
    </row>
    <row r="62637" spans="32:32" x14ac:dyDescent="0.2">
      <c r="AF62637" s="12"/>
    </row>
    <row r="62638" spans="32:32" x14ac:dyDescent="0.2">
      <c r="AF62638" s="12"/>
    </row>
    <row r="62639" spans="32:32" x14ac:dyDescent="0.2">
      <c r="AF62639" s="12"/>
    </row>
    <row r="62640" spans="32:32" x14ac:dyDescent="0.2">
      <c r="AF62640" s="12"/>
    </row>
    <row r="62641" spans="32:32" x14ac:dyDescent="0.2">
      <c r="AF62641" s="12"/>
    </row>
    <row r="62642" spans="32:32" x14ac:dyDescent="0.2">
      <c r="AF62642" s="12"/>
    </row>
    <row r="62643" spans="32:32" x14ac:dyDescent="0.2">
      <c r="AF62643" s="12"/>
    </row>
    <row r="62644" spans="32:32" x14ac:dyDescent="0.2">
      <c r="AF62644" s="12"/>
    </row>
    <row r="62645" spans="32:32" x14ac:dyDescent="0.2">
      <c r="AF62645" s="12"/>
    </row>
    <row r="62646" spans="32:32" x14ac:dyDescent="0.2">
      <c r="AF62646" s="12"/>
    </row>
    <row r="62647" spans="32:32" x14ac:dyDescent="0.2">
      <c r="AF62647" s="12"/>
    </row>
    <row r="62648" spans="32:32" x14ac:dyDescent="0.2">
      <c r="AF62648" s="12"/>
    </row>
    <row r="62649" spans="32:32" x14ac:dyDescent="0.2">
      <c r="AF62649" s="12"/>
    </row>
    <row r="62650" spans="32:32" x14ac:dyDescent="0.2">
      <c r="AF62650" s="12"/>
    </row>
    <row r="62651" spans="32:32" x14ac:dyDescent="0.2">
      <c r="AF62651" s="12"/>
    </row>
    <row r="62652" spans="32:32" x14ac:dyDescent="0.2">
      <c r="AF62652" s="12"/>
    </row>
    <row r="62653" spans="32:32" x14ac:dyDescent="0.2">
      <c r="AF62653" s="12"/>
    </row>
    <row r="62654" spans="32:32" x14ac:dyDescent="0.2">
      <c r="AF62654" s="12"/>
    </row>
    <row r="62655" spans="32:32" x14ac:dyDescent="0.2">
      <c r="AF62655" s="12"/>
    </row>
    <row r="62656" spans="32:32" x14ac:dyDescent="0.2">
      <c r="AF62656" s="12"/>
    </row>
    <row r="62657" spans="32:32" x14ac:dyDescent="0.2">
      <c r="AF62657" s="12"/>
    </row>
    <row r="62658" spans="32:32" x14ac:dyDescent="0.2">
      <c r="AF62658" s="12"/>
    </row>
    <row r="62659" spans="32:32" x14ac:dyDescent="0.2">
      <c r="AF62659" s="12"/>
    </row>
    <row r="62660" spans="32:32" x14ac:dyDescent="0.2">
      <c r="AF62660" s="12"/>
    </row>
    <row r="62661" spans="32:32" x14ac:dyDescent="0.2">
      <c r="AF62661" s="12"/>
    </row>
    <row r="62662" spans="32:32" x14ac:dyDescent="0.2">
      <c r="AF62662" s="12"/>
    </row>
    <row r="62663" spans="32:32" x14ac:dyDescent="0.2">
      <c r="AF62663" s="12"/>
    </row>
    <row r="62664" spans="32:32" x14ac:dyDescent="0.2">
      <c r="AF62664" s="12"/>
    </row>
    <row r="62665" spans="32:32" x14ac:dyDescent="0.2">
      <c r="AF62665" s="12"/>
    </row>
    <row r="62666" spans="32:32" x14ac:dyDescent="0.2">
      <c r="AF62666" s="12"/>
    </row>
    <row r="62667" spans="32:32" x14ac:dyDescent="0.2">
      <c r="AF62667" s="12"/>
    </row>
    <row r="62668" spans="32:32" x14ac:dyDescent="0.2">
      <c r="AF62668" s="12"/>
    </row>
    <row r="62669" spans="32:32" x14ac:dyDescent="0.2">
      <c r="AF62669" s="12"/>
    </row>
    <row r="62670" spans="32:32" x14ac:dyDescent="0.2">
      <c r="AF62670" s="12"/>
    </row>
    <row r="62671" spans="32:32" x14ac:dyDescent="0.2">
      <c r="AF62671" s="12"/>
    </row>
    <row r="62672" spans="32:32" x14ac:dyDescent="0.2">
      <c r="AF62672" s="12"/>
    </row>
    <row r="62673" spans="32:32" x14ac:dyDescent="0.2">
      <c r="AF62673" s="12"/>
    </row>
    <row r="62674" spans="32:32" x14ac:dyDescent="0.2">
      <c r="AF62674" s="12"/>
    </row>
    <row r="62675" spans="32:32" x14ac:dyDescent="0.2">
      <c r="AF62675" s="12"/>
    </row>
    <row r="62676" spans="32:32" x14ac:dyDescent="0.2">
      <c r="AF62676" s="12"/>
    </row>
    <row r="62677" spans="32:32" x14ac:dyDescent="0.2">
      <c r="AF62677" s="12"/>
    </row>
    <row r="62678" spans="32:32" x14ac:dyDescent="0.2">
      <c r="AF62678" s="12"/>
    </row>
    <row r="62679" spans="32:32" x14ac:dyDescent="0.2">
      <c r="AF62679" s="12"/>
    </row>
    <row r="62680" spans="32:32" x14ac:dyDescent="0.2">
      <c r="AF62680" s="12"/>
    </row>
    <row r="62681" spans="32:32" x14ac:dyDescent="0.2">
      <c r="AF62681" s="12"/>
    </row>
    <row r="62682" spans="32:32" x14ac:dyDescent="0.2">
      <c r="AF62682" s="12"/>
    </row>
    <row r="62683" spans="32:32" x14ac:dyDescent="0.2">
      <c r="AF62683" s="12"/>
    </row>
    <row r="62684" spans="32:32" x14ac:dyDescent="0.2">
      <c r="AF62684" s="12"/>
    </row>
    <row r="62685" spans="32:32" x14ac:dyDescent="0.2">
      <c r="AF62685" s="12"/>
    </row>
    <row r="62686" spans="32:32" x14ac:dyDescent="0.2">
      <c r="AF62686" s="12"/>
    </row>
    <row r="62687" spans="32:32" x14ac:dyDescent="0.2">
      <c r="AF62687" s="12"/>
    </row>
    <row r="62688" spans="32:32" x14ac:dyDescent="0.2">
      <c r="AF62688" s="12"/>
    </row>
    <row r="62689" spans="32:32" x14ac:dyDescent="0.2">
      <c r="AF62689" s="12"/>
    </row>
    <row r="62690" spans="32:32" x14ac:dyDescent="0.2">
      <c r="AF62690" s="12"/>
    </row>
    <row r="62691" spans="32:32" x14ac:dyDescent="0.2">
      <c r="AF62691" s="12"/>
    </row>
    <row r="62692" spans="32:32" x14ac:dyDescent="0.2">
      <c r="AF62692" s="12"/>
    </row>
    <row r="62693" spans="32:32" x14ac:dyDescent="0.2">
      <c r="AF62693" s="12"/>
    </row>
    <row r="62694" spans="32:32" x14ac:dyDescent="0.2">
      <c r="AF62694" s="12"/>
    </row>
    <row r="62695" spans="32:32" x14ac:dyDescent="0.2">
      <c r="AF62695" s="12"/>
    </row>
    <row r="62696" spans="32:32" x14ac:dyDescent="0.2">
      <c r="AF62696" s="12"/>
    </row>
    <row r="62697" spans="32:32" x14ac:dyDescent="0.2">
      <c r="AF62697" s="12"/>
    </row>
    <row r="62698" spans="32:32" x14ac:dyDescent="0.2">
      <c r="AF62698" s="12"/>
    </row>
    <row r="62699" spans="32:32" x14ac:dyDescent="0.2">
      <c r="AF62699" s="12"/>
    </row>
    <row r="62700" spans="32:32" x14ac:dyDescent="0.2">
      <c r="AF62700" s="12"/>
    </row>
    <row r="62701" spans="32:32" x14ac:dyDescent="0.2">
      <c r="AF62701" s="12"/>
    </row>
    <row r="62702" spans="32:32" x14ac:dyDescent="0.2">
      <c r="AF62702" s="12"/>
    </row>
    <row r="62703" spans="32:32" x14ac:dyDescent="0.2">
      <c r="AF62703" s="12"/>
    </row>
    <row r="62704" spans="32:32" x14ac:dyDescent="0.2">
      <c r="AF62704" s="12"/>
    </row>
    <row r="62705" spans="32:32" x14ac:dyDescent="0.2">
      <c r="AF62705" s="12"/>
    </row>
    <row r="62706" spans="32:32" x14ac:dyDescent="0.2">
      <c r="AF62706" s="12"/>
    </row>
    <row r="62707" spans="32:32" x14ac:dyDescent="0.2">
      <c r="AF62707" s="12"/>
    </row>
    <row r="62708" spans="32:32" x14ac:dyDescent="0.2">
      <c r="AF62708" s="12"/>
    </row>
    <row r="62709" spans="32:32" x14ac:dyDescent="0.2">
      <c r="AF62709" s="12"/>
    </row>
    <row r="62710" spans="32:32" x14ac:dyDescent="0.2">
      <c r="AF62710" s="12"/>
    </row>
    <row r="62711" spans="32:32" x14ac:dyDescent="0.2">
      <c r="AF62711" s="12"/>
    </row>
    <row r="62712" spans="32:32" x14ac:dyDescent="0.2">
      <c r="AF62712" s="12"/>
    </row>
    <row r="62713" spans="32:32" x14ac:dyDescent="0.2">
      <c r="AF62713" s="12"/>
    </row>
    <row r="62714" spans="32:32" x14ac:dyDescent="0.2">
      <c r="AF62714" s="12"/>
    </row>
    <row r="62715" spans="32:32" x14ac:dyDescent="0.2">
      <c r="AF62715" s="12"/>
    </row>
    <row r="62716" spans="32:32" x14ac:dyDescent="0.2">
      <c r="AF62716" s="12"/>
    </row>
    <row r="62717" spans="32:32" x14ac:dyDescent="0.2">
      <c r="AF62717" s="12"/>
    </row>
    <row r="62718" spans="32:32" x14ac:dyDescent="0.2">
      <c r="AF62718" s="12"/>
    </row>
    <row r="62719" spans="32:32" x14ac:dyDescent="0.2">
      <c r="AF62719" s="12"/>
    </row>
    <row r="62720" spans="32:32" x14ac:dyDescent="0.2">
      <c r="AF62720" s="12"/>
    </row>
    <row r="62721" spans="32:32" x14ac:dyDescent="0.2">
      <c r="AF62721" s="12"/>
    </row>
    <row r="62722" spans="32:32" x14ac:dyDescent="0.2">
      <c r="AF62722" s="12"/>
    </row>
    <row r="62723" spans="32:32" x14ac:dyDescent="0.2">
      <c r="AF62723" s="12"/>
    </row>
    <row r="62724" spans="32:32" x14ac:dyDescent="0.2">
      <c r="AF62724" s="12"/>
    </row>
    <row r="62725" spans="32:32" x14ac:dyDescent="0.2">
      <c r="AF62725" s="12"/>
    </row>
    <row r="62726" spans="32:32" x14ac:dyDescent="0.2">
      <c r="AF62726" s="12"/>
    </row>
    <row r="62727" spans="32:32" x14ac:dyDescent="0.2">
      <c r="AF62727" s="12"/>
    </row>
    <row r="62728" spans="32:32" x14ac:dyDescent="0.2">
      <c r="AF62728" s="12"/>
    </row>
    <row r="62729" spans="32:32" x14ac:dyDescent="0.2">
      <c r="AF62729" s="12"/>
    </row>
    <row r="62730" spans="32:32" x14ac:dyDescent="0.2">
      <c r="AF62730" s="12"/>
    </row>
    <row r="62731" spans="32:32" x14ac:dyDescent="0.2">
      <c r="AF62731" s="12"/>
    </row>
    <row r="62732" spans="32:32" x14ac:dyDescent="0.2">
      <c r="AF62732" s="12"/>
    </row>
    <row r="62733" spans="32:32" x14ac:dyDescent="0.2">
      <c r="AF62733" s="12"/>
    </row>
    <row r="62734" spans="32:32" x14ac:dyDescent="0.2">
      <c r="AF62734" s="12"/>
    </row>
    <row r="62735" spans="32:32" x14ac:dyDescent="0.2">
      <c r="AF62735" s="12"/>
    </row>
    <row r="62736" spans="32:32" x14ac:dyDescent="0.2">
      <c r="AF62736" s="12"/>
    </row>
    <row r="62737" spans="32:32" x14ac:dyDescent="0.2">
      <c r="AF62737" s="12"/>
    </row>
    <row r="62738" spans="32:32" x14ac:dyDescent="0.2">
      <c r="AF62738" s="12"/>
    </row>
    <row r="62739" spans="32:32" x14ac:dyDescent="0.2">
      <c r="AF62739" s="12"/>
    </row>
    <row r="62740" spans="32:32" x14ac:dyDescent="0.2">
      <c r="AF62740" s="12"/>
    </row>
    <row r="62741" spans="32:32" x14ac:dyDescent="0.2">
      <c r="AF62741" s="12"/>
    </row>
    <row r="62742" spans="32:32" x14ac:dyDescent="0.2">
      <c r="AF62742" s="12"/>
    </row>
    <row r="62743" spans="32:32" x14ac:dyDescent="0.2">
      <c r="AF62743" s="12"/>
    </row>
    <row r="62744" spans="32:32" x14ac:dyDescent="0.2">
      <c r="AF62744" s="12"/>
    </row>
    <row r="62745" spans="32:32" x14ac:dyDescent="0.2">
      <c r="AF62745" s="12"/>
    </row>
    <row r="62746" spans="32:32" x14ac:dyDescent="0.2">
      <c r="AF62746" s="12"/>
    </row>
    <row r="62747" spans="32:32" x14ac:dyDescent="0.2">
      <c r="AF62747" s="12"/>
    </row>
    <row r="62748" spans="32:32" x14ac:dyDescent="0.2">
      <c r="AF62748" s="12"/>
    </row>
    <row r="62749" spans="32:32" x14ac:dyDescent="0.2">
      <c r="AF62749" s="12"/>
    </row>
    <row r="62750" spans="32:32" x14ac:dyDescent="0.2">
      <c r="AF62750" s="12"/>
    </row>
    <row r="62751" spans="32:32" x14ac:dyDescent="0.2">
      <c r="AF62751" s="12"/>
    </row>
    <row r="62752" spans="32:32" x14ac:dyDescent="0.2">
      <c r="AF62752" s="12"/>
    </row>
    <row r="62753" spans="32:32" x14ac:dyDescent="0.2">
      <c r="AF62753" s="12"/>
    </row>
    <row r="62754" spans="32:32" x14ac:dyDescent="0.2">
      <c r="AF62754" s="12"/>
    </row>
    <row r="62755" spans="32:32" x14ac:dyDescent="0.2">
      <c r="AF62755" s="12"/>
    </row>
    <row r="62756" spans="32:32" x14ac:dyDescent="0.2">
      <c r="AF62756" s="12"/>
    </row>
    <row r="62757" spans="32:32" x14ac:dyDescent="0.2">
      <c r="AF62757" s="12"/>
    </row>
    <row r="62758" spans="32:32" x14ac:dyDescent="0.2">
      <c r="AF62758" s="12"/>
    </row>
    <row r="62759" spans="32:32" x14ac:dyDescent="0.2">
      <c r="AF62759" s="12"/>
    </row>
    <row r="62760" spans="32:32" x14ac:dyDescent="0.2">
      <c r="AF62760" s="12"/>
    </row>
    <row r="62761" spans="32:32" x14ac:dyDescent="0.2">
      <c r="AF62761" s="12"/>
    </row>
    <row r="62762" spans="32:32" x14ac:dyDescent="0.2">
      <c r="AF62762" s="12"/>
    </row>
    <row r="62763" spans="32:32" x14ac:dyDescent="0.2">
      <c r="AF62763" s="12"/>
    </row>
    <row r="62764" spans="32:32" x14ac:dyDescent="0.2">
      <c r="AF62764" s="12"/>
    </row>
    <row r="62765" spans="32:32" x14ac:dyDescent="0.2">
      <c r="AF62765" s="12"/>
    </row>
    <row r="62766" spans="32:32" x14ac:dyDescent="0.2">
      <c r="AF62766" s="12"/>
    </row>
    <row r="62767" spans="32:32" x14ac:dyDescent="0.2">
      <c r="AF62767" s="12"/>
    </row>
    <row r="62768" spans="32:32" x14ac:dyDescent="0.2">
      <c r="AF62768" s="12"/>
    </row>
    <row r="62769" spans="32:32" x14ac:dyDescent="0.2">
      <c r="AF62769" s="12"/>
    </row>
    <row r="62770" spans="32:32" x14ac:dyDescent="0.2">
      <c r="AF62770" s="12"/>
    </row>
    <row r="62771" spans="32:32" x14ac:dyDescent="0.2">
      <c r="AF62771" s="12"/>
    </row>
    <row r="62772" spans="32:32" x14ac:dyDescent="0.2">
      <c r="AF62772" s="12"/>
    </row>
    <row r="62773" spans="32:32" x14ac:dyDescent="0.2">
      <c r="AF62773" s="12"/>
    </row>
    <row r="62774" spans="32:32" x14ac:dyDescent="0.2">
      <c r="AF62774" s="12"/>
    </row>
    <row r="62775" spans="32:32" x14ac:dyDescent="0.2">
      <c r="AF62775" s="12"/>
    </row>
    <row r="62776" spans="32:32" x14ac:dyDescent="0.2">
      <c r="AF62776" s="12"/>
    </row>
    <row r="62777" spans="32:32" x14ac:dyDescent="0.2">
      <c r="AF62777" s="12"/>
    </row>
    <row r="62778" spans="32:32" x14ac:dyDescent="0.2">
      <c r="AF62778" s="12"/>
    </row>
    <row r="62779" spans="32:32" x14ac:dyDescent="0.2">
      <c r="AF62779" s="12"/>
    </row>
    <row r="62780" spans="32:32" x14ac:dyDescent="0.2">
      <c r="AF62780" s="12"/>
    </row>
    <row r="62781" spans="32:32" x14ac:dyDescent="0.2">
      <c r="AF62781" s="12"/>
    </row>
    <row r="62782" spans="32:32" x14ac:dyDescent="0.2">
      <c r="AF62782" s="12"/>
    </row>
    <row r="62783" spans="32:32" x14ac:dyDescent="0.2">
      <c r="AF62783" s="12"/>
    </row>
    <row r="62784" spans="32:32" x14ac:dyDescent="0.2">
      <c r="AF62784" s="12"/>
    </row>
    <row r="62785" spans="32:32" x14ac:dyDescent="0.2">
      <c r="AF62785" s="12"/>
    </row>
    <row r="62786" spans="32:32" x14ac:dyDescent="0.2">
      <c r="AF62786" s="12"/>
    </row>
    <row r="62787" spans="32:32" x14ac:dyDescent="0.2">
      <c r="AF62787" s="12"/>
    </row>
    <row r="62788" spans="32:32" x14ac:dyDescent="0.2">
      <c r="AF62788" s="12"/>
    </row>
    <row r="62789" spans="32:32" x14ac:dyDescent="0.2">
      <c r="AF62789" s="12"/>
    </row>
    <row r="62790" spans="32:32" x14ac:dyDescent="0.2">
      <c r="AF62790" s="12"/>
    </row>
    <row r="62791" spans="32:32" x14ac:dyDescent="0.2">
      <c r="AF62791" s="12"/>
    </row>
    <row r="62792" spans="32:32" x14ac:dyDescent="0.2">
      <c r="AF62792" s="12"/>
    </row>
    <row r="62793" spans="32:32" x14ac:dyDescent="0.2">
      <c r="AF62793" s="12"/>
    </row>
    <row r="62794" spans="32:32" x14ac:dyDescent="0.2">
      <c r="AF62794" s="12"/>
    </row>
    <row r="62795" spans="32:32" x14ac:dyDescent="0.2">
      <c r="AF62795" s="12"/>
    </row>
    <row r="62796" spans="32:32" x14ac:dyDescent="0.2">
      <c r="AF62796" s="12"/>
    </row>
    <row r="62797" spans="32:32" x14ac:dyDescent="0.2">
      <c r="AF62797" s="12"/>
    </row>
    <row r="62798" spans="32:32" x14ac:dyDescent="0.2">
      <c r="AF62798" s="12"/>
    </row>
    <row r="62799" spans="32:32" x14ac:dyDescent="0.2">
      <c r="AF62799" s="12"/>
    </row>
    <row r="62800" spans="32:32" x14ac:dyDescent="0.2">
      <c r="AF62800" s="12"/>
    </row>
    <row r="62801" spans="32:32" x14ac:dyDescent="0.2">
      <c r="AF62801" s="12"/>
    </row>
    <row r="62802" spans="32:32" x14ac:dyDescent="0.2">
      <c r="AF62802" s="12"/>
    </row>
    <row r="62803" spans="32:32" x14ac:dyDescent="0.2">
      <c r="AF62803" s="12"/>
    </row>
    <row r="62804" spans="32:32" x14ac:dyDescent="0.2">
      <c r="AF62804" s="12"/>
    </row>
    <row r="62805" spans="32:32" x14ac:dyDescent="0.2">
      <c r="AF62805" s="12"/>
    </row>
    <row r="62806" spans="32:32" x14ac:dyDescent="0.2">
      <c r="AF62806" s="12"/>
    </row>
    <row r="62807" spans="32:32" x14ac:dyDescent="0.2">
      <c r="AF62807" s="12"/>
    </row>
    <row r="62808" spans="32:32" x14ac:dyDescent="0.2">
      <c r="AF62808" s="12"/>
    </row>
    <row r="62809" spans="32:32" x14ac:dyDescent="0.2">
      <c r="AF62809" s="12"/>
    </row>
    <row r="62810" spans="32:32" x14ac:dyDescent="0.2">
      <c r="AF62810" s="12"/>
    </row>
    <row r="62811" spans="32:32" x14ac:dyDescent="0.2">
      <c r="AF62811" s="12"/>
    </row>
    <row r="62812" spans="32:32" x14ac:dyDescent="0.2">
      <c r="AF62812" s="12"/>
    </row>
    <row r="62813" spans="32:32" x14ac:dyDescent="0.2">
      <c r="AF62813" s="12"/>
    </row>
    <row r="62814" spans="32:32" x14ac:dyDescent="0.2">
      <c r="AF62814" s="12"/>
    </row>
    <row r="62815" spans="32:32" x14ac:dyDescent="0.2">
      <c r="AF62815" s="12"/>
    </row>
    <row r="62816" spans="32:32" x14ac:dyDescent="0.2">
      <c r="AF62816" s="12"/>
    </row>
    <row r="62817" spans="32:32" x14ac:dyDescent="0.2">
      <c r="AF62817" s="12"/>
    </row>
    <row r="62818" spans="32:32" x14ac:dyDescent="0.2">
      <c r="AF62818" s="12"/>
    </row>
    <row r="62819" spans="32:32" x14ac:dyDescent="0.2">
      <c r="AF62819" s="12"/>
    </row>
    <row r="62820" spans="32:32" x14ac:dyDescent="0.2">
      <c r="AF62820" s="12"/>
    </row>
    <row r="62821" spans="32:32" x14ac:dyDescent="0.2">
      <c r="AF62821" s="12"/>
    </row>
    <row r="62822" spans="32:32" x14ac:dyDescent="0.2">
      <c r="AF62822" s="12"/>
    </row>
    <row r="62823" spans="32:32" x14ac:dyDescent="0.2">
      <c r="AF62823" s="12"/>
    </row>
    <row r="62824" spans="32:32" x14ac:dyDescent="0.2">
      <c r="AF62824" s="12"/>
    </row>
    <row r="62825" spans="32:32" x14ac:dyDescent="0.2">
      <c r="AF62825" s="12"/>
    </row>
    <row r="62826" spans="32:32" x14ac:dyDescent="0.2">
      <c r="AF62826" s="12"/>
    </row>
    <row r="62827" spans="32:32" x14ac:dyDescent="0.2">
      <c r="AF62827" s="12"/>
    </row>
    <row r="62828" spans="32:32" x14ac:dyDescent="0.2">
      <c r="AF62828" s="12"/>
    </row>
    <row r="62829" spans="32:32" x14ac:dyDescent="0.2">
      <c r="AF62829" s="12"/>
    </row>
    <row r="62830" spans="32:32" x14ac:dyDescent="0.2">
      <c r="AF62830" s="12"/>
    </row>
    <row r="62831" spans="32:32" x14ac:dyDescent="0.2">
      <c r="AF62831" s="12"/>
    </row>
    <row r="62832" spans="32:32" x14ac:dyDescent="0.2">
      <c r="AF62832" s="12"/>
    </row>
    <row r="62833" spans="32:32" x14ac:dyDescent="0.2">
      <c r="AF62833" s="12"/>
    </row>
    <row r="62834" spans="32:32" x14ac:dyDescent="0.2">
      <c r="AF62834" s="12"/>
    </row>
    <row r="62835" spans="32:32" x14ac:dyDescent="0.2">
      <c r="AF62835" s="12"/>
    </row>
    <row r="62836" spans="32:32" x14ac:dyDescent="0.2">
      <c r="AF62836" s="12"/>
    </row>
    <row r="62837" spans="32:32" x14ac:dyDescent="0.2">
      <c r="AF62837" s="12"/>
    </row>
    <row r="62838" spans="32:32" x14ac:dyDescent="0.2">
      <c r="AF62838" s="12"/>
    </row>
    <row r="62839" spans="32:32" x14ac:dyDescent="0.2">
      <c r="AF62839" s="12"/>
    </row>
    <row r="62840" spans="32:32" x14ac:dyDescent="0.2">
      <c r="AF62840" s="12"/>
    </row>
    <row r="62841" spans="32:32" x14ac:dyDescent="0.2">
      <c r="AF62841" s="12"/>
    </row>
    <row r="62842" spans="32:32" x14ac:dyDescent="0.2">
      <c r="AF62842" s="12"/>
    </row>
    <row r="62843" spans="32:32" x14ac:dyDescent="0.2">
      <c r="AF62843" s="12"/>
    </row>
    <row r="62844" spans="32:32" x14ac:dyDescent="0.2">
      <c r="AF62844" s="12"/>
    </row>
    <row r="62845" spans="32:32" x14ac:dyDescent="0.2">
      <c r="AF62845" s="12"/>
    </row>
    <row r="62846" spans="32:32" x14ac:dyDescent="0.2">
      <c r="AF62846" s="12"/>
    </row>
    <row r="62847" spans="32:32" x14ac:dyDescent="0.2">
      <c r="AF62847" s="12"/>
    </row>
    <row r="62848" spans="32:32" x14ac:dyDescent="0.2">
      <c r="AF62848" s="12"/>
    </row>
    <row r="62849" spans="32:32" x14ac:dyDescent="0.2">
      <c r="AF62849" s="12"/>
    </row>
    <row r="62850" spans="32:32" x14ac:dyDescent="0.2">
      <c r="AF62850" s="12"/>
    </row>
    <row r="62851" spans="32:32" x14ac:dyDescent="0.2">
      <c r="AF62851" s="12"/>
    </row>
    <row r="62852" spans="32:32" x14ac:dyDescent="0.2">
      <c r="AF62852" s="12"/>
    </row>
    <row r="62853" spans="32:32" x14ac:dyDescent="0.2">
      <c r="AF62853" s="12"/>
    </row>
    <row r="62854" spans="32:32" x14ac:dyDescent="0.2">
      <c r="AF62854" s="12"/>
    </row>
    <row r="62855" spans="32:32" x14ac:dyDescent="0.2">
      <c r="AF62855" s="12"/>
    </row>
    <row r="62856" spans="32:32" x14ac:dyDescent="0.2">
      <c r="AF62856" s="12"/>
    </row>
    <row r="62857" spans="32:32" x14ac:dyDescent="0.2">
      <c r="AF62857" s="12"/>
    </row>
    <row r="62858" spans="32:32" x14ac:dyDescent="0.2">
      <c r="AF62858" s="12"/>
    </row>
    <row r="62859" spans="32:32" x14ac:dyDescent="0.2">
      <c r="AF62859" s="12"/>
    </row>
    <row r="62860" spans="32:32" x14ac:dyDescent="0.2">
      <c r="AF62860" s="12"/>
    </row>
    <row r="62861" spans="32:32" x14ac:dyDescent="0.2">
      <c r="AF62861" s="12"/>
    </row>
    <row r="62862" spans="32:32" x14ac:dyDescent="0.2">
      <c r="AF62862" s="12"/>
    </row>
    <row r="62863" spans="32:32" x14ac:dyDescent="0.2">
      <c r="AF62863" s="12"/>
    </row>
    <row r="62864" spans="32:32" x14ac:dyDescent="0.2">
      <c r="AF62864" s="12"/>
    </row>
    <row r="62865" spans="32:32" x14ac:dyDescent="0.2">
      <c r="AF62865" s="12"/>
    </row>
    <row r="62866" spans="32:32" x14ac:dyDescent="0.2">
      <c r="AF62866" s="12"/>
    </row>
    <row r="62867" spans="32:32" x14ac:dyDescent="0.2">
      <c r="AF62867" s="12"/>
    </row>
    <row r="62868" spans="32:32" x14ac:dyDescent="0.2">
      <c r="AF62868" s="12"/>
    </row>
    <row r="62869" spans="32:32" x14ac:dyDescent="0.2">
      <c r="AF62869" s="12"/>
    </row>
    <row r="62870" spans="32:32" x14ac:dyDescent="0.2">
      <c r="AF62870" s="12"/>
    </row>
    <row r="62871" spans="32:32" x14ac:dyDescent="0.2">
      <c r="AF62871" s="12"/>
    </row>
    <row r="62872" spans="32:32" x14ac:dyDescent="0.2">
      <c r="AF62872" s="12"/>
    </row>
    <row r="62873" spans="32:32" x14ac:dyDescent="0.2">
      <c r="AF62873" s="12"/>
    </row>
    <row r="62874" spans="32:32" x14ac:dyDescent="0.2">
      <c r="AF62874" s="12"/>
    </row>
    <row r="62875" spans="32:32" x14ac:dyDescent="0.2">
      <c r="AF62875" s="12"/>
    </row>
    <row r="62876" spans="32:32" x14ac:dyDescent="0.2">
      <c r="AF62876" s="12"/>
    </row>
    <row r="62877" spans="32:32" x14ac:dyDescent="0.2">
      <c r="AF62877" s="12"/>
    </row>
    <row r="62878" spans="32:32" x14ac:dyDescent="0.2">
      <c r="AF62878" s="12"/>
    </row>
    <row r="62879" spans="32:32" x14ac:dyDescent="0.2">
      <c r="AF62879" s="12"/>
    </row>
    <row r="62880" spans="32:32" x14ac:dyDescent="0.2">
      <c r="AF62880" s="12"/>
    </row>
    <row r="62881" spans="32:32" x14ac:dyDescent="0.2">
      <c r="AF62881" s="12"/>
    </row>
    <row r="62882" spans="32:32" x14ac:dyDescent="0.2">
      <c r="AF62882" s="12"/>
    </row>
    <row r="62883" spans="32:32" x14ac:dyDescent="0.2">
      <c r="AF62883" s="12"/>
    </row>
    <row r="62884" spans="32:32" x14ac:dyDescent="0.2">
      <c r="AF62884" s="12"/>
    </row>
    <row r="62885" spans="32:32" x14ac:dyDescent="0.2">
      <c r="AF62885" s="12"/>
    </row>
    <row r="62886" spans="32:32" x14ac:dyDescent="0.2">
      <c r="AF62886" s="12"/>
    </row>
    <row r="62887" spans="32:32" x14ac:dyDescent="0.2">
      <c r="AF62887" s="12"/>
    </row>
    <row r="62888" spans="32:32" x14ac:dyDescent="0.2">
      <c r="AF62888" s="12"/>
    </row>
    <row r="62889" spans="32:32" x14ac:dyDescent="0.2">
      <c r="AF62889" s="12"/>
    </row>
    <row r="62890" spans="32:32" x14ac:dyDescent="0.2">
      <c r="AF62890" s="12"/>
    </row>
    <row r="62891" spans="32:32" x14ac:dyDescent="0.2">
      <c r="AF62891" s="12"/>
    </row>
    <row r="62892" spans="32:32" x14ac:dyDescent="0.2">
      <c r="AF62892" s="12"/>
    </row>
    <row r="62893" spans="32:32" x14ac:dyDescent="0.2">
      <c r="AF62893" s="12"/>
    </row>
    <row r="62894" spans="32:32" x14ac:dyDescent="0.2">
      <c r="AF62894" s="12"/>
    </row>
    <row r="62895" spans="32:32" x14ac:dyDescent="0.2">
      <c r="AF62895" s="12"/>
    </row>
    <row r="62896" spans="32:32" x14ac:dyDescent="0.2">
      <c r="AF62896" s="12"/>
    </row>
    <row r="62897" spans="32:32" x14ac:dyDescent="0.2">
      <c r="AF62897" s="12"/>
    </row>
    <row r="62898" spans="32:32" x14ac:dyDescent="0.2">
      <c r="AF62898" s="12"/>
    </row>
    <row r="62899" spans="32:32" x14ac:dyDescent="0.2">
      <c r="AF62899" s="12"/>
    </row>
    <row r="62900" spans="32:32" x14ac:dyDescent="0.2">
      <c r="AF62900" s="12"/>
    </row>
    <row r="62901" spans="32:32" x14ac:dyDescent="0.2">
      <c r="AF62901" s="12"/>
    </row>
    <row r="62902" spans="32:32" x14ac:dyDescent="0.2">
      <c r="AF62902" s="12"/>
    </row>
    <row r="62903" spans="32:32" x14ac:dyDescent="0.2">
      <c r="AF62903" s="12"/>
    </row>
    <row r="62904" spans="32:32" x14ac:dyDescent="0.2">
      <c r="AF62904" s="12"/>
    </row>
    <row r="62905" spans="32:32" x14ac:dyDescent="0.2">
      <c r="AF62905" s="12"/>
    </row>
    <row r="62906" spans="32:32" x14ac:dyDescent="0.2">
      <c r="AF62906" s="12"/>
    </row>
    <row r="62907" spans="32:32" x14ac:dyDescent="0.2">
      <c r="AF62907" s="12"/>
    </row>
    <row r="62908" spans="32:32" x14ac:dyDescent="0.2">
      <c r="AF62908" s="12"/>
    </row>
    <row r="62909" spans="32:32" x14ac:dyDescent="0.2">
      <c r="AF62909" s="12"/>
    </row>
    <row r="62910" spans="32:32" x14ac:dyDescent="0.2">
      <c r="AF62910" s="12"/>
    </row>
    <row r="62911" spans="32:32" x14ac:dyDescent="0.2">
      <c r="AF62911" s="12"/>
    </row>
    <row r="62912" spans="32:32" x14ac:dyDescent="0.2">
      <c r="AF62912" s="12"/>
    </row>
    <row r="62913" spans="32:32" x14ac:dyDescent="0.2">
      <c r="AF62913" s="12"/>
    </row>
    <row r="62914" spans="32:32" x14ac:dyDescent="0.2">
      <c r="AF62914" s="12"/>
    </row>
    <row r="62915" spans="32:32" x14ac:dyDescent="0.2">
      <c r="AF62915" s="12"/>
    </row>
    <row r="62916" spans="32:32" x14ac:dyDescent="0.2">
      <c r="AF62916" s="12"/>
    </row>
    <row r="62917" spans="32:32" x14ac:dyDescent="0.2">
      <c r="AF62917" s="12"/>
    </row>
    <row r="62918" spans="32:32" x14ac:dyDescent="0.2">
      <c r="AF62918" s="12"/>
    </row>
    <row r="62919" spans="32:32" x14ac:dyDescent="0.2">
      <c r="AF62919" s="12"/>
    </row>
    <row r="62920" spans="32:32" x14ac:dyDescent="0.2">
      <c r="AF62920" s="12"/>
    </row>
    <row r="62921" spans="32:32" x14ac:dyDescent="0.2">
      <c r="AF62921" s="12"/>
    </row>
    <row r="62922" spans="32:32" x14ac:dyDescent="0.2">
      <c r="AF62922" s="12"/>
    </row>
    <row r="62923" spans="32:32" x14ac:dyDescent="0.2">
      <c r="AF62923" s="12"/>
    </row>
    <row r="62924" spans="32:32" x14ac:dyDescent="0.2">
      <c r="AF62924" s="12"/>
    </row>
    <row r="62925" spans="32:32" x14ac:dyDescent="0.2">
      <c r="AF62925" s="12"/>
    </row>
    <row r="62926" spans="32:32" x14ac:dyDescent="0.2">
      <c r="AF62926" s="12"/>
    </row>
    <row r="62927" spans="32:32" x14ac:dyDescent="0.2">
      <c r="AF62927" s="12"/>
    </row>
    <row r="62928" spans="32:32" x14ac:dyDescent="0.2">
      <c r="AF62928" s="12"/>
    </row>
    <row r="62929" spans="32:32" x14ac:dyDescent="0.2">
      <c r="AF62929" s="12"/>
    </row>
    <row r="62930" spans="32:32" x14ac:dyDescent="0.2">
      <c r="AF62930" s="12"/>
    </row>
    <row r="62931" spans="32:32" x14ac:dyDescent="0.2">
      <c r="AF62931" s="12"/>
    </row>
    <row r="62932" spans="32:32" x14ac:dyDescent="0.2">
      <c r="AF62932" s="12"/>
    </row>
    <row r="62933" spans="32:32" x14ac:dyDescent="0.2">
      <c r="AF62933" s="12"/>
    </row>
    <row r="62934" spans="32:32" x14ac:dyDescent="0.2">
      <c r="AF62934" s="12"/>
    </row>
    <row r="62935" spans="32:32" x14ac:dyDescent="0.2">
      <c r="AF62935" s="12"/>
    </row>
    <row r="62936" spans="32:32" x14ac:dyDescent="0.2">
      <c r="AF62936" s="12"/>
    </row>
    <row r="62937" spans="32:32" x14ac:dyDescent="0.2">
      <c r="AF62937" s="12"/>
    </row>
    <row r="62938" spans="32:32" x14ac:dyDescent="0.2">
      <c r="AF62938" s="12"/>
    </row>
    <row r="62939" spans="32:32" x14ac:dyDescent="0.2">
      <c r="AF62939" s="12"/>
    </row>
    <row r="62940" spans="32:32" x14ac:dyDescent="0.2">
      <c r="AF62940" s="12"/>
    </row>
    <row r="62941" spans="32:32" x14ac:dyDescent="0.2">
      <c r="AF62941" s="12"/>
    </row>
    <row r="62942" spans="32:32" x14ac:dyDescent="0.2">
      <c r="AF62942" s="12"/>
    </row>
    <row r="62943" spans="32:32" x14ac:dyDescent="0.2">
      <c r="AF62943" s="12"/>
    </row>
    <row r="62944" spans="32:32" x14ac:dyDescent="0.2">
      <c r="AF62944" s="12"/>
    </row>
    <row r="62945" spans="32:32" x14ac:dyDescent="0.2">
      <c r="AF62945" s="12"/>
    </row>
    <row r="62946" spans="32:32" x14ac:dyDescent="0.2">
      <c r="AF62946" s="12"/>
    </row>
    <row r="62947" spans="32:32" x14ac:dyDescent="0.2">
      <c r="AF62947" s="12"/>
    </row>
    <row r="62948" spans="32:32" x14ac:dyDescent="0.2">
      <c r="AF62948" s="12"/>
    </row>
    <row r="62949" spans="32:32" x14ac:dyDescent="0.2">
      <c r="AF62949" s="12"/>
    </row>
    <row r="62950" spans="32:32" x14ac:dyDescent="0.2">
      <c r="AF62950" s="12"/>
    </row>
    <row r="62951" spans="32:32" x14ac:dyDescent="0.2">
      <c r="AF62951" s="12"/>
    </row>
    <row r="62952" spans="32:32" x14ac:dyDescent="0.2">
      <c r="AF62952" s="12"/>
    </row>
    <row r="62953" spans="32:32" x14ac:dyDescent="0.2">
      <c r="AF62953" s="12"/>
    </row>
    <row r="62954" spans="32:32" x14ac:dyDescent="0.2">
      <c r="AF62954" s="12"/>
    </row>
    <row r="62955" spans="32:32" x14ac:dyDescent="0.2">
      <c r="AF62955" s="12"/>
    </row>
    <row r="62956" spans="32:32" x14ac:dyDescent="0.2">
      <c r="AF62956" s="12"/>
    </row>
    <row r="62957" spans="32:32" x14ac:dyDescent="0.2">
      <c r="AF62957" s="12"/>
    </row>
    <row r="62958" spans="32:32" x14ac:dyDescent="0.2">
      <c r="AF62958" s="12"/>
    </row>
    <row r="62959" spans="32:32" x14ac:dyDescent="0.2">
      <c r="AF62959" s="12"/>
    </row>
    <row r="62960" spans="32:32" x14ac:dyDescent="0.2">
      <c r="AF62960" s="12"/>
    </row>
    <row r="62961" spans="32:32" x14ac:dyDescent="0.2">
      <c r="AF62961" s="12"/>
    </row>
    <row r="62962" spans="32:32" x14ac:dyDescent="0.2">
      <c r="AF62962" s="12"/>
    </row>
    <row r="62963" spans="32:32" x14ac:dyDescent="0.2">
      <c r="AF62963" s="12"/>
    </row>
    <row r="62964" spans="32:32" x14ac:dyDescent="0.2">
      <c r="AF62964" s="12"/>
    </row>
    <row r="62965" spans="32:32" x14ac:dyDescent="0.2">
      <c r="AF62965" s="12"/>
    </row>
    <row r="62966" spans="32:32" x14ac:dyDescent="0.2">
      <c r="AF62966" s="12"/>
    </row>
    <row r="62967" spans="32:32" x14ac:dyDescent="0.2">
      <c r="AF62967" s="12"/>
    </row>
    <row r="62968" spans="32:32" x14ac:dyDescent="0.2">
      <c r="AF62968" s="12"/>
    </row>
    <row r="62969" spans="32:32" x14ac:dyDescent="0.2">
      <c r="AF62969" s="12"/>
    </row>
    <row r="62970" spans="32:32" x14ac:dyDescent="0.2">
      <c r="AF62970" s="12"/>
    </row>
    <row r="62971" spans="32:32" x14ac:dyDescent="0.2">
      <c r="AF62971" s="12"/>
    </row>
    <row r="62972" spans="32:32" x14ac:dyDescent="0.2">
      <c r="AF62972" s="12"/>
    </row>
    <row r="62973" spans="32:32" x14ac:dyDescent="0.2">
      <c r="AF62973" s="12"/>
    </row>
    <row r="62974" spans="32:32" x14ac:dyDescent="0.2">
      <c r="AF62974" s="12"/>
    </row>
    <row r="62975" spans="32:32" x14ac:dyDescent="0.2">
      <c r="AF62975" s="12"/>
    </row>
    <row r="62976" spans="32:32" x14ac:dyDescent="0.2">
      <c r="AF62976" s="12"/>
    </row>
    <row r="62977" spans="32:32" x14ac:dyDescent="0.2">
      <c r="AF62977" s="12"/>
    </row>
    <row r="62978" spans="32:32" x14ac:dyDescent="0.2">
      <c r="AF62978" s="12"/>
    </row>
    <row r="62979" spans="32:32" x14ac:dyDescent="0.2">
      <c r="AF62979" s="12"/>
    </row>
    <row r="62980" spans="32:32" x14ac:dyDescent="0.2">
      <c r="AF62980" s="12"/>
    </row>
    <row r="62981" spans="32:32" x14ac:dyDescent="0.2">
      <c r="AF62981" s="12"/>
    </row>
    <row r="62982" spans="32:32" x14ac:dyDescent="0.2">
      <c r="AF62982" s="12"/>
    </row>
    <row r="62983" spans="32:32" x14ac:dyDescent="0.2">
      <c r="AF62983" s="12"/>
    </row>
    <row r="62984" spans="32:32" x14ac:dyDescent="0.2">
      <c r="AF62984" s="12"/>
    </row>
    <row r="62985" spans="32:32" x14ac:dyDescent="0.2">
      <c r="AF62985" s="12"/>
    </row>
    <row r="62986" spans="32:32" x14ac:dyDescent="0.2">
      <c r="AF62986" s="12"/>
    </row>
    <row r="62987" spans="32:32" x14ac:dyDescent="0.2">
      <c r="AF62987" s="12"/>
    </row>
    <row r="62988" spans="32:32" x14ac:dyDescent="0.2">
      <c r="AF62988" s="12"/>
    </row>
    <row r="62989" spans="32:32" x14ac:dyDescent="0.2">
      <c r="AF62989" s="12"/>
    </row>
    <row r="62990" spans="32:32" x14ac:dyDescent="0.2">
      <c r="AF62990" s="12"/>
    </row>
    <row r="62991" spans="32:32" x14ac:dyDescent="0.2">
      <c r="AF62991" s="12"/>
    </row>
    <row r="62992" spans="32:32" x14ac:dyDescent="0.2">
      <c r="AF62992" s="12"/>
    </row>
    <row r="62993" spans="32:32" x14ac:dyDescent="0.2">
      <c r="AF62993" s="12"/>
    </row>
    <row r="62994" spans="32:32" x14ac:dyDescent="0.2">
      <c r="AF62994" s="12"/>
    </row>
    <row r="62995" spans="32:32" x14ac:dyDescent="0.2">
      <c r="AF62995" s="12"/>
    </row>
    <row r="62996" spans="32:32" x14ac:dyDescent="0.2">
      <c r="AF62996" s="12"/>
    </row>
    <row r="62997" spans="32:32" x14ac:dyDescent="0.2">
      <c r="AF62997" s="12"/>
    </row>
    <row r="62998" spans="32:32" x14ac:dyDescent="0.2">
      <c r="AF62998" s="12"/>
    </row>
    <row r="62999" spans="32:32" x14ac:dyDescent="0.2">
      <c r="AF62999" s="12"/>
    </row>
    <row r="63000" spans="32:32" x14ac:dyDescent="0.2">
      <c r="AF63000" s="12"/>
    </row>
    <row r="63001" spans="32:32" x14ac:dyDescent="0.2">
      <c r="AF63001" s="12"/>
    </row>
    <row r="63002" spans="32:32" x14ac:dyDescent="0.2">
      <c r="AF63002" s="12"/>
    </row>
    <row r="63003" spans="32:32" x14ac:dyDescent="0.2">
      <c r="AF63003" s="12"/>
    </row>
    <row r="63004" spans="32:32" x14ac:dyDescent="0.2">
      <c r="AF63004" s="12"/>
    </row>
    <row r="63005" spans="32:32" x14ac:dyDescent="0.2">
      <c r="AF63005" s="12"/>
    </row>
    <row r="63006" spans="32:32" x14ac:dyDescent="0.2">
      <c r="AF63006" s="12"/>
    </row>
    <row r="63007" spans="32:32" x14ac:dyDescent="0.2">
      <c r="AF63007" s="12"/>
    </row>
    <row r="63008" spans="32:32" x14ac:dyDescent="0.2">
      <c r="AF63008" s="12"/>
    </row>
    <row r="63009" spans="32:32" x14ac:dyDescent="0.2">
      <c r="AF63009" s="12"/>
    </row>
    <row r="63010" spans="32:32" x14ac:dyDescent="0.2">
      <c r="AF63010" s="12"/>
    </row>
    <row r="63011" spans="32:32" x14ac:dyDescent="0.2">
      <c r="AF63011" s="12"/>
    </row>
    <row r="63012" spans="32:32" x14ac:dyDescent="0.2">
      <c r="AF63012" s="12"/>
    </row>
    <row r="63013" spans="32:32" x14ac:dyDescent="0.2">
      <c r="AF63013" s="12"/>
    </row>
    <row r="63014" spans="32:32" x14ac:dyDescent="0.2">
      <c r="AF63014" s="12"/>
    </row>
    <row r="63015" spans="32:32" x14ac:dyDescent="0.2">
      <c r="AF63015" s="12"/>
    </row>
    <row r="63016" spans="32:32" x14ac:dyDescent="0.2">
      <c r="AF63016" s="12"/>
    </row>
    <row r="63017" spans="32:32" x14ac:dyDescent="0.2">
      <c r="AF63017" s="12"/>
    </row>
    <row r="63018" spans="32:32" x14ac:dyDescent="0.2">
      <c r="AF63018" s="12"/>
    </row>
    <row r="63019" spans="32:32" x14ac:dyDescent="0.2">
      <c r="AF63019" s="12"/>
    </row>
    <row r="63020" spans="32:32" x14ac:dyDescent="0.2">
      <c r="AF63020" s="12"/>
    </row>
    <row r="63021" spans="32:32" x14ac:dyDescent="0.2">
      <c r="AF63021" s="12"/>
    </row>
    <row r="63022" spans="32:32" x14ac:dyDescent="0.2">
      <c r="AF63022" s="12"/>
    </row>
    <row r="63023" spans="32:32" x14ac:dyDescent="0.2">
      <c r="AF63023" s="12"/>
    </row>
    <row r="63024" spans="32:32" x14ac:dyDescent="0.2">
      <c r="AF63024" s="12"/>
    </row>
    <row r="63025" spans="32:32" x14ac:dyDescent="0.2">
      <c r="AF63025" s="12"/>
    </row>
    <row r="63026" spans="32:32" x14ac:dyDescent="0.2">
      <c r="AF63026" s="12"/>
    </row>
    <row r="63027" spans="32:32" x14ac:dyDescent="0.2">
      <c r="AF63027" s="12"/>
    </row>
    <row r="63028" spans="32:32" x14ac:dyDescent="0.2">
      <c r="AF63028" s="12"/>
    </row>
    <row r="63029" spans="32:32" x14ac:dyDescent="0.2">
      <c r="AF63029" s="12"/>
    </row>
    <row r="63030" spans="32:32" x14ac:dyDescent="0.2">
      <c r="AF63030" s="12"/>
    </row>
    <row r="63031" spans="32:32" x14ac:dyDescent="0.2">
      <c r="AF63031" s="12"/>
    </row>
    <row r="63032" spans="32:32" x14ac:dyDescent="0.2">
      <c r="AF63032" s="12"/>
    </row>
    <row r="63033" spans="32:32" x14ac:dyDescent="0.2">
      <c r="AF63033" s="12"/>
    </row>
    <row r="63034" spans="32:32" x14ac:dyDescent="0.2">
      <c r="AF63034" s="12"/>
    </row>
    <row r="63035" spans="32:32" x14ac:dyDescent="0.2">
      <c r="AF63035" s="12"/>
    </row>
    <row r="63036" spans="32:32" x14ac:dyDescent="0.2">
      <c r="AF63036" s="12"/>
    </row>
    <row r="63037" spans="32:32" x14ac:dyDescent="0.2">
      <c r="AF63037" s="12"/>
    </row>
    <row r="63038" spans="32:32" x14ac:dyDescent="0.2">
      <c r="AF63038" s="12"/>
    </row>
    <row r="63039" spans="32:32" x14ac:dyDescent="0.2">
      <c r="AF63039" s="12"/>
    </row>
    <row r="63040" spans="32:32" x14ac:dyDescent="0.2">
      <c r="AF63040" s="12"/>
    </row>
    <row r="63041" spans="32:32" x14ac:dyDescent="0.2">
      <c r="AF63041" s="12"/>
    </row>
    <row r="63042" spans="32:32" x14ac:dyDescent="0.2">
      <c r="AF63042" s="12"/>
    </row>
    <row r="63043" spans="32:32" x14ac:dyDescent="0.2">
      <c r="AF63043" s="12"/>
    </row>
    <row r="63044" spans="32:32" x14ac:dyDescent="0.2">
      <c r="AF63044" s="12"/>
    </row>
    <row r="63045" spans="32:32" x14ac:dyDescent="0.2">
      <c r="AF63045" s="12"/>
    </row>
    <row r="63046" spans="32:32" x14ac:dyDescent="0.2">
      <c r="AF63046" s="12"/>
    </row>
    <row r="63047" spans="32:32" x14ac:dyDescent="0.2">
      <c r="AF63047" s="12"/>
    </row>
    <row r="63048" spans="32:32" x14ac:dyDescent="0.2">
      <c r="AF63048" s="12"/>
    </row>
    <row r="63049" spans="32:32" x14ac:dyDescent="0.2">
      <c r="AF63049" s="12"/>
    </row>
    <row r="63050" spans="32:32" x14ac:dyDescent="0.2">
      <c r="AF63050" s="12"/>
    </row>
    <row r="63051" spans="32:32" x14ac:dyDescent="0.2">
      <c r="AF63051" s="12"/>
    </row>
    <row r="63052" spans="32:32" x14ac:dyDescent="0.2">
      <c r="AF63052" s="12"/>
    </row>
    <row r="63053" spans="32:32" x14ac:dyDescent="0.2">
      <c r="AF63053" s="12"/>
    </row>
    <row r="63054" spans="32:32" x14ac:dyDescent="0.2">
      <c r="AF63054" s="12"/>
    </row>
    <row r="63055" spans="32:32" x14ac:dyDescent="0.2">
      <c r="AF63055" s="12"/>
    </row>
    <row r="63056" spans="32:32" x14ac:dyDescent="0.2">
      <c r="AF63056" s="12"/>
    </row>
    <row r="63057" spans="32:32" x14ac:dyDescent="0.2">
      <c r="AF63057" s="12"/>
    </row>
    <row r="63058" spans="32:32" x14ac:dyDescent="0.2">
      <c r="AF63058" s="12"/>
    </row>
    <row r="63059" spans="32:32" x14ac:dyDescent="0.2">
      <c r="AF63059" s="12"/>
    </row>
    <row r="63060" spans="32:32" x14ac:dyDescent="0.2">
      <c r="AF63060" s="12"/>
    </row>
    <row r="63061" spans="32:32" x14ac:dyDescent="0.2">
      <c r="AF63061" s="12"/>
    </row>
    <row r="63062" spans="32:32" x14ac:dyDescent="0.2">
      <c r="AF63062" s="12"/>
    </row>
    <row r="63063" spans="32:32" x14ac:dyDescent="0.2">
      <c r="AF63063" s="12"/>
    </row>
    <row r="63064" spans="32:32" x14ac:dyDescent="0.2">
      <c r="AF63064" s="12"/>
    </row>
    <row r="63065" spans="32:32" x14ac:dyDescent="0.2">
      <c r="AF63065" s="12"/>
    </row>
    <row r="63066" spans="32:32" x14ac:dyDescent="0.2">
      <c r="AF63066" s="12"/>
    </row>
    <row r="63067" spans="32:32" x14ac:dyDescent="0.2">
      <c r="AF63067" s="12"/>
    </row>
    <row r="63068" spans="32:32" x14ac:dyDescent="0.2">
      <c r="AF63068" s="12"/>
    </row>
    <row r="63069" spans="32:32" x14ac:dyDescent="0.2">
      <c r="AF63069" s="12"/>
    </row>
    <row r="63070" spans="32:32" x14ac:dyDescent="0.2">
      <c r="AF63070" s="12"/>
    </row>
    <row r="63071" spans="32:32" x14ac:dyDescent="0.2">
      <c r="AF63071" s="12"/>
    </row>
    <row r="63072" spans="32:32" x14ac:dyDescent="0.2">
      <c r="AF63072" s="12"/>
    </row>
    <row r="63073" spans="32:32" x14ac:dyDescent="0.2">
      <c r="AF63073" s="12"/>
    </row>
    <row r="63074" spans="32:32" x14ac:dyDescent="0.2">
      <c r="AF63074" s="12"/>
    </row>
    <row r="63075" spans="32:32" x14ac:dyDescent="0.2">
      <c r="AF63075" s="12"/>
    </row>
    <row r="63076" spans="32:32" x14ac:dyDescent="0.2">
      <c r="AF63076" s="12"/>
    </row>
    <row r="63077" spans="32:32" x14ac:dyDescent="0.2">
      <c r="AF63077" s="12"/>
    </row>
    <row r="63078" spans="32:32" x14ac:dyDescent="0.2">
      <c r="AF63078" s="12"/>
    </row>
    <row r="63079" spans="32:32" x14ac:dyDescent="0.2">
      <c r="AF63079" s="12"/>
    </row>
    <row r="63080" spans="32:32" x14ac:dyDescent="0.2">
      <c r="AF63080" s="12"/>
    </row>
    <row r="63081" spans="32:32" x14ac:dyDescent="0.2">
      <c r="AF63081" s="12"/>
    </row>
    <row r="63082" spans="32:32" x14ac:dyDescent="0.2">
      <c r="AF63082" s="12"/>
    </row>
    <row r="63083" spans="32:32" x14ac:dyDescent="0.2">
      <c r="AF63083" s="12"/>
    </row>
    <row r="63084" spans="32:32" x14ac:dyDescent="0.2">
      <c r="AF63084" s="12"/>
    </row>
    <row r="63085" spans="32:32" x14ac:dyDescent="0.2">
      <c r="AF63085" s="12"/>
    </row>
    <row r="63086" spans="32:32" x14ac:dyDescent="0.2">
      <c r="AF63086" s="12"/>
    </row>
    <row r="63087" spans="32:32" x14ac:dyDescent="0.2">
      <c r="AF63087" s="12"/>
    </row>
    <row r="63088" spans="32:32" x14ac:dyDescent="0.2">
      <c r="AF63088" s="12"/>
    </row>
    <row r="63089" spans="32:32" x14ac:dyDescent="0.2">
      <c r="AF63089" s="12"/>
    </row>
    <row r="63090" spans="32:32" x14ac:dyDescent="0.2">
      <c r="AF63090" s="12"/>
    </row>
    <row r="63091" spans="32:32" x14ac:dyDescent="0.2">
      <c r="AF63091" s="12"/>
    </row>
    <row r="63092" spans="32:32" x14ac:dyDescent="0.2">
      <c r="AF63092" s="12"/>
    </row>
    <row r="63093" spans="32:32" x14ac:dyDescent="0.2">
      <c r="AF63093" s="12"/>
    </row>
    <row r="63094" spans="32:32" x14ac:dyDescent="0.2">
      <c r="AF63094" s="12"/>
    </row>
    <row r="63095" spans="32:32" x14ac:dyDescent="0.2">
      <c r="AF63095" s="12"/>
    </row>
    <row r="63096" spans="32:32" x14ac:dyDescent="0.2">
      <c r="AF63096" s="12"/>
    </row>
    <row r="63097" spans="32:32" x14ac:dyDescent="0.2">
      <c r="AF63097" s="12"/>
    </row>
    <row r="63098" spans="32:32" x14ac:dyDescent="0.2">
      <c r="AF63098" s="12"/>
    </row>
    <row r="63099" spans="32:32" x14ac:dyDescent="0.2">
      <c r="AF63099" s="12"/>
    </row>
    <row r="63100" spans="32:32" x14ac:dyDescent="0.2">
      <c r="AF63100" s="12"/>
    </row>
    <row r="63101" spans="32:32" x14ac:dyDescent="0.2">
      <c r="AF63101" s="12"/>
    </row>
    <row r="63102" spans="32:32" x14ac:dyDescent="0.2">
      <c r="AF63102" s="12"/>
    </row>
    <row r="63103" spans="32:32" x14ac:dyDescent="0.2">
      <c r="AF63103" s="12"/>
    </row>
    <row r="63104" spans="32:32" x14ac:dyDescent="0.2">
      <c r="AF63104" s="12"/>
    </row>
    <row r="63105" spans="32:32" x14ac:dyDescent="0.2">
      <c r="AF63105" s="12"/>
    </row>
    <row r="63106" spans="32:32" x14ac:dyDescent="0.2">
      <c r="AF63106" s="12"/>
    </row>
    <row r="63107" spans="32:32" x14ac:dyDescent="0.2">
      <c r="AF63107" s="12"/>
    </row>
    <row r="63108" spans="32:32" x14ac:dyDescent="0.2">
      <c r="AF63108" s="12"/>
    </row>
    <row r="63109" spans="32:32" x14ac:dyDescent="0.2">
      <c r="AF63109" s="12"/>
    </row>
    <row r="63110" spans="32:32" x14ac:dyDescent="0.2">
      <c r="AF63110" s="12"/>
    </row>
    <row r="63111" spans="32:32" x14ac:dyDescent="0.2">
      <c r="AF63111" s="12"/>
    </row>
    <row r="63112" spans="32:32" x14ac:dyDescent="0.2">
      <c r="AF63112" s="12"/>
    </row>
    <row r="63113" spans="32:32" x14ac:dyDescent="0.2">
      <c r="AF63113" s="12"/>
    </row>
    <row r="63114" spans="32:32" x14ac:dyDescent="0.2">
      <c r="AF63114" s="12"/>
    </row>
    <row r="63115" spans="32:32" x14ac:dyDescent="0.2">
      <c r="AF63115" s="12"/>
    </row>
    <row r="63116" spans="32:32" x14ac:dyDescent="0.2">
      <c r="AF63116" s="12"/>
    </row>
    <row r="63117" spans="32:32" x14ac:dyDescent="0.2">
      <c r="AF63117" s="12"/>
    </row>
    <row r="63118" spans="32:32" x14ac:dyDescent="0.2">
      <c r="AF63118" s="12"/>
    </row>
    <row r="63119" spans="32:32" x14ac:dyDescent="0.2">
      <c r="AF63119" s="12"/>
    </row>
    <row r="63120" spans="32:32" x14ac:dyDescent="0.2">
      <c r="AF63120" s="12"/>
    </row>
    <row r="63121" spans="32:32" x14ac:dyDescent="0.2">
      <c r="AF63121" s="12"/>
    </row>
    <row r="63122" spans="32:32" x14ac:dyDescent="0.2">
      <c r="AF63122" s="12"/>
    </row>
    <row r="63123" spans="32:32" x14ac:dyDescent="0.2">
      <c r="AF63123" s="12"/>
    </row>
    <row r="63124" spans="32:32" x14ac:dyDescent="0.2">
      <c r="AF63124" s="12"/>
    </row>
    <row r="63125" spans="32:32" x14ac:dyDescent="0.2">
      <c r="AF63125" s="12"/>
    </row>
    <row r="63126" spans="32:32" x14ac:dyDescent="0.2">
      <c r="AF63126" s="12"/>
    </row>
    <row r="63127" spans="32:32" x14ac:dyDescent="0.2">
      <c r="AF63127" s="12"/>
    </row>
    <row r="63128" spans="32:32" x14ac:dyDescent="0.2">
      <c r="AF63128" s="12"/>
    </row>
    <row r="63129" spans="32:32" x14ac:dyDescent="0.2">
      <c r="AF63129" s="12"/>
    </row>
    <row r="63130" spans="32:32" x14ac:dyDescent="0.2">
      <c r="AF63130" s="12"/>
    </row>
    <row r="63131" spans="32:32" x14ac:dyDescent="0.2">
      <c r="AF63131" s="12"/>
    </row>
    <row r="63132" spans="32:32" x14ac:dyDescent="0.2">
      <c r="AF63132" s="12"/>
    </row>
    <row r="63133" spans="32:32" x14ac:dyDescent="0.2">
      <c r="AF63133" s="12"/>
    </row>
    <row r="63134" spans="32:32" x14ac:dyDescent="0.2">
      <c r="AF63134" s="12"/>
    </row>
    <row r="63135" spans="32:32" x14ac:dyDescent="0.2">
      <c r="AF63135" s="12"/>
    </row>
    <row r="63136" spans="32:32" x14ac:dyDescent="0.2">
      <c r="AF63136" s="12"/>
    </row>
    <row r="63137" spans="32:32" x14ac:dyDescent="0.2">
      <c r="AF63137" s="12"/>
    </row>
    <row r="63138" spans="32:32" x14ac:dyDescent="0.2">
      <c r="AF63138" s="12"/>
    </row>
    <row r="63139" spans="32:32" x14ac:dyDescent="0.2">
      <c r="AF63139" s="12"/>
    </row>
    <row r="63140" spans="32:32" x14ac:dyDescent="0.2">
      <c r="AF63140" s="12"/>
    </row>
    <row r="63141" spans="32:32" x14ac:dyDescent="0.2">
      <c r="AF63141" s="12"/>
    </row>
    <row r="63142" spans="32:32" x14ac:dyDescent="0.2">
      <c r="AF63142" s="12"/>
    </row>
    <row r="63143" spans="32:32" x14ac:dyDescent="0.2">
      <c r="AF63143" s="12"/>
    </row>
    <row r="63144" spans="32:32" x14ac:dyDescent="0.2">
      <c r="AF63144" s="12"/>
    </row>
    <row r="63145" spans="32:32" x14ac:dyDescent="0.2">
      <c r="AF63145" s="12"/>
    </row>
    <row r="63146" spans="32:32" x14ac:dyDescent="0.2">
      <c r="AF63146" s="12"/>
    </row>
    <row r="63147" spans="32:32" x14ac:dyDescent="0.2">
      <c r="AF63147" s="12"/>
    </row>
    <row r="63148" spans="32:32" x14ac:dyDescent="0.2">
      <c r="AF63148" s="12"/>
    </row>
    <row r="63149" spans="32:32" x14ac:dyDescent="0.2">
      <c r="AF63149" s="12"/>
    </row>
    <row r="63150" spans="32:32" x14ac:dyDescent="0.2">
      <c r="AF63150" s="12"/>
    </row>
    <row r="63151" spans="32:32" x14ac:dyDescent="0.2">
      <c r="AF63151" s="12"/>
    </row>
    <row r="63152" spans="32:32" x14ac:dyDescent="0.2">
      <c r="AF63152" s="12"/>
    </row>
    <row r="63153" spans="32:32" x14ac:dyDescent="0.2">
      <c r="AF63153" s="12"/>
    </row>
    <row r="63154" spans="32:32" x14ac:dyDescent="0.2">
      <c r="AF63154" s="12"/>
    </row>
    <row r="63155" spans="32:32" x14ac:dyDescent="0.2">
      <c r="AF63155" s="12"/>
    </row>
    <row r="63156" spans="32:32" x14ac:dyDescent="0.2">
      <c r="AF63156" s="12"/>
    </row>
    <row r="63157" spans="32:32" x14ac:dyDescent="0.2">
      <c r="AF63157" s="12"/>
    </row>
    <row r="63158" spans="32:32" x14ac:dyDescent="0.2">
      <c r="AF63158" s="12"/>
    </row>
    <row r="63159" spans="32:32" x14ac:dyDescent="0.2">
      <c r="AF63159" s="12"/>
    </row>
    <row r="63160" spans="32:32" x14ac:dyDescent="0.2">
      <c r="AF63160" s="12"/>
    </row>
    <row r="63161" spans="32:32" x14ac:dyDescent="0.2">
      <c r="AF63161" s="12"/>
    </row>
    <row r="63162" spans="32:32" x14ac:dyDescent="0.2">
      <c r="AF63162" s="12"/>
    </row>
    <row r="63163" spans="32:32" x14ac:dyDescent="0.2">
      <c r="AF63163" s="12"/>
    </row>
    <row r="63164" spans="32:32" x14ac:dyDescent="0.2">
      <c r="AF63164" s="12"/>
    </row>
    <row r="63165" spans="32:32" x14ac:dyDescent="0.2">
      <c r="AF63165" s="12"/>
    </row>
    <row r="63166" spans="32:32" x14ac:dyDescent="0.2">
      <c r="AF63166" s="12"/>
    </row>
    <row r="63167" spans="32:32" x14ac:dyDescent="0.2">
      <c r="AF63167" s="12"/>
    </row>
    <row r="63168" spans="32:32" x14ac:dyDescent="0.2">
      <c r="AF63168" s="12"/>
    </row>
    <row r="63169" spans="32:32" x14ac:dyDescent="0.2">
      <c r="AF63169" s="12"/>
    </row>
    <row r="63170" spans="32:32" x14ac:dyDescent="0.2">
      <c r="AF63170" s="12"/>
    </row>
    <row r="63171" spans="32:32" x14ac:dyDescent="0.2">
      <c r="AF63171" s="12"/>
    </row>
    <row r="63172" spans="32:32" x14ac:dyDescent="0.2">
      <c r="AF63172" s="12"/>
    </row>
    <row r="63173" spans="32:32" x14ac:dyDescent="0.2">
      <c r="AF63173" s="12"/>
    </row>
    <row r="63174" spans="32:32" x14ac:dyDescent="0.2">
      <c r="AF63174" s="12"/>
    </row>
    <row r="63175" spans="32:32" x14ac:dyDescent="0.2">
      <c r="AF63175" s="12"/>
    </row>
    <row r="63176" spans="32:32" x14ac:dyDescent="0.2">
      <c r="AF63176" s="12"/>
    </row>
    <row r="63177" spans="32:32" x14ac:dyDescent="0.2">
      <c r="AF63177" s="12"/>
    </row>
    <row r="63178" spans="32:32" x14ac:dyDescent="0.2">
      <c r="AF63178" s="12"/>
    </row>
    <row r="63179" spans="32:32" x14ac:dyDescent="0.2">
      <c r="AF63179" s="12"/>
    </row>
    <row r="63180" spans="32:32" x14ac:dyDescent="0.2">
      <c r="AF63180" s="12"/>
    </row>
    <row r="63181" spans="32:32" x14ac:dyDescent="0.2">
      <c r="AF63181" s="12"/>
    </row>
    <row r="63182" spans="32:32" x14ac:dyDescent="0.2">
      <c r="AF63182" s="12"/>
    </row>
    <row r="63183" spans="32:32" x14ac:dyDescent="0.2">
      <c r="AF63183" s="12"/>
    </row>
    <row r="63184" spans="32:32" x14ac:dyDescent="0.2">
      <c r="AF63184" s="12"/>
    </row>
    <row r="63185" spans="32:32" x14ac:dyDescent="0.2">
      <c r="AF63185" s="12"/>
    </row>
    <row r="63186" spans="32:32" x14ac:dyDescent="0.2">
      <c r="AF63186" s="12"/>
    </row>
    <row r="63187" spans="32:32" x14ac:dyDescent="0.2">
      <c r="AF63187" s="12"/>
    </row>
    <row r="63188" spans="32:32" x14ac:dyDescent="0.2">
      <c r="AF63188" s="12"/>
    </row>
    <row r="63189" spans="32:32" x14ac:dyDescent="0.2">
      <c r="AF63189" s="12"/>
    </row>
    <row r="63190" spans="32:32" x14ac:dyDescent="0.2">
      <c r="AF63190" s="12"/>
    </row>
    <row r="63191" spans="32:32" x14ac:dyDescent="0.2">
      <c r="AF63191" s="12"/>
    </row>
    <row r="63192" spans="32:32" x14ac:dyDescent="0.2">
      <c r="AF63192" s="12"/>
    </row>
    <row r="63193" spans="32:32" x14ac:dyDescent="0.2">
      <c r="AF63193" s="12"/>
    </row>
    <row r="63194" spans="32:32" x14ac:dyDescent="0.2">
      <c r="AF63194" s="12"/>
    </row>
    <row r="63195" spans="32:32" x14ac:dyDescent="0.2">
      <c r="AF63195" s="12"/>
    </row>
    <row r="63196" spans="32:32" x14ac:dyDescent="0.2">
      <c r="AF63196" s="12"/>
    </row>
    <row r="63197" spans="32:32" x14ac:dyDescent="0.2">
      <c r="AF63197" s="12"/>
    </row>
    <row r="63198" spans="32:32" x14ac:dyDescent="0.2">
      <c r="AF63198" s="12"/>
    </row>
    <row r="63199" spans="32:32" x14ac:dyDescent="0.2">
      <c r="AF63199" s="12"/>
    </row>
    <row r="63200" spans="32:32" x14ac:dyDescent="0.2">
      <c r="AF63200" s="12"/>
    </row>
    <row r="63201" spans="32:32" x14ac:dyDescent="0.2">
      <c r="AF63201" s="12"/>
    </row>
    <row r="63202" spans="32:32" x14ac:dyDescent="0.2">
      <c r="AF63202" s="12"/>
    </row>
    <row r="63203" spans="32:32" x14ac:dyDescent="0.2">
      <c r="AF63203" s="12"/>
    </row>
    <row r="63204" spans="32:32" x14ac:dyDescent="0.2">
      <c r="AF63204" s="12"/>
    </row>
    <row r="63205" spans="32:32" x14ac:dyDescent="0.2">
      <c r="AF63205" s="12"/>
    </row>
    <row r="63206" spans="32:32" x14ac:dyDescent="0.2">
      <c r="AF63206" s="12"/>
    </row>
    <row r="63207" spans="32:32" x14ac:dyDescent="0.2">
      <c r="AF63207" s="12"/>
    </row>
    <row r="63208" spans="32:32" x14ac:dyDescent="0.2">
      <c r="AF63208" s="12"/>
    </row>
    <row r="63209" spans="32:32" x14ac:dyDescent="0.2">
      <c r="AF63209" s="12"/>
    </row>
    <row r="63210" spans="32:32" x14ac:dyDescent="0.2">
      <c r="AF63210" s="12"/>
    </row>
    <row r="63211" spans="32:32" x14ac:dyDescent="0.2">
      <c r="AF63211" s="12"/>
    </row>
    <row r="63212" spans="32:32" x14ac:dyDescent="0.2">
      <c r="AF63212" s="12"/>
    </row>
    <row r="63213" spans="32:32" x14ac:dyDescent="0.2">
      <c r="AF63213" s="12"/>
    </row>
    <row r="63214" spans="32:32" x14ac:dyDescent="0.2">
      <c r="AF63214" s="12"/>
    </row>
    <row r="63215" spans="32:32" x14ac:dyDescent="0.2">
      <c r="AF63215" s="12"/>
    </row>
    <row r="63216" spans="32:32" x14ac:dyDescent="0.2">
      <c r="AF63216" s="12"/>
    </row>
    <row r="63217" spans="32:32" x14ac:dyDescent="0.2">
      <c r="AF63217" s="12"/>
    </row>
    <row r="63218" spans="32:32" x14ac:dyDescent="0.2">
      <c r="AF63218" s="12"/>
    </row>
    <row r="63219" spans="32:32" x14ac:dyDescent="0.2">
      <c r="AF63219" s="12"/>
    </row>
    <row r="63220" spans="32:32" x14ac:dyDescent="0.2">
      <c r="AF63220" s="12"/>
    </row>
    <row r="63221" spans="32:32" x14ac:dyDescent="0.2">
      <c r="AF63221" s="12"/>
    </row>
    <row r="63222" spans="32:32" x14ac:dyDescent="0.2">
      <c r="AF63222" s="12"/>
    </row>
    <row r="63223" spans="32:32" x14ac:dyDescent="0.2">
      <c r="AF63223" s="12"/>
    </row>
    <row r="63224" spans="32:32" x14ac:dyDescent="0.2">
      <c r="AF63224" s="12"/>
    </row>
    <row r="63225" spans="32:32" x14ac:dyDescent="0.2">
      <c r="AF63225" s="12"/>
    </row>
    <row r="63226" spans="32:32" x14ac:dyDescent="0.2">
      <c r="AF63226" s="12"/>
    </row>
    <row r="63227" spans="32:32" x14ac:dyDescent="0.2">
      <c r="AF63227" s="12"/>
    </row>
    <row r="63228" spans="32:32" x14ac:dyDescent="0.2">
      <c r="AF63228" s="12"/>
    </row>
    <row r="63229" spans="32:32" x14ac:dyDescent="0.2">
      <c r="AF63229" s="12"/>
    </row>
    <row r="63230" spans="32:32" x14ac:dyDescent="0.2">
      <c r="AF63230" s="12"/>
    </row>
    <row r="63231" spans="32:32" x14ac:dyDescent="0.2">
      <c r="AF63231" s="12"/>
    </row>
    <row r="63232" spans="32:32" x14ac:dyDescent="0.2">
      <c r="AF63232" s="12"/>
    </row>
    <row r="63233" spans="32:32" x14ac:dyDescent="0.2">
      <c r="AF63233" s="12"/>
    </row>
    <row r="63234" spans="32:32" x14ac:dyDescent="0.2">
      <c r="AF63234" s="12"/>
    </row>
    <row r="63235" spans="32:32" x14ac:dyDescent="0.2">
      <c r="AF63235" s="12"/>
    </row>
    <row r="63236" spans="32:32" x14ac:dyDescent="0.2">
      <c r="AF63236" s="12"/>
    </row>
    <row r="63237" spans="32:32" x14ac:dyDescent="0.2">
      <c r="AF63237" s="12"/>
    </row>
    <row r="63238" spans="32:32" x14ac:dyDescent="0.2">
      <c r="AF63238" s="12"/>
    </row>
    <row r="63239" spans="32:32" x14ac:dyDescent="0.2">
      <c r="AF63239" s="12"/>
    </row>
    <row r="63240" spans="32:32" x14ac:dyDescent="0.2">
      <c r="AF63240" s="12"/>
    </row>
    <row r="63241" spans="32:32" x14ac:dyDescent="0.2">
      <c r="AF63241" s="12"/>
    </row>
    <row r="63242" spans="32:32" x14ac:dyDescent="0.2">
      <c r="AF63242" s="12"/>
    </row>
    <row r="63243" spans="32:32" x14ac:dyDescent="0.2">
      <c r="AF63243" s="12"/>
    </row>
    <row r="63244" spans="32:32" x14ac:dyDescent="0.2">
      <c r="AF63244" s="12"/>
    </row>
    <row r="63245" spans="32:32" x14ac:dyDescent="0.2">
      <c r="AF63245" s="12"/>
    </row>
    <row r="63246" spans="32:32" x14ac:dyDescent="0.2">
      <c r="AF63246" s="12"/>
    </row>
    <row r="63247" spans="32:32" x14ac:dyDescent="0.2">
      <c r="AF63247" s="12"/>
    </row>
    <row r="63248" spans="32:32" x14ac:dyDescent="0.2">
      <c r="AF63248" s="12"/>
    </row>
    <row r="63249" spans="32:32" x14ac:dyDescent="0.2">
      <c r="AF63249" s="12"/>
    </row>
    <row r="63250" spans="32:32" x14ac:dyDescent="0.2">
      <c r="AF63250" s="12"/>
    </row>
    <row r="63251" spans="32:32" x14ac:dyDescent="0.2">
      <c r="AF63251" s="12"/>
    </row>
    <row r="63252" spans="32:32" x14ac:dyDescent="0.2">
      <c r="AF63252" s="12"/>
    </row>
    <row r="63253" spans="32:32" x14ac:dyDescent="0.2">
      <c r="AF63253" s="12"/>
    </row>
    <row r="63254" spans="32:32" x14ac:dyDescent="0.2">
      <c r="AF63254" s="12"/>
    </row>
    <row r="63255" spans="32:32" x14ac:dyDescent="0.2">
      <c r="AF63255" s="12"/>
    </row>
    <row r="63256" spans="32:32" x14ac:dyDescent="0.2">
      <c r="AF63256" s="12"/>
    </row>
    <row r="63257" spans="32:32" x14ac:dyDescent="0.2">
      <c r="AF63257" s="12"/>
    </row>
    <row r="63258" spans="32:32" x14ac:dyDescent="0.2">
      <c r="AF63258" s="12"/>
    </row>
    <row r="63259" spans="32:32" x14ac:dyDescent="0.2">
      <c r="AF63259" s="12"/>
    </row>
    <row r="63260" spans="32:32" x14ac:dyDescent="0.2">
      <c r="AF63260" s="12"/>
    </row>
    <row r="63261" spans="32:32" x14ac:dyDescent="0.2">
      <c r="AF63261" s="12"/>
    </row>
    <row r="63262" spans="32:32" x14ac:dyDescent="0.2">
      <c r="AF63262" s="12"/>
    </row>
    <row r="63263" spans="32:32" x14ac:dyDescent="0.2">
      <c r="AF63263" s="12"/>
    </row>
    <row r="63264" spans="32:32" x14ac:dyDescent="0.2">
      <c r="AF63264" s="12"/>
    </row>
    <row r="63265" spans="32:32" x14ac:dyDescent="0.2">
      <c r="AF63265" s="12"/>
    </row>
    <row r="63266" spans="32:32" x14ac:dyDescent="0.2">
      <c r="AF63266" s="12"/>
    </row>
    <row r="63267" spans="32:32" x14ac:dyDescent="0.2">
      <c r="AF63267" s="12"/>
    </row>
    <row r="63268" spans="32:32" x14ac:dyDescent="0.2">
      <c r="AF63268" s="12"/>
    </row>
    <row r="63269" spans="32:32" x14ac:dyDescent="0.2">
      <c r="AF63269" s="12"/>
    </row>
    <row r="63270" spans="32:32" x14ac:dyDescent="0.2">
      <c r="AF63270" s="12"/>
    </row>
    <row r="63271" spans="32:32" x14ac:dyDescent="0.2">
      <c r="AF63271" s="12"/>
    </row>
    <row r="63272" spans="32:32" x14ac:dyDescent="0.2">
      <c r="AF63272" s="12"/>
    </row>
    <row r="63273" spans="32:32" x14ac:dyDescent="0.2">
      <c r="AF63273" s="12"/>
    </row>
    <row r="63274" spans="32:32" x14ac:dyDescent="0.2">
      <c r="AF63274" s="12"/>
    </row>
    <row r="63275" spans="32:32" x14ac:dyDescent="0.2">
      <c r="AF63275" s="12"/>
    </row>
    <row r="63276" spans="32:32" x14ac:dyDescent="0.2">
      <c r="AF63276" s="12"/>
    </row>
    <row r="63277" spans="32:32" x14ac:dyDescent="0.2">
      <c r="AF63277" s="12"/>
    </row>
    <row r="63278" spans="32:32" x14ac:dyDescent="0.2">
      <c r="AF63278" s="12"/>
    </row>
    <row r="63279" spans="32:32" x14ac:dyDescent="0.2">
      <c r="AF63279" s="12"/>
    </row>
    <row r="63280" spans="32:32" x14ac:dyDescent="0.2">
      <c r="AF63280" s="12"/>
    </row>
    <row r="63281" spans="32:32" x14ac:dyDescent="0.2">
      <c r="AF63281" s="12"/>
    </row>
    <row r="63282" spans="32:32" x14ac:dyDescent="0.2">
      <c r="AF63282" s="12"/>
    </row>
    <row r="63283" spans="32:32" x14ac:dyDescent="0.2">
      <c r="AF63283" s="12"/>
    </row>
    <row r="63284" spans="32:32" x14ac:dyDescent="0.2">
      <c r="AF63284" s="12"/>
    </row>
    <row r="63285" spans="32:32" x14ac:dyDescent="0.2">
      <c r="AF63285" s="12"/>
    </row>
    <row r="63286" spans="32:32" x14ac:dyDescent="0.2">
      <c r="AF63286" s="12"/>
    </row>
    <row r="63287" spans="32:32" x14ac:dyDescent="0.2">
      <c r="AF63287" s="12"/>
    </row>
    <row r="63288" spans="32:32" x14ac:dyDescent="0.2">
      <c r="AF63288" s="12"/>
    </row>
    <row r="63289" spans="32:32" x14ac:dyDescent="0.2">
      <c r="AF63289" s="12"/>
    </row>
    <row r="63290" spans="32:32" x14ac:dyDescent="0.2">
      <c r="AF63290" s="12"/>
    </row>
    <row r="63291" spans="32:32" x14ac:dyDescent="0.2">
      <c r="AF63291" s="12"/>
    </row>
    <row r="63292" spans="32:32" x14ac:dyDescent="0.2">
      <c r="AF63292" s="12"/>
    </row>
    <row r="63293" spans="32:32" x14ac:dyDescent="0.2">
      <c r="AF63293" s="12"/>
    </row>
    <row r="63294" spans="32:32" x14ac:dyDescent="0.2">
      <c r="AF63294" s="12"/>
    </row>
    <row r="63295" spans="32:32" x14ac:dyDescent="0.2">
      <c r="AF63295" s="12"/>
    </row>
    <row r="63296" spans="32:32" x14ac:dyDescent="0.2">
      <c r="AF63296" s="12"/>
    </row>
    <row r="63297" spans="32:32" x14ac:dyDescent="0.2">
      <c r="AF63297" s="12"/>
    </row>
    <row r="63298" spans="32:32" x14ac:dyDescent="0.2">
      <c r="AF63298" s="12"/>
    </row>
    <row r="63299" spans="32:32" x14ac:dyDescent="0.2">
      <c r="AF63299" s="12"/>
    </row>
    <row r="63300" spans="32:32" x14ac:dyDescent="0.2">
      <c r="AF63300" s="12"/>
    </row>
    <row r="63301" spans="32:32" x14ac:dyDescent="0.2">
      <c r="AF63301" s="12"/>
    </row>
    <row r="63302" spans="32:32" x14ac:dyDescent="0.2">
      <c r="AF63302" s="12"/>
    </row>
    <row r="63303" spans="32:32" x14ac:dyDescent="0.2">
      <c r="AF63303" s="12"/>
    </row>
    <row r="63304" spans="32:32" x14ac:dyDescent="0.2">
      <c r="AF63304" s="12"/>
    </row>
    <row r="63305" spans="32:32" x14ac:dyDescent="0.2">
      <c r="AF63305" s="12"/>
    </row>
    <row r="63306" spans="32:32" x14ac:dyDescent="0.2">
      <c r="AF63306" s="12"/>
    </row>
    <row r="63307" spans="32:32" x14ac:dyDescent="0.2">
      <c r="AF63307" s="12"/>
    </row>
    <row r="63308" spans="32:32" x14ac:dyDescent="0.2">
      <c r="AF63308" s="12"/>
    </row>
    <row r="63309" spans="32:32" x14ac:dyDescent="0.2">
      <c r="AF63309" s="12"/>
    </row>
    <row r="63310" spans="32:32" x14ac:dyDescent="0.2">
      <c r="AF63310" s="12"/>
    </row>
    <row r="63311" spans="32:32" x14ac:dyDescent="0.2">
      <c r="AF63311" s="12"/>
    </row>
    <row r="63312" spans="32:32" x14ac:dyDescent="0.2">
      <c r="AF63312" s="12"/>
    </row>
    <row r="63313" spans="32:32" x14ac:dyDescent="0.2">
      <c r="AF63313" s="12"/>
    </row>
    <row r="63314" spans="32:32" x14ac:dyDescent="0.2">
      <c r="AF63314" s="12"/>
    </row>
    <row r="63315" spans="32:32" x14ac:dyDescent="0.2">
      <c r="AF63315" s="12"/>
    </row>
    <row r="63316" spans="32:32" x14ac:dyDescent="0.2">
      <c r="AF63316" s="12"/>
    </row>
    <row r="63317" spans="32:32" x14ac:dyDescent="0.2">
      <c r="AF63317" s="12"/>
    </row>
    <row r="63318" spans="32:32" x14ac:dyDescent="0.2">
      <c r="AF63318" s="12"/>
    </row>
    <row r="63319" spans="32:32" x14ac:dyDescent="0.2">
      <c r="AF63319" s="12"/>
    </row>
    <row r="63320" spans="32:32" x14ac:dyDescent="0.2">
      <c r="AF63320" s="12"/>
    </row>
    <row r="63321" spans="32:32" x14ac:dyDescent="0.2">
      <c r="AF63321" s="12"/>
    </row>
    <row r="63322" spans="32:32" x14ac:dyDescent="0.2">
      <c r="AF63322" s="12"/>
    </row>
    <row r="63323" spans="32:32" x14ac:dyDescent="0.2">
      <c r="AF63323" s="12"/>
    </row>
    <row r="63324" spans="32:32" x14ac:dyDescent="0.2">
      <c r="AF63324" s="12"/>
    </row>
    <row r="63325" spans="32:32" x14ac:dyDescent="0.2">
      <c r="AF63325" s="12"/>
    </row>
    <row r="63326" spans="32:32" x14ac:dyDescent="0.2">
      <c r="AF63326" s="12"/>
    </row>
    <row r="63327" spans="32:32" x14ac:dyDescent="0.2">
      <c r="AF63327" s="12"/>
    </row>
    <row r="63328" spans="32:32" x14ac:dyDescent="0.2">
      <c r="AF63328" s="12"/>
    </row>
    <row r="63329" spans="32:32" x14ac:dyDescent="0.2">
      <c r="AF63329" s="12"/>
    </row>
    <row r="63330" spans="32:32" x14ac:dyDescent="0.2">
      <c r="AF63330" s="12"/>
    </row>
    <row r="63331" spans="32:32" x14ac:dyDescent="0.2">
      <c r="AF63331" s="12"/>
    </row>
    <row r="63332" spans="32:32" x14ac:dyDescent="0.2">
      <c r="AF63332" s="12"/>
    </row>
    <row r="63333" spans="32:32" x14ac:dyDescent="0.2">
      <c r="AF63333" s="12"/>
    </row>
    <row r="63334" spans="32:32" x14ac:dyDescent="0.2">
      <c r="AF63334" s="12"/>
    </row>
    <row r="63335" spans="32:32" x14ac:dyDescent="0.2">
      <c r="AF63335" s="12"/>
    </row>
    <row r="63336" spans="32:32" x14ac:dyDescent="0.2">
      <c r="AF63336" s="12"/>
    </row>
    <row r="63337" spans="32:32" x14ac:dyDescent="0.2">
      <c r="AF63337" s="12"/>
    </row>
    <row r="63338" spans="32:32" x14ac:dyDescent="0.2">
      <c r="AF63338" s="12"/>
    </row>
    <row r="63339" spans="32:32" x14ac:dyDescent="0.2">
      <c r="AF63339" s="12"/>
    </row>
    <row r="63340" spans="32:32" x14ac:dyDescent="0.2">
      <c r="AF63340" s="12"/>
    </row>
    <row r="63341" spans="32:32" x14ac:dyDescent="0.2">
      <c r="AF63341" s="12"/>
    </row>
    <row r="63342" spans="32:32" x14ac:dyDescent="0.2">
      <c r="AF63342" s="12"/>
    </row>
    <row r="63343" spans="32:32" x14ac:dyDescent="0.2">
      <c r="AF63343" s="12"/>
    </row>
    <row r="63344" spans="32:32" x14ac:dyDescent="0.2">
      <c r="AF63344" s="12"/>
    </row>
    <row r="63345" spans="32:32" x14ac:dyDescent="0.2">
      <c r="AF63345" s="12"/>
    </row>
    <row r="63346" spans="32:32" x14ac:dyDescent="0.2">
      <c r="AF63346" s="12"/>
    </row>
    <row r="63347" spans="32:32" x14ac:dyDescent="0.2">
      <c r="AF63347" s="12"/>
    </row>
    <row r="63348" spans="32:32" x14ac:dyDescent="0.2">
      <c r="AF63348" s="12"/>
    </row>
    <row r="63349" spans="32:32" x14ac:dyDescent="0.2">
      <c r="AF63349" s="12"/>
    </row>
    <row r="63350" spans="32:32" x14ac:dyDescent="0.2">
      <c r="AF63350" s="12"/>
    </row>
    <row r="63351" spans="32:32" x14ac:dyDescent="0.2">
      <c r="AF63351" s="12"/>
    </row>
    <row r="63352" spans="32:32" x14ac:dyDescent="0.2">
      <c r="AF63352" s="12"/>
    </row>
    <row r="63353" spans="32:32" x14ac:dyDescent="0.2">
      <c r="AF63353" s="12"/>
    </row>
    <row r="63354" spans="32:32" x14ac:dyDescent="0.2">
      <c r="AF63354" s="12"/>
    </row>
    <row r="63355" spans="32:32" x14ac:dyDescent="0.2">
      <c r="AF63355" s="12"/>
    </row>
    <row r="63356" spans="32:32" x14ac:dyDescent="0.2">
      <c r="AF63356" s="12"/>
    </row>
    <row r="63357" spans="32:32" x14ac:dyDescent="0.2">
      <c r="AF63357" s="12"/>
    </row>
    <row r="63358" spans="32:32" x14ac:dyDescent="0.2">
      <c r="AF63358" s="12"/>
    </row>
    <row r="63359" spans="32:32" x14ac:dyDescent="0.2">
      <c r="AF63359" s="12"/>
    </row>
    <row r="63360" spans="32:32" x14ac:dyDescent="0.2">
      <c r="AF63360" s="12"/>
    </row>
    <row r="63361" spans="32:32" x14ac:dyDescent="0.2">
      <c r="AF63361" s="12"/>
    </row>
    <row r="63362" spans="32:32" x14ac:dyDescent="0.2">
      <c r="AF63362" s="12"/>
    </row>
    <row r="63363" spans="32:32" x14ac:dyDescent="0.2">
      <c r="AF63363" s="12"/>
    </row>
    <row r="63364" spans="32:32" x14ac:dyDescent="0.2">
      <c r="AF63364" s="12"/>
    </row>
    <row r="63365" spans="32:32" x14ac:dyDescent="0.2">
      <c r="AF63365" s="12"/>
    </row>
    <row r="63366" spans="32:32" x14ac:dyDescent="0.2">
      <c r="AF63366" s="12"/>
    </row>
    <row r="63367" spans="32:32" x14ac:dyDescent="0.2">
      <c r="AF63367" s="12"/>
    </row>
    <row r="63368" spans="32:32" x14ac:dyDescent="0.2">
      <c r="AF63368" s="12"/>
    </row>
    <row r="63369" spans="32:32" x14ac:dyDescent="0.2">
      <c r="AF63369" s="12"/>
    </row>
    <row r="63370" spans="32:32" x14ac:dyDescent="0.2">
      <c r="AF63370" s="12"/>
    </row>
    <row r="63371" spans="32:32" x14ac:dyDescent="0.2">
      <c r="AF63371" s="12"/>
    </row>
    <row r="63372" spans="32:32" x14ac:dyDescent="0.2">
      <c r="AF63372" s="12"/>
    </row>
    <row r="63373" spans="32:32" x14ac:dyDescent="0.2">
      <c r="AF63373" s="12"/>
    </row>
    <row r="63374" spans="32:32" x14ac:dyDescent="0.2">
      <c r="AF63374" s="12"/>
    </row>
    <row r="63375" spans="32:32" x14ac:dyDescent="0.2">
      <c r="AF63375" s="12"/>
    </row>
    <row r="63376" spans="32:32" x14ac:dyDescent="0.2">
      <c r="AF63376" s="12"/>
    </row>
    <row r="63377" spans="32:32" x14ac:dyDescent="0.2">
      <c r="AF63377" s="12"/>
    </row>
    <row r="63378" spans="32:32" x14ac:dyDescent="0.2">
      <c r="AF63378" s="12"/>
    </row>
    <row r="63379" spans="32:32" x14ac:dyDescent="0.2">
      <c r="AF63379" s="12"/>
    </row>
    <row r="63380" spans="32:32" x14ac:dyDescent="0.2">
      <c r="AF63380" s="12"/>
    </row>
    <row r="63381" spans="32:32" x14ac:dyDescent="0.2">
      <c r="AF63381" s="12"/>
    </row>
    <row r="63382" spans="32:32" x14ac:dyDescent="0.2">
      <c r="AF63382" s="12"/>
    </row>
    <row r="63383" spans="32:32" x14ac:dyDescent="0.2">
      <c r="AF63383" s="12"/>
    </row>
    <row r="63384" spans="32:32" x14ac:dyDescent="0.2">
      <c r="AF63384" s="12"/>
    </row>
    <row r="63385" spans="32:32" x14ac:dyDescent="0.2">
      <c r="AF63385" s="12"/>
    </row>
    <row r="63386" spans="32:32" x14ac:dyDescent="0.2">
      <c r="AF63386" s="12"/>
    </row>
    <row r="63387" spans="32:32" x14ac:dyDescent="0.2">
      <c r="AF63387" s="12"/>
    </row>
    <row r="63388" spans="32:32" x14ac:dyDescent="0.2">
      <c r="AF63388" s="12"/>
    </row>
    <row r="63389" spans="32:32" x14ac:dyDescent="0.2">
      <c r="AF63389" s="12"/>
    </row>
    <row r="63390" spans="32:32" x14ac:dyDescent="0.2">
      <c r="AF63390" s="12"/>
    </row>
    <row r="63391" spans="32:32" x14ac:dyDescent="0.2">
      <c r="AF63391" s="12"/>
    </row>
    <row r="63392" spans="32:32" x14ac:dyDescent="0.2">
      <c r="AF63392" s="12"/>
    </row>
    <row r="63393" spans="32:32" x14ac:dyDescent="0.2">
      <c r="AF63393" s="12"/>
    </row>
    <row r="63394" spans="32:32" x14ac:dyDescent="0.2">
      <c r="AF63394" s="12"/>
    </row>
    <row r="63395" spans="32:32" x14ac:dyDescent="0.2">
      <c r="AF63395" s="12"/>
    </row>
    <row r="63396" spans="32:32" x14ac:dyDescent="0.2">
      <c r="AF63396" s="12"/>
    </row>
    <row r="63397" spans="32:32" x14ac:dyDescent="0.2">
      <c r="AF63397" s="12"/>
    </row>
    <row r="63398" spans="32:32" x14ac:dyDescent="0.2">
      <c r="AF63398" s="12"/>
    </row>
    <row r="63399" spans="32:32" x14ac:dyDescent="0.2">
      <c r="AF63399" s="12"/>
    </row>
    <row r="63400" spans="32:32" x14ac:dyDescent="0.2">
      <c r="AF63400" s="12"/>
    </row>
    <row r="63401" spans="32:32" x14ac:dyDescent="0.2">
      <c r="AF63401" s="12"/>
    </row>
    <row r="63402" spans="32:32" x14ac:dyDescent="0.2">
      <c r="AF63402" s="12"/>
    </row>
    <row r="63403" spans="32:32" x14ac:dyDescent="0.2">
      <c r="AF63403" s="12"/>
    </row>
    <row r="63404" spans="32:32" x14ac:dyDescent="0.2">
      <c r="AF63404" s="12"/>
    </row>
    <row r="63405" spans="32:32" x14ac:dyDescent="0.2">
      <c r="AF63405" s="12"/>
    </row>
    <row r="63406" spans="32:32" x14ac:dyDescent="0.2">
      <c r="AF63406" s="12"/>
    </row>
    <row r="63407" spans="32:32" x14ac:dyDescent="0.2">
      <c r="AF63407" s="12"/>
    </row>
    <row r="63408" spans="32:32" x14ac:dyDescent="0.2">
      <c r="AF63408" s="12"/>
    </row>
    <row r="63409" spans="32:32" x14ac:dyDescent="0.2">
      <c r="AF63409" s="12"/>
    </row>
    <row r="63410" spans="32:32" x14ac:dyDescent="0.2">
      <c r="AF63410" s="12"/>
    </row>
    <row r="63411" spans="32:32" x14ac:dyDescent="0.2">
      <c r="AF63411" s="12"/>
    </row>
    <row r="63412" spans="32:32" x14ac:dyDescent="0.2">
      <c r="AF63412" s="12"/>
    </row>
    <row r="63413" spans="32:32" x14ac:dyDescent="0.2">
      <c r="AF63413" s="12"/>
    </row>
    <row r="63414" spans="32:32" x14ac:dyDescent="0.2">
      <c r="AF63414" s="12"/>
    </row>
    <row r="63415" spans="32:32" x14ac:dyDescent="0.2">
      <c r="AF63415" s="12"/>
    </row>
    <row r="63416" spans="32:32" x14ac:dyDescent="0.2">
      <c r="AF63416" s="12"/>
    </row>
    <row r="63417" spans="32:32" x14ac:dyDescent="0.2">
      <c r="AF63417" s="12"/>
    </row>
    <row r="63418" spans="32:32" x14ac:dyDescent="0.2">
      <c r="AF63418" s="12"/>
    </row>
    <row r="63419" spans="32:32" x14ac:dyDescent="0.2">
      <c r="AF63419" s="12"/>
    </row>
    <row r="63420" spans="32:32" x14ac:dyDescent="0.2">
      <c r="AF63420" s="12"/>
    </row>
    <row r="63421" spans="32:32" x14ac:dyDescent="0.2">
      <c r="AF63421" s="12"/>
    </row>
    <row r="63422" spans="32:32" x14ac:dyDescent="0.2">
      <c r="AF63422" s="12"/>
    </row>
    <row r="63423" spans="32:32" x14ac:dyDescent="0.2">
      <c r="AF63423" s="12"/>
    </row>
    <row r="63424" spans="32:32" x14ac:dyDescent="0.2">
      <c r="AF63424" s="12"/>
    </row>
    <row r="63425" spans="32:32" x14ac:dyDescent="0.2">
      <c r="AF63425" s="12"/>
    </row>
    <row r="63426" spans="32:32" x14ac:dyDescent="0.2">
      <c r="AF63426" s="12"/>
    </row>
    <row r="63427" spans="32:32" x14ac:dyDescent="0.2">
      <c r="AF63427" s="12"/>
    </row>
    <row r="63428" spans="32:32" x14ac:dyDescent="0.2">
      <c r="AF63428" s="12"/>
    </row>
    <row r="63429" spans="32:32" x14ac:dyDescent="0.2">
      <c r="AF63429" s="12"/>
    </row>
    <row r="63430" spans="32:32" x14ac:dyDescent="0.2">
      <c r="AF63430" s="12"/>
    </row>
    <row r="63431" spans="32:32" x14ac:dyDescent="0.2">
      <c r="AF63431" s="12"/>
    </row>
    <row r="63432" spans="32:32" x14ac:dyDescent="0.2">
      <c r="AF63432" s="12"/>
    </row>
    <row r="63433" spans="32:32" x14ac:dyDescent="0.2">
      <c r="AF63433" s="12"/>
    </row>
    <row r="63434" spans="32:32" x14ac:dyDescent="0.2">
      <c r="AF63434" s="12"/>
    </row>
    <row r="63435" spans="32:32" x14ac:dyDescent="0.2">
      <c r="AF63435" s="12"/>
    </row>
    <row r="63436" spans="32:32" x14ac:dyDescent="0.2">
      <c r="AF63436" s="12"/>
    </row>
    <row r="63437" spans="32:32" x14ac:dyDescent="0.2">
      <c r="AF63437" s="12"/>
    </row>
    <row r="63438" spans="32:32" x14ac:dyDescent="0.2">
      <c r="AF63438" s="12"/>
    </row>
    <row r="63439" spans="32:32" x14ac:dyDescent="0.2">
      <c r="AF63439" s="12"/>
    </row>
    <row r="63440" spans="32:32" x14ac:dyDescent="0.2">
      <c r="AF63440" s="12"/>
    </row>
    <row r="63441" spans="32:32" x14ac:dyDescent="0.2">
      <c r="AF63441" s="12"/>
    </row>
    <row r="63442" spans="32:32" x14ac:dyDescent="0.2">
      <c r="AF63442" s="12"/>
    </row>
    <row r="63443" spans="32:32" x14ac:dyDescent="0.2">
      <c r="AF63443" s="12"/>
    </row>
    <row r="63444" spans="32:32" x14ac:dyDescent="0.2">
      <c r="AF63444" s="12"/>
    </row>
    <row r="63445" spans="32:32" x14ac:dyDescent="0.2">
      <c r="AF63445" s="12"/>
    </row>
    <row r="63446" spans="32:32" x14ac:dyDescent="0.2">
      <c r="AF63446" s="12"/>
    </row>
    <row r="63447" spans="32:32" x14ac:dyDescent="0.2">
      <c r="AF63447" s="12"/>
    </row>
    <row r="63448" spans="32:32" x14ac:dyDescent="0.2">
      <c r="AF63448" s="12"/>
    </row>
    <row r="63449" spans="32:32" x14ac:dyDescent="0.2">
      <c r="AF63449" s="12"/>
    </row>
    <row r="63450" spans="32:32" x14ac:dyDescent="0.2">
      <c r="AF63450" s="12"/>
    </row>
    <row r="63451" spans="32:32" x14ac:dyDescent="0.2">
      <c r="AF63451" s="12"/>
    </row>
    <row r="63452" spans="32:32" x14ac:dyDescent="0.2">
      <c r="AF63452" s="12"/>
    </row>
    <row r="63453" spans="32:32" x14ac:dyDescent="0.2">
      <c r="AF63453" s="12"/>
    </row>
    <row r="63454" spans="32:32" x14ac:dyDescent="0.2">
      <c r="AF63454" s="12"/>
    </row>
    <row r="63455" spans="32:32" x14ac:dyDescent="0.2">
      <c r="AF63455" s="12"/>
    </row>
    <row r="63456" spans="32:32" x14ac:dyDescent="0.2">
      <c r="AF63456" s="12"/>
    </row>
    <row r="63457" spans="32:32" x14ac:dyDescent="0.2">
      <c r="AF63457" s="12"/>
    </row>
    <row r="63458" spans="32:32" x14ac:dyDescent="0.2">
      <c r="AF63458" s="12"/>
    </row>
    <row r="63459" spans="32:32" x14ac:dyDescent="0.2">
      <c r="AF63459" s="12"/>
    </row>
    <row r="63460" spans="32:32" x14ac:dyDescent="0.2">
      <c r="AF63460" s="12"/>
    </row>
    <row r="63461" spans="32:32" x14ac:dyDescent="0.2">
      <c r="AF63461" s="12"/>
    </row>
    <row r="63462" spans="32:32" x14ac:dyDescent="0.2">
      <c r="AF63462" s="12"/>
    </row>
    <row r="63463" spans="32:32" x14ac:dyDescent="0.2">
      <c r="AF63463" s="12"/>
    </row>
    <row r="63464" spans="32:32" x14ac:dyDescent="0.2">
      <c r="AF63464" s="12"/>
    </row>
    <row r="63465" spans="32:32" x14ac:dyDescent="0.2">
      <c r="AF63465" s="12"/>
    </row>
    <row r="63466" spans="32:32" x14ac:dyDescent="0.2">
      <c r="AF63466" s="12"/>
    </row>
    <row r="63467" spans="32:32" x14ac:dyDescent="0.2">
      <c r="AF63467" s="12"/>
    </row>
    <row r="63468" spans="32:32" x14ac:dyDescent="0.2">
      <c r="AF63468" s="12"/>
    </row>
    <row r="63469" spans="32:32" x14ac:dyDescent="0.2">
      <c r="AF63469" s="12"/>
    </row>
    <row r="63470" spans="32:32" x14ac:dyDescent="0.2">
      <c r="AF63470" s="12"/>
    </row>
    <row r="63471" spans="32:32" x14ac:dyDescent="0.2">
      <c r="AF63471" s="12"/>
    </row>
    <row r="63472" spans="32:32" x14ac:dyDescent="0.2">
      <c r="AF63472" s="12"/>
    </row>
    <row r="63473" spans="32:32" x14ac:dyDescent="0.2">
      <c r="AF63473" s="12"/>
    </row>
    <row r="63474" spans="32:32" x14ac:dyDescent="0.2">
      <c r="AF63474" s="12"/>
    </row>
    <row r="63475" spans="32:32" x14ac:dyDescent="0.2">
      <c r="AF63475" s="12"/>
    </row>
    <row r="63476" spans="32:32" x14ac:dyDescent="0.2">
      <c r="AF63476" s="12"/>
    </row>
    <row r="63477" spans="32:32" x14ac:dyDescent="0.2">
      <c r="AF63477" s="12"/>
    </row>
    <row r="63478" spans="32:32" x14ac:dyDescent="0.2">
      <c r="AF63478" s="12"/>
    </row>
    <row r="63479" spans="32:32" x14ac:dyDescent="0.2">
      <c r="AF63479" s="12"/>
    </row>
    <row r="63480" spans="32:32" x14ac:dyDescent="0.2">
      <c r="AF63480" s="12"/>
    </row>
    <row r="63481" spans="32:32" x14ac:dyDescent="0.2">
      <c r="AF63481" s="12"/>
    </row>
    <row r="63482" spans="32:32" x14ac:dyDescent="0.2">
      <c r="AF63482" s="12"/>
    </row>
    <row r="63483" spans="32:32" x14ac:dyDescent="0.2">
      <c r="AF63483" s="12"/>
    </row>
    <row r="63484" spans="32:32" x14ac:dyDescent="0.2">
      <c r="AF63484" s="12"/>
    </row>
    <row r="63485" spans="32:32" x14ac:dyDescent="0.2">
      <c r="AF63485" s="12"/>
    </row>
    <row r="63486" spans="32:32" x14ac:dyDescent="0.2">
      <c r="AF63486" s="12"/>
    </row>
    <row r="63487" spans="32:32" x14ac:dyDescent="0.2">
      <c r="AF63487" s="12"/>
    </row>
    <row r="63488" spans="32:32" x14ac:dyDescent="0.2">
      <c r="AF63488" s="12"/>
    </row>
    <row r="63489" spans="32:32" x14ac:dyDescent="0.2">
      <c r="AF63489" s="12"/>
    </row>
    <row r="63490" spans="32:32" x14ac:dyDescent="0.2">
      <c r="AF63490" s="12"/>
    </row>
    <row r="63491" spans="32:32" x14ac:dyDescent="0.2">
      <c r="AF63491" s="12"/>
    </row>
    <row r="63492" spans="32:32" x14ac:dyDescent="0.2">
      <c r="AF63492" s="12"/>
    </row>
    <row r="63493" spans="32:32" x14ac:dyDescent="0.2">
      <c r="AF63493" s="12"/>
    </row>
    <row r="63494" spans="32:32" x14ac:dyDescent="0.2">
      <c r="AF63494" s="12"/>
    </row>
    <row r="63495" spans="32:32" x14ac:dyDescent="0.2">
      <c r="AF63495" s="12"/>
    </row>
    <row r="63496" spans="32:32" x14ac:dyDescent="0.2">
      <c r="AF63496" s="12"/>
    </row>
    <row r="63497" spans="32:32" x14ac:dyDescent="0.2">
      <c r="AF63497" s="12"/>
    </row>
    <row r="63498" spans="32:32" x14ac:dyDescent="0.2">
      <c r="AF63498" s="12"/>
    </row>
    <row r="63499" spans="32:32" x14ac:dyDescent="0.2">
      <c r="AF63499" s="12"/>
    </row>
    <row r="63500" spans="32:32" x14ac:dyDescent="0.2">
      <c r="AF63500" s="12"/>
    </row>
    <row r="63501" spans="32:32" x14ac:dyDescent="0.2">
      <c r="AF63501" s="12"/>
    </row>
    <row r="63502" spans="32:32" x14ac:dyDescent="0.2">
      <c r="AF63502" s="12"/>
    </row>
    <row r="63503" spans="32:32" x14ac:dyDescent="0.2">
      <c r="AF63503" s="12"/>
    </row>
    <row r="63504" spans="32:32" x14ac:dyDescent="0.2">
      <c r="AF63504" s="12"/>
    </row>
    <row r="63505" spans="32:32" x14ac:dyDescent="0.2">
      <c r="AF63505" s="12"/>
    </row>
    <row r="63506" spans="32:32" x14ac:dyDescent="0.2">
      <c r="AF63506" s="12"/>
    </row>
    <row r="63507" spans="32:32" x14ac:dyDescent="0.2">
      <c r="AF63507" s="12"/>
    </row>
    <row r="63508" spans="32:32" x14ac:dyDescent="0.2">
      <c r="AF63508" s="12"/>
    </row>
    <row r="63509" spans="32:32" x14ac:dyDescent="0.2">
      <c r="AF63509" s="12"/>
    </row>
    <row r="63510" spans="32:32" x14ac:dyDescent="0.2">
      <c r="AF63510" s="12"/>
    </row>
    <row r="63511" spans="32:32" x14ac:dyDescent="0.2">
      <c r="AF63511" s="12"/>
    </row>
    <row r="63512" spans="32:32" x14ac:dyDescent="0.2">
      <c r="AF63512" s="12"/>
    </row>
    <row r="63513" spans="32:32" x14ac:dyDescent="0.2">
      <c r="AF63513" s="12"/>
    </row>
    <row r="63514" spans="32:32" x14ac:dyDescent="0.2">
      <c r="AF63514" s="12"/>
    </row>
    <row r="63515" spans="32:32" x14ac:dyDescent="0.2">
      <c r="AF63515" s="12"/>
    </row>
    <row r="63516" spans="32:32" x14ac:dyDescent="0.2">
      <c r="AF63516" s="12"/>
    </row>
    <row r="63517" spans="32:32" x14ac:dyDescent="0.2">
      <c r="AF63517" s="12"/>
    </row>
    <row r="63518" spans="32:32" x14ac:dyDescent="0.2">
      <c r="AF63518" s="12"/>
    </row>
    <row r="63519" spans="32:32" x14ac:dyDescent="0.2">
      <c r="AF63519" s="12"/>
    </row>
    <row r="63520" spans="32:32" x14ac:dyDescent="0.2">
      <c r="AF63520" s="12"/>
    </row>
    <row r="63521" spans="32:32" x14ac:dyDescent="0.2">
      <c r="AF63521" s="12"/>
    </row>
    <row r="63522" spans="32:32" x14ac:dyDescent="0.2">
      <c r="AF63522" s="12"/>
    </row>
    <row r="63523" spans="32:32" x14ac:dyDescent="0.2">
      <c r="AF63523" s="12"/>
    </row>
    <row r="63524" spans="32:32" x14ac:dyDescent="0.2">
      <c r="AF63524" s="12"/>
    </row>
    <row r="63525" spans="32:32" x14ac:dyDescent="0.2">
      <c r="AF63525" s="12"/>
    </row>
    <row r="63526" spans="32:32" x14ac:dyDescent="0.2">
      <c r="AF63526" s="12"/>
    </row>
    <row r="63527" spans="32:32" x14ac:dyDescent="0.2">
      <c r="AF63527" s="12"/>
    </row>
    <row r="63528" spans="32:32" x14ac:dyDescent="0.2">
      <c r="AF63528" s="12"/>
    </row>
    <row r="63529" spans="32:32" x14ac:dyDescent="0.2">
      <c r="AF63529" s="12"/>
    </row>
    <row r="63530" spans="32:32" x14ac:dyDescent="0.2">
      <c r="AF63530" s="12"/>
    </row>
    <row r="63531" spans="32:32" x14ac:dyDescent="0.2">
      <c r="AF63531" s="12"/>
    </row>
    <row r="63532" spans="32:32" x14ac:dyDescent="0.2">
      <c r="AF63532" s="12"/>
    </row>
    <row r="63533" spans="32:32" x14ac:dyDescent="0.2">
      <c r="AF63533" s="12"/>
    </row>
    <row r="63534" spans="32:32" x14ac:dyDescent="0.2">
      <c r="AF63534" s="12"/>
    </row>
    <row r="63535" spans="32:32" x14ac:dyDescent="0.2">
      <c r="AF63535" s="12"/>
    </row>
    <row r="63536" spans="32:32" x14ac:dyDescent="0.2">
      <c r="AF63536" s="12"/>
    </row>
    <row r="63537" spans="32:32" x14ac:dyDescent="0.2">
      <c r="AF63537" s="12"/>
    </row>
    <row r="63538" spans="32:32" x14ac:dyDescent="0.2">
      <c r="AF63538" s="12"/>
    </row>
    <row r="63539" spans="32:32" x14ac:dyDescent="0.2">
      <c r="AF63539" s="12"/>
    </row>
    <row r="63540" spans="32:32" x14ac:dyDescent="0.2">
      <c r="AF63540" s="12"/>
    </row>
    <row r="63541" spans="32:32" x14ac:dyDescent="0.2">
      <c r="AF63541" s="12"/>
    </row>
    <row r="63542" spans="32:32" x14ac:dyDescent="0.2">
      <c r="AF63542" s="12"/>
    </row>
    <row r="63543" spans="32:32" x14ac:dyDescent="0.2">
      <c r="AF63543" s="12"/>
    </row>
    <row r="63544" spans="32:32" x14ac:dyDescent="0.2">
      <c r="AF63544" s="12"/>
    </row>
    <row r="63545" spans="32:32" x14ac:dyDescent="0.2">
      <c r="AF63545" s="12"/>
    </row>
    <row r="63546" spans="32:32" x14ac:dyDescent="0.2">
      <c r="AF63546" s="12"/>
    </row>
    <row r="63547" spans="32:32" x14ac:dyDescent="0.2">
      <c r="AF63547" s="12"/>
    </row>
    <row r="63548" spans="32:32" x14ac:dyDescent="0.2">
      <c r="AF63548" s="12"/>
    </row>
    <row r="63549" spans="32:32" x14ac:dyDescent="0.2">
      <c r="AF63549" s="12"/>
    </row>
    <row r="63550" spans="32:32" x14ac:dyDescent="0.2">
      <c r="AF63550" s="12"/>
    </row>
    <row r="63551" spans="32:32" x14ac:dyDescent="0.2">
      <c r="AF63551" s="12"/>
    </row>
    <row r="63552" spans="32:32" x14ac:dyDescent="0.2">
      <c r="AF63552" s="12"/>
    </row>
    <row r="63553" spans="32:32" x14ac:dyDescent="0.2">
      <c r="AF63553" s="12"/>
    </row>
    <row r="63554" spans="32:32" x14ac:dyDescent="0.2">
      <c r="AF63554" s="12"/>
    </row>
    <row r="63555" spans="32:32" x14ac:dyDescent="0.2">
      <c r="AF63555" s="12"/>
    </row>
    <row r="63556" spans="32:32" x14ac:dyDescent="0.2">
      <c r="AF63556" s="12"/>
    </row>
    <row r="63557" spans="32:32" x14ac:dyDescent="0.2">
      <c r="AF63557" s="12"/>
    </row>
    <row r="63558" spans="32:32" x14ac:dyDescent="0.2">
      <c r="AF63558" s="12"/>
    </row>
    <row r="63559" spans="32:32" x14ac:dyDescent="0.2">
      <c r="AF63559" s="12"/>
    </row>
    <row r="63560" spans="32:32" x14ac:dyDescent="0.2">
      <c r="AF63560" s="12"/>
    </row>
    <row r="63561" spans="32:32" x14ac:dyDescent="0.2">
      <c r="AF63561" s="12"/>
    </row>
    <row r="63562" spans="32:32" x14ac:dyDescent="0.2">
      <c r="AF63562" s="12"/>
    </row>
    <row r="63563" spans="32:32" x14ac:dyDescent="0.2">
      <c r="AF63563" s="12"/>
    </row>
    <row r="63564" spans="32:32" x14ac:dyDescent="0.2">
      <c r="AF63564" s="12"/>
    </row>
    <row r="63565" spans="32:32" x14ac:dyDescent="0.2">
      <c r="AF63565" s="12"/>
    </row>
    <row r="63566" spans="32:32" x14ac:dyDescent="0.2">
      <c r="AF63566" s="12"/>
    </row>
    <row r="63567" spans="32:32" x14ac:dyDescent="0.2">
      <c r="AF63567" s="12"/>
    </row>
    <row r="63568" spans="32:32" x14ac:dyDescent="0.2">
      <c r="AF63568" s="12"/>
    </row>
    <row r="63569" spans="32:32" x14ac:dyDescent="0.2">
      <c r="AF63569" s="12"/>
    </row>
    <row r="63570" spans="32:32" x14ac:dyDescent="0.2">
      <c r="AF63570" s="12"/>
    </row>
    <row r="63571" spans="32:32" x14ac:dyDescent="0.2">
      <c r="AF63571" s="12"/>
    </row>
    <row r="63572" spans="32:32" x14ac:dyDescent="0.2">
      <c r="AF63572" s="12"/>
    </row>
    <row r="63573" spans="32:32" x14ac:dyDescent="0.2">
      <c r="AF63573" s="12"/>
    </row>
    <row r="63574" spans="32:32" x14ac:dyDescent="0.2">
      <c r="AF63574" s="12"/>
    </row>
    <row r="63575" spans="32:32" x14ac:dyDescent="0.2">
      <c r="AF63575" s="12"/>
    </row>
    <row r="63576" spans="32:32" x14ac:dyDescent="0.2">
      <c r="AF63576" s="12"/>
    </row>
    <row r="63577" spans="32:32" x14ac:dyDescent="0.2">
      <c r="AF63577" s="12"/>
    </row>
    <row r="63578" spans="32:32" x14ac:dyDescent="0.2">
      <c r="AF63578" s="12"/>
    </row>
    <row r="63579" spans="32:32" x14ac:dyDescent="0.2">
      <c r="AF63579" s="12"/>
    </row>
    <row r="63580" spans="32:32" x14ac:dyDescent="0.2">
      <c r="AF63580" s="12"/>
    </row>
    <row r="63581" spans="32:32" x14ac:dyDescent="0.2">
      <c r="AF63581" s="12"/>
    </row>
    <row r="63582" spans="32:32" x14ac:dyDescent="0.2">
      <c r="AF63582" s="12"/>
    </row>
    <row r="63583" spans="32:32" x14ac:dyDescent="0.2">
      <c r="AF63583" s="12"/>
    </row>
    <row r="63584" spans="32:32" x14ac:dyDescent="0.2">
      <c r="AF63584" s="12"/>
    </row>
    <row r="63585" spans="32:32" x14ac:dyDescent="0.2">
      <c r="AF63585" s="12"/>
    </row>
    <row r="63586" spans="32:32" x14ac:dyDescent="0.2">
      <c r="AF63586" s="12"/>
    </row>
    <row r="63587" spans="32:32" x14ac:dyDescent="0.2">
      <c r="AF63587" s="12"/>
    </row>
    <row r="63588" spans="32:32" x14ac:dyDescent="0.2">
      <c r="AF63588" s="12"/>
    </row>
    <row r="63589" spans="32:32" x14ac:dyDescent="0.2">
      <c r="AF63589" s="12"/>
    </row>
    <row r="63590" spans="32:32" x14ac:dyDescent="0.2">
      <c r="AF63590" s="12"/>
    </row>
    <row r="63591" spans="32:32" x14ac:dyDescent="0.2">
      <c r="AF63591" s="12"/>
    </row>
    <row r="63592" spans="32:32" x14ac:dyDescent="0.2">
      <c r="AF63592" s="12"/>
    </row>
    <row r="63593" spans="32:32" x14ac:dyDescent="0.2">
      <c r="AF63593" s="12"/>
    </row>
    <row r="63594" spans="32:32" x14ac:dyDescent="0.2">
      <c r="AF63594" s="12"/>
    </row>
    <row r="63595" spans="32:32" x14ac:dyDescent="0.2">
      <c r="AF63595" s="12"/>
    </row>
    <row r="63596" spans="32:32" x14ac:dyDescent="0.2">
      <c r="AF63596" s="12"/>
    </row>
    <row r="63597" spans="32:32" x14ac:dyDescent="0.2">
      <c r="AF63597" s="12"/>
    </row>
    <row r="63598" spans="32:32" x14ac:dyDescent="0.2">
      <c r="AF63598" s="12"/>
    </row>
    <row r="63599" spans="32:32" x14ac:dyDescent="0.2">
      <c r="AF63599" s="12"/>
    </row>
    <row r="63600" spans="32:32" x14ac:dyDescent="0.2">
      <c r="AF63600" s="12"/>
    </row>
    <row r="63601" spans="32:32" x14ac:dyDescent="0.2">
      <c r="AF63601" s="12"/>
    </row>
    <row r="63602" spans="32:32" x14ac:dyDescent="0.2">
      <c r="AF63602" s="12"/>
    </row>
    <row r="63603" spans="32:32" x14ac:dyDescent="0.2">
      <c r="AF63603" s="12"/>
    </row>
    <row r="63604" spans="32:32" x14ac:dyDescent="0.2">
      <c r="AF63604" s="12"/>
    </row>
    <row r="63605" spans="32:32" x14ac:dyDescent="0.2">
      <c r="AF63605" s="12"/>
    </row>
    <row r="63606" spans="32:32" x14ac:dyDescent="0.2">
      <c r="AF63606" s="12"/>
    </row>
    <row r="63607" spans="32:32" x14ac:dyDescent="0.2">
      <c r="AF63607" s="12"/>
    </row>
    <row r="63608" spans="32:32" x14ac:dyDescent="0.2">
      <c r="AF63608" s="12"/>
    </row>
    <row r="63609" spans="32:32" x14ac:dyDescent="0.2">
      <c r="AF63609" s="12"/>
    </row>
    <row r="63610" spans="32:32" x14ac:dyDescent="0.2">
      <c r="AF63610" s="12"/>
    </row>
    <row r="63611" spans="32:32" x14ac:dyDescent="0.2">
      <c r="AF63611" s="12"/>
    </row>
    <row r="63612" spans="32:32" x14ac:dyDescent="0.2">
      <c r="AF63612" s="12"/>
    </row>
    <row r="63613" spans="32:32" x14ac:dyDescent="0.2">
      <c r="AF63613" s="12"/>
    </row>
    <row r="63614" spans="32:32" x14ac:dyDescent="0.2">
      <c r="AF63614" s="12"/>
    </row>
    <row r="63615" spans="32:32" x14ac:dyDescent="0.2">
      <c r="AF63615" s="12"/>
    </row>
    <row r="63616" spans="32:32" x14ac:dyDescent="0.2">
      <c r="AF63616" s="12"/>
    </row>
    <row r="63617" spans="32:32" x14ac:dyDescent="0.2">
      <c r="AF63617" s="12"/>
    </row>
    <row r="63618" spans="32:32" x14ac:dyDescent="0.2">
      <c r="AF63618" s="12"/>
    </row>
    <row r="63619" spans="32:32" x14ac:dyDescent="0.2">
      <c r="AF63619" s="12"/>
    </row>
    <row r="63620" spans="32:32" x14ac:dyDescent="0.2">
      <c r="AF63620" s="12"/>
    </row>
    <row r="63621" spans="32:32" x14ac:dyDescent="0.2">
      <c r="AF63621" s="12"/>
    </row>
    <row r="63622" spans="32:32" x14ac:dyDescent="0.2">
      <c r="AF63622" s="12"/>
    </row>
    <row r="63623" spans="32:32" x14ac:dyDescent="0.2">
      <c r="AF63623" s="12"/>
    </row>
    <row r="63624" spans="32:32" x14ac:dyDescent="0.2">
      <c r="AF63624" s="12"/>
    </row>
    <row r="63625" spans="32:32" x14ac:dyDescent="0.2">
      <c r="AF63625" s="12"/>
    </row>
    <row r="63626" spans="32:32" x14ac:dyDescent="0.2">
      <c r="AF63626" s="12"/>
    </row>
    <row r="63627" spans="32:32" x14ac:dyDescent="0.2">
      <c r="AF63627" s="12"/>
    </row>
    <row r="63628" spans="32:32" x14ac:dyDescent="0.2">
      <c r="AF63628" s="12"/>
    </row>
    <row r="63629" spans="32:32" x14ac:dyDescent="0.2">
      <c r="AF63629" s="12"/>
    </row>
    <row r="63630" spans="32:32" x14ac:dyDescent="0.2">
      <c r="AF63630" s="12"/>
    </row>
    <row r="63631" spans="32:32" x14ac:dyDescent="0.2">
      <c r="AF63631" s="12"/>
    </row>
    <row r="63632" spans="32:32" x14ac:dyDescent="0.2">
      <c r="AF63632" s="12"/>
    </row>
    <row r="63633" spans="32:32" x14ac:dyDescent="0.2">
      <c r="AF63633" s="12"/>
    </row>
    <row r="63634" spans="32:32" x14ac:dyDescent="0.2">
      <c r="AF63634" s="12"/>
    </row>
    <row r="63635" spans="32:32" x14ac:dyDescent="0.2">
      <c r="AF63635" s="12"/>
    </row>
    <row r="63636" spans="32:32" x14ac:dyDescent="0.2">
      <c r="AF63636" s="12"/>
    </row>
    <row r="63637" spans="32:32" x14ac:dyDescent="0.2">
      <c r="AF63637" s="12"/>
    </row>
    <row r="63638" spans="32:32" x14ac:dyDescent="0.2">
      <c r="AF63638" s="12"/>
    </row>
    <row r="63639" spans="32:32" x14ac:dyDescent="0.2">
      <c r="AF63639" s="12"/>
    </row>
    <row r="63640" spans="32:32" x14ac:dyDescent="0.2">
      <c r="AF63640" s="12"/>
    </row>
    <row r="63641" spans="32:32" x14ac:dyDescent="0.2">
      <c r="AF63641" s="12"/>
    </row>
    <row r="63642" spans="32:32" x14ac:dyDescent="0.2">
      <c r="AF63642" s="12"/>
    </row>
    <row r="63643" spans="32:32" x14ac:dyDescent="0.2">
      <c r="AF63643" s="12"/>
    </row>
    <row r="63644" spans="32:32" x14ac:dyDescent="0.2">
      <c r="AF63644" s="12"/>
    </row>
    <row r="63645" spans="32:32" x14ac:dyDescent="0.2">
      <c r="AF63645" s="12"/>
    </row>
    <row r="63646" spans="32:32" x14ac:dyDescent="0.2">
      <c r="AF63646" s="12"/>
    </row>
    <row r="63647" spans="32:32" x14ac:dyDescent="0.2">
      <c r="AF63647" s="12"/>
    </row>
    <row r="63648" spans="32:32" x14ac:dyDescent="0.2">
      <c r="AF63648" s="12"/>
    </row>
    <row r="63649" spans="32:32" x14ac:dyDescent="0.2">
      <c r="AF63649" s="12"/>
    </row>
    <row r="63650" spans="32:32" x14ac:dyDescent="0.2">
      <c r="AF63650" s="12"/>
    </row>
    <row r="63651" spans="32:32" x14ac:dyDescent="0.2">
      <c r="AF63651" s="12"/>
    </row>
    <row r="63652" spans="32:32" x14ac:dyDescent="0.2">
      <c r="AF63652" s="12"/>
    </row>
    <row r="63653" spans="32:32" x14ac:dyDescent="0.2">
      <c r="AF63653" s="12"/>
    </row>
    <row r="63654" spans="32:32" x14ac:dyDescent="0.2">
      <c r="AF63654" s="12"/>
    </row>
    <row r="63655" spans="32:32" x14ac:dyDescent="0.2">
      <c r="AF63655" s="12"/>
    </row>
    <row r="63656" spans="32:32" x14ac:dyDescent="0.2">
      <c r="AF63656" s="12"/>
    </row>
    <row r="63657" spans="32:32" x14ac:dyDescent="0.2">
      <c r="AF63657" s="12"/>
    </row>
    <row r="63658" spans="32:32" x14ac:dyDescent="0.2">
      <c r="AF63658" s="12"/>
    </row>
    <row r="63659" spans="32:32" x14ac:dyDescent="0.2">
      <c r="AF63659" s="12"/>
    </row>
    <row r="63660" spans="32:32" x14ac:dyDescent="0.2">
      <c r="AF63660" s="12"/>
    </row>
    <row r="63661" spans="32:32" x14ac:dyDescent="0.2">
      <c r="AF63661" s="12"/>
    </row>
    <row r="63662" spans="32:32" x14ac:dyDescent="0.2">
      <c r="AF63662" s="12"/>
    </row>
    <row r="63663" spans="32:32" x14ac:dyDescent="0.2">
      <c r="AF63663" s="12"/>
    </row>
    <row r="63664" spans="32:32" x14ac:dyDescent="0.2">
      <c r="AF63664" s="12"/>
    </row>
    <row r="63665" spans="32:32" x14ac:dyDescent="0.2">
      <c r="AF63665" s="12"/>
    </row>
    <row r="63666" spans="32:32" x14ac:dyDescent="0.2">
      <c r="AF63666" s="12"/>
    </row>
    <row r="63667" spans="32:32" x14ac:dyDescent="0.2">
      <c r="AF63667" s="12"/>
    </row>
    <row r="63668" spans="32:32" x14ac:dyDescent="0.2">
      <c r="AF63668" s="12"/>
    </row>
    <row r="63669" spans="32:32" x14ac:dyDescent="0.2">
      <c r="AF63669" s="12"/>
    </row>
    <row r="63670" spans="32:32" x14ac:dyDescent="0.2">
      <c r="AF63670" s="12"/>
    </row>
    <row r="63671" spans="32:32" x14ac:dyDescent="0.2">
      <c r="AF63671" s="12"/>
    </row>
    <row r="63672" spans="32:32" x14ac:dyDescent="0.2">
      <c r="AF63672" s="12"/>
    </row>
    <row r="63673" spans="32:32" x14ac:dyDescent="0.2">
      <c r="AF63673" s="12"/>
    </row>
    <row r="63674" spans="32:32" x14ac:dyDescent="0.2">
      <c r="AF63674" s="12"/>
    </row>
    <row r="63675" spans="32:32" x14ac:dyDescent="0.2">
      <c r="AF63675" s="12"/>
    </row>
    <row r="63676" spans="32:32" x14ac:dyDescent="0.2">
      <c r="AF63676" s="12"/>
    </row>
    <row r="63677" spans="32:32" x14ac:dyDescent="0.2">
      <c r="AF63677" s="12"/>
    </row>
    <row r="63678" spans="32:32" x14ac:dyDescent="0.2">
      <c r="AF63678" s="12"/>
    </row>
    <row r="63679" spans="32:32" x14ac:dyDescent="0.2">
      <c r="AF63679" s="12"/>
    </row>
    <row r="63680" spans="32:32" x14ac:dyDescent="0.2">
      <c r="AF63680" s="12"/>
    </row>
    <row r="63681" spans="32:32" x14ac:dyDescent="0.2">
      <c r="AF63681" s="12"/>
    </row>
    <row r="63682" spans="32:32" x14ac:dyDescent="0.2">
      <c r="AF63682" s="12"/>
    </row>
    <row r="63683" spans="32:32" x14ac:dyDescent="0.2">
      <c r="AF63683" s="12"/>
    </row>
    <row r="63684" spans="32:32" x14ac:dyDescent="0.2">
      <c r="AF63684" s="12"/>
    </row>
    <row r="63685" spans="32:32" x14ac:dyDescent="0.2">
      <c r="AF63685" s="12"/>
    </row>
    <row r="63686" spans="32:32" x14ac:dyDescent="0.2">
      <c r="AF63686" s="12"/>
    </row>
    <row r="63687" spans="32:32" x14ac:dyDescent="0.2">
      <c r="AF63687" s="12"/>
    </row>
    <row r="63688" spans="32:32" x14ac:dyDescent="0.2">
      <c r="AF63688" s="12"/>
    </row>
    <row r="63689" spans="32:32" x14ac:dyDescent="0.2">
      <c r="AF63689" s="12"/>
    </row>
    <row r="63690" spans="32:32" x14ac:dyDescent="0.2">
      <c r="AF63690" s="12"/>
    </row>
    <row r="63691" spans="32:32" x14ac:dyDescent="0.2">
      <c r="AF63691" s="12"/>
    </row>
    <row r="63692" spans="32:32" x14ac:dyDescent="0.2">
      <c r="AF63692" s="12"/>
    </row>
    <row r="63693" spans="32:32" x14ac:dyDescent="0.2">
      <c r="AF63693" s="12"/>
    </row>
    <row r="63694" spans="32:32" x14ac:dyDescent="0.2">
      <c r="AF63694" s="12"/>
    </row>
    <row r="63695" spans="32:32" x14ac:dyDescent="0.2">
      <c r="AF63695" s="12"/>
    </row>
    <row r="63696" spans="32:32" x14ac:dyDescent="0.2">
      <c r="AF63696" s="12"/>
    </row>
    <row r="63697" spans="32:32" x14ac:dyDescent="0.2">
      <c r="AF63697" s="12"/>
    </row>
    <row r="63698" spans="32:32" x14ac:dyDescent="0.2">
      <c r="AF63698" s="12"/>
    </row>
    <row r="63699" spans="32:32" x14ac:dyDescent="0.2">
      <c r="AF63699" s="12"/>
    </row>
    <row r="63700" spans="32:32" x14ac:dyDescent="0.2">
      <c r="AF63700" s="12"/>
    </row>
    <row r="63701" spans="32:32" x14ac:dyDescent="0.2">
      <c r="AF63701" s="12"/>
    </row>
    <row r="63702" spans="32:32" x14ac:dyDescent="0.2">
      <c r="AF63702" s="12"/>
    </row>
    <row r="63703" spans="32:32" x14ac:dyDescent="0.2">
      <c r="AF63703" s="12"/>
    </row>
    <row r="63704" spans="32:32" x14ac:dyDescent="0.2">
      <c r="AF63704" s="12"/>
    </row>
    <row r="63705" spans="32:32" x14ac:dyDescent="0.2">
      <c r="AF63705" s="12"/>
    </row>
    <row r="63706" spans="32:32" x14ac:dyDescent="0.2">
      <c r="AF63706" s="12"/>
    </row>
    <row r="63707" spans="32:32" x14ac:dyDescent="0.2">
      <c r="AF63707" s="12"/>
    </row>
    <row r="63708" spans="32:32" x14ac:dyDescent="0.2">
      <c r="AF63708" s="12"/>
    </row>
    <row r="63709" spans="32:32" x14ac:dyDescent="0.2">
      <c r="AF63709" s="12"/>
    </row>
    <row r="63710" spans="32:32" x14ac:dyDescent="0.2">
      <c r="AF63710" s="12"/>
    </row>
    <row r="63711" spans="32:32" x14ac:dyDescent="0.2">
      <c r="AF63711" s="12"/>
    </row>
    <row r="63712" spans="32:32" x14ac:dyDescent="0.2">
      <c r="AF63712" s="12"/>
    </row>
    <row r="63713" spans="32:32" x14ac:dyDescent="0.2">
      <c r="AF63713" s="12"/>
    </row>
    <row r="63714" spans="32:32" x14ac:dyDescent="0.2">
      <c r="AF63714" s="12"/>
    </row>
    <row r="63715" spans="32:32" x14ac:dyDescent="0.2">
      <c r="AF63715" s="12"/>
    </row>
    <row r="63716" spans="32:32" x14ac:dyDescent="0.2">
      <c r="AF63716" s="12"/>
    </row>
    <row r="63717" spans="32:32" x14ac:dyDescent="0.2">
      <c r="AF63717" s="12"/>
    </row>
    <row r="63718" spans="32:32" x14ac:dyDescent="0.2">
      <c r="AF63718" s="12"/>
    </row>
    <row r="63719" spans="32:32" x14ac:dyDescent="0.2">
      <c r="AF63719" s="12"/>
    </row>
    <row r="63720" spans="32:32" x14ac:dyDescent="0.2">
      <c r="AF63720" s="12"/>
    </row>
    <row r="63721" spans="32:32" x14ac:dyDescent="0.2">
      <c r="AF63721" s="12"/>
    </row>
    <row r="63722" spans="32:32" x14ac:dyDescent="0.2">
      <c r="AF63722" s="12"/>
    </row>
    <row r="63723" spans="32:32" x14ac:dyDescent="0.2">
      <c r="AF63723" s="12"/>
    </row>
    <row r="63724" spans="32:32" x14ac:dyDescent="0.2">
      <c r="AF63724" s="12"/>
    </row>
    <row r="63725" spans="32:32" x14ac:dyDescent="0.2">
      <c r="AF63725" s="12"/>
    </row>
    <row r="63726" spans="32:32" x14ac:dyDescent="0.2">
      <c r="AF63726" s="12"/>
    </row>
    <row r="63727" spans="32:32" x14ac:dyDescent="0.2">
      <c r="AF63727" s="12"/>
    </row>
    <row r="63728" spans="32:32" x14ac:dyDescent="0.2">
      <c r="AF63728" s="12"/>
    </row>
    <row r="63729" spans="32:32" x14ac:dyDescent="0.2">
      <c r="AF63729" s="12"/>
    </row>
    <row r="63730" spans="32:32" x14ac:dyDescent="0.2">
      <c r="AF63730" s="12"/>
    </row>
    <row r="63731" spans="32:32" x14ac:dyDescent="0.2">
      <c r="AF63731" s="12"/>
    </row>
    <row r="63732" spans="32:32" x14ac:dyDescent="0.2">
      <c r="AF63732" s="12"/>
    </row>
    <row r="63733" spans="32:32" x14ac:dyDescent="0.2">
      <c r="AF63733" s="12"/>
    </row>
    <row r="63734" spans="32:32" x14ac:dyDescent="0.2">
      <c r="AF63734" s="12"/>
    </row>
    <row r="63735" spans="32:32" x14ac:dyDescent="0.2">
      <c r="AF63735" s="12"/>
    </row>
    <row r="63736" spans="32:32" x14ac:dyDescent="0.2">
      <c r="AF63736" s="12"/>
    </row>
    <row r="63737" spans="32:32" x14ac:dyDescent="0.2">
      <c r="AF63737" s="12"/>
    </row>
    <row r="63738" spans="32:32" x14ac:dyDescent="0.2">
      <c r="AF63738" s="12"/>
    </row>
    <row r="63739" spans="32:32" x14ac:dyDescent="0.2">
      <c r="AF63739" s="12"/>
    </row>
    <row r="63740" spans="32:32" x14ac:dyDescent="0.2">
      <c r="AF63740" s="12"/>
    </row>
    <row r="63741" spans="32:32" x14ac:dyDescent="0.2">
      <c r="AF63741" s="12"/>
    </row>
    <row r="63742" spans="32:32" x14ac:dyDescent="0.2">
      <c r="AF63742" s="12"/>
    </row>
    <row r="63743" spans="32:32" x14ac:dyDescent="0.2">
      <c r="AF63743" s="12"/>
    </row>
    <row r="63744" spans="32:32" x14ac:dyDescent="0.2">
      <c r="AF63744" s="12"/>
    </row>
    <row r="63745" spans="32:32" x14ac:dyDescent="0.2">
      <c r="AF63745" s="12"/>
    </row>
    <row r="63746" spans="32:32" x14ac:dyDescent="0.2">
      <c r="AF63746" s="12"/>
    </row>
    <row r="63747" spans="32:32" x14ac:dyDescent="0.2">
      <c r="AF63747" s="12"/>
    </row>
    <row r="63748" spans="32:32" x14ac:dyDescent="0.2">
      <c r="AF63748" s="12"/>
    </row>
    <row r="63749" spans="32:32" x14ac:dyDescent="0.2">
      <c r="AF63749" s="12"/>
    </row>
    <row r="63750" spans="32:32" x14ac:dyDescent="0.2">
      <c r="AF63750" s="12"/>
    </row>
    <row r="63751" spans="32:32" x14ac:dyDescent="0.2">
      <c r="AF63751" s="12"/>
    </row>
    <row r="63752" spans="32:32" x14ac:dyDescent="0.2">
      <c r="AF63752" s="12"/>
    </row>
    <row r="63753" spans="32:32" x14ac:dyDescent="0.2">
      <c r="AF63753" s="12"/>
    </row>
    <row r="63754" spans="32:32" x14ac:dyDescent="0.2">
      <c r="AF63754" s="12"/>
    </row>
    <row r="63755" spans="32:32" x14ac:dyDescent="0.2">
      <c r="AF63755" s="12"/>
    </row>
    <row r="63756" spans="32:32" x14ac:dyDescent="0.2">
      <c r="AF63756" s="12"/>
    </row>
    <row r="63757" spans="32:32" x14ac:dyDescent="0.2">
      <c r="AF63757" s="12"/>
    </row>
    <row r="63758" spans="32:32" x14ac:dyDescent="0.2">
      <c r="AF63758" s="12"/>
    </row>
    <row r="63759" spans="32:32" x14ac:dyDescent="0.2">
      <c r="AF63759" s="12"/>
    </row>
    <row r="63760" spans="32:32" x14ac:dyDescent="0.2">
      <c r="AF63760" s="12"/>
    </row>
    <row r="63761" spans="32:32" x14ac:dyDescent="0.2">
      <c r="AF63761" s="12"/>
    </row>
    <row r="63762" spans="32:32" x14ac:dyDescent="0.2">
      <c r="AF63762" s="12"/>
    </row>
    <row r="63763" spans="32:32" x14ac:dyDescent="0.2">
      <c r="AF63763" s="12"/>
    </row>
    <row r="63764" spans="32:32" x14ac:dyDescent="0.2">
      <c r="AF63764" s="12"/>
    </row>
    <row r="63765" spans="32:32" x14ac:dyDescent="0.2">
      <c r="AF63765" s="12"/>
    </row>
    <row r="63766" spans="32:32" x14ac:dyDescent="0.2">
      <c r="AF63766" s="12"/>
    </row>
    <row r="63767" spans="32:32" x14ac:dyDescent="0.2">
      <c r="AF63767" s="12"/>
    </row>
    <row r="63768" spans="32:32" x14ac:dyDescent="0.2">
      <c r="AF63768" s="12"/>
    </row>
    <row r="63769" spans="32:32" x14ac:dyDescent="0.2">
      <c r="AF63769" s="12"/>
    </row>
    <row r="63770" spans="32:32" x14ac:dyDescent="0.2">
      <c r="AF63770" s="12"/>
    </row>
    <row r="63771" spans="32:32" x14ac:dyDescent="0.2">
      <c r="AF63771" s="12"/>
    </row>
    <row r="63772" spans="32:32" x14ac:dyDescent="0.2">
      <c r="AF63772" s="12"/>
    </row>
    <row r="63773" spans="32:32" x14ac:dyDescent="0.2">
      <c r="AF63773" s="12"/>
    </row>
    <row r="63774" spans="32:32" x14ac:dyDescent="0.2">
      <c r="AF63774" s="12"/>
    </row>
    <row r="63775" spans="32:32" x14ac:dyDescent="0.2">
      <c r="AF63775" s="12"/>
    </row>
    <row r="63776" spans="32:32" x14ac:dyDescent="0.2">
      <c r="AF63776" s="12"/>
    </row>
    <row r="63777" spans="32:32" x14ac:dyDescent="0.2">
      <c r="AF63777" s="12"/>
    </row>
    <row r="63778" spans="32:32" x14ac:dyDescent="0.2">
      <c r="AF63778" s="12"/>
    </row>
    <row r="63779" spans="32:32" x14ac:dyDescent="0.2">
      <c r="AF63779" s="12"/>
    </row>
    <row r="63780" spans="32:32" x14ac:dyDescent="0.2">
      <c r="AF63780" s="12"/>
    </row>
    <row r="63781" spans="32:32" x14ac:dyDescent="0.2">
      <c r="AF63781" s="12"/>
    </row>
    <row r="63782" spans="32:32" x14ac:dyDescent="0.2">
      <c r="AF63782" s="12"/>
    </row>
    <row r="63783" spans="32:32" x14ac:dyDescent="0.2">
      <c r="AF63783" s="12"/>
    </row>
    <row r="63784" spans="32:32" x14ac:dyDescent="0.2">
      <c r="AF63784" s="12"/>
    </row>
    <row r="63785" spans="32:32" x14ac:dyDescent="0.2">
      <c r="AF63785" s="12"/>
    </row>
    <row r="63786" spans="32:32" x14ac:dyDescent="0.2">
      <c r="AF63786" s="12"/>
    </row>
    <row r="63787" spans="32:32" x14ac:dyDescent="0.2">
      <c r="AF63787" s="12"/>
    </row>
    <row r="63788" spans="32:32" x14ac:dyDescent="0.2">
      <c r="AF63788" s="12"/>
    </row>
    <row r="63789" spans="32:32" x14ac:dyDescent="0.2">
      <c r="AF63789" s="12"/>
    </row>
    <row r="63790" spans="32:32" x14ac:dyDescent="0.2">
      <c r="AF63790" s="12"/>
    </row>
    <row r="63791" spans="32:32" x14ac:dyDescent="0.2">
      <c r="AF63791" s="12"/>
    </row>
    <row r="63792" spans="32:32" x14ac:dyDescent="0.2">
      <c r="AF63792" s="12"/>
    </row>
    <row r="63793" spans="32:32" x14ac:dyDescent="0.2">
      <c r="AF63793" s="12"/>
    </row>
    <row r="63794" spans="32:32" x14ac:dyDescent="0.2">
      <c r="AF63794" s="12"/>
    </row>
    <row r="63795" spans="32:32" x14ac:dyDescent="0.2">
      <c r="AF63795" s="12"/>
    </row>
    <row r="63796" spans="32:32" x14ac:dyDescent="0.2">
      <c r="AF63796" s="12"/>
    </row>
    <row r="63797" spans="32:32" x14ac:dyDescent="0.2">
      <c r="AF63797" s="12"/>
    </row>
    <row r="63798" spans="32:32" x14ac:dyDescent="0.2">
      <c r="AF63798" s="12"/>
    </row>
    <row r="63799" spans="32:32" x14ac:dyDescent="0.2">
      <c r="AF63799" s="12"/>
    </row>
    <row r="63800" spans="32:32" x14ac:dyDescent="0.2">
      <c r="AF63800" s="12"/>
    </row>
    <row r="63801" spans="32:32" x14ac:dyDescent="0.2">
      <c r="AF63801" s="12"/>
    </row>
    <row r="63802" spans="32:32" x14ac:dyDescent="0.2">
      <c r="AF63802" s="12"/>
    </row>
    <row r="63803" spans="32:32" x14ac:dyDescent="0.2">
      <c r="AF63803" s="12"/>
    </row>
    <row r="63804" spans="32:32" x14ac:dyDescent="0.2">
      <c r="AF63804" s="12"/>
    </row>
    <row r="63805" spans="32:32" x14ac:dyDescent="0.2">
      <c r="AF63805" s="12"/>
    </row>
    <row r="63806" spans="32:32" x14ac:dyDescent="0.2">
      <c r="AF63806" s="12"/>
    </row>
    <row r="63807" spans="32:32" x14ac:dyDescent="0.2">
      <c r="AF63807" s="12"/>
    </row>
    <row r="63808" spans="32:32" x14ac:dyDescent="0.2">
      <c r="AF63808" s="12"/>
    </row>
    <row r="63809" spans="32:32" x14ac:dyDescent="0.2">
      <c r="AF63809" s="12"/>
    </row>
    <row r="63810" spans="32:32" x14ac:dyDescent="0.2">
      <c r="AF63810" s="12"/>
    </row>
    <row r="63811" spans="32:32" x14ac:dyDescent="0.2">
      <c r="AF63811" s="12"/>
    </row>
    <row r="63812" spans="32:32" x14ac:dyDescent="0.2">
      <c r="AF63812" s="12"/>
    </row>
    <row r="63813" spans="32:32" x14ac:dyDescent="0.2">
      <c r="AF63813" s="12"/>
    </row>
    <row r="63814" spans="32:32" x14ac:dyDescent="0.2">
      <c r="AF63814" s="12"/>
    </row>
    <row r="63815" spans="32:32" x14ac:dyDescent="0.2">
      <c r="AF63815" s="12"/>
    </row>
    <row r="63816" spans="32:32" x14ac:dyDescent="0.2">
      <c r="AF63816" s="12"/>
    </row>
    <row r="63817" spans="32:32" x14ac:dyDescent="0.2">
      <c r="AF63817" s="12"/>
    </row>
    <row r="63818" spans="32:32" x14ac:dyDescent="0.2">
      <c r="AF63818" s="12"/>
    </row>
    <row r="63819" spans="32:32" x14ac:dyDescent="0.2">
      <c r="AF63819" s="12"/>
    </row>
    <row r="63820" spans="32:32" x14ac:dyDescent="0.2">
      <c r="AF63820" s="12"/>
    </row>
    <row r="63821" spans="32:32" x14ac:dyDescent="0.2">
      <c r="AF63821" s="12"/>
    </row>
    <row r="63822" spans="32:32" x14ac:dyDescent="0.2">
      <c r="AF63822" s="12"/>
    </row>
    <row r="63823" spans="32:32" x14ac:dyDescent="0.2">
      <c r="AF63823" s="12"/>
    </row>
    <row r="63824" spans="32:32" x14ac:dyDescent="0.2">
      <c r="AF63824" s="12"/>
    </row>
    <row r="63825" spans="32:32" x14ac:dyDescent="0.2">
      <c r="AF63825" s="12"/>
    </row>
    <row r="63826" spans="32:32" x14ac:dyDescent="0.2">
      <c r="AF63826" s="12"/>
    </row>
    <row r="63827" spans="32:32" x14ac:dyDescent="0.2">
      <c r="AF63827" s="12"/>
    </row>
    <row r="63828" spans="32:32" x14ac:dyDescent="0.2">
      <c r="AF63828" s="12"/>
    </row>
    <row r="63829" spans="32:32" x14ac:dyDescent="0.2">
      <c r="AF63829" s="12"/>
    </row>
    <row r="63830" spans="32:32" x14ac:dyDescent="0.2">
      <c r="AF63830" s="12"/>
    </row>
    <row r="63831" spans="32:32" x14ac:dyDescent="0.2">
      <c r="AF63831" s="12"/>
    </row>
    <row r="63832" spans="32:32" x14ac:dyDescent="0.2">
      <c r="AF63832" s="12"/>
    </row>
    <row r="63833" spans="32:32" x14ac:dyDescent="0.2">
      <c r="AF63833" s="12"/>
    </row>
    <row r="63834" spans="32:32" x14ac:dyDescent="0.2">
      <c r="AF63834" s="12"/>
    </row>
    <row r="63835" spans="32:32" x14ac:dyDescent="0.2">
      <c r="AF63835" s="12"/>
    </row>
    <row r="63836" spans="32:32" x14ac:dyDescent="0.2">
      <c r="AF63836" s="12"/>
    </row>
    <row r="63837" spans="32:32" x14ac:dyDescent="0.2">
      <c r="AF63837" s="12"/>
    </row>
    <row r="63838" spans="32:32" x14ac:dyDescent="0.2">
      <c r="AF63838" s="12"/>
    </row>
    <row r="63839" spans="32:32" x14ac:dyDescent="0.2">
      <c r="AF63839" s="12"/>
    </row>
    <row r="63840" spans="32:32" x14ac:dyDescent="0.2">
      <c r="AF63840" s="12"/>
    </row>
    <row r="63841" spans="32:32" x14ac:dyDescent="0.2">
      <c r="AF63841" s="12"/>
    </row>
    <row r="63842" spans="32:32" x14ac:dyDescent="0.2">
      <c r="AF63842" s="12"/>
    </row>
    <row r="63843" spans="32:32" x14ac:dyDescent="0.2">
      <c r="AF63843" s="12"/>
    </row>
    <row r="63844" spans="32:32" x14ac:dyDescent="0.2">
      <c r="AF63844" s="12"/>
    </row>
    <row r="63845" spans="32:32" x14ac:dyDescent="0.2">
      <c r="AF63845" s="12"/>
    </row>
    <row r="63846" spans="32:32" x14ac:dyDescent="0.2">
      <c r="AF63846" s="12"/>
    </row>
    <row r="63847" spans="32:32" x14ac:dyDescent="0.2">
      <c r="AF63847" s="12"/>
    </row>
    <row r="63848" spans="32:32" x14ac:dyDescent="0.2">
      <c r="AF63848" s="12"/>
    </row>
    <row r="63849" spans="32:32" x14ac:dyDescent="0.2">
      <c r="AF63849" s="12"/>
    </row>
    <row r="63850" spans="32:32" x14ac:dyDescent="0.2">
      <c r="AF63850" s="12"/>
    </row>
    <row r="63851" spans="32:32" x14ac:dyDescent="0.2">
      <c r="AF63851" s="12"/>
    </row>
    <row r="63852" spans="32:32" x14ac:dyDescent="0.2">
      <c r="AF63852" s="12"/>
    </row>
    <row r="63853" spans="32:32" x14ac:dyDescent="0.2">
      <c r="AF63853" s="12"/>
    </row>
    <row r="63854" spans="32:32" x14ac:dyDescent="0.2">
      <c r="AF63854" s="12"/>
    </row>
    <row r="63855" spans="32:32" x14ac:dyDescent="0.2">
      <c r="AF63855" s="12"/>
    </row>
    <row r="63856" spans="32:32" x14ac:dyDescent="0.2">
      <c r="AF63856" s="12"/>
    </row>
    <row r="63857" spans="32:32" x14ac:dyDescent="0.2">
      <c r="AF63857" s="12"/>
    </row>
    <row r="63858" spans="32:32" x14ac:dyDescent="0.2">
      <c r="AF63858" s="12"/>
    </row>
    <row r="63859" spans="32:32" x14ac:dyDescent="0.2">
      <c r="AF63859" s="12"/>
    </row>
    <row r="63860" spans="32:32" x14ac:dyDescent="0.2">
      <c r="AF63860" s="12"/>
    </row>
    <row r="63861" spans="32:32" x14ac:dyDescent="0.2">
      <c r="AF63861" s="12"/>
    </row>
    <row r="63862" spans="32:32" x14ac:dyDescent="0.2">
      <c r="AF63862" s="12"/>
    </row>
    <row r="63863" spans="32:32" x14ac:dyDescent="0.2">
      <c r="AF63863" s="12"/>
    </row>
    <row r="63864" spans="32:32" x14ac:dyDescent="0.2">
      <c r="AF63864" s="12"/>
    </row>
    <row r="63865" spans="32:32" x14ac:dyDescent="0.2">
      <c r="AF63865" s="12"/>
    </row>
    <row r="63866" spans="32:32" x14ac:dyDescent="0.2">
      <c r="AF63866" s="12"/>
    </row>
    <row r="63867" spans="32:32" x14ac:dyDescent="0.2">
      <c r="AF63867" s="12"/>
    </row>
    <row r="63868" spans="32:32" x14ac:dyDescent="0.2">
      <c r="AF63868" s="12"/>
    </row>
    <row r="63869" spans="32:32" x14ac:dyDescent="0.2">
      <c r="AF63869" s="12"/>
    </row>
    <row r="63870" spans="32:32" x14ac:dyDescent="0.2">
      <c r="AF63870" s="12"/>
    </row>
    <row r="63871" spans="32:32" x14ac:dyDescent="0.2">
      <c r="AF63871" s="12"/>
    </row>
    <row r="63872" spans="32:32" x14ac:dyDescent="0.2">
      <c r="AF63872" s="12"/>
    </row>
    <row r="63873" spans="32:32" x14ac:dyDescent="0.2">
      <c r="AF63873" s="12"/>
    </row>
    <row r="63874" spans="32:32" x14ac:dyDescent="0.2">
      <c r="AF63874" s="12"/>
    </row>
    <row r="63875" spans="32:32" x14ac:dyDescent="0.2">
      <c r="AF63875" s="12"/>
    </row>
    <row r="63876" spans="32:32" x14ac:dyDescent="0.2">
      <c r="AF63876" s="12"/>
    </row>
    <row r="63877" spans="32:32" x14ac:dyDescent="0.2">
      <c r="AF63877" s="12"/>
    </row>
    <row r="63878" spans="32:32" x14ac:dyDescent="0.2">
      <c r="AF63878" s="12"/>
    </row>
    <row r="63879" spans="32:32" x14ac:dyDescent="0.2">
      <c r="AF63879" s="12"/>
    </row>
    <row r="63880" spans="32:32" x14ac:dyDescent="0.2">
      <c r="AF63880" s="12"/>
    </row>
    <row r="63881" spans="32:32" x14ac:dyDescent="0.2">
      <c r="AF63881" s="12"/>
    </row>
    <row r="63882" spans="32:32" x14ac:dyDescent="0.2">
      <c r="AF63882" s="12"/>
    </row>
    <row r="63883" spans="32:32" x14ac:dyDescent="0.2">
      <c r="AF63883" s="12"/>
    </row>
    <row r="63884" spans="32:32" x14ac:dyDescent="0.2">
      <c r="AF63884" s="12"/>
    </row>
    <row r="63885" spans="32:32" x14ac:dyDescent="0.2">
      <c r="AF63885" s="12"/>
    </row>
    <row r="63886" spans="32:32" x14ac:dyDescent="0.2">
      <c r="AF63886" s="12"/>
    </row>
    <row r="63887" spans="32:32" x14ac:dyDescent="0.2">
      <c r="AF63887" s="12"/>
    </row>
    <row r="63888" spans="32:32" x14ac:dyDescent="0.2">
      <c r="AF63888" s="12"/>
    </row>
    <row r="63889" spans="32:32" x14ac:dyDescent="0.2">
      <c r="AF63889" s="12"/>
    </row>
    <row r="63890" spans="32:32" x14ac:dyDescent="0.2">
      <c r="AF63890" s="12"/>
    </row>
    <row r="63891" spans="32:32" x14ac:dyDescent="0.2">
      <c r="AF63891" s="12"/>
    </row>
    <row r="63892" spans="32:32" x14ac:dyDescent="0.2">
      <c r="AF63892" s="12"/>
    </row>
    <row r="63893" spans="32:32" x14ac:dyDescent="0.2">
      <c r="AF63893" s="12"/>
    </row>
    <row r="63894" spans="32:32" x14ac:dyDescent="0.2">
      <c r="AF63894" s="12"/>
    </row>
    <row r="63895" spans="32:32" x14ac:dyDescent="0.2">
      <c r="AF63895" s="12"/>
    </row>
    <row r="63896" spans="32:32" x14ac:dyDescent="0.2">
      <c r="AF63896" s="12"/>
    </row>
    <row r="63897" spans="32:32" x14ac:dyDescent="0.2">
      <c r="AF63897" s="12"/>
    </row>
    <row r="63898" spans="32:32" x14ac:dyDescent="0.2">
      <c r="AF63898" s="12"/>
    </row>
    <row r="63899" spans="32:32" x14ac:dyDescent="0.2">
      <c r="AF63899" s="12"/>
    </row>
    <row r="63900" spans="32:32" x14ac:dyDescent="0.2">
      <c r="AF63900" s="12"/>
    </row>
    <row r="63901" spans="32:32" x14ac:dyDescent="0.2">
      <c r="AF63901" s="12"/>
    </row>
    <row r="63902" spans="32:32" x14ac:dyDescent="0.2">
      <c r="AF63902" s="12"/>
    </row>
    <row r="63903" spans="32:32" x14ac:dyDescent="0.2">
      <c r="AF63903" s="12"/>
    </row>
    <row r="63904" spans="32:32" x14ac:dyDescent="0.2">
      <c r="AF63904" s="12"/>
    </row>
    <row r="63905" spans="32:32" x14ac:dyDescent="0.2">
      <c r="AF63905" s="12"/>
    </row>
    <row r="63906" spans="32:32" x14ac:dyDescent="0.2">
      <c r="AF63906" s="12"/>
    </row>
    <row r="63907" spans="32:32" x14ac:dyDescent="0.2">
      <c r="AF63907" s="12"/>
    </row>
    <row r="63908" spans="32:32" x14ac:dyDescent="0.2">
      <c r="AF63908" s="12"/>
    </row>
    <row r="63909" spans="32:32" x14ac:dyDescent="0.2">
      <c r="AF63909" s="12"/>
    </row>
    <row r="63910" spans="32:32" x14ac:dyDescent="0.2">
      <c r="AF63910" s="12"/>
    </row>
    <row r="63911" spans="32:32" x14ac:dyDescent="0.2">
      <c r="AF63911" s="12"/>
    </row>
    <row r="63912" spans="32:32" x14ac:dyDescent="0.2">
      <c r="AF63912" s="12"/>
    </row>
    <row r="63913" spans="32:32" x14ac:dyDescent="0.2">
      <c r="AF63913" s="12"/>
    </row>
    <row r="63914" spans="32:32" x14ac:dyDescent="0.2">
      <c r="AF63914" s="12"/>
    </row>
    <row r="63915" spans="32:32" x14ac:dyDescent="0.2">
      <c r="AF63915" s="12"/>
    </row>
    <row r="63916" spans="32:32" x14ac:dyDescent="0.2">
      <c r="AF63916" s="12"/>
    </row>
    <row r="63917" spans="32:32" x14ac:dyDescent="0.2">
      <c r="AF63917" s="12"/>
    </row>
    <row r="63918" spans="32:32" x14ac:dyDescent="0.2">
      <c r="AF63918" s="12"/>
    </row>
    <row r="63919" spans="32:32" x14ac:dyDescent="0.2">
      <c r="AF63919" s="12"/>
    </row>
    <row r="63920" spans="32:32" x14ac:dyDescent="0.2">
      <c r="AF63920" s="12"/>
    </row>
    <row r="63921" spans="32:32" x14ac:dyDescent="0.2">
      <c r="AF63921" s="12"/>
    </row>
    <row r="63922" spans="32:32" x14ac:dyDescent="0.2">
      <c r="AF63922" s="12"/>
    </row>
    <row r="63923" spans="32:32" x14ac:dyDescent="0.2">
      <c r="AF63923" s="12"/>
    </row>
    <row r="63924" spans="32:32" x14ac:dyDescent="0.2">
      <c r="AF63924" s="12"/>
    </row>
    <row r="63925" spans="32:32" x14ac:dyDescent="0.2">
      <c r="AF63925" s="12"/>
    </row>
    <row r="63926" spans="32:32" x14ac:dyDescent="0.2">
      <c r="AF63926" s="12"/>
    </row>
    <row r="63927" spans="32:32" x14ac:dyDescent="0.2">
      <c r="AF63927" s="12"/>
    </row>
    <row r="63928" spans="32:32" x14ac:dyDescent="0.2">
      <c r="AF63928" s="12"/>
    </row>
    <row r="63929" spans="32:32" x14ac:dyDescent="0.2">
      <c r="AF63929" s="12"/>
    </row>
    <row r="63930" spans="32:32" x14ac:dyDescent="0.2">
      <c r="AF63930" s="12"/>
    </row>
    <row r="63931" spans="32:32" x14ac:dyDescent="0.2">
      <c r="AF63931" s="12"/>
    </row>
    <row r="63932" spans="32:32" x14ac:dyDescent="0.2">
      <c r="AF63932" s="12"/>
    </row>
    <row r="63933" spans="32:32" x14ac:dyDescent="0.2">
      <c r="AF63933" s="12"/>
    </row>
    <row r="63934" spans="32:32" x14ac:dyDescent="0.2">
      <c r="AF63934" s="12"/>
    </row>
    <row r="63935" spans="32:32" x14ac:dyDescent="0.2">
      <c r="AF63935" s="12"/>
    </row>
    <row r="63936" spans="32:32" x14ac:dyDescent="0.2">
      <c r="AF63936" s="12"/>
    </row>
    <row r="63937" spans="32:32" x14ac:dyDescent="0.2">
      <c r="AF63937" s="12"/>
    </row>
    <row r="63938" spans="32:32" x14ac:dyDescent="0.2">
      <c r="AF63938" s="12"/>
    </row>
    <row r="63939" spans="32:32" x14ac:dyDescent="0.2">
      <c r="AF63939" s="12"/>
    </row>
    <row r="63940" spans="32:32" x14ac:dyDescent="0.2">
      <c r="AF63940" s="12"/>
    </row>
    <row r="63941" spans="32:32" x14ac:dyDescent="0.2">
      <c r="AF63941" s="12"/>
    </row>
    <row r="63942" spans="32:32" x14ac:dyDescent="0.2">
      <c r="AF63942" s="12"/>
    </row>
    <row r="63943" spans="32:32" x14ac:dyDescent="0.2">
      <c r="AF63943" s="12"/>
    </row>
    <row r="63944" spans="32:32" x14ac:dyDescent="0.2">
      <c r="AF63944" s="12"/>
    </row>
    <row r="63945" spans="32:32" x14ac:dyDescent="0.2">
      <c r="AF63945" s="12"/>
    </row>
    <row r="63946" spans="32:32" x14ac:dyDescent="0.2">
      <c r="AF63946" s="12"/>
    </row>
    <row r="63947" spans="32:32" x14ac:dyDescent="0.2">
      <c r="AF63947" s="12"/>
    </row>
    <row r="63948" spans="32:32" x14ac:dyDescent="0.2">
      <c r="AF63948" s="12"/>
    </row>
    <row r="63949" spans="32:32" x14ac:dyDescent="0.2">
      <c r="AF63949" s="12"/>
    </row>
    <row r="63950" spans="32:32" x14ac:dyDescent="0.2">
      <c r="AF63950" s="12"/>
    </row>
    <row r="63951" spans="32:32" x14ac:dyDescent="0.2">
      <c r="AF63951" s="12"/>
    </row>
    <row r="63952" spans="32:32" x14ac:dyDescent="0.2">
      <c r="AF63952" s="12"/>
    </row>
    <row r="63953" spans="32:32" x14ac:dyDescent="0.2">
      <c r="AF63953" s="12"/>
    </row>
    <row r="63954" spans="32:32" x14ac:dyDescent="0.2">
      <c r="AF63954" s="12"/>
    </row>
    <row r="63955" spans="32:32" x14ac:dyDescent="0.2">
      <c r="AF63955" s="12"/>
    </row>
    <row r="63956" spans="32:32" x14ac:dyDescent="0.2">
      <c r="AF63956" s="12"/>
    </row>
    <row r="63957" spans="32:32" x14ac:dyDescent="0.2">
      <c r="AF63957" s="12"/>
    </row>
    <row r="63958" spans="32:32" x14ac:dyDescent="0.2">
      <c r="AF63958" s="12"/>
    </row>
    <row r="63959" spans="32:32" x14ac:dyDescent="0.2">
      <c r="AF63959" s="12"/>
    </row>
    <row r="63960" spans="32:32" x14ac:dyDescent="0.2">
      <c r="AF63960" s="12"/>
    </row>
    <row r="63961" spans="32:32" x14ac:dyDescent="0.2">
      <c r="AF63961" s="12"/>
    </row>
    <row r="63962" spans="32:32" x14ac:dyDescent="0.2">
      <c r="AF63962" s="12"/>
    </row>
    <row r="63963" spans="32:32" x14ac:dyDescent="0.2">
      <c r="AF63963" s="12"/>
    </row>
    <row r="63964" spans="32:32" x14ac:dyDescent="0.2">
      <c r="AF63964" s="12"/>
    </row>
    <row r="63965" spans="32:32" x14ac:dyDescent="0.2">
      <c r="AF63965" s="12"/>
    </row>
    <row r="63966" spans="32:32" x14ac:dyDescent="0.2">
      <c r="AF63966" s="12"/>
    </row>
    <row r="63967" spans="32:32" x14ac:dyDescent="0.2">
      <c r="AF63967" s="12"/>
    </row>
    <row r="63968" spans="32:32" x14ac:dyDescent="0.2">
      <c r="AF63968" s="12"/>
    </row>
    <row r="63969" spans="32:32" x14ac:dyDescent="0.2">
      <c r="AF63969" s="12"/>
    </row>
    <row r="63970" spans="32:32" x14ac:dyDescent="0.2">
      <c r="AF63970" s="12"/>
    </row>
    <row r="63971" spans="32:32" x14ac:dyDescent="0.2">
      <c r="AF63971" s="12"/>
    </row>
    <row r="63972" spans="32:32" x14ac:dyDescent="0.2">
      <c r="AF63972" s="12"/>
    </row>
    <row r="63973" spans="32:32" x14ac:dyDescent="0.2">
      <c r="AF63973" s="12"/>
    </row>
    <row r="63974" spans="32:32" x14ac:dyDescent="0.2">
      <c r="AF63974" s="12"/>
    </row>
    <row r="63975" spans="32:32" x14ac:dyDescent="0.2">
      <c r="AF63975" s="12"/>
    </row>
    <row r="63976" spans="32:32" x14ac:dyDescent="0.2">
      <c r="AF63976" s="12"/>
    </row>
    <row r="63977" spans="32:32" x14ac:dyDescent="0.2">
      <c r="AF63977" s="12"/>
    </row>
    <row r="63978" spans="32:32" x14ac:dyDescent="0.2">
      <c r="AF63978" s="12"/>
    </row>
    <row r="63979" spans="32:32" x14ac:dyDescent="0.2">
      <c r="AF63979" s="12"/>
    </row>
    <row r="63980" spans="32:32" x14ac:dyDescent="0.2">
      <c r="AF63980" s="12"/>
    </row>
    <row r="63981" spans="32:32" x14ac:dyDescent="0.2">
      <c r="AF63981" s="12"/>
    </row>
    <row r="63982" spans="32:32" x14ac:dyDescent="0.2">
      <c r="AF63982" s="12"/>
    </row>
    <row r="63983" spans="32:32" x14ac:dyDescent="0.2">
      <c r="AF63983" s="12"/>
    </row>
    <row r="63984" spans="32:32" x14ac:dyDescent="0.2">
      <c r="AF63984" s="12"/>
    </row>
    <row r="63985" spans="32:32" x14ac:dyDescent="0.2">
      <c r="AF63985" s="12"/>
    </row>
    <row r="63986" spans="32:32" x14ac:dyDescent="0.2">
      <c r="AF63986" s="12"/>
    </row>
    <row r="63987" spans="32:32" x14ac:dyDescent="0.2">
      <c r="AF63987" s="12"/>
    </row>
    <row r="63988" spans="32:32" x14ac:dyDescent="0.2">
      <c r="AF63988" s="12"/>
    </row>
    <row r="63989" spans="32:32" x14ac:dyDescent="0.2">
      <c r="AF63989" s="12"/>
    </row>
    <row r="63990" spans="32:32" x14ac:dyDescent="0.2">
      <c r="AF63990" s="12"/>
    </row>
    <row r="63991" spans="32:32" x14ac:dyDescent="0.2">
      <c r="AF63991" s="12"/>
    </row>
    <row r="63992" spans="32:32" x14ac:dyDescent="0.2">
      <c r="AF63992" s="12"/>
    </row>
    <row r="63993" spans="32:32" x14ac:dyDescent="0.2">
      <c r="AF63993" s="12"/>
    </row>
    <row r="63994" spans="32:32" x14ac:dyDescent="0.2">
      <c r="AF63994" s="12"/>
    </row>
    <row r="63995" spans="32:32" x14ac:dyDescent="0.2">
      <c r="AF63995" s="12"/>
    </row>
    <row r="63996" spans="32:32" x14ac:dyDescent="0.2">
      <c r="AF63996" s="12"/>
    </row>
    <row r="63997" spans="32:32" x14ac:dyDescent="0.2">
      <c r="AF63997" s="12"/>
    </row>
    <row r="63998" spans="32:32" x14ac:dyDescent="0.2">
      <c r="AF63998" s="12"/>
    </row>
    <row r="63999" spans="32:32" x14ac:dyDescent="0.2">
      <c r="AF63999" s="12"/>
    </row>
    <row r="64000" spans="32:32" x14ac:dyDescent="0.2">
      <c r="AF64000" s="12"/>
    </row>
    <row r="64001" spans="32:32" x14ac:dyDescent="0.2">
      <c r="AF64001" s="12"/>
    </row>
    <row r="64002" spans="32:32" x14ac:dyDescent="0.2">
      <c r="AF64002" s="12"/>
    </row>
    <row r="64003" spans="32:32" x14ac:dyDescent="0.2">
      <c r="AF64003" s="12"/>
    </row>
    <row r="64004" spans="32:32" x14ac:dyDescent="0.2">
      <c r="AF64004" s="12"/>
    </row>
    <row r="64005" spans="32:32" x14ac:dyDescent="0.2">
      <c r="AF64005" s="12"/>
    </row>
    <row r="64006" spans="32:32" x14ac:dyDescent="0.2">
      <c r="AF64006" s="12"/>
    </row>
    <row r="64007" spans="32:32" x14ac:dyDescent="0.2">
      <c r="AF64007" s="12"/>
    </row>
    <row r="64008" spans="32:32" x14ac:dyDescent="0.2">
      <c r="AF64008" s="12"/>
    </row>
    <row r="64009" spans="32:32" x14ac:dyDescent="0.2">
      <c r="AF64009" s="12"/>
    </row>
    <row r="64010" spans="32:32" x14ac:dyDescent="0.2">
      <c r="AF64010" s="12"/>
    </row>
    <row r="64011" spans="32:32" x14ac:dyDescent="0.2">
      <c r="AF64011" s="12"/>
    </row>
    <row r="64012" spans="32:32" x14ac:dyDescent="0.2">
      <c r="AF64012" s="12"/>
    </row>
    <row r="64013" spans="32:32" x14ac:dyDescent="0.2">
      <c r="AF64013" s="12"/>
    </row>
    <row r="64014" spans="32:32" x14ac:dyDescent="0.2">
      <c r="AF64014" s="12"/>
    </row>
    <row r="64015" spans="32:32" x14ac:dyDescent="0.2">
      <c r="AF64015" s="12"/>
    </row>
    <row r="64016" spans="32:32" x14ac:dyDescent="0.2">
      <c r="AF64016" s="12"/>
    </row>
    <row r="64017" spans="32:32" x14ac:dyDescent="0.2">
      <c r="AF64017" s="12"/>
    </row>
    <row r="64018" spans="32:32" x14ac:dyDescent="0.2">
      <c r="AF64018" s="12"/>
    </row>
    <row r="64019" spans="32:32" x14ac:dyDescent="0.2">
      <c r="AF64019" s="12"/>
    </row>
    <row r="64020" spans="32:32" x14ac:dyDescent="0.2">
      <c r="AF64020" s="12"/>
    </row>
    <row r="64021" spans="32:32" x14ac:dyDescent="0.2">
      <c r="AF64021" s="12"/>
    </row>
    <row r="64022" spans="32:32" x14ac:dyDescent="0.2">
      <c r="AF64022" s="12"/>
    </row>
    <row r="64023" spans="32:32" x14ac:dyDescent="0.2">
      <c r="AF64023" s="12"/>
    </row>
    <row r="64024" spans="32:32" x14ac:dyDescent="0.2">
      <c r="AF64024" s="12"/>
    </row>
    <row r="64025" spans="32:32" x14ac:dyDescent="0.2">
      <c r="AF64025" s="12"/>
    </row>
    <row r="64026" spans="32:32" x14ac:dyDescent="0.2">
      <c r="AF64026" s="12"/>
    </row>
    <row r="64027" spans="32:32" x14ac:dyDescent="0.2">
      <c r="AF64027" s="12"/>
    </row>
    <row r="64028" spans="32:32" x14ac:dyDescent="0.2">
      <c r="AF64028" s="12"/>
    </row>
    <row r="64029" spans="32:32" x14ac:dyDescent="0.2">
      <c r="AF64029" s="12"/>
    </row>
    <row r="64030" spans="32:32" x14ac:dyDescent="0.2">
      <c r="AF64030" s="12"/>
    </row>
    <row r="64031" spans="32:32" x14ac:dyDescent="0.2">
      <c r="AF64031" s="12"/>
    </row>
    <row r="64032" spans="32:32" x14ac:dyDescent="0.2">
      <c r="AF64032" s="12"/>
    </row>
    <row r="64033" spans="32:32" x14ac:dyDescent="0.2">
      <c r="AF64033" s="12"/>
    </row>
    <row r="64034" spans="32:32" x14ac:dyDescent="0.2">
      <c r="AF64034" s="12"/>
    </row>
    <row r="64035" spans="32:32" x14ac:dyDescent="0.2">
      <c r="AF64035" s="12"/>
    </row>
    <row r="64036" spans="32:32" x14ac:dyDescent="0.2">
      <c r="AF64036" s="12"/>
    </row>
    <row r="64037" spans="32:32" x14ac:dyDescent="0.2">
      <c r="AF64037" s="12"/>
    </row>
    <row r="64038" spans="32:32" x14ac:dyDescent="0.2">
      <c r="AF64038" s="12"/>
    </row>
    <row r="64039" spans="32:32" x14ac:dyDescent="0.2">
      <c r="AF64039" s="12"/>
    </row>
    <row r="64040" spans="32:32" x14ac:dyDescent="0.2">
      <c r="AF64040" s="12"/>
    </row>
    <row r="64041" spans="32:32" x14ac:dyDescent="0.2">
      <c r="AF64041" s="12"/>
    </row>
    <row r="64042" spans="32:32" x14ac:dyDescent="0.2">
      <c r="AF64042" s="12"/>
    </row>
    <row r="64043" spans="32:32" x14ac:dyDescent="0.2">
      <c r="AF64043" s="12"/>
    </row>
    <row r="64044" spans="32:32" x14ac:dyDescent="0.2">
      <c r="AF64044" s="12"/>
    </row>
    <row r="64045" spans="32:32" x14ac:dyDescent="0.2">
      <c r="AF64045" s="12"/>
    </row>
    <row r="64046" spans="32:32" x14ac:dyDescent="0.2">
      <c r="AF64046" s="12"/>
    </row>
    <row r="64047" spans="32:32" x14ac:dyDescent="0.2">
      <c r="AF64047" s="12"/>
    </row>
    <row r="64048" spans="32:32" x14ac:dyDescent="0.2">
      <c r="AF64048" s="12"/>
    </row>
    <row r="64049" spans="32:32" x14ac:dyDescent="0.2">
      <c r="AF64049" s="12"/>
    </row>
    <row r="64050" spans="32:32" x14ac:dyDescent="0.2">
      <c r="AF64050" s="12"/>
    </row>
    <row r="64051" spans="32:32" x14ac:dyDescent="0.2">
      <c r="AF64051" s="12"/>
    </row>
    <row r="64052" spans="32:32" x14ac:dyDescent="0.2">
      <c r="AF64052" s="12"/>
    </row>
    <row r="64053" spans="32:32" x14ac:dyDescent="0.2">
      <c r="AF64053" s="12"/>
    </row>
    <row r="64054" spans="32:32" x14ac:dyDescent="0.2">
      <c r="AF64054" s="12"/>
    </row>
    <row r="64055" spans="32:32" x14ac:dyDescent="0.2">
      <c r="AF64055" s="12"/>
    </row>
    <row r="64056" spans="32:32" x14ac:dyDescent="0.2">
      <c r="AF64056" s="12"/>
    </row>
    <row r="64057" spans="32:32" x14ac:dyDescent="0.2">
      <c r="AF64057" s="12"/>
    </row>
    <row r="64058" spans="32:32" x14ac:dyDescent="0.2">
      <c r="AF64058" s="12"/>
    </row>
    <row r="64059" spans="32:32" x14ac:dyDescent="0.2">
      <c r="AF64059" s="12"/>
    </row>
    <row r="64060" spans="32:32" x14ac:dyDescent="0.2">
      <c r="AF64060" s="12"/>
    </row>
    <row r="64061" spans="32:32" x14ac:dyDescent="0.2">
      <c r="AF64061" s="12"/>
    </row>
    <row r="64062" spans="32:32" x14ac:dyDescent="0.2">
      <c r="AF64062" s="12"/>
    </row>
    <row r="64063" spans="32:32" x14ac:dyDescent="0.2">
      <c r="AF64063" s="12"/>
    </row>
    <row r="64064" spans="32:32" x14ac:dyDescent="0.2">
      <c r="AF64064" s="12"/>
    </row>
    <row r="64065" spans="32:32" x14ac:dyDescent="0.2">
      <c r="AF64065" s="12"/>
    </row>
    <row r="64066" spans="32:32" x14ac:dyDescent="0.2">
      <c r="AF64066" s="12"/>
    </row>
    <row r="64067" spans="32:32" x14ac:dyDescent="0.2">
      <c r="AF64067" s="12"/>
    </row>
    <row r="64068" spans="32:32" x14ac:dyDescent="0.2">
      <c r="AF64068" s="12"/>
    </row>
    <row r="64069" spans="32:32" x14ac:dyDescent="0.2">
      <c r="AF64069" s="12"/>
    </row>
    <row r="64070" spans="32:32" x14ac:dyDescent="0.2">
      <c r="AF64070" s="12"/>
    </row>
    <row r="64071" spans="32:32" x14ac:dyDescent="0.2">
      <c r="AF64071" s="12"/>
    </row>
    <row r="64072" spans="32:32" x14ac:dyDescent="0.2">
      <c r="AF64072" s="12"/>
    </row>
    <row r="64073" spans="32:32" x14ac:dyDescent="0.2">
      <c r="AF64073" s="12"/>
    </row>
    <row r="64074" spans="32:32" x14ac:dyDescent="0.2">
      <c r="AF64074" s="12"/>
    </row>
    <row r="64075" spans="32:32" x14ac:dyDescent="0.2">
      <c r="AF64075" s="12"/>
    </row>
    <row r="64076" spans="32:32" x14ac:dyDescent="0.2">
      <c r="AF64076" s="12"/>
    </row>
    <row r="64077" spans="32:32" x14ac:dyDescent="0.2">
      <c r="AF64077" s="12"/>
    </row>
    <row r="64078" spans="32:32" x14ac:dyDescent="0.2">
      <c r="AF64078" s="12"/>
    </row>
    <row r="64079" spans="32:32" x14ac:dyDescent="0.2">
      <c r="AF64079" s="12"/>
    </row>
    <row r="64080" spans="32:32" x14ac:dyDescent="0.2">
      <c r="AF64080" s="12"/>
    </row>
    <row r="64081" spans="32:32" x14ac:dyDescent="0.2">
      <c r="AF64081" s="12"/>
    </row>
    <row r="64082" spans="32:32" x14ac:dyDescent="0.2">
      <c r="AF64082" s="12"/>
    </row>
    <row r="64083" spans="32:32" x14ac:dyDescent="0.2">
      <c r="AF64083" s="12"/>
    </row>
    <row r="64084" spans="32:32" x14ac:dyDescent="0.2">
      <c r="AF64084" s="12"/>
    </row>
    <row r="64085" spans="32:32" x14ac:dyDescent="0.2">
      <c r="AF64085" s="12"/>
    </row>
    <row r="64086" spans="32:32" x14ac:dyDescent="0.2">
      <c r="AF64086" s="12"/>
    </row>
    <row r="64087" spans="32:32" x14ac:dyDescent="0.2">
      <c r="AF64087" s="12"/>
    </row>
    <row r="64088" spans="32:32" x14ac:dyDescent="0.2">
      <c r="AF64088" s="12"/>
    </row>
    <row r="64089" spans="32:32" x14ac:dyDescent="0.2">
      <c r="AF64089" s="12"/>
    </row>
    <row r="64090" spans="32:32" x14ac:dyDescent="0.2">
      <c r="AF64090" s="12"/>
    </row>
    <row r="64091" spans="32:32" x14ac:dyDescent="0.2">
      <c r="AF64091" s="12"/>
    </row>
    <row r="64092" spans="32:32" x14ac:dyDescent="0.2">
      <c r="AF64092" s="12"/>
    </row>
    <row r="64093" spans="32:32" x14ac:dyDescent="0.2">
      <c r="AF64093" s="12"/>
    </row>
    <row r="64094" spans="32:32" x14ac:dyDescent="0.2">
      <c r="AF64094" s="12"/>
    </row>
    <row r="64095" spans="32:32" x14ac:dyDescent="0.2">
      <c r="AF64095" s="12"/>
    </row>
    <row r="64096" spans="32:32" x14ac:dyDescent="0.2">
      <c r="AF64096" s="12"/>
    </row>
    <row r="64097" spans="32:32" x14ac:dyDescent="0.2">
      <c r="AF64097" s="12"/>
    </row>
    <row r="64098" spans="32:32" x14ac:dyDescent="0.2">
      <c r="AF64098" s="12"/>
    </row>
    <row r="64099" spans="32:32" x14ac:dyDescent="0.2">
      <c r="AF64099" s="12"/>
    </row>
    <row r="64100" spans="32:32" x14ac:dyDescent="0.2">
      <c r="AF64100" s="12"/>
    </row>
    <row r="64101" spans="32:32" x14ac:dyDescent="0.2">
      <c r="AF64101" s="12"/>
    </row>
    <row r="64102" spans="32:32" x14ac:dyDescent="0.2">
      <c r="AF64102" s="12"/>
    </row>
    <row r="64103" spans="32:32" x14ac:dyDescent="0.2">
      <c r="AF64103" s="12"/>
    </row>
    <row r="64104" spans="32:32" x14ac:dyDescent="0.2">
      <c r="AF64104" s="12"/>
    </row>
    <row r="64105" spans="32:32" x14ac:dyDescent="0.2">
      <c r="AF64105" s="12"/>
    </row>
    <row r="64106" spans="32:32" x14ac:dyDescent="0.2">
      <c r="AF64106" s="12"/>
    </row>
    <row r="64107" spans="32:32" x14ac:dyDescent="0.2">
      <c r="AF64107" s="12"/>
    </row>
    <row r="64108" spans="32:32" x14ac:dyDescent="0.2">
      <c r="AF64108" s="12"/>
    </row>
    <row r="64109" spans="32:32" x14ac:dyDescent="0.2">
      <c r="AF64109" s="12"/>
    </row>
    <row r="64110" spans="32:32" x14ac:dyDescent="0.2">
      <c r="AF64110" s="12"/>
    </row>
    <row r="64111" spans="32:32" x14ac:dyDescent="0.2">
      <c r="AF64111" s="12"/>
    </row>
    <row r="64112" spans="32:32" x14ac:dyDescent="0.2">
      <c r="AF64112" s="12"/>
    </row>
    <row r="64113" spans="32:32" x14ac:dyDescent="0.2">
      <c r="AF64113" s="12"/>
    </row>
    <row r="64114" spans="32:32" x14ac:dyDescent="0.2">
      <c r="AF64114" s="12"/>
    </row>
    <row r="64115" spans="32:32" x14ac:dyDescent="0.2">
      <c r="AF64115" s="12"/>
    </row>
    <row r="64116" spans="32:32" x14ac:dyDescent="0.2">
      <c r="AF64116" s="12"/>
    </row>
    <row r="64117" spans="32:32" x14ac:dyDescent="0.2">
      <c r="AF64117" s="12"/>
    </row>
    <row r="64118" spans="32:32" x14ac:dyDescent="0.2">
      <c r="AF64118" s="12"/>
    </row>
    <row r="64119" spans="32:32" x14ac:dyDescent="0.2">
      <c r="AF64119" s="12"/>
    </row>
    <row r="64120" spans="32:32" x14ac:dyDescent="0.2">
      <c r="AF64120" s="12"/>
    </row>
    <row r="64121" spans="32:32" x14ac:dyDescent="0.2">
      <c r="AF64121" s="12"/>
    </row>
    <row r="64122" spans="32:32" x14ac:dyDescent="0.2">
      <c r="AF64122" s="12"/>
    </row>
    <row r="64123" spans="32:32" x14ac:dyDescent="0.2">
      <c r="AF64123" s="12"/>
    </row>
    <row r="64124" spans="32:32" x14ac:dyDescent="0.2">
      <c r="AF64124" s="12"/>
    </row>
    <row r="64125" spans="32:32" x14ac:dyDescent="0.2">
      <c r="AF64125" s="12"/>
    </row>
    <row r="64126" spans="32:32" x14ac:dyDescent="0.2">
      <c r="AF64126" s="12"/>
    </row>
    <row r="64127" spans="32:32" x14ac:dyDescent="0.2">
      <c r="AF64127" s="12"/>
    </row>
    <row r="64128" spans="32:32" x14ac:dyDescent="0.2">
      <c r="AF64128" s="12"/>
    </row>
    <row r="64129" spans="32:32" x14ac:dyDescent="0.2">
      <c r="AF64129" s="12"/>
    </row>
    <row r="64130" spans="32:32" x14ac:dyDescent="0.2">
      <c r="AF64130" s="12"/>
    </row>
    <row r="64131" spans="32:32" x14ac:dyDescent="0.2">
      <c r="AF64131" s="12"/>
    </row>
    <row r="64132" spans="32:32" x14ac:dyDescent="0.2">
      <c r="AF64132" s="12"/>
    </row>
    <row r="64133" spans="32:32" x14ac:dyDescent="0.2">
      <c r="AF64133" s="12"/>
    </row>
    <row r="64134" spans="32:32" x14ac:dyDescent="0.2">
      <c r="AF64134" s="12"/>
    </row>
    <row r="64135" spans="32:32" x14ac:dyDescent="0.2">
      <c r="AF64135" s="12"/>
    </row>
    <row r="64136" spans="32:32" x14ac:dyDescent="0.2">
      <c r="AF64136" s="12"/>
    </row>
    <row r="64137" spans="32:32" x14ac:dyDescent="0.2">
      <c r="AF64137" s="12"/>
    </row>
    <row r="64138" spans="32:32" x14ac:dyDescent="0.2">
      <c r="AF64138" s="12"/>
    </row>
    <row r="64139" spans="32:32" x14ac:dyDescent="0.2">
      <c r="AF64139" s="12"/>
    </row>
    <row r="64140" spans="32:32" x14ac:dyDescent="0.2">
      <c r="AF64140" s="12"/>
    </row>
    <row r="64141" spans="32:32" x14ac:dyDescent="0.2">
      <c r="AF64141" s="12"/>
    </row>
    <row r="64142" spans="32:32" x14ac:dyDescent="0.2">
      <c r="AF64142" s="12"/>
    </row>
    <row r="64143" spans="32:32" x14ac:dyDescent="0.2">
      <c r="AF64143" s="12"/>
    </row>
    <row r="64144" spans="32:32" x14ac:dyDescent="0.2">
      <c r="AF64144" s="12"/>
    </row>
    <row r="64145" spans="32:32" x14ac:dyDescent="0.2">
      <c r="AF64145" s="12"/>
    </row>
    <row r="64146" spans="32:32" x14ac:dyDescent="0.2">
      <c r="AF64146" s="12"/>
    </row>
    <row r="64147" spans="32:32" x14ac:dyDescent="0.2">
      <c r="AF64147" s="12"/>
    </row>
    <row r="64148" spans="32:32" x14ac:dyDescent="0.2">
      <c r="AF64148" s="12"/>
    </row>
    <row r="64149" spans="32:32" x14ac:dyDescent="0.2">
      <c r="AF64149" s="12"/>
    </row>
    <row r="64150" spans="32:32" x14ac:dyDescent="0.2">
      <c r="AF64150" s="12"/>
    </row>
    <row r="64151" spans="32:32" x14ac:dyDescent="0.2">
      <c r="AF64151" s="12"/>
    </row>
    <row r="64152" spans="32:32" x14ac:dyDescent="0.2">
      <c r="AF64152" s="12"/>
    </row>
    <row r="64153" spans="32:32" x14ac:dyDescent="0.2">
      <c r="AF64153" s="12"/>
    </row>
    <row r="64154" spans="32:32" x14ac:dyDescent="0.2">
      <c r="AF64154" s="12"/>
    </row>
    <row r="64155" spans="32:32" x14ac:dyDescent="0.2">
      <c r="AF64155" s="12"/>
    </row>
    <row r="64156" spans="32:32" x14ac:dyDescent="0.2">
      <c r="AF64156" s="12"/>
    </row>
    <row r="64157" spans="32:32" x14ac:dyDescent="0.2">
      <c r="AF64157" s="12"/>
    </row>
    <row r="64158" spans="32:32" x14ac:dyDescent="0.2">
      <c r="AF64158" s="12"/>
    </row>
    <row r="64159" spans="32:32" x14ac:dyDescent="0.2">
      <c r="AF64159" s="12"/>
    </row>
    <row r="64160" spans="32:32" x14ac:dyDescent="0.2">
      <c r="AF64160" s="12"/>
    </row>
    <row r="64161" spans="32:32" x14ac:dyDescent="0.2">
      <c r="AF64161" s="12"/>
    </row>
    <row r="64162" spans="32:32" x14ac:dyDescent="0.2">
      <c r="AF64162" s="12"/>
    </row>
    <row r="64163" spans="32:32" x14ac:dyDescent="0.2">
      <c r="AF64163" s="12"/>
    </row>
    <row r="64164" spans="32:32" x14ac:dyDescent="0.2">
      <c r="AF64164" s="12"/>
    </row>
    <row r="64165" spans="32:32" x14ac:dyDescent="0.2">
      <c r="AF64165" s="12"/>
    </row>
    <row r="64166" spans="32:32" x14ac:dyDescent="0.2">
      <c r="AF64166" s="12"/>
    </row>
    <row r="64167" spans="32:32" x14ac:dyDescent="0.2">
      <c r="AF64167" s="12"/>
    </row>
    <row r="64168" spans="32:32" x14ac:dyDescent="0.2">
      <c r="AF64168" s="12"/>
    </row>
    <row r="64169" spans="32:32" x14ac:dyDescent="0.2">
      <c r="AF64169" s="12"/>
    </row>
    <row r="64170" spans="32:32" x14ac:dyDescent="0.2">
      <c r="AF64170" s="12"/>
    </row>
    <row r="64171" spans="32:32" x14ac:dyDescent="0.2">
      <c r="AF64171" s="12"/>
    </row>
    <row r="64172" spans="32:32" x14ac:dyDescent="0.2">
      <c r="AF64172" s="12"/>
    </row>
    <row r="64173" spans="32:32" x14ac:dyDescent="0.2">
      <c r="AF64173" s="12"/>
    </row>
    <row r="64174" spans="32:32" x14ac:dyDescent="0.2">
      <c r="AF64174" s="12"/>
    </row>
    <row r="64175" spans="32:32" x14ac:dyDescent="0.2">
      <c r="AF64175" s="12"/>
    </row>
    <row r="64176" spans="32:32" x14ac:dyDescent="0.2">
      <c r="AF64176" s="12"/>
    </row>
    <row r="64177" spans="32:32" x14ac:dyDescent="0.2">
      <c r="AF64177" s="12"/>
    </row>
    <row r="64178" spans="32:32" x14ac:dyDescent="0.2">
      <c r="AF64178" s="12"/>
    </row>
    <row r="64179" spans="32:32" x14ac:dyDescent="0.2">
      <c r="AF64179" s="12"/>
    </row>
    <row r="64180" spans="32:32" x14ac:dyDescent="0.2">
      <c r="AF64180" s="12"/>
    </row>
    <row r="64181" spans="32:32" x14ac:dyDescent="0.2">
      <c r="AF64181" s="12"/>
    </row>
    <row r="64182" spans="32:32" x14ac:dyDescent="0.2">
      <c r="AF64182" s="12"/>
    </row>
    <row r="64183" spans="32:32" x14ac:dyDescent="0.2">
      <c r="AF64183" s="12"/>
    </row>
    <row r="64184" spans="32:32" x14ac:dyDescent="0.2">
      <c r="AF64184" s="12"/>
    </row>
    <row r="64185" spans="32:32" x14ac:dyDescent="0.2">
      <c r="AF64185" s="12"/>
    </row>
    <row r="64186" spans="32:32" x14ac:dyDescent="0.2">
      <c r="AF64186" s="12"/>
    </row>
    <row r="64187" spans="32:32" x14ac:dyDescent="0.2">
      <c r="AF64187" s="12"/>
    </row>
    <row r="64188" spans="32:32" x14ac:dyDescent="0.2">
      <c r="AF64188" s="12"/>
    </row>
    <row r="64189" spans="32:32" x14ac:dyDescent="0.2">
      <c r="AF64189" s="12"/>
    </row>
    <row r="64190" spans="32:32" x14ac:dyDescent="0.2">
      <c r="AF64190" s="12"/>
    </row>
    <row r="64191" spans="32:32" x14ac:dyDescent="0.2">
      <c r="AF64191" s="12"/>
    </row>
    <row r="64192" spans="32:32" x14ac:dyDescent="0.2">
      <c r="AF64192" s="12"/>
    </row>
    <row r="64193" spans="32:32" x14ac:dyDescent="0.2">
      <c r="AF64193" s="12"/>
    </row>
    <row r="64194" spans="32:32" x14ac:dyDescent="0.2">
      <c r="AF64194" s="12"/>
    </row>
    <row r="64195" spans="32:32" x14ac:dyDescent="0.2">
      <c r="AF64195" s="12"/>
    </row>
    <row r="64196" spans="32:32" x14ac:dyDescent="0.2">
      <c r="AF64196" s="12"/>
    </row>
    <row r="64197" spans="32:32" x14ac:dyDescent="0.2">
      <c r="AF64197" s="12"/>
    </row>
    <row r="64198" spans="32:32" x14ac:dyDescent="0.2">
      <c r="AF64198" s="12"/>
    </row>
    <row r="64199" spans="32:32" x14ac:dyDescent="0.2">
      <c r="AF64199" s="12"/>
    </row>
    <row r="64200" spans="32:32" x14ac:dyDescent="0.2">
      <c r="AF64200" s="12"/>
    </row>
    <row r="64201" spans="32:32" x14ac:dyDescent="0.2">
      <c r="AF64201" s="12"/>
    </row>
    <row r="64202" spans="32:32" x14ac:dyDescent="0.2">
      <c r="AF64202" s="12"/>
    </row>
    <row r="64203" spans="32:32" x14ac:dyDescent="0.2">
      <c r="AF64203" s="12"/>
    </row>
    <row r="64204" spans="32:32" x14ac:dyDescent="0.2">
      <c r="AF64204" s="12"/>
    </row>
    <row r="64205" spans="32:32" x14ac:dyDescent="0.2">
      <c r="AF64205" s="12"/>
    </row>
    <row r="64206" spans="32:32" x14ac:dyDescent="0.2">
      <c r="AF64206" s="12"/>
    </row>
    <row r="64207" spans="32:32" x14ac:dyDescent="0.2">
      <c r="AF64207" s="12"/>
    </row>
    <row r="64208" spans="32:32" x14ac:dyDescent="0.2">
      <c r="AF64208" s="12"/>
    </row>
    <row r="64209" spans="32:32" x14ac:dyDescent="0.2">
      <c r="AF64209" s="12"/>
    </row>
    <row r="64210" spans="32:32" x14ac:dyDescent="0.2">
      <c r="AF64210" s="12"/>
    </row>
    <row r="64211" spans="32:32" x14ac:dyDescent="0.2">
      <c r="AF64211" s="12"/>
    </row>
    <row r="64212" spans="32:32" x14ac:dyDescent="0.2">
      <c r="AF64212" s="12"/>
    </row>
    <row r="64213" spans="32:32" x14ac:dyDescent="0.2">
      <c r="AF64213" s="12"/>
    </row>
    <row r="64214" spans="32:32" x14ac:dyDescent="0.2">
      <c r="AF64214" s="12"/>
    </row>
    <row r="64215" spans="32:32" x14ac:dyDescent="0.2">
      <c r="AF64215" s="12"/>
    </row>
    <row r="64216" spans="32:32" x14ac:dyDescent="0.2">
      <c r="AF64216" s="12"/>
    </row>
    <row r="64217" spans="32:32" x14ac:dyDescent="0.2">
      <c r="AF64217" s="12"/>
    </row>
    <row r="64218" spans="32:32" x14ac:dyDescent="0.2">
      <c r="AF64218" s="12"/>
    </row>
    <row r="64219" spans="32:32" x14ac:dyDescent="0.2">
      <c r="AF64219" s="12"/>
    </row>
    <row r="64220" spans="32:32" x14ac:dyDescent="0.2">
      <c r="AF64220" s="12"/>
    </row>
    <row r="64221" spans="32:32" x14ac:dyDescent="0.2">
      <c r="AF64221" s="12"/>
    </row>
    <row r="64222" spans="32:32" x14ac:dyDescent="0.2">
      <c r="AF64222" s="12"/>
    </row>
    <row r="64223" spans="32:32" x14ac:dyDescent="0.2">
      <c r="AF64223" s="12"/>
    </row>
    <row r="64224" spans="32:32" x14ac:dyDescent="0.2">
      <c r="AF64224" s="12"/>
    </row>
    <row r="64225" spans="32:32" x14ac:dyDescent="0.2">
      <c r="AF64225" s="12"/>
    </row>
    <row r="64226" spans="32:32" x14ac:dyDescent="0.2">
      <c r="AF64226" s="12"/>
    </row>
    <row r="64227" spans="32:32" x14ac:dyDescent="0.2">
      <c r="AF64227" s="12"/>
    </row>
    <row r="64228" spans="32:32" x14ac:dyDescent="0.2">
      <c r="AF64228" s="12"/>
    </row>
    <row r="64229" spans="32:32" x14ac:dyDescent="0.2">
      <c r="AF64229" s="12"/>
    </row>
    <row r="64230" spans="32:32" x14ac:dyDescent="0.2">
      <c r="AF64230" s="12"/>
    </row>
    <row r="64231" spans="32:32" x14ac:dyDescent="0.2">
      <c r="AF64231" s="12"/>
    </row>
    <row r="64232" spans="32:32" x14ac:dyDescent="0.2">
      <c r="AF64232" s="12"/>
    </row>
    <row r="64233" spans="32:32" x14ac:dyDescent="0.2">
      <c r="AF64233" s="12"/>
    </row>
    <row r="64234" spans="32:32" x14ac:dyDescent="0.2">
      <c r="AF64234" s="12"/>
    </row>
    <row r="64235" spans="32:32" x14ac:dyDescent="0.2">
      <c r="AF64235" s="12"/>
    </row>
    <row r="64236" spans="32:32" x14ac:dyDescent="0.2">
      <c r="AF64236" s="12"/>
    </row>
    <row r="64237" spans="32:32" x14ac:dyDescent="0.2">
      <c r="AF64237" s="12"/>
    </row>
    <row r="64238" spans="32:32" x14ac:dyDescent="0.2">
      <c r="AF64238" s="12"/>
    </row>
    <row r="64239" spans="32:32" x14ac:dyDescent="0.2">
      <c r="AF64239" s="12"/>
    </row>
    <row r="64240" spans="32:32" x14ac:dyDescent="0.2">
      <c r="AF64240" s="12"/>
    </row>
    <row r="64241" spans="32:32" x14ac:dyDescent="0.2">
      <c r="AF64241" s="12"/>
    </row>
    <row r="64242" spans="32:32" x14ac:dyDescent="0.2">
      <c r="AF64242" s="12"/>
    </row>
    <row r="64243" spans="32:32" x14ac:dyDescent="0.2">
      <c r="AF64243" s="12"/>
    </row>
    <row r="64244" spans="32:32" x14ac:dyDescent="0.2">
      <c r="AF64244" s="12"/>
    </row>
    <row r="64245" spans="32:32" x14ac:dyDescent="0.2">
      <c r="AF64245" s="12"/>
    </row>
    <row r="64246" spans="32:32" x14ac:dyDescent="0.2">
      <c r="AF64246" s="12"/>
    </row>
    <row r="64247" spans="32:32" x14ac:dyDescent="0.2">
      <c r="AF64247" s="12"/>
    </row>
    <row r="64248" spans="32:32" x14ac:dyDescent="0.2">
      <c r="AF64248" s="12"/>
    </row>
    <row r="64249" spans="32:32" x14ac:dyDescent="0.2">
      <c r="AF64249" s="12"/>
    </row>
    <row r="64250" spans="32:32" x14ac:dyDescent="0.2">
      <c r="AF64250" s="12"/>
    </row>
    <row r="64251" spans="32:32" x14ac:dyDescent="0.2">
      <c r="AF64251" s="12"/>
    </row>
    <row r="64252" spans="32:32" x14ac:dyDescent="0.2">
      <c r="AF64252" s="12"/>
    </row>
    <row r="64253" spans="32:32" x14ac:dyDescent="0.2">
      <c r="AF64253" s="12"/>
    </row>
    <row r="64254" spans="32:32" x14ac:dyDescent="0.2">
      <c r="AF64254" s="12"/>
    </row>
    <row r="64255" spans="32:32" x14ac:dyDescent="0.2">
      <c r="AF64255" s="12"/>
    </row>
    <row r="64256" spans="32:32" x14ac:dyDescent="0.2">
      <c r="AF64256" s="12"/>
    </row>
    <row r="64257" spans="32:32" x14ac:dyDescent="0.2">
      <c r="AF64257" s="12"/>
    </row>
    <row r="64258" spans="32:32" x14ac:dyDescent="0.2">
      <c r="AF64258" s="12"/>
    </row>
    <row r="64259" spans="32:32" x14ac:dyDescent="0.2">
      <c r="AF64259" s="12"/>
    </row>
    <row r="64260" spans="32:32" x14ac:dyDescent="0.2">
      <c r="AF64260" s="12"/>
    </row>
    <row r="64261" spans="32:32" x14ac:dyDescent="0.2">
      <c r="AF64261" s="12"/>
    </row>
    <row r="64262" spans="32:32" x14ac:dyDescent="0.2">
      <c r="AF64262" s="12"/>
    </row>
    <row r="64263" spans="32:32" x14ac:dyDescent="0.2">
      <c r="AF64263" s="12"/>
    </row>
    <row r="64264" spans="32:32" x14ac:dyDescent="0.2">
      <c r="AF64264" s="12"/>
    </row>
    <row r="64265" spans="32:32" x14ac:dyDescent="0.2">
      <c r="AF64265" s="12"/>
    </row>
    <row r="64266" spans="32:32" x14ac:dyDescent="0.2">
      <c r="AF64266" s="12"/>
    </row>
    <row r="64267" spans="32:32" x14ac:dyDescent="0.2">
      <c r="AF64267" s="12"/>
    </row>
    <row r="64268" spans="32:32" x14ac:dyDescent="0.2">
      <c r="AF64268" s="12"/>
    </row>
    <row r="64269" spans="32:32" x14ac:dyDescent="0.2">
      <c r="AF64269" s="12"/>
    </row>
    <row r="64270" spans="32:32" x14ac:dyDescent="0.2">
      <c r="AF64270" s="12"/>
    </row>
    <row r="64271" spans="32:32" x14ac:dyDescent="0.2">
      <c r="AF64271" s="12"/>
    </row>
    <row r="64272" spans="32:32" x14ac:dyDescent="0.2">
      <c r="AF64272" s="12"/>
    </row>
    <row r="64273" spans="32:32" x14ac:dyDescent="0.2">
      <c r="AF64273" s="12"/>
    </row>
    <row r="64274" spans="32:32" x14ac:dyDescent="0.2">
      <c r="AF64274" s="12"/>
    </row>
    <row r="64275" spans="32:32" x14ac:dyDescent="0.2">
      <c r="AF64275" s="12"/>
    </row>
    <row r="64276" spans="32:32" x14ac:dyDescent="0.2">
      <c r="AF64276" s="12"/>
    </row>
    <row r="64277" spans="32:32" x14ac:dyDescent="0.2">
      <c r="AF64277" s="12"/>
    </row>
    <row r="64278" spans="32:32" x14ac:dyDescent="0.2">
      <c r="AF64278" s="12"/>
    </row>
    <row r="64279" spans="32:32" x14ac:dyDescent="0.2">
      <c r="AF64279" s="12"/>
    </row>
    <row r="64280" spans="32:32" x14ac:dyDescent="0.2">
      <c r="AF64280" s="12"/>
    </row>
    <row r="64281" spans="32:32" x14ac:dyDescent="0.2">
      <c r="AF64281" s="12"/>
    </row>
    <row r="64282" spans="32:32" x14ac:dyDescent="0.2">
      <c r="AF64282" s="12"/>
    </row>
    <row r="64283" spans="32:32" x14ac:dyDescent="0.2">
      <c r="AF64283" s="12"/>
    </row>
    <row r="64284" spans="32:32" x14ac:dyDescent="0.2">
      <c r="AF64284" s="12"/>
    </row>
    <row r="64285" spans="32:32" x14ac:dyDescent="0.2">
      <c r="AF64285" s="12"/>
    </row>
    <row r="64286" spans="32:32" x14ac:dyDescent="0.2">
      <c r="AF64286" s="12"/>
    </row>
    <row r="64287" spans="32:32" x14ac:dyDescent="0.2">
      <c r="AF64287" s="12"/>
    </row>
    <row r="64288" spans="32:32" x14ac:dyDescent="0.2">
      <c r="AF64288" s="12"/>
    </row>
    <row r="64289" spans="32:32" x14ac:dyDescent="0.2">
      <c r="AF64289" s="12"/>
    </row>
    <row r="64290" spans="32:32" x14ac:dyDescent="0.2">
      <c r="AF64290" s="12"/>
    </row>
    <row r="64291" spans="32:32" x14ac:dyDescent="0.2">
      <c r="AF64291" s="12"/>
    </row>
    <row r="64292" spans="32:32" x14ac:dyDescent="0.2">
      <c r="AF64292" s="12"/>
    </row>
    <row r="64293" spans="32:32" x14ac:dyDescent="0.2">
      <c r="AF64293" s="12"/>
    </row>
    <row r="64294" spans="32:32" x14ac:dyDescent="0.2">
      <c r="AF64294" s="12"/>
    </row>
    <row r="64295" spans="32:32" x14ac:dyDescent="0.2">
      <c r="AF64295" s="12"/>
    </row>
    <row r="64296" spans="32:32" x14ac:dyDescent="0.2">
      <c r="AF64296" s="12"/>
    </row>
    <row r="64297" spans="32:32" x14ac:dyDescent="0.2">
      <c r="AF64297" s="12"/>
    </row>
    <row r="64298" spans="32:32" x14ac:dyDescent="0.2">
      <c r="AF64298" s="12"/>
    </row>
    <row r="64299" spans="32:32" x14ac:dyDescent="0.2">
      <c r="AF64299" s="12"/>
    </row>
    <row r="64300" spans="32:32" x14ac:dyDescent="0.2">
      <c r="AF64300" s="12"/>
    </row>
    <row r="64301" spans="32:32" x14ac:dyDescent="0.2">
      <c r="AF64301" s="12"/>
    </row>
    <row r="64302" spans="32:32" x14ac:dyDescent="0.2">
      <c r="AF64302" s="12"/>
    </row>
    <row r="64303" spans="32:32" x14ac:dyDescent="0.2">
      <c r="AF64303" s="12"/>
    </row>
    <row r="64304" spans="32:32" x14ac:dyDescent="0.2">
      <c r="AF64304" s="12"/>
    </row>
    <row r="64305" spans="32:32" x14ac:dyDescent="0.2">
      <c r="AF64305" s="12"/>
    </row>
    <row r="64306" spans="32:32" x14ac:dyDescent="0.2">
      <c r="AF64306" s="12"/>
    </row>
    <row r="64307" spans="32:32" x14ac:dyDescent="0.2">
      <c r="AF64307" s="12"/>
    </row>
    <row r="64308" spans="32:32" x14ac:dyDescent="0.2">
      <c r="AF64308" s="12"/>
    </row>
    <row r="64309" spans="32:32" x14ac:dyDescent="0.2">
      <c r="AF64309" s="12"/>
    </row>
    <row r="64310" spans="32:32" x14ac:dyDescent="0.2">
      <c r="AF64310" s="12"/>
    </row>
    <row r="64311" spans="32:32" x14ac:dyDescent="0.2">
      <c r="AF64311" s="12"/>
    </row>
    <row r="64312" spans="32:32" x14ac:dyDescent="0.2">
      <c r="AF64312" s="12"/>
    </row>
    <row r="64313" spans="32:32" x14ac:dyDescent="0.2">
      <c r="AF64313" s="12"/>
    </row>
    <row r="64314" spans="32:32" x14ac:dyDescent="0.2">
      <c r="AF64314" s="12"/>
    </row>
    <row r="64315" spans="32:32" x14ac:dyDescent="0.2">
      <c r="AF64315" s="12"/>
    </row>
    <row r="64316" spans="32:32" x14ac:dyDescent="0.2">
      <c r="AF64316" s="12"/>
    </row>
    <row r="64317" spans="32:32" x14ac:dyDescent="0.2">
      <c r="AF64317" s="12"/>
    </row>
    <row r="64318" spans="32:32" x14ac:dyDescent="0.2">
      <c r="AF64318" s="12"/>
    </row>
    <row r="64319" spans="32:32" x14ac:dyDescent="0.2">
      <c r="AF64319" s="12"/>
    </row>
    <row r="64320" spans="32:32" x14ac:dyDescent="0.2">
      <c r="AF64320" s="12"/>
    </row>
    <row r="64321" spans="32:32" x14ac:dyDescent="0.2">
      <c r="AF64321" s="12"/>
    </row>
    <row r="64322" spans="32:32" x14ac:dyDescent="0.2">
      <c r="AF64322" s="12"/>
    </row>
    <row r="64323" spans="32:32" x14ac:dyDescent="0.2">
      <c r="AF64323" s="12"/>
    </row>
    <row r="64324" spans="32:32" x14ac:dyDescent="0.2">
      <c r="AF64324" s="12"/>
    </row>
    <row r="64325" spans="32:32" x14ac:dyDescent="0.2">
      <c r="AF64325" s="12"/>
    </row>
    <row r="64326" spans="32:32" x14ac:dyDescent="0.2">
      <c r="AF64326" s="12"/>
    </row>
    <row r="64327" spans="32:32" x14ac:dyDescent="0.2">
      <c r="AF64327" s="12"/>
    </row>
    <row r="64328" spans="32:32" x14ac:dyDescent="0.2">
      <c r="AF64328" s="12"/>
    </row>
    <row r="64329" spans="32:32" x14ac:dyDescent="0.2">
      <c r="AF64329" s="12"/>
    </row>
    <row r="64330" spans="32:32" x14ac:dyDescent="0.2">
      <c r="AF64330" s="12"/>
    </row>
    <row r="64331" spans="32:32" x14ac:dyDescent="0.2">
      <c r="AF64331" s="12"/>
    </row>
    <row r="64332" spans="32:32" x14ac:dyDescent="0.2">
      <c r="AF64332" s="12"/>
    </row>
    <row r="64333" spans="32:32" x14ac:dyDescent="0.2">
      <c r="AF64333" s="12"/>
    </row>
    <row r="64334" spans="32:32" x14ac:dyDescent="0.2">
      <c r="AF64334" s="12"/>
    </row>
    <row r="64335" spans="32:32" x14ac:dyDescent="0.2">
      <c r="AF64335" s="12"/>
    </row>
    <row r="64336" spans="32:32" x14ac:dyDescent="0.2">
      <c r="AF64336" s="12"/>
    </row>
    <row r="64337" spans="32:32" x14ac:dyDescent="0.2">
      <c r="AF64337" s="12"/>
    </row>
    <row r="64338" spans="32:32" x14ac:dyDescent="0.2">
      <c r="AF64338" s="12"/>
    </row>
    <row r="64339" spans="32:32" x14ac:dyDescent="0.2">
      <c r="AF64339" s="12"/>
    </row>
    <row r="64340" spans="32:32" x14ac:dyDescent="0.2">
      <c r="AF64340" s="12"/>
    </row>
    <row r="64341" spans="32:32" x14ac:dyDescent="0.2">
      <c r="AF64341" s="12"/>
    </row>
    <row r="64342" spans="32:32" x14ac:dyDescent="0.2">
      <c r="AF64342" s="12"/>
    </row>
    <row r="64343" spans="32:32" x14ac:dyDescent="0.2">
      <c r="AF64343" s="12"/>
    </row>
    <row r="64344" spans="32:32" x14ac:dyDescent="0.2">
      <c r="AF64344" s="12"/>
    </row>
    <row r="64345" spans="32:32" x14ac:dyDescent="0.2">
      <c r="AF64345" s="12"/>
    </row>
    <row r="64346" spans="32:32" x14ac:dyDescent="0.2">
      <c r="AF64346" s="12"/>
    </row>
    <row r="64347" spans="32:32" x14ac:dyDescent="0.2">
      <c r="AF64347" s="12"/>
    </row>
    <row r="64348" spans="32:32" x14ac:dyDescent="0.2">
      <c r="AF64348" s="12"/>
    </row>
    <row r="64349" spans="32:32" x14ac:dyDescent="0.2">
      <c r="AF64349" s="12"/>
    </row>
    <row r="64350" spans="32:32" x14ac:dyDescent="0.2">
      <c r="AF64350" s="12"/>
    </row>
    <row r="64351" spans="32:32" x14ac:dyDescent="0.2">
      <c r="AF64351" s="12"/>
    </row>
    <row r="64352" spans="32:32" x14ac:dyDescent="0.2">
      <c r="AF64352" s="12"/>
    </row>
    <row r="64353" spans="32:32" x14ac:dyDescent="0.2">
      <c r="AF64353" s="12"/>
    </row>
    <row r="64354" spans="32:32" x14ac:dyDescent="0.2">
      <c r="AF64354" s="12"/>
    </row>
    <row r="64355" spans="32:32" x14ac:dyDescent="0.2">
      <c r="AF64355" s="12"/>
    </row>
    <row r="64356" spans="32:32" x14ac:dyDescent="0.2">
      <c r="AF64356" s="12"/>
    </row>
    <row r="64357" spans="32:32" x14ac:dyDescent="0.2">
      <c r="AF64357" s="12"/>
    </row>
    <row r="64358" spans="32:32" x14ac:dyDescent="0.2">
      <c r="AF64358" s="12"/>
    </row>
    <row r="64359" spans="32:32" x14ac:dyDescent="0.2">
      <c r="AF64359" s="12"/>
    </row>
    <row r="64360" spans="32:32" x14ac:dyDescent="0.2">
      <c r="AF64360" s="12"/>
    </row>
    <row r="64361" spans="32:32" x14ac:dyDescent="0.2">
      <c r="AF64361" s="12"/>
    </row>
    <row r="64362" spans="32:32" x14ac:dyDescent="0.2">
      <c r="AF64362" s="12"/>
    </row>
    <row r="64363" spans="32:32" x14ac:dyDescent="0.2">
      <c r="AF64363" s="12"/>
    </row>
    <row r="64364" spans="32:32" x14ac:dyDescent="0.2">
      <c r="AF64364" s="12"/>
    </row>
    <row r="64365" spans="32:32" x14ac:dyDescent="0.2">
      <c r="AF64365" s="12"/>
    </row>
    <row r="64366" spans="32:32" x14ac:dyDescent="0.2">
      <c r="AF64366" s="12"/>
    </row>
    <row r="64367" spans="32:32" x14ac:dyDescent="0.2">
      <c r="AF64367" s="12"/>
    </row>
    <row r="64368" spans="32:32" x14ac:dyDescent="0.2">
      <c r="AF64368" s="12"/>
    </row>
    <row r="64369" spans="32:32" x14ac:dyDescent="0.2">
      <c r="AF64369" s="12"/>
    </row>
    <row r="64370" spans="32:32" x14ac:dyDescent="0.2">
      <c r="AF64370" s="12"/>
    </row>
    <row r="64371" spans="32:32" x14ac:dyDescent="0.2">
      <c r="AF64371" s="12"/>
    </row>
    <row r="64372" spans="32:32" x14ac:dyDescent="0.2">
      <c r="AF64372" s="12"/>
    </row>
    <row r="64373" spans="32:32" x14ac:dyDescent="0.2">
      <c r="AF64373" s="12"/>
    </row>
    <row r="64374" spans="32:32" x14ac:dyDescent="0.2">
      <c r="AF64374" s="12"/>
    </row>
    <row r="64375" spans="32:32" x14ac:dyDescent="0.2">
      <c r="AF64375" s="12"/>
    </row>
    <row r="64376" spans="32:32" x14ac:dyDescent="0.2">
      <c r="AF64376" s="12"/>
    </row>
    <row r="64377" spans="32:32" x14ac:dyDescent="0.2">
      <c r="AF64377" s="12"/>
    </row>
    <row r="64378" spans="32:32" x14ac:dyDescent="0.2">
      <c r="AF64378" s="12"/>
    </row>
    <row r="64379" spans="32:32" x14ac:dyDescent="0.2">
      <c r="AF64379" s="12"/>
    </row>
    <row r="64380" spans="32:32" x14ac:dyDescent="0.2">
      <c r="AF64380" s="12"/>
    </row>
    <row r="64381" spans="32:32" x14ac:dyDescent="0.2">
      <c r="AF64381" s="12"/>
    </row>
    <row r="64382" spans="32:32" x14ac:dyDescent="0.2">
      <c r="AF64382" s="12"/>
    </row>
    <row r="64383" spans="32:32" x14ac:dyDescent="0.2">
      <c r="AF64383" s="12"/>
    </row>
    <row r="64384" spans="32:32" x14ac:dyDescent="0.2">
      <c r="AF64384" s="12"/>
    </row>
    <row r="64385" spans="32:32" x14ac:dyDescent="0.2">
      <c r="AF64385" s="12"/>
    </row>
    <row r="64386" spans="32:32" x14ac:dyDescent="0.2">
      <c r="AF64386" s="12"/>
    </row>
    <row r="64387" spans="32:32" x14ac:dyDescent="0.2">
      <c r="AF64387" s="12"/>
    </row>
    <row r="64388" spans="32:32" x14ac:dyDescent="0.2">
      <c r="AF64388" s="12"/>
    </row>
    <row r="64389" spans="32:32" x14ac:dyDescent="0.2">
      <c r="AF64389" s="12"/>
    </row>
    <row r="64390" spans="32:32" x14ac:dyDescent="0.2">
      <c r="AF64390" s="12"/>
    </row>
    <row r="64391" spans="32:32" x14ac:dyDescent="0.2">
      <c r="AF64391" s="12"/>
    </row>
    <row r="64392" spans="32:32" x14ac:dyDescent="0.2">
      <c r="AF64392" s="12"/>
    </row>
    <row r="64393" spans="32:32" x14ac:dyDescent="0.2">
      <c r="AF64393" s="12"/>
    </row>
    <row r="64394" spans="32:32" x14ac:dyDescent="0.2">
      <c r="AF64394" s="12"/>
    </row>
    <row r="64395" spans="32:32" x14ac:dyDescent="0.2">
      <c r="AF64395" s="12"/>
    </row>
    <row r="64396" spans="32:32" x14ac:dyDescent="0.2">
      <c r="AF64396" s="12"/>
    </row>
    <row r="64397" spans="32:32" x14ac:dyDescent="0.2">
      <c r="AF64397" s="12"/>
    </row>
    <row r="64398" spans="32:32" x14ac:dyDescent="0.2">
      <c r="AF64398" s="12"/>
    </row>
    <row r="64399" spans="32:32" x14ac:dyDescent="0.2">
      <c r="AF64399" s="12"/>
    </row>
    <row r="64400" spans="32:32" x14ac:dyDescent="0.2">
      <c r="AF64400" s="12"/>
    </row>
    <row r="64401" spans="32:32" x14ac:dyDescent="0.2">
      <c r="AF64401" s="12"/>
    </row>
    <row r="64402" spans="32:32" x14ac:dyDescent="0.2">
      <c r="AF64402" s="12"/>
    </row>
    <row r="64403" spans="32:32" x14ac:dyDescent="0.2">
      <c r="AF64403" s="12"/>
    </row>
    <row r="64404" spans="32:32" x14ac:dyDescent="0.2">
      <c r="AF64404" s="12"/>
    </row>
    <row r="64405" spans="32:32" x14ac:dyDescent="0.2">
      <c r="AF64405" s="12"/>
    </row>
    <row r="64406" spans="32:32" x14ac:dyDescent="0.2">
      <c r="AF64406" s="12"/>
    </row>
    <row r="64407" spans="32:32" x14ac:dyDescent="0.2">
      <c r="AF64407" s="12"/>
    </row>
    <row r="64408" spans="32:32" x14ac:dyDescent="0.2">
      <c r="AF64408" s="12"/>
    </row>
    <row r="64409" spans="32:32" x14ac:dyDescent="0.2">
      <c r="AF64409" s="12"/>
    </row>
    <row r="64410" spans="32:32" x14ac:dyDescent="0.2">
      <c r="AF64410" s="12"/>
    </row>
    <row r="64411" spans="32:32" x14ac:dyDescent="0.2">
      <c r="AF64411" s="12"/>
    </row>
    <row r="64412" spans="32:32" x14ac:dyDescent="0.2">
      <c r="AF64412" s="12"/>
    </row>
    <row r="64413" spans="32:32" x14ac:dyDescent="0.2">
      <c r="AF64413" s="12"/>
    </row>
    <row r="64414" spans="32:32" x14ac:dyDescent="0.2">
      <c r="AF64414" s="12"/>
    </row>
    <row r="64415" spans="32:32" x14ac:dyDescent="0.2">
      <c r="AF64415" s="12"/>
    </row>
    <row r="64416" spans="32:32" x14ac:dyDescent="0.2">
      <c r="AF64416" s="12"/>
    </row>
    <row r="64417" spans="32:32" x14ac:dyDescent="0.2">
      <c r="AF64417" s="12"/>
    </row>
    <row r="64418" spans="32:32" x14ac:dyDescent="0.2">
      <c r="AF64418" s="12"/>
    </row>
    <row r="64419" spans="32:32" x14ac:dyDescent="0.2">
      <c r="AF64419" s="12"/>
    </row>
    <row r="64420" spans="32:32" x14ac:dyDescent="0.2">
      <c r="AF64420" s="12"/>
    </row>
    <row r="64421" spans="32:32" x14ac:dyDescent="0.2">
      <c r="AF64421" s="12"/>
    </row>
    <row r="64422" spans="32:32" x14ac:dyDescent="0.2">
      <c r="AF64422" s="12"/>
    </row>
    <row r="64423" spans="32:32" x14ac:dyDescent="0.2">
      <c r="AF64423" s="12"/>
    </row>
    <row r="64424" spans="32:32" x14ac:dyDescent="0.2">
      <c r="AF64424" s="12"/>
    </row>
    <row r="64425" spans="32:32" x14ac:dyDescent="0.2">
      <c r="AF64425" s="12"/>
    </row>
    <row r="64426" spans="32:32" x14ac:dyDescent="0.2">
      <c r="AF64426" s="12"/>
    </row>
    <row r="64427" spans="32:32" x14ac:dyDescent="0.2">
      <c r="AF64427" s="12"/>
    </row>
    <row r="64428" spans="32:32" x14ac:dyDescent="0.2">
      <c r="AF64428" s="12"/>
    </row>
    <row r="64429" spans="32:32" x14ac:dyDescent="0.2">
      <c r="AF64429" s="12"/>
    </row>
    <row r="64430" spans="32:32" x14ac:dyDescent="0.2">
      <c r="AF64430" s="12"/>
    </row>
    <row r="64431" spans="32:32" x14ac:dyDescent="0.2">
      <c r="AF64431" s="12"/>
    </row>
    <row r="64432" spans="32:32" x14ac:dyDescent="0.2">
      <c r="AF64432" s="12"/>
    </row>
    <row r="64433" spans="32:32" x14ac:dyDescent="0.2">
      <c r="AF64433" s="12"/>
    </row>
    <row r="64434" spans="32:32" x14ac:dyDescent="0.2">
      <c r="AF64434" s="12"/>
    </row>
    <row r="64435" spans="32:32" x14ac:dyDescent="0.2">
      <c r="AF64435" s="12"/>
    </row>
    <row r="64436" spans="32:32" x14ac:dyDescent="0.2">
      <c r="AF64436" s="12"/>
    </row>
    <row r="64437" spans="32:32" x14ac:dyDescent="0.2">
      <c r="AF64437" s="12"/>
    </row>
    <row r="64438" spans="32:32" x14ac:dyDescent="0.2">
      <c r="AF64438" s="12"/>
    </row>
    <row r="64439" spans="32:32" x14ac:dyDescent="0.2">
      <c r="AF64439" s="12"/>
    </row>
    <row r="64440" spans="32:32" x14ac:dyDescent="0.2">
      <c r="AF64440" s="12"/>
    </row>
    <row r="64441" spans="32:32" x14ac:dyDescent="0.2">
      <c r="AF64441" s="12"/>
    </row>
    <row r="64442" spans="32:32" x14ac:dyDescent="0.2">
      <c r="AF64442" s="12"/>
    </row>
    <row r="64443" spans="32:32" x14ac:dyDescent="0.2">
      <c r="AF64443" s="12"/>
    </row>
    <row r="64444" spans="32:32" x14ac:dyDescent="0.2">
      <c r="AF64444" s="12"/>
    </row>
    <row r="64445" spans="32:32" x14ac:dyDescent="0.2">
      <c r="AF64445" s="12"/>
    </row>
    <row r="64446" spans="32:32" x14ac:dyDescent="0.2">
      <c r="AF64446" s="12"/>
    </row>
    <row r="64447" spans="32:32" x14ac:dyDescent="0.2">
      <c r="AF64447" s="12"/>
    </row>
    <row r="64448" spans="32:32" x14ac:dyDescent="0.2">
      <c r="AF64448" s="12"/>
    </row>
    <row r="64449" spans="32:32" x14ac:dyDescent="0.2">
      <c r="AF64449" s="12"/>
    </row>
    <row r="64450" spans="32:32" x14ac:dyDescent="0.2">
      <c r="AF64450" s="12"/>
    </row>
    <row r="64451" spans="32:32" x14ac:dyDescent="0.2">
      <c r="AF64451" s="12"/>
    </row>
    <row r="64452" spans="32:32" x14ac:dyDescent="0.2">
      <c r="AF64452" s="12"/>
    </row>
    <row r="64453" spans="32:32" x14ac:dyDescent="0.2">
      <c r="AF64453" s="12"/>
    </row>
    <row r="64454" spans="32:32" x14ac:dyDescent="0.2">
      <c r="AF64454" s="12"/>
    </row>
    <row r="64455" spans="32:32" x14ac:dyDescent="0.2">
      <c r="AF64455" s="12"/>
    </row>
    <row r="64456" spans="32:32" x14ac:dyDescent="0.2">
      <c r="AF64456" s="12"/>
    </row>
    <row r="64457" spans="32:32" x14ac:dyDescent="0.2">
      <c r="AF64457" s="12"/>
    </row>
    <row r="64458" spans="32:32" x14ac:dyDescent="0.2">
      <c r="AF64458" s="12"/>
    </row>
    <row r="64459" spans="32:32" x14ac:dyDescent="0.2">
      <c r="AF64459" s="12"/>
    </row>
    <row r="64460" spans="32:32" x14ac:dyDescent="0.2">
      <c r="AF64460" s="12"/>
    </row>
    <row r="64461" spans="32:32" x14ac:dyDescent="0.2">
      <c r="AF64461" s="12"/>
    </row>
    <row r="64462" spans="32:32" x14ac:dyDescent="0.2">
      <c r="AF64462" s="12"/>
    </row>
    <row r="64463" spans="32:32" x14ac:dyDescent="0.2">
      <c r="AF64463" s="12"/>
    </row>
    <row r="64464" spans="32:32" x14ac:dyDescent="0.2">
      <c r="AF64464" s="12"/>
    </row>
    <row r="64465" spans="32:32" x14ac:dyDescent="0.2">
      <c r="AF64465" s="12"/>
    </row>
    <row r="64466" spans="32:32" x14ac:dyDescent="0.2">
      <c r="AF64466" s="12"/>
    </row>
    <row r="64467" spans="32:32" x14ac:dyDescent="0.2">
      <c r="AF64467" s="12"/>
    </row>
    <row r="64468" spans="32:32" x14ac:dyDescent="0.2">
      <c r="AF64468" s="12"/>
    </row>
    <row r="64469" spans="32:32" x14ac:dyDescent="0.2">
      <c r="AF64469" s="12"/>
    </row>
    <row r="64470" spans="32:32" x14ac:dyDescent="0.2">
      <c r="AF64470" s="12"/>
    </row>
    <row r="64471" spans="32:32" x14ac:dyDescent="0.2">
      <c r="AF64471" s="12"/>
    </row>
    <row r="64472" spans="32:32" x14ac:dyDescent="0.2">
      <c r="AF64472" s="12"/>
    </row>
    <row r="64473" spans="32:32" x14ac:dyDescent="0.2">
      <c r="AF64473" s="12"/>
    </row>
    <row r="64474" spans="32:32" x14ac:dyDescent="0.2">
      <c r="AF64474" s="12"/>
    </row>
    <row r="64475" spans="32:32" x14ac:dyDescent="0.2">
      <c r="AF64475" s="12"/>
    </row>
    <row r="64476" spans="32:32" x14ac:dyDescent="0.2">
      <c r="AF64476" s="12"/>
    </row>
    <row r="64477" spans="32:32" x14ac:dyDescent="0.2">
      <c r="AF64477" s="12"/>
    </row>
    <row r="64478" spans="32:32" x14ac:dyDescent="0.2">
      <c r="AF64478" s="12"/>
    </row>
    <row r="64479" spans="32:32" x14ac:dyDescent="0.2">
      <c r="AF64479" s="12"/>
    </row>
    <row r="64480" spans="32:32" x14ac:dyDescent="0.2">
      <c r="AF64480" s="12"/>
    </row>
    <row r="64481" spans="32:32" x14ac:dyDescent="0.2">
      <c r="AF64481" s="12"/>
    </row>
    <row r="64482" spans="32:32" x14ac:dyDescent="0.2">
      <c r="AF64482" s="12"/>
    </row>
    <row r="64483" spans="32:32" x14ac:dyDescent="0.2">
      <c r="AF64483" s="12"/>
    </row>
    <row r="64484" spans="32:32" x14ac:dyDescent="0.2">
      <c r="AF64484" s="12"/>
    </row>
    <row r="64485" spans="32:32" x14ac:dyDescent="0.2">
      <c r="AF64485" s="12"/>
    </row>
    <row r="64486" spans="32:32" x14ac:dyDescent="0.2">
      <c r="AF64486" s="12"/>
    </row>
    <row r="64487" spans="32:32" x14ac:dyDescent="0.2">
      <c r="AF64487" s="12"/>
    </row>
    <row r="64488" spans="32:32" x14ac:dyDescent="0.2">
      <c r="AF64488" s="12"/>
    </row>
    <row r="64489" spans="32:32" x14ac:dyDescent="0.2">
      <c r="AF64489" s="12"/>
    </row>
    <row r="64490" spans="32:32" x14ac:dyDescent="0.2">
      <c r="AF64490" s="12"/>
    </row>
    <row r="64491" spans="32:32" x14ac:dyDescent="0.2">
      <c r="AF64491" s="12"/>
    </row>
    <row r="64492" spans="32:32" x14ac:dyDescent="0.2">
      <c r="AF64492" s="12"/>
    </row>
    <row r="64493" spans="32:32" x14ac:dyDescent="0.2">
      <c r="AF64493" s="12"/>
    </row>
    <row r="64494" spans="32:32" x14ac:dyDescent="0.2">
      <c r="AF64494" s="12"/>
    </row>
    <row r="64495" spans="32:32" x14ac:dyDescent="0.2">
      <c r="AF64495" s="12"/>
    </row>
    <row r="64496" spans="32:32" x14ac:dyDescent="0.2">
      <c r="AF64496" s="12"/>
    </row>
    <row r="64497" spans="32:32" x14ac:dyDescent="0.2">
      <c r="AF64497" s="12"/>
    </row>
    <row r="64498" spans="32:32" x14ac:dyDescent="0.2">
      <c r="AF64498" s="12"/>
    </row>
    <row r="64499" spans="32:32" x14ac:dyDescent="0.2">
      <c r="AF64499" s="12"/>
    </row>
    <row r="64500" spans="32:32" x14ac:dyDescent="0.2">
      <c r="AF64500" s="12"/>
    </row>
    <row r="64501" spans="32:32" x14ac:dyDescent="0.2">
      <c r="AF64501" s="12"/>
    </row>
    <row r="64502" spans="32:32" x14ac:dyDescent="0.2">
      <c r="AF64502" s="12"/>
    </row>
    <row r="64503" spans="32:32" x14ac:dyDescent="0.2">
      <c r="AF64503" s="12"/>
    </row>
    <row r="64504" spans="32:32" x14ac:dyDescent="0.2">
      <c r="AF64504" s="12"/>
    </row>
    <row r="64505" spans="32:32" x14ac:dyDescent="0.2">
      <c r="AF64505" s="12"/>
    </row>
    <row r="64506" spans="32:32" x14ac:dyDescent="0.2">
      <c r="AF64506" s="12"/>
    </row>
    <row r="64507" spans="32:32" x14ac:dyDescent="0.2">
      <c r="AF64507" s="12"/>
    </row>
    <row r="64508" spans="32:32" x14ac:dyDescent="0.2">
      <c r="AF64508" s="12"/>
    </row>
    <row r="64509" spans="32:32" x14ac:dyDescent="0.2">
      <c r="AF64509" s="12"/>
    </row>
    <row r="64510" spans="32:32" x14ac:dyDescent="0.2">
      <c r="AF64510" s="12"/>
    </row>
    <row r="64511" spans="32:32" x14ac:dyDescent="0.2">
      <c r="AF64511" s="12"/>
    </row>
    <row r="64512" spans="32:32" x14ac:dyDescent="0.2">
      <c r="AF64512" s="12"/>
    </row>
    <row r="64513" spans="32:32" x14ac:dyDescent="0.2">
      <c r="AF64513" s="12"/>
    </row>
    <row r="64514" spans="32:32" x14ac:dyDescent="0.2">
      <c r="AF64514" s="12"/>
    </row>
    <row r="64515" spans="32:32" x14ac:dyDescent="0.2">
      <c r="AF64515" s="12"/>
    </row>
    <row r="64516" spans="32:32" x14ac:dyDescent="0.2">
      <c r="AF64516" s="12"/>
    </row>
    <row r="64517" spans="32:32" x14ac:dyDescent="0.2">
      <c r="AF64517" s="12"/>
    </row>
    <row r="64518" spans="32:32" x14ac:dyDescent="0.2">
      <c r="AF64518" s="12"/>
    </row>
    <row r="64519" spans="32:32" x14ac:dyDescent="0.2">
      <c r="AF64519" s="12"/>
    </row>
    <row r="64520" spans="32:32" x14ac:dyDescent="0.2">
      <c r="AF64520" s="12"/>
    </row>
    <row r="64521" spans="32:32" x14ac:dyDescent="0.2">
      <c r="AF64521" s="12"/>
    </row>
    <row r="64522" spans="32:32" x14ac:dyDescent="0.2">
      <c r="AF64522" s="12"/>
    </row>
    <row r="64523" spans="32:32" x14ac:dyDescent="0.2">
      <c r="AF64523" s="12"/>
    </row>
    <row r="64524" spans="32:32" x14ac:dyDescent="0.2">
      <c r="AF64524" s="12"/>
    </row>
    <row r="64525" spans="32:32" x14ac:dyDescent="0.2">
      <c r="AF64525" s="12"/>
    </row>
    <row r="64526" spans="32:32" x14ac:dyDescent="0.2">
      <c r="AF64526" s="12"/>
    </row>
    <row r="64527" spans="32:32" x14ac:dyDescent="0.2">
      <c r="AF64527" s="12"/>
    </row>
    <row r="64528" spans="32:32" x14ac:dyDescent="0.2">
      <c r="AF64528" s="12"/>
    </row>
    <row r="64529" spans="32:32" x14ac:dyDescent="0.2">
      <c r="AF64529" s="12"/>
    </row>
    <row r="64530" spans="32:32" x14ac:dyDescent="0.2">
      <c r="AF64530" s="12"/>
    </row>
    <row r="64531" spans="32:32" x14ac:dyDescent="0.2">
      <c r="AF64531" s="12"/>
    </row>
    <row r="64532" spans="32:32" x14ac:dyDescent="0.2">
      <c r="AF64532" s="12"/>
    </row>
    <row r="64533" spans="32:32" x14ac:dyDescent="0.2">
      <c r="AF64533" s="12"/>
    </row>
    <row r="64534" spans="32:32" x14ac:dyDescent="0.2">
      <c r="AF64534" s="12"/>
    </row>
    <row r="64535" spans="32:32" x14ac:dyDescent="0.2">
      <c r="AF64535" s="12"/>
    </row>
    <row r="64536" spans="32:32" x14ac:dyDescent="0.2">
      <c r="AF64536" s="12"/>
    </row>
    <row r="64537" spans="32:32" x14ac:dyDescent="0.2">
      <c r="AF64537" s="12"/>
    </row>
    <row r="64538" spans="32:32" x14ac:dyDescent="0.2">
      <c r="AF64538" s="12"/>
    </row>
    <row r="64539" spans="32:32" x14ac:dyDescent="0.2">
      <c r="AF64539" s="12"/>
    </row>
    <row r="64540" spans="32:32" x14ac:dyDescent="0.2">
      <c r="AF64540" s="12"/>
    </row>
    <row r="64541" spans="32:32" x14ac:dyDescent="0.2">
      <c r="AF64541" s="12"/>
    </row>
    <row r="64542" spans="32:32" x14ac:dyDescent="0.2">
      <c r="AF64542" s="12"/>
    </row>
    <row r="64543" spans="32:32" x14ac:dyDescent="0.2">
      <c r="AF64543" s="12"/>
    </row>
    <row r="64544" spans="32:32" x14ac:dyDescent="0.2">
      <c r="AF64544" s="12"/>
    </row>
    <row r="64545" spans="32:32" x14ac:dyDescent="0.2">
      <c r="AF64545" s="12"/>
    </row>
    <row r="64546" spans="32:32" x14ac:dyDescent="0.2">
      <c r="AF64546" s="12"/>
    </row>
    <row r="64547" spans="32:32" x14ac:dyDescent="0.2">
      <c r="AF64547" s="12"/>
    </row>
    <row r="64548" spans="32:32" x14ac:dyDescent="0.2">
      <c r="AF64548" s="12"/>
    </row>
    <row r="64549" spans="32:32" x14ac:dyDescent="0.2">
      <c r="AF64549" s="12"/>
    </row>
    <row r="64550" spans="32:32" x14ac:dyDescent="0.2">
      <c r="AF64550" s="12"/>
    </row>
    <row r="64551" spans="32:32" x14ac:dyDescent="0.2">
      <c r="AF64551" s="12"/>
    </row>
    <row r="64552" spans="32:32" x14ac:dyDescent="0.2">
      <c r="AF64552" s="12"/>
    </row>
    <row r="64553" spans="32:32" x14ac:dyDescent="0.2">
      <c r="AF64553" s="12"/>
    </row>
    <row r="64554" spans="32:32" x14ac:dyDescent="0.2">
      <c r="AF64554" s="12"/>
    </row>
    <row r="64555" spans="32:32" x14ac:dyDescent="0.2">
      <c r="AF64555" s="12"/>
    </row>
    <row r="64556" spans="32:32" x14ac:dyDescent="0.2">
      <c r="AF64556" s="12"/>
    </row>
    <row r="64557" spans="32:32" x14ac:dyDescent="0.2">
      <c r="AF64557" s="12"/>
    </row>
    <row r="64558" spans="32:32" x14ac:dyDescent="0.2">
      <c r="AF64558" s="12"/>
    </row>
    <row r="64559" spans="32:32" x14ac:dyDescent="0.2">
      <c r="AF64559" s="12"/>
    </row>
    <row r="64560" spans="32:32" x14ac:dyDescent="0.2">
      <c r="AF64560" s="12"/>
    </row>
    <row r="64561" spans="32:32" x14ac:dyDescent="0.2">
      <c r="AF64561" s="12"/>
    </row>
    <row r="64562" spans="32:32" x14ac:dyDescent="0.2">
      <c r="AF64562" s="12"/>
    </row>
    <row r="64563" spans="32:32" x14ac:dyDescent="0.2">
      <c r="AF64563" s="12"/>
    </row>
    <row r="64564" spans="32:32" x14ac:dyDescent="0.2">
      <c r="AF64564" s="12"/>
    </row>
    <row r="64565" spans="32:32" x14ac:dyDescent="0.2">
      <c r="AF64565" s="12"/>
    </row>
    <row r="64566" spans="32:32" x14ac:dyDescent="0.2">
      <c r="AF64566" s="12"/>
    </row>
    <row r="64567" spans="32:32" x14ac:dyDescent="0.2">
      <c r="AF64567" s="12"/>
    </row>
    <row r="64568" spans="32:32" x14ac:dyDescent="0.2">
      <c r="AF64568" s="12"/>
    </row>
    <row r="64569" spans="32:32" x14ac:dyDescent="0.2">
      <c r="AF64569" s="12"/>
    </row>
    <row r="64570" spans="32:32" x14ac:dyDescent="0.2">
      <c r="AF64570" s="12"/>
    </row>
    <row r="64571" spans="32:32" x14ac:dyDescent="0.2">
      <c r="AF64571" s="12"/>
    </row>
    <row r="64572" spans="32:32" x14ac:dyDescent="0.2">
      <c r="AF64572" s="12"/>
    </row>
    <row r="64573" spans="32:32" x14ac:dyDescent="0.2">
      <c r="AF64573" s="12"/>
    </row>
    <row r="64574" spans="32:32" x14ac:dyDescent="0.2">
      <c r="AF64574" s="12"/>
    </row>
    <row r="64575" spans="32:32" x14ac:dyDescent="0.2">
      <c r="AF64575" s="12"/>
    </row>
    <row r="64576" spans="32:32" x14ac:dyDescent="0.2">
      <c r="AF64576" s="12"/>
    </row>
    <row r="64577" spans="32:32" x14ac:dyDescent="0.2">
      <c r="AF64577" s="12"/>
    </row>
    <row r="64578" spans="32:32" x14ac:dyDescent="0.2">
      <c r="AF64578" s="12"/>
    </row>
    <row r="64579" spans="32:32" x14ac:dyDescent="0.2">
      <c r="AF64579" s="12"/>
    </row>
    <row r="64580" spans="32:32" x14ac:dyDescent="0.2">
      <c r="AF64580" s="12"/>
    </row>
    <row r="64581" spans="32:32" x14ac:dyDescent="0.2">
      <c r="AF64581" s="12"/>
    </row>
    <row r="64582" spans="32:32" x14ac:dyDescent="0.2">
      <c r="AF64582" s="12"/>
    </row>
    <row r="64583" spans="32:32" x14ac:dyDescent="0.2">
      <c r="AF64583" s="12"/>
    </row>
    <row r="64584" spans="32:32" x14ac:dyDescent="0.2">
      <c r="AF64584" s="12"/>
    </row>
    <row r="64585" spans="32:32" x14ac:dyDescent="0.2">
      <c r="AF64585" s="12"/>
    </row>
    <row r="64586" spans="32:32" x14ac:dyDescent="0.2">
      <c r="AF64586" s="12"/>
    </row>
    <row r="64587" spans="32:32" x14ac:dyDescent="0.2">
      <c r="AF64587" s="12"/>
    </row>
    <row r="64588" spans="32:32" x14ac:dyDescent="0.2">
      <c r="AF64588" s="12"/>
    </row>
    <row r="64589" spans="32:32" x14ac:dyDescent="0.2">
      <c r="AF64589" s="12"/>
    </row>
    <row r="64590" spans="32:32" x14ac:dyDescent="0.2">
      <c r="AF64590" s="12"/>
    </row>
    <row r="64591" spans="32:32" x14ac:dyDescent="0.2">
      <c r="AF64591" s="12"/>
    </row>
    <row r="64592" spans="32:32" x14ac:dyDescent="0.2">
      <c r="AF64592" s="12"/>
    </row>
    <row r="64593" spans="32:32" x14ac:dyDescent="0.2">
      <c r="AF64593" s="12"/>
    </row>
    <row r="64594" spans="32:32" x14ac:dyDescent="0.2">
      <c r="AF64594" s="12"/>
    </row>
    <row r="64595" spans="32:32" x14ac:dyDescent="0.2">
      <c r="AF64595" s="12"/>
    </row>
    <row r="64596" spans="32:32" x14ac:dyDescent="0.2">
      <c r="AF64596" s="12"/>
    </row>
    <row r="64597" spans="32:32" x14ac:dyDescent="0.2">
      <c r="AF64597" s="12"/>
    </row>
    <row r="64598" spans="32:32" x14ac:dyDescent="0.2">
      <c r="AF64598" s="12"/>
    </row>
    <row r="64599" spans="32:32" x14ac:dyDescent="0.2">
      <c r="AF64599" s="12"/>
    </row>
    <row r="64600" spans="32:32" x14ac:dyDescent="0.2">
      <c r="AF64600" s="12"/>
    </row>
    <row r="64601" spans="32:32" x14ac:dyDescent="0.2">
      <c r="AF64601" s="12"/>
    </row>
    <row r="64602" spans="32:32" x14ac:dyDescent="0.2">
      <c r="AF64602" s="12"/>
    </row>
    <row r="64603" spans="32:32" x14ac:dyDescent="0.2">
      <c r="AF64603" s="12"/>
    </row>
    <row r="64604" spans="32:32" x14ac:dyDescent="0.2">
      <c r="AF64604" s="12"/>
    </row>
    <row r="64605" spans="32:32" x14ac:dyDescent="0.2">
      <c r="AF64605" s="12"/>
    </row>
    <row r="64606" spans="32:32" x14ac:dyDescent="0.2">
      <c r="AF64606" s="12"/>
    </row>
    <row r="64607" spans="32:32" x14ac:dyDescent="0.2">
      <c r="AF64607" s="12"/>
    </row>
    <row r="64608" spans="32:32" x14ac:dyDescent="0.2">
      <c r="AF64608" s="12"/>
    </row>
    <row r="64609" spans="32:32" x14ac:dyDescent="0.2">
      <c r="AF64609" s="12"/>
    </row>
    <row r="64610" spans="32:32" x14ac:dyDescent="0.2">
      <c r="AF64610" s="12"/>
    </row>
    <row r="64611" spans="32:32" x14ac:dyDescent="0.2">
      <c r="AF64611" s="12"/>
    </row>
    <row r="64612" spans="32:32" x14ac:dyDescent="0.2">
      <c r="AF64612" s="12"/>
    </row>
    <row r="64613" spans="32:32" x14ac:dyDescent="0.2">
      <c r="AF64613" s="12"/>
    </row>
    <row r="64614" spans="32:32" x14ac:dyDescent="0.2">
      <c r="AF64614" s="12"/>
    </row>
    <row r="64615" spans="32:32" x14ac:dyDescent="0.2">
      <c r="AF64615" s="12"/>
    </row>
    <row r="64616" spans="32:32" x14ac:dyDescent="0.2">
      <c r="AF64616" s="12"/>
    </row>
    <row r="64617" spans="32:32" x14ac:dyDescent="0.2">
      <c r="AF64617" s="12"/>
    </row>
    <row r="64618" spans="32:32" x14ac:dyDescent="0.2">
      <c r="AF64618" s="12"/>
    </row>
    <row r="64619" spans="32:32" x14ac:dyDescent="0.2">
      <c r="AF64619" s="12"/>
    </row>
    <row r="64620" spans="32:32" x14ac:dyDescent="0.2">
      <c r="AF64620" s="12"/>
    </row>
    <row r="64621" spans="32:32" x14ac:dyDescent="0.2">
      <c r="AF64621" s="12"/>
    </row>
    <row r="64622" spans="32:32" x14ac:dyDescent="0.2">
      <c r="AF64622" s="12"/>
    </row>
    <row r="64623" spans="32:32" x14ac:dyDescent="0.2">
      <c r="AF64623" s="12"/>
    </row>
    <row r="64624" spans="32:32" x14ac:dyDescent="0.2">
      <c r="AF64624" s="12"/>
    </row>
    <row r="64625" spans="32:32" x14ac:dyDescent="0.2">
      <c r="AF64625" s="12"/>
    </row>
    <row r="64626" spans="32:32" x14ac:dyDescent="0.2">
      <c r="AF64626" s="12"/>
    </row>
    <row r="64627" spans="32:32" x14ac:dyDescent="0.2">
      <c r="AF64627" s="12"/>
    </row>
    <row r="64628" spans="32:32" x14ac:dyDescent="0.2">
      <c r="AF64628" s="12"/>
    </row>
    <row r="64629" spans="32:32" x14ac:dyDescent="0.2">
      <c r="AF64629" s="12"/>
    </row>
    <row r="64630" spans="32:32" x14ac:dyDescent="0.2">
      <c r="AF64630" s="12"/>
    </row>
    <row r="64631" spans="32:32" x14ac:dyDescent="0.2">
      <c r="AF64631" s="12"/>
    </row>
    <row r="64632" spans="32:32" x14ac:dyDescent="0.2">
      <c r="AF64632" s="12"/>
    </row>
    <row r="64633" spans="32:32" x14ac:dyDescent="0.2">
      <c r="AF64633" s="12"/>
    </row>
    <row r="64634" spans="32:32" x14ac:dyDescent="0.2">
      <c r="AF64634" s="12"/>
    </row>
    <row r="64635" spans="32:32" x14ac:dyDescent="0.2">
      <c r="AF64635" s="12"/>
    </row>
    <row r="64636" spans="32:32" x14ac:dyDescent="0.2">
      <c r="AF64636" s="12"/>
    </row>
    <row r="64637" spans="32:32" x14ac:dyDescent="0.2">
      <c r="AF64637" s="12"/>
    </row>
    <row r="64638" spans="32:32" x14ac:dyDescent="0.2">
      <c r="AF64638" s="12"/>
    </row>
    <row r="64639" spans="32:32" x14ac:dyDescent="0.2">
      <c r="AF64639" s="12"/>
    </row>
    <row r="64640" spans="32:32" x14ac:dyDescent="0.2">
      <c r="AF64640" s="12"/>
    </row>
    <row r="64641" spans="32:32" x14ac:dyDescent="0.2">
      <c r="AF64641" s="12"/>
    </row>
    <row r="64642" spans="32:32" x14ac:dyDescent="0.2">
      <c r="AF64642" s="12"/>
    </row>
    <row r="64643" spans="32:32" x14ac:dyDescent="0.2">
      <c r="AF64643" s="12"/>
    </row>
    <row r="64644" spans="32:32" x14ac:dyDescent="0.2">
      <c r="AF64644" s="12"/>
    </row>
    <row r="64645" spans="32:32" x14ac:dyDescent="0.2">
      <c r="AF64645" s="12"/>
    </row>
    <row r="64646" spans="32:32" x14ac:dyDescent="0.2">
      <c r="AF64646" s="12"/>
    </row>
    <row r="64647" spans="32:32" x14ac:dyDescent="0.2">
      <c r="AF64647" s="12"/>
    </row>
    <row r="64648" spans="32:32" x14ac:dyDescent="0.2">
      <c r="AF64648" s="12"/>
    </row>
    <row r="64649" spans="32:32" x14ac:dyDescent="0.2">
      <c r="AF64649" s="12"/>
    </row>
    <row r="64650" spans="32:32" x14ac:dyDescent="0.2">
      <c r="AF64650" s="12"/>
    </row>
    <row r="64651" spans="32:32" x14ac:dyDescent="0.2">
      <c r="AF64651" s="12"/>
    </row>
    <row r="64652" spans="32:32" x14ac:dyDescent="0.2">
      <c r="AF64652" s="12"/>
    </row>
    <row r="64653" spans="32:32" x14ac:dyDescent="0.2">
      <c r="AF64653" s="12"/>
    </row>
    <row r="64654" spans="32:32" x14ac:dyDescent="0.2">
      <c r="AF64654" s="12"/>
    </row>
    <row r="64655" spans="32:32" x14ac:dyDescent="0.2">
      <c r="AF64655" s="12"/>
    </row>
    <row r="64656" spans="32:32" x14ac:dyDescent="0.2">
      <c r="AF64656" s="12"/>
    </row>
    <row r="64657" spans="32:32" x14ac:dyDescent="0.2">
      <c r="AF64657" s="12"/>
    </row>
    <row r="64658" spans="32:32" x14ac:dyDescent="0.2">
      <c r="AF64658" s="12"/>
    </row>
    <row r="64659" spans="32:32" x14ac:dyDescent="0.2">
      <c r="AF64659" s="12"/>
    </row>
    <row r="64660" spans="32:32" x14ac:dyDescent="0.2">
      <c r="AF64660" s="12"/>
    </row>
    <row r="64661" spans="32:32" x14ac:dyDescent="0.2">
      <c r="AF64661" s="12"/>
    </row>
    <row r="64662" spans="32:32" x14ac:dyDescent="0.2">
      <c r="AF64662" s="12"/>
    </row>
    <row r="64663" spans="32:32" x14ac:dyDescent="0.2">
      <c r="AF64663" s="12"/>
    </row>
    <row r="64664" spans="32:32" x14ac:dyDescent="0.2">
      <c r="AF64664" s="12"/>
    </row>
    <row r="64665" spans="32:32" x14ac:dyDescent="0.2">
      <c r="AF64665" s="12"/>
    </row>
    <row r="64666" spans="32:32" x14ac:dyDescent="0.2">
      <c r="AF64666" s="12"/>
    </row>
    <row r="64667" spans="32:32" x14ac:dyDescent="0.2">
      <c r="AF64667" s="12"/>
    </row>
    <row r="64668" spans="32:32" x14ac:dyDescent="0.2">
      <c r="AF64668" s="12"/>
    </row>
    <row r="64669" spans="32:32" x14ac:dyDescent="0.2">
      <c r="AF64669" s="12"/>
    </row>
    <row r="64670" spans="32:32" x14ac:dyDescent="0.2">
      <c r="AF64670" s="12"/>
    </row>
    <row r="64671" spans="32:32" x14ac:dyDescent="0.2">
      <c r="AF64671" s="12"/>
    </row>
    <row r="64672" spans="32:32" x14ac:dyDescent="0.2">
      <c r="AF64672" s="12"/>
    </row>
    <row r="64673" spans="32:32" x14ac:dyDescent="0.2">
      <c r="AF64673" s="12"/>
    </row>
    <row r="64674" spans="32:32" x14ac:dyDescent="0.2">
      <c r="AF64674" s="12"/>
    </row>
    <row r="64675" spans="32:32" x14ac:dyDescent="0.2">
      <c r="AF64675" s="12"/>
    </row>
    <row r="64676" spans="32:32" x14ac:dyDescent="0.2">
      <c r="AF64676" s="12"/>
    </row>
    <row r="64677" spans="32:32" x14ac:dyDescent="0.2">
      <c r="AF64677" s="12"/>
    </row>
    <row r="64678" spans="32:32" x14ac:dyDescent="0.2">
      <c r="AF64678" s="12"/>
    </row>
    <row r="64679" spans="32:32" x14ac:dyDescent="0.2">
      <c r="AF64679" s="12"/>
    </row>
    <row r="64680" spans="32:32" x14ac:dyDescent="0.2">
      <c r="AF64680" s="12"/>
    </row>
    <row r="64681" spans="32:32" x14ac:dyDescent="0.2">
      <c r="AF64681" s="12"/>
    </row>
    <row r="64682" spans="32:32" x14ac:dyDescent="0.2">
      <c r="AF64682" s="12"/>
    </row>
    <row r="64683" spans="32:32" x14ac:dyDescent="0.2">
      <c r="AF64683" s="12"/>
    </row>
    <row r="64684" spans="32:32" x14ac:dyDescent="0.2">
      <c r="AF64684" s="12"/>
    </row>
    <row r="64685" spans="32:32" x14ac:dyDescent="0.2">
      <c r="AF64685" s="12"/>
    </row>
    <row r="64686" spans="32:32" x14ac:dyDescent="0.2">
      <c r="AF64686" s="12"/>
    </row>
    <row r="64687" spans="32:32" x14ac:dyDescent="0.2">
      <c r="AF64687" s="12"/>
    </row>
    <row r="64688" spans="32:32" x14ac:dyDescent="0.2">
      <c r="AF64688" s="12"/>
    </row>
    <row r="64689" spans="32:32" x14ac:dyDescent="0.2">
      <c r="AF64689" s="12"/>
    </row>
    <row r="64690" spans="32:32" x14ac:dyDescent="0.2">
      <c r="AF64690" s="12"/>
    </row>
    <row r="64691" spans="32:32" x14ac:dyDescent="0.2">
      <c r="AF64691" s="12"/>
    </row>
    <row r="64692" spans="32:32" x14ac:dyDescent="0.2">
      <c r="AF64692" s="12"/>
    </row>
    <row r="64693" spans="32:32" x14ac:dyDescent="0.2">
      <c r="AF64693" s="12"/>
    </row>
    <row r="64694" spans="32:32" x14ac:dyDescent="0.2">
      <c r="AF64694" s="12"/>
    </row>
    <row r="64695" spans="32:32" x14ac:dyDescent="0.2">
      <c r="AF64695" s="12"/>
    </row>
    <row r="64696" spans="32:32" x14ac:dyDescent="0.2">
      <c r="AF64696" s="12"/>
    </row>
    <row r="64697" spans="32:32" x14ac:dyDescent="0.2">
      <c r="AF64697" s="12"/>
    </row>
    <row r="64698" spans="32:32" x14ac:dyDescent="0.2">
      <c r="AF64698" s="12"/>
    </row>
    <row r="64699" spans="32:32" x14ac:dyDescent="0.2">
      <c r="AF64699" s="12"/>
    </row>
    <row r="64700" spans="32:32" x14ac:dyDescent="0.2">
      <c r="AF64700" s="12"/>
    </row>
    <row r="64701" spans="32:32" x14ac:dyDescent="0.2">
      <c r="AF64701" s="12"/>
    </row>
    <row r="64702" spans="32:32" x14ac:dyDescent="0.2">
      <c r="AF64702" s="12"/>
    </row>
    <row r="64703" spans="32:32" x14ac:dyDescent="0.2">
      <c r="AF64703" s="12"/>
    </row>
    <row r="64704" spans="32:32" x14ac:dyDescent="0.2">
      <c r="AF64704" s="12"/>
    </row>
    <row r="64705" spans="32:32" x14ac:dyDescent="0.2">
      <c r="AF64705" s="12"/>
    </row>
    <row r="64706" spans="32:32" x14ac:dyDescent="0.2">
      <c r="AF64706" s="12"/>
    </row>
    <row r="64707" spans="32:32" x14ac:dyDescent="0.2">
      <c r="AF64707" s="12"/>
    </row>
    <row r="64708" spans="32:32" x14ac:dyDescent="0.2">
      <c r="AF64708" s="12"/>
    </row>
    <row r="64709" spans="32:32" x14ac:dyDescent="0.2">
      <c r="AF64709" s="12"/>
    </row>
    <row r="64710" spans="32:32" x14ac:dyDescent="0.2">
      <c r="AF64710" s="12"/>
    </row>
    <row r="64711" spans="32:32" x14ac:dyDescent="0.2">
      <c r="AF64711" s="12"/>
    </row>
    <row r="64712" spans="32:32" x14ac:dyDescent="0.2">
      <c r="AF64712" s="12"/>
    </row>
    <row r="64713" spans="32:32" x14ac:dyDescent="0.2">
      <c r="AF64713" s="12"/>
    </row>
    <row r="64714" spans="32:32" x14ac:dyDescent="0.2">
      <c r="AF64714" s="12"/>
    </row>
    <row r="64715" spans="32:32" x14ac:dyDescent="0.2">
      <c r="AF64715" s="12"/>
    </row>
    <row r="64716" spans="32:32" x14ac:dyDescent="0.2">
      <c r="AF64716" s="12"/>
    </row>
    <row r="64717" spans="32:32" x14ac:dyDescent="0.2">
      <c r="AF64717" s="12"/>
    </row>
    <row r="64718" spans="32:32" x14ac:dyDescent="0.2">
      <c r="AF64718" s="12"/>
    </row>
    <row r="64719" spans="32:32" x14ac:dyDescent="0.2">
      <c r="AF64719" s="12"/>
    </row>
    <row r="64720" spans="32:32" x14ac:dyDescent="0.2">
      <c r="AF64720" s="12"/>
    </row>
    <row r="64721" spans="32:32" x14ac:dyDescent="0.2">
      <c r="AF64721" s="12"/>
    </row>
    <row r="64722" spans="32:32" x14ac:dyDescent="0.2">
      <c r="AF64722" s="12"/>
    </row>
    <row r="64723" spans="32:32" x14ac:dyDescent="0.2">
      <c r="AF64723" s="12"/>
    </row>
    <row r="64724" spans="32:32" x14ac:dyDescent="0.2">
      <c r="AF64724" s="12"/>
    </row>
    <row r="64725" spans="32:32" x14ac:dyDescent="0.2">
      <c r="AF64725" s="12"/>
    </row>
    <row r="64726" spans="32:32" x14ac:dyDescent="0.2">
      <c r="AF64726" s="12"/>
    </row>
    <row r="64727" spans="32:32" x14ac:dyDescent="0.2">
      <c r="AF64727" s="12"/>
    </row>
    <row r="64728" spans="32:32" x14ac:dyDescent="0.2">
      <c r="AF64728" s="12"/>
    </row>
    <row r="64729" spans="32:32" x14ac:dyDescent="0.2">
      <c r="AF64729" s="12"/>
    </row>
    <row r="64730" spans="32:32" x14ac:dyDescent="0.2">
      <c r="AF64730" s="12"/>
    </row>
    <row r="64731" spans="32:32" x14ac:dyDescent="0.2">
      <c r="AF64731" s="12"/>
    </row>
    <row r="64732" spans="32:32" x14ac:dyDescent="0.2">
      <c r="AF64732" s="12"/>
    </row>
    <row r="64733" spans="32:32" x14ac:dyDescent="0.2">
      <c r="AF64733" s="12"/>
    </row>
    <row r="64734" spans="32:32" x14ac:dyDescent="0.2">
      <c r="AF64734" s="12"/>
    </row>
    <row r="64735" spans="32:32" x14ac:dyDescent="0.2">
      <c r="AF64735" s="12"/>
    </row>
    <row r="64736" spans="32:32" x14ac:dyDescent="0.2">
      <c r="AF64736" s="12"/>
    </row>
    <row r="64737" spans="32:32" x14ac:dyDescent="0.2">
      <c r="AF64737" s="12"/>
    </row>
    <row r="64738" spans="32:32" x14ac:dyDescent="0.2">
      <c r="AF64738" s="12"/>
    </row>
    <row r="64739" spans="32:32" x14ac:dyDescent="0.2">
      <c r="AF64739" s="12"/>
    </row>
    <row r="64740" spans="32:32" x14ac:dyDescent="0.2">
      <c r="AF64740" s="12"/>
    </row>
    <row r="64741" spans="32:32" x14ac:dyDescent="0.2">
      <c r="AF64741" s="12"/>
    </row>
    <row r="64742" spans="32:32" x14ac:dyDescent="0.2">
      <c r="AF64742" s="12"/>
    </row>
    <row r="64743" spans="32:32" x14ac:dyDescent="0.2">
      <c r="AF64743" s="12"/>
    </row>
    <row r="64744" spans="32:32" x14ac:dyDescent="0.2">
      <c r="AF64744" s="12"/>
    </row>
    <row r="64745" spans="32:32" x14ac:dyDescent="0.2">
      <c r="AF64745" s="12"/>
    </row>
    <row r="64746" spans="32:32" x14ac:dyDescent="0.2">
      <c r="AF64746" s="12"/>
    </row>
    <row r="64747" spans="32:32" x14ac:dyDescent="0.2">
      <c r="AF64747" s="12"/>
    </row>
    <row r="64748" spans="32:32" x14ac:dyDescent="0.2">
      <c r="AF64748" s="12"/>
    </row>
    <row r="64749" spans="32:32" x14ac:dyDescent="0.2">
      <c r="AF64749" s="12"/>
    </row>
    <row r="64750" spans="32:32" x14ac:dyDescent="0.2">
      <c r="AF64750" s="12"/>
    </row>
    <row r="64751" spans="32:32" x14ac:dyDescent="0.2">
      <c r="AF64751" s="12"/>
    </row>
    <row r="64752" spans="32:32" x14ac:dyDescent="0.2">
      <c r="AF64752" s="12"/>
    </row>
    <row r="64753" spans="32:32" x14ac:dyDescent="0.2">
      <c r="AF64753" s="12"/>
    </row>
    <row r="64754" spans="32:32" x14ac:dyDescent="0.2">
      <c r="AF64754" s="12"/>
    </row>
    <row r="64755" spans="32:32" x14ac:dyDescent="0.2">
      <c r="AF64755" s="12"/>
    </row>
    <row r="64756" spans="32:32" x14ac:dyDescent="0.2">
      <c r="AF64756" s="12"/>
    </row>
    <row r="64757" spans="32:32" x14ac:dyDescent="0.2">
      <c r="AF64757" s="12"/>
    </row>
    <row r="64758" spans="32:32" x14ac:dyDescent="0.2">
      <c r="AF64758" s="12"/>
    </row>
    <row r="64759" spans="32:32" x14ac:dyDescent="0.2">
      <c r="AF64759" s="12"/>
    </row>
    <row r="64760" spans="32:32" x14ac:dyDescent="0.2">
      <c r="AF64760" s="12"/>
    </row>
    <row r="64761" spans="32:32" x14ac:dyDescent="0.2">
      <c r="AF64761" s="12"/>
    </row>
    <row r="64762" spans="32:32" x14ac:dyDescent="0.2">
      <c r="AF64762" s="12"/>
    </row>
    <row r="64763" spans="32:32" x14ac:dyDescent="0.2">
      <c r="AF64763" s="12"/>
    </row>
    <row r="64764" spans="32:32" x14ac:dyDescent="0.2">
      <c r="AF64764" s="12"/>
    </row>
    <row r="64765" spans="32:32" x14ac:dyDescent="0.2">
      <c r="AF64765" s="12"/>
    </row>
    <row r="64766" spans="32:32" x14ac:dyDescent="0.2">
      <c r="AF64766" s="12"/>
    </row>
    <row r="64767" spans="32:32" x14ac:dyDescent="0.2">
      <c r="AF64767" s="12"/>
    </row>
    <row r="64768" spans="32:32" x14ac:dyDescent="0.2">
      <c r="AF64768" s="12"/>
    </row>
    <row r="64769" spans="32:32" x14ac:dyDescent="0.2">
      <c r="AF64769" s="12"/>
    </row>
    <row r="64770" spans="32:32" x14ac:dyDescent="0.2">
      <c r="AF64770" s="12"/>
    </row>
    <row r="64771" spans="32:32" x14ac:dyDescent="0.2">
      <c r="AF64771" s="12"/>
    </row>
    <row r="64772" spans="32:32" x14ac:dyDescent="0.2">
      <c r="AF64772" s="12"/>
    </row>
    <row r="64773" spans="32:32" x14ac:dyDescent="0.2">
      <c r="AF64773" s="12"/>
    </row>
    <row r="64774" spans="32:32" x14ac:dyDescent="0.2">
      <c r="AF64774" s="12"/>
    </row>
    <row r="64775" spans="32:32" x14ac:dyDescent="0.2">
      <c r="AF64775" s="12"/>
    </row>
    <row r="64776" spans="32:32" x14ac:dyDescent="0.2">
      <c r="AF64776" s="12"/>
    </row>
    <row r="64777" spans="32:32" x14ac:dyDescent="0.2">
      <c r="AF64777" s="12"/>
    </row>
    <row r="64778" spans="32:32" x14ac:dyDescent="0.2">
      <c r="AF64778" s="12"/>
    </row>
    <row r="64779" spans="32:32" x14ac:dyDescent="0.2">
      <c r="AF64779" s="12"/>
    </row>
    <row r="64780" spans="32:32" x14ac:dyDescent="0.2">
      <c r="AF64780" s="12"/>
    </row>
    <row r="64781" spans="32:32" x14ac:dyDescent="0.2">
      <c r="AF64781" s="12"/>
    </row>
    <row r="64782" spans="32:32" x14ac:dyDescent="0.2">
      <c r="AF64782" s="12"/>
    </row>
    <row r="64783" spans="32:32" x14ac:dyDescent="0.2">
      <c r="AF64783" s="12"/>
    </row>
    <row r="64784" spans="32:32" x14ac:dyDescent="0.2">
      <c r="AF64784" s="12"/>
    </row>
    <row r="64785" spans="32:32" x14ac:dyDescent="0.2">
      <c r="AF64785" s="12"/>
    </row>
    <row r="64786" spans="32:32" x14ac:dyDescent="0.2">
      <c r="AF64786" s="12"/>
    </row>
    <row r="64787" spans="32:32" x14ac:dyDescent="0.2">
      <c r="AF64787" s="12"/>
    </row>
    <row r="64788" spans="32:32" x14ac:dyDescent="0.2">
      <c r="AF64788" s="12"/>
    </row>
    <row r="64789" spans="32:32" x14ac:dyDescent="0.2">
      <c r="AF64789" s="12"/>
    </row>
    <row r="64790" spans="32:32" x14ac:dyDescent="0.2">
      <c r="AF64790" s="12"/>
    </row>
    <row r="64791" spans="32:32" x14ac:dyDescent="0.2">
      <c r="AF64791" s="12"/>
    </row>
    <row r="64792" spans="32:32" x14ac:dyDescent="0.2">
      <c r="AF64792" s="12"/>
    </row>
    <row r="64793" spans="32:32" x14ac:dyDescent="0.2">
      <c r="AF64793" s="12"/>
    </row>
    <row r="64794" spans="32:32" x14ac:dyDescent="0.2">
      <c r="AF64794" s="12"/>
    </row>
    <row r="64795" spans="32:32" x14ac:dyDescent="0.2">
      <c r="AF64795" s="12"/>
    </row>
    <row r="64796" spans="32:32" x14ac:dyDescent="0.2">
      <c r="AF64796" s="12"/>
    </row>
    <row r="64797" spans="32:32" x14ac:dyDescent="0.2">
      <c r="AF64797" s="12"/>
    </row>
    <row r="64798" spans="32:32" x14ac:dyDescent="0.2">
      <c r="AF64798" s="12"/>
    </row>
    <row r="64799" spans="32:32" x14ac:dyDescent="0.2">
      <c r="AF64799" s="12"/>
    </row>
    <row r="64800" spans="32:32" x14ac:dyDescent="0.2">
      <c r="AF64800" s="12"/>
    </row>
    <row r="64801" spans="32:32" x14ac:dyDescent="0.2">
      <c r="AF64801" s="12"/>
    </row>
    <row r="64802" spans="32:32" x14ac:dyDescent="0.2">
      <c r="AF64802" s="12"/>
    </row>
    <row r="64803" spans="32:32" x14ac:dyDescent="0.2">
      <c r="AF64803" s="12"/>
    </row>
    <row r="64804" spans="32:32" x14ac:dyDescent="0.2">
      <c r="AF64804" s="12"/>
    </row>
    <row r="64805" spans="32:32" x14ac:dyDescent="0.2">
      <c r="AF64805" s="12"/>
    </row>
    <row r="64806" spans="32:32" x14ac:dyDescent="0.2">
      <c r="AF64806" s="12"/>
    </row>
    <row r="64807" spans="32:32" x14ac:dyDescent="0.2">
      <c r="AF64807" s="12"/>
    </row>
    <row r="64808" spans="32:32" x14ac:dyDescent="0.2">
      <c r="AF64808" s="12"/>
    </row>
    <row r="64809" spans="32:32" x14ac:dyDescent="0.2">
      <c r="AF64809" s="12"/>
    </row>
    <row r="64810" spans="32:32" x14ac:dyDescent="0.2">
      <c r="AF64810" s="12"/>
    </row>
    <row r="64811" spans="32:32" x14ac:dyDescent="0.2">
      <c r="AF64811" s="12"/>
    </row>
    <row r="64812" spans="32:32" x14ac:dyDescent="0.2">
      <c r="AF64812" s="12"/>
    </row>
    <row r="64813" spans="32:32" x14ac:dyDescent="0.2">
      <c r="AF64813" s="12"/>
    </row>
    <row r="64814" spans="32:32" x14ac:dyDescent="0.2">
      <c r="AF64814" s="12"/>
    </row>
    <row r="64815" spans="32:32" x14ac:dyDescent="0.2">
      <c r="AF64815" s="12"/>
    </row>
    <row r="64816" spans="32:32" x14ac:dyDescent="0.2">
      <c r="AF64816" s="12"/>
    </row>
    <row r="64817" spans="32:32" x14ac:dyDescent="0.2">
      <c r="AF64817" s="12"/>
    </row>
    <row r="64818" spans="32:32" x14ac:dyDescent="0.2">
      <c r="AF64818" s="12"/>
    </row>
    <row r="64819" spans="32:32" x14ac:dyDescent="0.2">
      <c r="AF64819" s="12"/>
    </row>
    <row r="64820" spans="32:32" x14ac:dyDescent="0.2">
      <c r="AF64820" s="12"/>
    </row>
    <row r="64821" spans="32:32" x14ac:dyDescent="0.2">
      <c r="AF64821" s="12"/>
    </row>
    <row r="64822" spans="32:32" x14ac:dyDescent="0.2">
      <c r="AF64822" s="12"/>
    </row>
    <row r="64823" spans="32:32" x14ac:dyDescent="0.2">
      <c r="AF64823" s="12"/>
    </row>
    <row r="64824" spans="32:32" x14ac:dyDescent="0.2">
      <c r="AF64824" s="12"/>
    </row>
    <row r="64825" spans="32:32" x14ac:dyDescent="0.2">
      <c r="AF64825" s="12"/>
    </row>
    <row r="64826" spans="32:32" x14ac:dyDescent="0.2">
      <c r="AF64826" s="12"/>
    </row>
    <row r="64827" spans="32:32" x14ac:dyDescent="0.2">
      <c r="AF64827" s="12"/>
    </row>
    <row r="64828" spans="32:32" x14ac:dyDescent="0.2">
      <c r="AF64828" s="12"/>
    </row>
    <row r="64829" spans="32:32" x14ac:dyDescent="0.2">
      <c r="AF64829" s="12"/>
    </row>
    <row r="64830" spans="32:32" x14ac:dyDescent="0.2">
      <c r="AF64830" s="12"/>
    </row>
    <row r="64831" spans="32:32" x14ac:dyDescent="0.2">
      <c r="AF64831" s="12"/>
    </row>
    <row r="64832" spans="32:32" x14ac:dyDescent="0.2">
      <c r="AF64832" s="12"/>
    </row>
    <row r="64833" spans="32:32" x14ac:dyDescent="0.2">
      <c r="AF64833" s="12"/>
    </row>
    <row r="64834" spans="32:32" x14ac:dyDescent="0.2">
      <c r="AF64834" s="12"/>
    </row>
    <row r="64835" spans="32:32" x14ac:dyDescent="0.2">
      <c r="AF64835" s="12"/>
    </row>
    <row r="64836" spans="32:32" x14ac:dyDescent="0.2">
      <c r="AF64836" s="12"/>
    </row>
    <row r="64837" spans="32:32" x14ac:dyDescent="0.2">
      <c r="AF64837" s="12"/>
    </row>
    <row r="64838" spans="32:32" x14ac:dyDescent="0.2">
      <c r="AF64838" s="12"/>
    </row>
    <row r="64839" spans="32:32" x14ac:dyDescent="0.2">
      <c r="AF64839" s="12"/>
    </row>
    <row r="64840" spans="32:32" x14ac:dyDescent="0.2">
      <c r="AF64840" s="12"/>
    </row>
    <row r="64841" spans="32:32" x14ac:dyDescent="0.2">
      <c r="AF64841" s="12"/>
    </row>
    <row r="64842" spans="32:32" x14ac:dyDescent="0.2">
      <c r="AF64842" s="12"/>
    </row>
    <row r="64843" spans="32:32" x14ac:dyDescent="0.2">
      <c r="AF64843" s="12"/>
    </row>
    <row r="64844" spans="32:32" x14ac:dyDescent="0.2">
      <c r="AF64844" s="12"/>
    </row>
    <row r="64845" spans="32:32" x14ac:dyDescent="0.2">
      <c r="AF64845" s="12"/>
    </row>
    <row r="64846" spans="32:32" x14ac:dyDescent="0.2">
      <c r="AF64846" s="12"/>
    </row>
    <row r="64847" spans="32:32" x14ac:dyDescent="0.2">
      <c r="AF64847" s="12"/>
    </row>
    <row r="64848" spans="32:32" x14ac:dyDescent="0.2">
      <c r="AF64848" s="12"/>
    </row>
    <row r="64849" spans="32:32" x14ac:dyDescent="0.2">
      <c r="AF64849" s="12"/>
    </row>
    <row r="64850" spans="32:32" x14ac:dyDescent="0.2">
      <c r="AF64850" s="12"/>
    </row>
    <row r="64851" spans="32:32" x14ac:dyDescent="0.2">
      <c r="AF64851" s="12"/>
    </row>
    <row r="64852" spans="32:32" x14ac:dyDescent="0.2">
      <c r="AF64852" s="12"/>
    </row>
    <row r="64853" spans="32:32" x14ac:dyDescent="0.2">
      <c r="AF64853" s="12"/>
    </row>
    <row r="64854" spans="32:32" x14ac:dyDescent="0.2">
      <c r="AF64854" s="12"/>
    </row>
    <row r="64855" spans="32:32" x14ac:dyDescent="0.2">
      <c r="AF64855" s="12"/>
    </row>
    <row r="64856" spans="32:32" x14ac:dyDescent="0.2">
      <c r="AF64856" s="12"/>
    </row>
    <row r="64857" spans="32:32" x14ac:dyDescent="0.2">
      <c r="AF64857" s="12"/>
    </row>
    <row r="64858" spans="32:32" x14ac:dyDescent="0.2">
      <c r="AF64858" s="12"/>
    </row>
    <row r="64859" spans="32:32" x14ac:dyDescent="0.2">
      <c r="AF64859" s="12"/>
    </row>
    <row r="64860" spans="32:32" x14ac:dyDescent="0.2">
      <c r="AF64860" s="12"/>
    </row>
    <row r="64861" spans="32:32" x14ac:dyDescent="0.2">
      <c r="AF64861" s="12"/>
    </row>
    <row r="64862" spans="32:32" x14ac:dyDescent="0.2">
      <c r="AF64862" s="12"/>
    </row>
    <row r="64863" spans="32:32" x14ac:dyDescent="0.2">
      <c r="AF64863" s="12"/>
    </row>
    <row r="64864" spans="32:32" x14ac:dyDescent="0.2">
      <c r="AF64864" s="12"/>
    </row>
    <row r="64865" spans="32:32" x14ac:dyDescent="0.2">
      <c r="AF64865" s="12"/>
    </row>
    <row r="64866" spans="32:32" x14ac:dyDescent="0.2">
      <c r="AF64866" s="12"/>
    </row>
    <row r="64867" spans="32:32" x14ac:dyDescent="0.2">
      <c r="AF64867" s="12"/>
    </row>
    <row r="64868" spans="32:32" x14ac:dyDescent="0.2">
      <c r="AF64868" s="12"/>
    </row>
    <row r="64869" spans="32:32" x14ac:dyDescent="0.2">
      <c r="AF64869" s="12"/>
    </row>
    <row r="64870" spans="32:32" x14ac:dyDescent="0.2">
      <c r="AF64870" s="12"/>
    </row>
    <row r="64871" spans="32:32" x14ac:dyDescent="0.2">
      <c r="AF64871" s="12"/>
    </row>
    <row r="64872" spans="32:32" x14ac:dyDescent="0.2">
      <c r="AF64872" s="12"/>
    </row>
    <row r="64873" spans="32:32" x14ac:dyDescent="0.2">
      <c r="AF64873" s="12"/>
    </row>
    <row r="64874" spans="32:32" x14ac:dyDescent="0.2">
      <c r="AF64874" s="12"/>
    </row>
    <row r="64875" spans="32:32" x14ac:dyDescent="0.2">
      <c r="AF64875" s="12"/>
    </row>
    <row r="64876" spans="32:32" x14ac:dyDescent="0.2">
      <c r="AF64876" s="12"/>
    </row>
    <row r="64877" spans="32:32" x14ac:dyDescent="0.2">
      <c r="AF64877" s="12"/>
    </row>
    <row r="64878" spans="32:32" x14ac:dyDescent="0.2">
      <c r="AF64878" s="12"/>
    </row>
    <row r="64879" spans="32:32" x14ac:dyDescent="0.2">
      <c r="AF64879" s="12"/>
    </row>
    <row r="64880" spans="32:32" x14ac:dyDescent="0.2">
      <c r="AF64880" s="12"/>
    </row>
    <row r="64881" spans="32:32" x14ac:dyDescent="0.2">
      <c r="AF64881" s="12"/>
    </row>
    <row r="64882" spans="32:32" x14ac:dyDescent="0.2">
      <c r="AF64882" s="12"/>
    </row>
    <row r="64883" spans="32:32" x14ac:dyDescent="0.2">
      <c r="AF64883" s="12"/>
    </row>
    <row r="64884" spans="32:32" x14ac:dyDescent="0.2">
      <c r="AF64884" s="12"/>
    </row>
    <row r="64885" spans="32:32" x14ac:dyDescent="0.2">
      <c r="AF64885" s="12"/>
    </row>
    <row r="64886" spans="32:32" x14ac:dyDescent="0.2">
      <c r="AF64886" s="12"/>
    </row>
    <row r="64887" spans="32:32" x14ac:dyDescent="0.2">
      <c r="AF64887" s="12"/>
    </row>
    <row r="64888" spans="32:32" x14ac:dyDescent="0.2">
      <c r="AF64888" s="12"/>
    </row>
    <row r="64889" spans="32:32" x14ac:dyDescent="0.2">
      <c r="AF64889" s="12"/>
    </row>
    <row r="64890" spans="32:32" x14ac:dyDescent="0.2">
      <c r="AF64890" s="12"/>
    </row>
    <row r="64891" spans="32:32" x14ac:dyDescent="0.2">
      <c r="AF64891" s="12"/>
    </row>
    <row r="64892" spans="32:32" x14ac:dyDescent="0.2">
      <c r="AF64892" s="12"/>
    </row>
    <row r="64893" spans="32:32" x14ac:dyDescent="0.2">
      <c r="AF64893" s="12"/>
    </row>
    <row r="64894" spans="32:32" x14ac:dyDescent="0.2">
      <c r="AF64894" s="12"/>
    </row>
    <row r="64895" spans="32:32" x14ac:dyDescent="0.2">
      <c r="AF64895" s="12"/>
    </row>
    <row r="64896" spans="32:32" x14ac:dyDescent="0.2">
      <c r="AF64896" s="12"/>
    </row>
    <row r="64897" spans="32:32" x14ac:dyDescent="0.2">
      <c r="AF64897" s="12"/>
    </row>
    <row r="64898" spans="32:32" x14ac:dyDescent="0.2">
      <c r="AF64898" s="12"/>
    </row>
    <row r="64899" spans="32:32" x14ac:dyDescent="0.2">
      <c r="AF64899" s="12"/>
    </row>
    <row r="64900" spans="32:32" x14ac:dyDescent="0.2">
      <c r="AF64900" s="12"/>
    </row>
    <row r="64901" spans="32:32" x14ac:dyDescent="0.2">
      <c r="AF64901" s="12"/>
    </row>
    <row r="64902" spans="32:32" x14ac:dyDescent="0.2">
      <c r="AF64902" s="12"/>
    </row>
    <row r="64903" spans="32:32" x14ac:dyDescent="0.2">
      <c r="AF64903" s="12"/>
    </row>
    <row r="64904" spans="32:32" x14ac:dyDescent="0.2">
      <c r="AF64904" s="12"/>
    </row>
    <row r="64905" spans="32:32" x14ac:dyDescent="0.2">
      <c r="AF64905" s="12"/>
    </row>
    <row r="64906" spans="32:32" x14ac:dyDescent="0.2">
      <c r="AF64906" s="12"/>
    </row>
    <row r="64907" spans="32:32" x14ac:dyDescent="0.2">
      <c r="AF64907" s="12"/>
    </row>
    <row r="64908" spans="32:32" x14ac:dyDescent="0.2">
      <c r="AF64908" s="12"/>
    </row>
    <row r="64909" spans="32:32" x14ac:dyDescent="0.2">
      <c r="AF64909" s="12"/>
    </row>
    <row r="64910" spans="32:32" x14ac:dyDescent="0.2">
      <c r="AF64910" s="12"/>
    </row>
    <row r="64911" spans="32:32" x14ac:dyDescent="0.2">
      <c r="AF64911" s="12"/>
    </row>
    <row r="64912" spans="32:32" x14ac:dyDescent="0.2">
      <c r="AF64912" s="12"/>
    </row>
    <row r="64913" spans="32:32" x14ac:dyDescent="0.2">
      <c r="AF64913" s="12"/>
    </row>
    <row r="64914" spans="32:32" x14ac:dyDescent="0.2">
      <c r="AF64914" s="12"/>
    </row>
    <row r="64915" spans="32:32" x14ac:dyDescent="0.2">
      <c r="AF64915" s="12"/>
    </row>
    <row r="64916" spans="32:32" x14ac:dyDescent="0.2">
      <c r="AF64916" s="12"/>
    </row>
    <row r="64917" spans="32:32" x14ac:dyDescent="0.2">
      <c r="AF64917" s="12"/>
    </row>
    <row r="64918" spans="32:32" x14ac:dyDescent="0.2">
      <c r="AF64918" s="12"/>
    </row>
    <row r="64919" spans="32:32" x14ac:dyDescent="0.2">
      <c r="AF64919" s="12"/>
    </row>
    <row r="64920" spans="32:32" x14ac:dyDescent="0.2">
      <c r="AF64920" s="12"/>
    </row>
    <row r="64921" spans="32:32" x14ac:dyDescent="0.2">
      <c r="AF64921" s="12"/>
    </row>
    <row r="64922" spans="32:32" x14ac:dyDescent="0.2">
      <c r="AF64922" s="12"/>
    </row>
    <row r="64923" spans="32:32" x14ac:dyDescent="0.2">
      <c r="AF64923" s="12"/>
    </row>
    <row r="64924" spans="32:32" x14ac:dyDescent="0.2">
      <c r="AF64924" s="12"/>
    </row>
    <row r="64925" spans="32:32" x14ac:dyDescent="0.2">
      <c r="AF64925" s="12"/>
    </row>
    <row r="64926" spans="32:32" x14ac:dyDescent="0.2">
      <c r="AF64926" s="12"/>
    </row>
    <row r="64927" spans="32:32" x14ac:dyDescent="0.2">
      <c r="AF64927" s="12"/>
    </row>
    <row r="64928" spans="32:32" x14ac:dyDescent="0.2">
      <c r="AF64928" s="12"/>
    </row>
    <row r="64929" spans="32:32" x14ac:dyDescent="0.2">
      <c r="AF64929" s="12"/>
    </row>
    <row r="64930" spans="32:32" x14ac:dyDescent="0.2">
      <c r="AF64930" s="12"/>
    </row>
    <row r="64931" spans="32:32" x14ac:dyDescent="0.2">
      <c r="AF64931" s="12"/>
    </row>
    <row r="64932" spans="32:32" x14ac:dyDescent="0.2">
      <c r="AF64932" s="12"/>
    </row>
    <row r="64933" spans="32:32" x14ac:dyDescent="0.2">
      <c r="AF64933" s="12"/>
    </row>
    <row r="64934" spans="32:32" x14ac:dyDescent="0.2">
      <c r="AF64934" s="12"/>
    </row>
    <row r="64935" spans="32:32" x14ac:dyDescent="0.2">
      <c r="AF64935" s="12"/>
    </row>
    <row r="64936" spans="32:32" x14ac:dyDescent="0.2">
      <c r="AF64936" s="12"/>
    </row>
    <row r="64937" spans="32:32" x14ac:dyDescent="0.2">
      <c r="AF64937" s="12"/>
    </row>
    <row r="64938" spans="32:32" x14ac:dyDescent="0.2">
      <c r="AF64938" s="12"/>
    </row>
    <row r="64939" spans="32:32" x14ac:dyDescent="0.2">
      <c r="AF64939" s="12"/>
    </row>
    <row r="64940" spans="32:32" x14ac:dyDescent="0.2">
      <c r="AF64940" s="12"/>
    </row>
    <row r="64941" spans="32:32" x14ac:dyDescent="0.2">
      <c r="AF64941" s="12"/>
    </row>
    <row r="64942" spans="32:32" x14ac:dyDescent="0.2">
      <c r="AF64942" s="12"/>
    </row>
    <row r="64943" spans="32:32" x14ac:dyDescent="0.2">
      <c r="AF64943" s="12"/>
    </row>
    <row r="64944" spans="32:32" x14ac:dyDescent="0.2">
      <c r="AF64944" s="12"/>
    </row>
    <row r="64945" spans="32:32" x14ac:dyDescent="0.2">
      <c r="AF64945" s="12"/>
    </row>
    <row r="64946" spans="32:32" x14ac:dyDescent="0.2">
      <c r="AF64946" s="12"/>
    </row>
    <row r="64947" spans="32:32" x14ac:dyDescent="0.2">
      <c r="AF64947" s="12"/>
    </row>
    <row r="64948" spans="32:32" x14ac:dyDescent="0.2">
      <c r="AF64948" s="12"/>
    </row>
    <row r="64949" spans="32:32" x14ac:dyDescent="0.2">
      <c r="AF64949" s="12"/>
    </row>
    <row r="64950" spans="32:32" x14ac:dyDescent="0.2">
      <c r="AF64950" s="12"/>
    </row>
    <row r="64951" spans="32:32" x14ac:dyDescent="0.2">
      <c r="AF64951" s="12"/>
    </row>
    <row r="64952" spans="32:32" x14ac:dyDescent="0.2">
      <c r="AF64952" s="12"/>
    </row>
    <row r="64953" spans="32:32" x14ac:dyDescent="0.2">
      <c r="AF64953" s="12"/>
    </row>
    <row r="64954" spans="32:32" x14ac:dyDescent="0.2">
      <c r="AF64954" s="12"/>
    </row>
    <row r="64955" spans="32:32" x14ac:dyDescent="0.2">
      <c r="AF64955" s="12"/>
    </row>
    <row r="64956" spans="32:32" x14ac:dyDescent="0.2">
      <c r="AF64956" s="12"/>
    </row>
    <row r="64957" spans="32:32" x14ac:dyDescent="0.2">
      <c r="AF64957" s="12"/>
    </row>
    <row r="64958" spans="32:32" x14ac:dyDescent="0.2">
      <c r="AF64958" s="12"/>
    </row>
    <row r="64959" spans="32:32" x14ac:dyDescent="0.2">
      <c r="AF64959" s="12"/>
    </row>
    <row r="64960" spans="32:32" x14ac:dyDescent="0.2">
      <c r="AF64960" s="12"/>
    </row>
    <row r="64961" spans="32:32" x14ac:dyDescent="0.2">
      <c r="AF64961" s="12"/>
    </row>
    <row r="64962" spans="32:32" x14ac:dyDescent="0.2">
      <c r="AF64962" s="12"/>
    </row>
    <row r="64963" spans="32:32" x14ac:dyDescent="0.2">
      <c r="AF64963" s="12"/>
    </row>
    <row r="64964" spans="32:32" x14ac:dyDescent="0.2">
      <c r="AF64964" s="12"/>
    </row>
    <row r="64965" spans="32:32" x14ac:dyDescent="0.2">
      <c r="AF64965" s="12"/>
    </row>
    <row r="64966" spans="32:32" x14ac:dyDescent="0.2">
      <c r="AF64966" s="12"/>
    </row>
    <row r="64967" spans="32:32" x14ac:dyDescent="0.2">
      <c r="AF64967" s="12"/>
    </row>
    <row r="64968" spans="32:32" x14ac:dyDescent="0.2">
      <c r="AF64968" s="12"/>
    </row>
    <row r="64969" spans="32:32" x14ac:dyDescent="0.2">
      <c r="AF64969" s="12"/>
    </row>
    <row r="64970" spans="32:32" x14ac:dyDescent="0.2">
      <c r="AF64970" s="12"/>
    </row>
    <row r="64971" spans="32:32" x14ac:dyDescent="0.2">
      <c r="AF64971" s="12"/>
    </row>
    <row r="64972" spans="32:32" x14ac:dyDescent="0.2">
      <c r="AF64972" s="12"/>
    </row>
    <row r="64973" spans="32:32" x14ac:dyDescent="0.2">
      <c r="AF64973" s="12"/>
    </row>
    <row r="64974" spans="32:32" x14ac:dyDescent="0.2">
      <c r="AF64974" s="12"/>
    </row>
    <row r="64975" spans="32:32" x14ac:dyDescent="0.2">
      <c r="AF64975" s="12"/>
    </row>
    <row r="64976" spans="32:32" x14ac:dyDescent="0.2">
      <c r="AF64976" s="12"/>
    </row>
    <row r="64977" spans="32:32" x14ac:dyDescent="0.2">
      <c r="AF64977" s="12"/>
    </row>
    <row r="64978" spans="32:32" x14ac:dyDescent="0.2">
      <c r="AF64978" s="12"/>
    </row>
    <row r="64979" spans="32:32" x14ac:dyDescent="0.2">
      <c r="AF64979" s="12"/>
    </row>
    <row r="64980" spans="32:32" x14ac:dyDescent="0.2">
      <c r="AF64980" s="12"/>
    </row>
    <row r="64981" spans="32:32" x14ac:dyDescent="0.2">
      <c r="AF64981" s="12"/>
    </row>
    <row r="64982" spans="32:32" x14ac:dyDescent="0.2">
      <c r="AF64982" s="12"/>
    </row>
    <row r="64983" spans="32:32" x14ac:dyDescent="0.2">
      <c r="AF64983" s="12"/>
    </row>
    <row r="64984" spans="32:32" x14ac:dyDescent="0.2">
      <c r="AF64984" s="12"/>
    </row>
    <row r="64985" spans="32:32" x14ac:dyDescent="0.2">
      <c r="AF64985" s="12"/>
    </row>
    <row r="64986" spans="32:32" x14ac:dyDescent="0.2">
      <c r="AF64986" s="12"/>
    </row>
    <row r="64987" spans="32:32" x14ac:dyDescent="0.2">
      <c r="AF64987" s="12"/>
    </row>
    <row r="64988" spans="32:32" x14ac:dyDescent="0.2">
      <c r="AF64988" s="12"/>
    </row>
    <row r="64989" spans="32:32" x14ac:dyDescent="0.2">
      <c r="AF64989" s="12"/>
    </row>
    <row r="64990" spans="32:32" x14ac:dyDescent="0.2">
      <c r="AF64990" s="12"/>
    </row>
    <row r="64991" spans="32:32" x14ac:dyDescent="0.2">
      <c r="AF64991" s="12"/>
    </row>
    <row r="64992" spans="32:32" x14ac:dyDescent="0.2">
      <c r="AF64992" s="12"/>
    </row>
    <row r="64993" spans="32:32" x14ac:dyDescent="0.2">
      <c r="AF64993" s="12"/>
    </row>
    <row r="64994" spans="32:32" x14ac:dyDescent="0.2">
      <c r="AF64994" s="12"/>
    </row>
    <row r="64995" spans="32:32" x14ac:dyDescent="0.2">
      <c r="AF64995" s="12"/>
    </row>
    <row r="64996" spans="32:32" x14ac:dyDescent="0.2">
      <c r="AF64996" s="12"/>
    </row>
    <row r="64997" spans="32:32" x14ac:dyDescent="0.2">
      <c r="AF64997" s="12"/>
    </row>
    <row r="64998" spans="32:32" x14ac:dyDescent="0.2">
      <c r="AF64998" s="12"/>
    </row>
    <row r="64999" spans="32:32" x14ac:dyDescent="0.2">
      <c r="AF64999" s="12"/>
    </row>
    <row r="65000" spans="32:32" x14ac:dyDescent="0.2">
      <c r="AF65000" s="12"/>
    </row>
    <row r="65001" spans="32:32" x14ac:dyDescent="0.2">
      <c r="AF65001" s="12"/>
    </row>
    <row r="65002" spans="32:32" x14ac:dyDescent="0.2">
      <c r="AF65002" s="12"/>
    </row>
    <row r="65003" spans="32:32" x14ac:dyDescent="0.2">
      <c r="AF65003" s="12"/>
    </row>
    <row r="65004" spans="32:32" x14ac:dyDescent="0.2">
      <c r="AF65004" s="12"/>
    </row>
    <row r="65005" spans="32:32" x14ac:dyDescent="0.2">
      <c r="AF65005" s="12"/>
    </row>
    <row r="65006" spans="32:32" x14ac:dyDescent="0.2">
      <c r="AF65006" s="12"/>
    </row>
    <row r="65007" spans="32:32" x14ac:dyDescent="0.2">
      <c r="AF65007" s="12"/>
    </row>
    <row r="65008" spans="32:32" x14ac:dyDescent="0.2">
      <c r="AF65008" s="12"/>
    </row>
    <row r="65009" spans="32:32" x14ac:dyDescent="0.2">
      <c r="AF65009" s="12"/>
    </row>
    <row r="65010" spans="32:32" x14ac:dyDescent="0.2">
      <c r="AF65010" s="12"/>
    </row>
    <row r="65011" spans="32:32" x14ac:dyDescent="0.2">
      <c r="AF65011" s="12"/>
    </row>
    <row r="65012" spans="32:32" x14ac:dyDescent="0.2">
      <c r="AF65012" s="12"/>
    </row>
    <row r="65013" spans="32:32" x14ac:dyDescent="0.2">
      <c r="AF65013" s="12"/>
    </row>
    <row r="65014" spans="32:32" x14ac:dyDescent="0.2">
      <c r="AF65014" s="12"/>
    </row>
    <row r="65015" spans="32:32" x14ac:dyDescent="0.2">
      <c r="AF65015" s="12"/>
    </row>
    <row r="65016" spans="32:32" x14ac:dyDescent="0.2">
      <c r="AF65016" s="12"/>
    </row>
    <row r="65017" spans="32:32" x14ac:dyDescent="0.2">
      <c r="AF65017" s="12"/>
    </row>
    <row r="65018" spans="32:32" x14ac:dyDescent="0.2">
      <c r="AF65018" s="12"/>
    </row>
    <row r="65019" spans="32:32" x14ac:dyDescent="0.2">
      <c r="AF65019" s="12"/>
    </row>
    <row r="65020" spans="32:32" x14ac:dyDescent="0.2">
      <c r="AF65020" s="12"/>
    </row>
    <row r="65021" spans="32:32" x14ac:dyDescent="0.2">
      <c r="AF65021" s="12"/>
    </row>
    <row r="65022" spans="32:32" x14ac:dyDescent="0.2">
      <c r="AF65022" s="12"/>
    </row>
    <row r="65023" spans="32:32" x14ac:dyDescent="0.2">
      <c r="AF65023" s="12"/>
    </row>
    <row r="65024" spans="32:32" x14ac:dyDescent="0.2">
      <c r="AF65024" s="12"/>
    </row>
    <row r="65025" spans="32:32" x14ac:dyDescent="0.2">
      <c r="AF65025" s="12"/>
    </row>
    <row r="65026" spans="32:32" x14ac:dyDescent="0.2">
      <c r="AF65026" s="12"/>
    </row>
    <row r="65027" spans="32:32" x14ac:dyDescent="0.2">
      <c r="AF65027" s="12"/>
    </row>
    <row r="65028" spans="32:32" x14ac:dyDescent="0.2">
      <c r="AF65028" s="12"/>
    </row>
    <row r="65029" spans="32:32" x14ac:dyDescent="0.2">
      <c r="AF65029" s="12"/>
    </row>
    <row r="65030" spans="32:32" x14ac:dyDescent="0.2">
      <c r="AF65030" s="12"/>
    </row>
    <row r="65031" spans="32:32" x14ac:dyDescent="0.2">
      <c r="AF65031" s="12"/>
    </row>
    <row r="65032" spans="32:32" x14ac:dyDescent="0.2">
      <c r="AF65032" s="12"/>
    </row>
    <row r="65033" spans="32:32" x14ac:dyDescent="0.2">
      <c r="AF65033" s="12"/>
    </row>
    <row r="65034" spans="32:32" x14ac:dyDescent="0.2">
      <c r="AF65034" s="12"/>
    </row>
    <row r="65035" spans="32:32" x14ac:dyDescent="0.2">
      <c r="AF65035" s="12"/>
    </row>
    <row r="65036" spans="32:32" x14ac:dyDescent="0.2">
      <c r="AF65036" s="12"/>
    </row>
    <row r="65037" spans="32:32" x14ac:dyDescent="0.2">
      <c r="AF65037" s="12"/>
    </row>
    <row r="65038" spans="32:32" x14ac:dyDescent="0.2">
      <c r="AF65038" s="12"/>
    </row>
    <row r="65039" spans="32:32" x14ac:dyDescent="0.2">
      <c r="AF65039" s="12"/>
    </row>
    <row r="65040" spans="32:32" x14ac:dyDescent="0.2">
      <c r="AF65040" s="12"/>
    </row>
    <row r="65041" spans="32:32" x14ac:dyDescent="0.2">
      <c r="AF65041" s="12"/>
    </row>
    <row r="65042" spans="32:32" x14ac:dyDescent="0.2">
      <c r="AF65042" s="12"/>
    </row>
    <row r="65043" spans="32:32" x14ac:dyDescent="0.2">
      <c r="AF65043" s="12"/>
    </row>
    <row r="65044" spans="32:32" x14ac:dyDescent="0.2">
      <c r="AF65044" s="12"/>
    </row>
    <row r="65045" spans="32:32" x14ac:dyDescent="0.2">
      <c r="AF65045" s="12"/>
    </row>
    <row r="65046" spans="32:32" x14ac:dyDescent="0.2">
      <c r="AF65046" s="12"/>
    </row>
    <row r="65047" spans="32:32" x14ac:dyDescent="0.2">
      <c r="AF65047" s="12"/>
    </row>
    <row r="65048" spans="32:32" x14ac:dyDescent="0.2">
      <c r="AF65048" s="12"/>
    </row>
    <row r="65049" spans="32:32" x14ac:dyDescent="0.2">
      <c r="AF65049" s="12"/>
    </row>
    <row r="65050" spans="32:32" x14ac:dyDescent="0.2">
      <c r="AF65050" s="12"/>
    </row>
    <row r="65051" spans="32:32" x14ac:dyDescent="0.2">
      <c r="AF65051" s="12"/>
    </row>
    <row r="65052" spans="32:32" x14ac:dyDescent="0.2">
      <c r="AF65052" s="12"/>
    </row>
    <row r="65053" spans="32:32" x14ac:dyDescent="0.2">
      <c r="AF65053" s="12"/>
    </row>
    <row r="65054" spans="32:32" x14ac:dyDescent="0.2">
      <c r="AF65054" s="12"/>
    </row>
    <row r="65055" spans="32:32" x14ac:dyDescent="0.2">
      <c r="AF65055" s="12"/>
    </row>
    <row r="65056" spans="32:32" x14ac:dyDescent="0.2">
      <c r="AF65056" s="12"/>
    </row>
    <row r="65057" spans="32:32" x14ac:dyDescent="0.2">
      <c r="AF65057" s="12"/>
    </row>
    <row r="65058" spans="32:32" x14ac:dyDescent="0.2">
      <c r="AF65058" s="12"/>
    </row>
    <row r="65059" spans="32:32" x14ac:dyDescent="0.2">
      <c r="AF65059" s="12"/>
    </row>
    <row r="65060" spans="32:32" x14ac:dyDescent="0.2">
      <c r="AF65060" s="12"/>
    </row>
    <row r="65061" spans="32:32" x14ac:dyDescent="0.2">
      <c r="AF65061" s="12"/>
    </row>
    <row r="65062" spans="32:32" x14ac:dyDescent="0.2">
      <c r="AF65062" s="12"/>
    </row>
    <row r="65063" spans="32:32" x14ac:dyDescent="0.2">
      <c r="AF65063" s="12"/>
    </row>
    <row r="65064" spans="32:32" x14ac:dyDescent="0.2">
      <c r="AF65064" s="12"/>
    </row>
    <row r="65065" spans="32:32" x14ac:dyDescent="0.2">
      <c r="AF65065" s="12"/>
    </row>
    <row r="65066" spans="32:32" x14ac:dyDescent="0.2">
      <c r="AF65066" s="12"/>
    </row>
    <row r="65067" spans="32:32" x14ac:dyDescent="0.2">
      <c r="AF65067" s="12"/>
    </row>
    <row r="65068" spans="32:32" x14ac:dyDescent="0.2">
      <c r="AF65068" s="12"/>
    </row>
    <row r="65069" spans="32:32" x14ac:dyDescent="0.2">
      <c r="AF65069" s="12"/>
    </row>
    <row r="65070" spans="32:32" x14ac:dyDescent="0.2">
      <c r="AF65070" s="12"/>
    </row>
    <row r="65071" spans="32:32" x14ac:dyDescent="0.2">
      <c r="AF65071" s="12"/>
    </row>
    <row r="65072" spans="32:32" x14ac:dyDescent="0.2">
      <c r="AF65072" s="12"/>
    </row>
    <row r="65073" spans="32:32" x14ac:dyDescent="0.2">
      <c r="AF65073" s="12"/>
    </row>
    <row r="65074" spans="32:32" x14ac:dyDescent="0.2">
      <c r="AF65074" s="12"/>
    </row>
    <row r="65075" spans="32:32" x14ac:dyDescent="0.2">
      <c r="AF65075" s="12"/>
    </row>
    <row r="65076" spans="32:32" x14ac:dyDescent="0.2">
      <c r="AF65076" s="12"/>
    </row>
    <row r="65077" spans="32:32" x14ac:dyDescent="0.2">
      <c r="AF65077" s="12"/>
    </row>
    <row r="65078" spans="32:32" x14ac:dyDescent="0.2">
      <c r="AF65078" s="12"/>
    </row>
    <row r="65079" spans="32:32" x14ac:dyDescent="0.2">
      <c r="AF65079" s="12"/>
    </row>
    <row r="65080" spans="32:32" x14ac:dyDescent="0.2">
      <c r="AF65080" s="12"/>
    </row>
    <row r="65081" spans="32:32" x14ac:dyDescent="0.2">
      <c r="AF65081" s="12"/>
    </row>
    <row r="65082" spans="32:32" x14ac:dyDescent="0.2">
      <c r="AF65082" s="12"/>
    </row>
    <row r="65083" spans="32:32" x14ac:dyDescent="0.2">
      <c r="AF65083" s="12"/>
    </row>
    <row r="65084" spans="32:32" x14ac:dyDescent="0.2">
      <c r="AF65084" s="12"/>
    </row>
    <row r="65085" spans="32:32" x14ac:dyDescent="0.2">
      <c r="AF65085" s="12"/>
    </row>
    <row r="65086" spans="32:32" x14ac:dyDescent="0.2">
      <c r="AF65086" s="12"/>
    </row>
    <row r="65087" spans="32:32" x14ac:dyDescent="0.2">
      <c r="AF65087" s="12"/>
    </row>
    <row r="65088" spans="32:32" x14ac:dyDescent="0.2">
      <c r="AF65088" s="12"/>
    </row>
    <row r="65089" spans="32:32" x14ac:dyDescent="0.2">
      <c r="AF65089" s="12"/>
    </row>
    <row r="65090" spans="32:32" x14ac:dyDescent="0.2">
      <c r="AF65090" s="12"/>
    </row>
    <row r="65091" spans="32:32" x14ac:dyDescent="0.2">
      <c r="AF65091" s="12"/>
    </row>
    <row r="65092" spans="32:32" x14ac:dyDescent="0.2">
      <c r="AF65092" s="12"/>
    </row>
    <row r="65093" spans="32:32" x14ac:dyDescent="0.2">
      <c r="AF65093" s="12"/>
    </row>
    <row r="65094" spans="32:32" x14ac:dyDescent="0.2">
      <c r="AF65094" s="12"/>
    </row>
    <row r="65095" spans="32:32" x14ac:dyDescent="0.2">
      <c r="AF65095" s="12"/>
    </row>
    <row r="65096" spans="32:32" x14ac:dyDescent="0.2">
      <c r="AF65096" s="12"/>
    </row>
    <row r="65097" spans="32:32" x14ac:dyDescent="0.2">
      <c r="AF65097" s="12"/>
    </row>
    <row r="65098" spans="32:32" x14ac:dyDescent="0.2">
      <c r="AF65098" s="12"/>
    </row>
    <row r="65099" spans="32:32" x14ac:dyDescent="0.2">
      <c r="AF65099" s="12"/>
    </row>
    <row r="65100" spans="32:32" x14ac:dyDescent="0.2">
      <c r="AF65100" s="12"/>
    </row>
    <row r="65101" spans="32:32" x14ac:dyDescent="0.2">
      <c r="AF65101" s="12"/>
    </row>
    <row r="65102" spans="32:32" x14ac:dyDescent="0.2">
      <c r="AF65102" s="12"/>
    </row>
    <row r="65103" spans="32:32" x14ac:dyDescent="0.2">
      <c r="AF65103" s="12"/>
    </row>
    <row r="65104" spans="32:32" x14ac:dyDescent="0.2">
      <c r="AF65104" s="12"/>
    </row>
    <row r="65105" spans="32:32" x14ac:dyDescent="0.2">
      <c r="AF65105" s="12"/>
    </row>
    <row r="65106" spans="32:32" x14ac:dyDescent="0.2">
      <c r="AF65106" s="12"/>
    </row>
    <row r="65107" spans="32:32" x14ac:dyDescent="0.2">
      <c r="AF65107" s="12"/>
    </row>
    <row r="65108" spans="32:32" x14ac:dyDescent="0.2">
      <c r="AF65108" s="12"/>
    </row>
    <row r="65109" spans="32:32" x14ac:dyDescent="0.2">
      <c r="AF65109" s="12"/>
    </row>
    <row r="65110" spans="32:32" x14ac:dyDescent="0.2">
      <c r="AF65110" s="12"/>
    </row>
    <row r="65111" spans="32:32" x14ac:dyDescent="0.2">
      <c r="AF65111" s="12"/>
    </row>
    <row r="65112" spans="32:32" x14ac:dyDescent="0.2">
      <c r="AF65112" s="12"/>
    </row>
    <row r="65113" spans="32:32" x14ac:dyDescent="0.2">
      <c r="AF65113" s="12"/>
    </row>
    <row r="65114" spans="32:32" x14ac:dyDescent="0.2">
      <c r="AF65114" s="12"/>
    </row>
    <row r="65115" spans="32:32" x14ac:dyDescent="0.2">
      <c r="AF65115" s="12"/>
    </row>
    <row r="65116" spans="32:32" x14ac:dyDescent="0.2">
      <c r="AF65116" s="12"/>
    </row>
    <row r="65117" spans="32:32" x14ac:dyDescent="0.2">
      <c r="AF65117" s="12"/>
    </row>
    <row r="65118" spans="32:32" x14ac:dyDescent="0.2">
      <c r="AF65118" s="12"/>
    </row>
    <row r="65119" spans="32:32" x14ac:dyDescent="0.2">
      <c r="AF65119" s="12"/>
    </row>
    <row r="65120" spans="32:32" x14ac:dyDescent="0.2">
      <c r="AF65120" s="12"/>
    </row>
    <row r="65121" spans="32:32" x14ac:dyDescent="0.2">
      <c r="AF65121" s="12"/>
    </row>
    <row r="65122" spans="32:32" x14ac:dyDescent="0.2">
      <c r="AF65122" s="12"/>
    </row>
    <row r="65123" spans="32:32" x14ac:dyDescent="0.2">
      <c r="AF65123" s="12"/>
    </row>
    <row r="65124" spans="32:32" x14ac:dyDescent="0.2">
      <c r="AF65124" s="12"/>
    </row>
    <row r="65125" spans="32:32" x14ac:dyDescent="0.2">
      <c r="AF65125" s="12"/>
    </row>
    <row r="65126" spans="32:32" x14ac:dyDescent="0.2">
      <c r="AF65126" s="12"/>
    </row>
    <row r="65127" spans="32:32" x14ac:dyDescent="0.2">
      <c r="AF65127" s="12"/>
    </row>
    <row r="65128" spans="32:32" x14ac:dyDescent="0.2">
      <c r="AF65128" s="12"/>
    </row>
    <row r="65129" spans="32:32" x14ac:dyDescent="0.2">
      <c r="AF65129" s="12"/>
    </row>
    <row r="65130" spans="32:32" x14ac:dyDescent="0.2">
      <c r="AF65130" s="12"/>
    </row>
    <row r="65131" spans="32:32" x14ac:dyDescent="0.2">
      <c r="AF65131" s="12"/>
    </row>
    <row r="65132" spans="32:32" x14ac:dyDescent="0.2">
      <c r="AF65132" s="12"/>
    </row>
    <row r="65133" spans="32:32" x14ac:dyDescent="0.2">
      <c r="AF65133" s="12"/>
    </row>
    <row r="65134" spans="32:32" x14ac:dyDescent="0.2">
      <c r="AF65134" s="12"/>
    </row>
    <row r="65135" spans="32:32" x14ac:dyDescent="0.2">
      <c r="AF65135" s="12"/>
    </row>
    <row r="65136" spans="32:32" x14ac:dyDescent="0.2">
      <c r="AF65136" s="12"/>
    </row>
    <row r="65137" spans="32:32" x14ac:dyDescent="0.2">
      <c r="AF65137" s="12"/>
    </row>
    <row r="65138" spans="32:32" x14ac:dyDescent="0.2">
      <c r="AF65138" s="12"/>
    </row>
    <row r="65139" spans="32:32" x14ac:dyDescent="0.2">
      <c r="AF65139" s="12"/>
    </row>
    <row r="65140" spans="32:32" x14ac:dyDescent="0.2">
      <c r="AF65140" s="12"/>
    </row>
    <row r="65141" spans="32:32" x14ac:dyDescent="0.2">
      <c r="AF65141" s="12"/>
    </row>
    <row r="65142" spans="32:32" x14ac:dyDescent="0.2">
      <c r="AF65142" s="12"/>
    </row>
    <row r="65143" spans="32:32" x14ac:dyDescent="0.2">
      <c r="AF65143" s="12"/>
    </row>
    <row r="65144" spans="32:32" x14ac:dyDescent="0.2">
      <c r="AF65144" s="12"/>
    </row>
    <row r="65145" spans="32:32" x14ac:dyDescent="0.2">
      <c r="AF65145" s="12"/>
    </row>
    <row r="65146" spans="32:32" x14ac:dyDescent="0.2">
      <c r="AF65146" s="12"/>
    </row>
    <row r="65147" spans="32:32" x14ac:dyDescent="0.2">
      <c r="AF65147" s="12"/>
    </row>
    <row r="65148" spans="32:32" x14ac:dyDescent="0.2">
      <c r="AF65148" s="12"/>
    </row>
    <row r="65149" spans="32:32" x14ac:dyDescent="0.2">
      <c r="AF65149" s="12"/>
    </row>
    <row r="65150" spans="32:32" x14ac:dyDescent="0.2">
      <c r="AF65150" s="12"/>
    </row>
    <row r="65151" spans="32:32" x14ac:dyDescent="0.2">
      <c r="AF65151" s="12"/>
    </row>
    <row r="65152" spans="32:32" x14ac:dyDescent="0.2">
      <c r="AF65152" s="12"/>
    </row>
    <row r="65153" spans="32:32" x14ac:dyDescent="0.2">
      <c r="AF65153" s="12"/>
    </row>
    <row r="65154" spans="32:32" x14ac:dyDescent="0.2">
      <c r="AF65154" s="12"/>
    </row>
    <row r="65155" spans="32:32" x14ac:dyDescent="0.2">
      <c r="AF65155" s="12"/>
    </row>
    <row r="65156" spans="32:32" x14ac:dyDescent="0.2">
      <c r="AF65156" s="12"/>
    </row>
    <row r="65157" spans="32:32" x14ac:dyDescent="0.2">
      <c r="AF65157" s="12"/>
    </row>
    <row r="65158" spans="32:32" x14ac:dyDescent="0.2">
      <c r="AF65158" s="12"/>
    </row>
    <row r="65159" spans="32:32" x14ac:dyDescent="0.2">
      <c r="AF65159" s="12"/>
    </row>
    <row r="65160" spans="32:32" x14ac:dyDescent="0.2">
      <c r="AF65160" s="12"/>
    </row>
    <row r="65161" spans="32:32" x14ac:dyDescent="0.2">
      <c r="AF65161" s="12"/>
    </row>
    <row r="65162" spans="32:32" x14ac:dyDescent="0.2">
      <c r="AF65162" s="12"/>
    </row>
    <row r="65163" spans="32:32" x14ac:dyDescent="0.2">
      <c r="AF65163" s="12"/>
    </row>
    <row r="65164" spans="32:32" x14ac:dyDescent="0.2">
      <c r="AF65164" s="12"/>
    </row>
    <row r="65165" spans="32:32" x14ac:dyDescent="0.2">
      <c r="AF65165" s="12"/>
    </row>
    <row r="65166" spans="32:32" x14ac:dyDescent="0.2">
      <c r="AF65166" s="12"/>
    </row>
    <row r="65167" spans="32:32" x14ac:dyDescent="0.2">
      <c r="AF65167" s="12"/>
    </row>
    <row r="65168" spans="32:32" x14ac:dyDescent="0.2">
      <c r="AF65168" s="12"/>
    </row>
    <row r="65169" spans="32:32" x14ac:dyDescent="0.2">
      <c r="AF65169" s="12"/>
    </row>
    <row r="65170" spans="32:32" x14ac:dyDescent="0.2">
      <c r="AF65170" s="12"/>
    </row>
    <row r="65171" spans="32:32" x14ac:dyDescent="0.2">
      <c r="AF65171" s="12"/>
    </row>
    <row r="65172" spans="32:32" x14ac:dyDescent="0.2">
      <c r="AF65172" s="12"/>
    </row>
    <row r="65173" spans="32:32" x14ac:dyDescent="0.2">
      <c r="AF65173" s="12"/>
    </row>
    <row r="65174" spans="32:32" x14ac:dyDescent="0.2">
      <c r="AF65174" s="12"/>
    </row>
    <row r="65175" spans="32:32" x14ac:dyDescent="0.2">
      <c r="AF65175" s="12"/>
    </row>
    <row r="65176" spans="32:32" x14ac:dyDescent="0.2">
      <c r="AF65176" s="12"/>
    </row>
    <row r="65177" spans="32:32" x14ac:dyDescent="0.2">
      <c r="AF65177" s="12"/>
    </row>
    <row r="65178" spans="32:32" x14ac:dyDescent="0.2">
      <c r="AF65178" s="12"/>
    </row>
    <row r="65179" spans="32:32" x14ac:dyDescent="0.2">
      <c r="AF65179" s="12"/>
    </row>
    <row r="65180" spans="32:32" x14ac:dyDescent="0.2">
      <c r="AF65180" s="12"/>
    </row>
    <row r="65181" spans="32:32" x14ac:dyDescent="0.2">
      <c r="AF65181" s="12"/>
    </row>
    <row r="65182" spans="32:32" x14ac:dyDescent="0.2">
      <c r="AF65182" s="12"/>
    </row>
    <row r="65183" spans="32:32" x14ac:dyDescent="0.2">
      <c r="AF65183" s="12"/>
    </row>
    <row r="65184" spans="32:32" x14ac:dyDescent="0.2">
      <c r="AF65184" s="12"/>
    </row>
    <row r="65185" spans="32:32" x14ac:dyDescent="0.2">
      <c r="AF65185" s="12"/>
    </row>
    <row r="65186" spans="32:32" x14ac:dyDescent="0.2">
      <c r="AF65186" s="12"/>
    </row>
    <row r="65187" spans="32:32" x14ac:dyDescent="0.2">
      <c r="AF65187" s="12"/>
    </row>
    <row r="65188" spans="32:32" x14ac:dyDescent="0.2">
      <c r="AF65188" s="12"/>
    </row>
    <row r="65189" spans="32:32" x14ac:dyDescent="0.2">
      <c r="AF65189" s="12"/>
    </row>
    <row r="65190" spans="32:32" x14ac:dyDescent="0.2">
      <c r="AF65190" s="12"/>
    </row>
    <row r="65191" spans="32:32" x14ac:dyDescent="0.2">
      <c r="AF65191" s="12"/>
    </row>
    <row r="65192" spans="32:32" x14ac:dyDescent="0.2">
      <c r="AF65192" s="12"/>
    </row>
    <row r="65193" spans="32:32" x14ac:dyDescent="0.2">
      <c r="AF65193" s="12"/>
    </row>
    <row r="65194" spans="32:32" x14ac:dyDescent="0.2">
      <c r="AF65194" s="12"/>
    </row>
    <row r="65195" spans="32:32" x14ac:dyDescent="0.2">
      <c r="AF65195" s="12"/>
    </row>
    <row r="65196" spans="32:32" x14ac:dyDescent="0.2">
      <c r="AF65196" s="12"/>
    </row>
    <row r="65197" spans="32:32" x14ac:dyDescent="0.2">
      <c r="AF65197" s="12"/>
    </row>
    <row r="65198" spans="32:32" x14ac:dyDescent="0.2">
      <c r="AF65198" s="12"/>
    </row>
    <row r="65199" spans="32:32" x14ac:dyDescent="0.2">
      <c r="AF65199" s="12"/>
    </row>
    <row r="65200" spans="32:32" x14ac:dyDescent="0.2">
      <c r="AF65200" s="12"/>
    </row>
    <row r="65201" spans="32:32" x14ac:dyDescent="0.2">
      <c r="AF65201" s="12"/>
    </row>
    <row r="65202" spans="32:32" x14ac:dyDescent="0.2">
      <c r="AF65202" s="12"/>
    </row>
    <row r="65203" spans="32:32" x14ac:dyDescent="0.2">
      <c r="AF65203" s="12"/>
    </row>
    <row r="65204" spans="32:32" x14ac:dyDescent="0.2">
      <c r="AF65204" s="12"/>
    </row>
    <row r="65205" spans="32:32" x14ac:dyDescent="0.2">
      <c r="AF65205" s="12"/>
    </row>
    <row r="65206" spans="32:32" x14ac:dyDescent="0.2">
      <c r="AF65206" s="12"/>
    </row>
    <row r="65207" spans="32:32" x14ac:dyDescent="0.2">
      <c r="AF65207" s="12"/>
    </row>
    <row r="65208" spans="32:32" x14ac:dyDescent="0.2">
      <c r="AF65208" s="12"/>
    </row>
    <row r="65209" spans="32:32" x14ac:dyDescent="0.2">
      <c r="AF65209" s="12"/>
    </row>
    <row r="65210" spans="32:32" x14ac:dyDescent="0.2">
      <c r="AF65210" s="12"/>
    </row>
    <row r="65211" spans="32:32" x14ac:dyDescent="0.2">
      <c r="AF65211" s="12"/>
    </row>
    <row r="65212" spans="32:32" x14ac:dyDescent="0.2">
      <c r="AF65212" s="12"/>
    </row>
    <row r="65213" spans="32:32" x14ac:dyDescent="0.2">
      <c r="AF65213" s="12"/>
    </row>
    <row r="65214" spans="32:32" x14ac:dyDescent="0.2">
      <c r="AF65214" s="12"/>
    </row>
    <row r="65215" spans="32:32" x14ac:dyDescent="0.2">
      <c r="AF65215" s="12"/>
    </row>
    <row r="65216" spans="32:32" x14ac:dyDescent="0.2">
      <c r="AF65216" s="12"/>
    </row>
    <row r="65217" spans="32:32" x14ac:dyDescent="0.2">
      <c r="AF65217" s="12"/>
    </row>
    <row r="65218" spans="32:32" x14ac:dyDescent="0.2">
      <c r="AF65218" s="12"/>
    </row>
    <row r="65219" spans="32:32" x14ac:dyDescent="0.2">
      <c r="AF65219" s="12"/>
    </row>
    <row r="65220" spans="32:32" x14ac:dyDescent="0.2">
      <c r="AF65220" s="12"/>
    </row>
    <row r="65221" spans="32:32" x14ac:dyDescent="0.2">
      <c r="AF65221" s="12"/>
    </row>
    <row r="65222" spans="32:32" x14ac:dyDescent="0.2">
      <c r="AF65222" s="12"/>
    </row>
    <row r="65223" spans="32:32" x14ac:dyDescent="0.2">
      <c r="AF65223" s="12"/>
    </row>
    <row r="65224" spans="32:32" x14ac:dyDescent="0.2">
      <c r="AF65224" s="12"/>
    </row>
    <row r="65225" spans="32:32" x14ac:dyDescent="0.2">
      <c r="AF65225" s="12"/>
    </row>
    <row r="65226" spans="32:32" x14ac:dyDescent="0.2">
      <c r="AF65226" s="12"/>
    </row>
    <row r="65227" spans="32:32" x14ac:dyDescent="0.2">
      <c r="AF65227" s="12"/>
    </row>
    <row r="65228" spans="32:32" x14ac:dyDescent="0.2">
      <c r="AF65228" s="12"/>
    </row>
    <row r="65229" spans="32:32" x14ac:dyDescent="0.2">
      <c r="AF65229" s="12"/>
    </row>
    <row r="65230" spans="32:32" x14ac:dyDescent="0.2">
      <c r="AF65230" s="12"/>
    </row>
    <row r="65231" spans="32:32" x14ac:dyDescent="0.2">
      <c r="AF65231" s="12"/>
    </row>
    <row r="65232" spans="32:32" x14ac:dyDescent="0.2">
      <c r="AF65232" s="12"/>
    </row>
    <row r="65233" spans="32:32" x14ac:dyDescent="0.2">
      <c r="AF65233" s="12"/>
    </row>
    <row r="65234" spans="32:32" x14ac:dyDescent="0.2">
      <c r="AF65234" s="12"/>
    </row>
    <row r="65235" spans="32:32" x14ac:dyDescent="0.2">
      <c r="AF65235" s="12"/>
    </row>
    <row r="65236" spans="32:32" x14ac:dyDescent="0.2">
      <c r="AF65236" s="12"/>
    </row>
    <row r="65237" spans="32:32" x14ac:dyDescent="0.2">
      <c r="AF65237" s="12"/>
    </row>
    <row r="65238" spans="32:32" x14ac:dyDescent="0.2">
      <c r="AF65238" s="12"/>
    </row>
    <row r="65239" spans="32:32" x14ac:dyDescent="0.2">
      <c r="AF65239" s="12"/>
    </row>
    <row r="65240" spans="32:32" x14ac:dyDescent="0.2">
      <c r="AF65240" s="12"/>
    </row>
    <row r="65241" spans="32:32" x14ac:dyDescent="0.2">
      <c r="AF65241" s="12"/>
    </row>
    <row r="65242" spans="32:32" x14ac:dyDescent="0.2">
      <c r="AF65242" s="12"/>
    </row>
    <row r="65243" spans="32:32" x14ac:dyDescent="0.2">
      <c r="AF65243" s="12"/>
    </row>
    <row r="65244" spans="32:32" x14ac:dyDescent="0.2">
      <c r="AF65244" s="12"/>
    </row>
    <row r="65245" spans="32:32" x14ac:dyDescent="0.2">
      <c r="AF65245" s="12"/>
    </row>
    <row r="65246" spans="32:32" x14ac:dyDescent="0.2">
      <c r="AF65246" s="12"/>
    </row>
    <row r="65247" spans="32:32" x14ac:dyDescent="0.2">
      <c r="AF65247" s="12"/>
    </row>
    <row r="65248" spans="32:32" x14ac:dyDescent="0.2">
      <c r="AF65248" s="12"/>
    </row>
    <row r="65249" spans="32:32" x14ac:dyDescent="0.2">
      <c r="AF65249" s="12"/>
    </row>
    <row r="65250" spans="32:32" x14ac:dyDescent="0.2">
      <c r="AF65250" s="12"/>
    </row>
    <row r="65251" spans="32:32" x14ac:dyDescent="0.2">
      <c r="AF65251" s="12"/>
    </row>
    <row r="65252" spans="32:32" x14ac:dyDescent="0.2">
      <c r="AF65252" s="12"/>
    </row>
    <row r="65253" spans="32:32" x14ac:dyDescent="0.2">
      <c r="AF65253" s="12"/>
    </row>
    <row r="65254" spans="32:32" x14ac:dyDescent="0.2">
      <c r="AF65254" s="12"/>
    </row>
    <row r="65255" spans="32:32" x14ac:dyDescent="0.2">
      <c r="AF65255" s="12"/>
    </row>
    <row r="65256" spans="32:32" x14ac:dyDescent="0.2">
      <c r="AF65256" s="12"/>
    </row>
    <row r="65257" spans="32:32" x14ac:dyDescent="0.2">
      <c r="AF65257" s="12"/>
    </row>
    <row r="65258" spans="32:32" x14ac:dyDescent="0.2">
      <c r="AF65258" s="12"/>
    </row>
    <row r="65259" spans="32:32" x14ac:dyDescent="0.2">
      <c r="AF65259" s="12"/>
    </row>
    <row r="65260" spans="32:32" x14ac:dyDescent="0.2">
      <c r="AF65260" s="12"/>
    </row>
    <row r="65261" spans="32:32" x14ac:dyDescent="0.2">
      <c r="AF65261" s="12"/>
    </row>
    <row r="65262" spans="32:32" x14ac:dyDescent="0.2">
      <c r="AF65262" s="12"/>
    </row>
    <row r="65263" spans="32:32" x14ac:dyDescent="0.2">
      <c r="AF65263" s="12"/>
    </row>
    <row r="65264" spans="32:32" x14ac:dyDescent="0.2">
      <c r="AF65264" s="12"/>
    </row>
    <row r="65265" spans="32:32" x14ac:dyDescent="0.2">
      <c r="AF65265" s="12"/>
    </row>
    <row r="65266" spans="32:32" x14ac:dyDescent="0.2">
      <c r="AF65266" s="12"/>
    </row>
    <row r="65267" spans="32:32" x14ac:dyDescent="0.2">
      <c r="AF65267" s="12"/>
    </row>
    <row r="65268" spans="32:32" x14ac:dyDescent="0.2">
      <c r="AF65268" s="12"/>
    </row>
    <row r="65269" spans="32:32" x14ac:dyDescent="0.2">
      <c r="AF65269" s="12"/>
    </row>
    <row r="65270" spans="32:32" x14ac:dyDescent="0.2">
      <c r="AF65270" s="12"/>
    </row>
    <row r="65271" spans="32:32" x14ac:dyDescent="0.2">
      <c r="AF65271" s="12"/>
    </row>
    <row r="65272" spans="32:32" x14ac:dyDescent="0.2">
      <c r="AF65272" s="12"/>
    </row>
    <row r="65273" spans="32:32" x14ac:dyDescent="0.2">
      <c r="AF65273" s="12"/>
    </row>
    <row r="65274" spans="32:32" x14ac:dyDescent="0.2">
      <c r="AF65274" s="12"/>
    </row>
    <row r="65275" spans="32:32" x14ac:dyDescent="0.2">
      <c r="AF65275" s="12"/>
    </row>
    <row r="65276" spans="32:32" x14ac:dyDescent="0.2">
      <c r="AF65276" s="12"/>
    </row>
    <row r="65277" spans="32:32" x14ac:dyDescent="0.2">
      <c r="AF65277" s="12"/>
    </row>
    <row r="65278" spans="32:32" x14ac:dyDescent="0.2">
      <c r="AF65278" s="12"/>
    </row>
    <row r="65279" spans="32:32" x14ac:dyDescent="0.2">
      <c r="AF65279" s="12"/>
    </row>
    <row r="65280" spans="32:32" x14ac:dyDescent="0.2">
      <c r="AF65280" s="12"/>
    </row>
    <row r="65281" spans="32:32" x14ac:dyDescent="0.2">
      <c r="AF65281" s="12"/>
    </row>
    <row r="65282" spans="32:32" x14ac:dyDescent="0.2">
      <c r="AF65282" s="12"/>
    </row>
    <row r="65283" spans="32:32" x14ac:dyDescent="0.2">
      <c r="AF65283" s="12"/>
    </row>
    <row r="65284" spans="32:32" x14ac:dyDescent="0.2">
      <c r="AF65284" s="12"/>
    </row>
    <row r="65285" spans="32:32" x14ac:dyDescent="0.2">
      <c r="AF65285" s="12"/>
    </row>
    <row r="65286" spans="32:32" x14ac:dyDescent="0.2">
      <c r="AF65286" s="12"/>
    </row>
    <row r="65287" spans="32:32" x14ac:dyDescent="0.2">
      <c r="AF65287" s="12"/>
    </row>
    <row r="65288" spans="32:32" x14ac:dyDescent="0.2">
      <c r="AF65288" s="12"/>
    </row>
    <row r="65289" spans="32:32" x14ac:dyDescent="0.2">
      <c r="AF65289" s="12"/>
    </row>
    <row r="65290" spans="32:32" x14ac:dyDescent="0.2">
      <c r="AF65290" s="12"/>
    </row>
    <row r="65291" spans="32:32" x14ac:dyDescent="0.2">
      <c r="AF65291" s="12"/>
    </row>
    <row r="65292" spans="32:32" x14ac:dyDescent="0.2">
      <c r="AF65292" s="12"/>
    </row>
    <row r="65293" spans="32:32" x14ac:dyDescent="0.2">
      <c r="AF65293" s="12"/>
    </row>
    <row r="65294" spans="32:32" x14ac:dyDescent="0.2">
      <c r="AF65294" s="12"/>
    </row>
    <row r="65295" spans="32:32" x14ac:dyDescent="0.2">
      <c r="AF65295" s="12"/>
    </row>
    <row r="65296" spans="32:32" x14ac:dyDescent="0.2">
      <c r="AF65296" s="12"/>
    </row>
    <row r="65297" spans="32:32" x14ac:dyDescent="0.2">
      <c r="AF65297" s="12"/>
    </row>
    <row r="65298" spans="32:32" x14ac:dyDescent="0.2">
      <c r="AF65298" s="12"/>
    </row>
    <row r="65299" spans="32:32" x14ac:dyDescent="0.2">
      <c r="AF65299" s="12"/>
    </row>
    <row r="65300" spans="32:32" x14ac:dyDescent="0.2">
      <c r="AF65300" s="12"/>
    </row>
    <row r="65301" spans="32:32" x14ac:dyDescent="0.2">
      <c r="AF65301" s="12"/>
    </row>
    <row r="65302" spans="32:32" x14ac:dyDescent="0.2">
      <c r="AF65302" s="12"/>
    </row>
    <row r="65303" spans="32:32" x14ac:dyDescent="0.2">
      <c r="AF65303" s="12"/>
    </row>
    <row r="65304" spans="32:32" x14ac:dyDescent="0.2">
      <c r="AF65304" s="12"/>
    </row>
    <row r="65305" spans="32:32" x14ac:dyDescent="0.2">
      <c r="AF65305" s="12"/>
    </row>
    <row r="65306" spans="32:32" x14ac:dyDescent="0.2">
      <c r="AF65306" s="12"/>
    </row>
    <row r="65307" spans="32:32" x14ac:dyDescent="0.2">
      <c r="AF65307" s="12"/>
    </row>
    <row r="65308" spans="32:32" x14ac:dyDescent="0.2">
      <c r="AF65308" s="12"/>
    </row>
    <row r="65309" spans="32:32" x14ac:dyDescent="0.2">
      <c r="AF65309" s="12"/>
    </row>
    <row r="65310" spans="32:32" x14ac:dyDescent="0.2">
      <c r="AF65310" s="12"/>
    </row>
    <row r="65311" spans="32:32" x14ac:dyDescent="0.2">
      <c r="AF65311" s="12"/>
    </row>
    <row r="65312" spans="32:32" x14ac:dyDescent="0.2">
      <c r="AF65312" s="12"/>
    </row>
    <row r="65313" spans="32:32" x14ac:dyDescent="0.2">
      <c r="AF65313" s="12"/>
    </row>
    <row r="65314" spans="32:32" x14ac:dyDescent="0.2">
      <c r="AF65314" s="12"/>
    </row>
    <row r="65315" spans="32:32" x14ac:dyDescent="0.2">
      <c r="AF65315" s="12"/>
    </row>
    <row r="65316" spans="32:32" x14ac:dyDescent="0.2">
      <c r="AF65316" s="12"/>
    </row>
    <row r="65317" spans="32:32" x14ac:dyDescent="0.2">
      <c r="AF65317" s="12"/>
    </row>
    <row r="65318" spans="32:32" x14ac:dyDescent="0.2">
      <c r="AF65318" s="12"/>
    </row>
    <row r="65319" spans="32:32" x14ac:dyDescent="0.2">
      <c r="AF65319" s="12"/>
    </row>
    <row r="65320" spans="32:32" x14ac:dyDescent="0.2">
      <c r="AF65320" s="12"/>
    </row>
    <row r="65321" spans="32:32" x14ac:dyDescent="0.2">
      <c r="AF65321" s="12"/>
    </row>
    <row r="65322" spans="32:32" x14ac:dyDescent="0.2">
      <c r="AF65322" s="12"/>
    </row>
    <row r="65323" spans="32:32" x14ac:dyDescent="0.2">
      <c r="AF65323" s="12"/>
    </row>
    <row r="65324" spans="32:32" x14ac:dyDescent="0.2">
      <c r="AF65324" s="12"/>
    </row>
    <row r="65325" spans="32:32" x14ac:dyDescent="0.2">
      <c r="AF65325" s="12"/>
    </row>
    <row r="65326" spans="32:32" x14ac:dyDescent="0.2">
      <c r="AF65326" s="12"/>
    </row>
    <row r="65327" spans="32:32" x14ac:dyDescent="0.2">
      <c r="AF65327" s="12"/>
    </row>
    <row r="65328" spans="32:32" x14ac:dyDescent="0.2">
      <c r="AF65328" s="12"/>
    </row>
    <row r="65329" spans="32:32" x14ac:dyDescent="0.2">
      <c r="AF65329" s="12"/>
    </row>
    <row r="65330" spans="32:32" x14ac:dyDescent="0.2">
      <c r="AF65330" s="12"/>
    </row>
    <row r="65331" spans="32:32" x14ac:dyDescent="0.2">
      <c r="AF65331" s="12"/>
    </row>
    <row r="65332" spans="32:32" x14ac:dyDescent="0.2">
      <c r="AF65332" s="12"/>
    </row>
    <row r="65333" spans="32:32" x14ac:dyDescent="0.2">
      <c r="AF65333" s="12"/>
    </row>
    <row r="65334" spans="32:32" x14ac:dyDescent="0.2">
      <c r="AF65334" s="12"/>
    </row>
    <row r="65335" spans="32:32" x14ac:dyDescent="0.2">
      <c r="AF65335" s="12"/>
    </row>
    <row r="65336" spans="32:32" x14ac:dyDescent="0.2">
      <c r="AF65336" s="12"/>
    </row>
    <row r="65337" spans="32:32" x14ac:dyDescent="0.2">
      <c r="AF65337" s="12"/>
    </row>
    <row r="65338" spans="32:32" x14ac:dyDescent="0.2">
      <c r="AF65338" s="12"/>
    </row>
    <row r="65339" spans="32:32" x14ac:dyDescent="0.2">
      <c r="AF65339" s="12"/>
    </row>
    <row r="65340" spans="32:32" x14ac:dyDescent="0.2">
      <c r="AF65340" s="12"/>
    </row>
    <row r="65341" spans="32:32" x14ac:dyDescent="0.2">
      <c r="AF65341" s="12"/>
    </row>
    <row r="65342" spans="32:32" x14ac:dyDescent="0.2">
      <c r="AF65342" s="12"/>
    </row>
    <row r="65343" spans="32:32" x14ac:dyDescent="0.2">
      <c r="AF65343" s="12"/>
    </row>
    <row r="65344" spans="32:32" x14ac:dyDescent="0.2">
      <c r="AF65344" s="12"/>
    </row>
    <row r="65345" spans="32:32" x14ac:dyDescent="0.2">
      <c r="AF65345" s="12"/>
    </row>
    <row r="65346" spans="32:32" x14ac:dyDescent="0.2">
      <c r="AF65346" s="12"/>
    </row>
    <row r="65347" spans="32:32" x14ac:dyDescent="0.2">
      <c r="AF65347" s="12"/>
    </row>
    <row r="65348" spans="32:32" x14ac:dyDescent="0.2">
      <c r="AF65348" s="12"/>
    </row>
    <row r="65349" spans="32:32" x14ac:dyDescent="0.2">
      <c r="AF65349" s="12"/>
    </row>
    <row r="65350" spans="32:32" x14ac:dyDescent="0.2">
      <c r="AF65350" s="12"/>
    </row>
    <row r="65351" spans="32:32" x14ac:dyDescent="0.2">
      <c r="AF65351" s="12"/>
    </row>
    <row r="65352" spans="32:32" x14ac:dyDescent="0.2">
      <c r="AF65352" s="12"/>
    </row>
    <row r="65353" spans="32:32" x14ac:dyDescent="0.2">
      <c r="AF65353" s="12"/>
    </row>
    <row r="65354" spans="32:32" x14ac:dyDescent="0.2">
      <c r="AF65354" s="12"/>
    </row>
    <row r="65355" spans="32:32" x14ac:dyDescent="0.2">
      <c r="AF65355" s="12"/>
    </row>
    <row r="65356" spans="32:32" x14ac:dyDescent="0.2">
      <c r="AF65356" s="12"/>
    </row>
    <row r="65357" spans="32:32" x14ac:dyDescent="0.2">
      <c r="AF65357" s="12"/>
    </row>
    <row r="65358" spans="32:32" x14ac:dyDescent="0.2">
      <c r="AF65358" s="12"/>
    </row>
    <row r="65359" spans="32:32" x14ac:dyDescent="0.2">
      <c r="AF65359" s="12"/>
    </row>
    <row r="65360" spans="32:32" x14ac:dyDescent="0.2">
      <c r="AF65360" s="12"/>
    </row>
    <row r="65361" spans="32:32" x14ac:dyDescent="0.2">
      <c r="AF65361" s="12"/>
    </row>
    <row r="65362" spans="32:32" x14ac:dyDescent="0.2">
      <c r="AF65362" s="12"/>
    </row>
    <row r="65363" spans="32:32" x14ac:dyDescent="0.2">
      <c r="AF65363" s="12"/>
    </row>
    <row r="65364" spans="32:32" x14ac:dyDescent="0.2">
      <c r="AF65364" s="12"/>
    </row>
    <row r="65365" spans="32:32" x14ac:dyDescent="0.2">
      <c r="AF65365" s="12"/>
    </row>
    <row r="65366" spans="32:32" x14ac:dyDescent="0.2">
      <c r="AF65366" s="12"/>
    </row>
    <row r="65367" spans="32:32" x14ac:dyDescent="0.2">
      <c r="AF65367" s="12"/>
    </row>
    <row r="65368" spans="32:32" x14ac:dyDescent="0.2">
      <c r="AF65368" s="12"/>
    </row>
    <row r="65369" spans="32:32" x14ac:dyDescent="0.2">
      <c r="AF65369" s="12"/>
    </row>
    <row r="65370" spans="32:32" x14ac:dyDescent="0.2">
      <c r="AF65370" s="12"/>
    </row>
    <row r="65371" spans="32:32" x14ac:dyDescent="0.2">
      <c r="AF65371" s="12"/>
    </row>
    <row r="65372" spans="32:32" x14ac:dyDescent="0.2">
      <c r="AF65372" s="12"/>
    </row>
    <row r="65373" spans="32:32" x14ac:dyDescent="0.2">
      <c r="AF65373" s="12"/>
    </row>
    <row r="65374" spans="32:32" x14ac:dyDescent="0.2">
      <c r="AF65374" s="12"/>
    </row>
    <row r="65375" spans="32:32" x14ac:dyDescent="0.2">
      <c r="AF65375" s="12"/>
    </row>
    <row r="65376" spans="32:32" x14ac:dyDescent="0.2">
      <c r="AF65376" s="12"/>
    </row>
    <row r="65377" spans="32:32" x14ac:dyDescent="0.2">
      <c r="AF65377" s="12"/>
    </row>
    <row r="65378" spans="32:32" x14ac:dyDescent="0.2">
      <c r="AF65378" s="12"/>
    </row>
    <row r="65379" spans="32:32" x14ac:dyDescent="0.2">
      <c r="AF65379" s="12"/>
    </row>
    <row r="65380" spans="32:32" x14ac:dyDescent="0.2">
      <c r="AF65380" s="12"/>
    </row>
    <row r="65381" spans="32:32" x14ac:dyDescent="0.2">
      <c r="AF65381" s="12"/>
    </row>
    <row r="65382" spans="32:32" x14ac:dyDescent="0.2">
      <c r="AF65382" s="12"/>
    </row>
    <row r="65383" spans="32:32" x14ac:dyDescent="0.2">
      <c r="AF65383" s="12"/>
    </row>
    <row r="65384" spans="32:32" x14ac:dyDescent="0.2">
      <c r="AF65384" s="12"/>
    </row>
    <row r="65385" spans="32:32" x14ac:dyDescent="0.2">
      <c r="AF65385" s="12"/>
    </row>
    <row r="65386" spans="32:32" x14ac:dyDescent="0.2">
      <c r="AF65386" s="12"/>
    </row>
    <row r="65387" spans="32:32" x14ac:dyDescent="0.2">
      <c r="AF65387" s="12"/>
    </row>
    <row r="65388" spans="32:32" x14ac:dyDescent="0.2">
      <c r="AF65388" s="12"/>
    </row>
    <row r="65389" spans="32:32" x14ac:dyDescent="0.2">
      <c r="AF65389" s="12"/>
    </row>
    <row r="65390" spans="32:32" x14ac:dyDescent="0.2">
      <c r="AF65390" s="12"/>
    </row>
    <row r="65391" spans="32:32" x14ac:dyDescent="0.2">
      <c r="AF65391" s="12"/>
    </row>
    <row r="65392" spans="32:32" x14ac:dyDescent="0.2">
      <c r="AF65392" s="12"/>
    </row>
    <row r="65393" spans="32:32" x14ac:dyDescent="0.2">
      <c r="AF65393" s="12"/>
    </row>
    <row r="65394" spans="32:32" x14ac:dyDescent="0.2">
      <c r="AF65394" s="12"/>
    </row>
    <row r="65395" spans="32:32" x14ac:dyDescent="0.2">
      <c r="AF65395" s="12"/>
    </row>
    <row r="65396" spans="32:32" x14ac:dyDescent="0.2">
      <c r="AF65396" s="12"/>
    </row>
    <row r="65397" spans="32:32" x14ac:dyDescent="0.2">
      <c r="AF65397" s="12"/>
    </row>
    <row r="65398" spans="32:32" x14ac:dyDescent="0.2">
      <c r="AF65398" s="12"/>
    </row>
    <row r="65399" spans="32:32" x14ac:dyDescent="0.2">
      <c r="AF65399" s="12"/>
    </row>
    <row r="65400" spans="32:32" x14ac:dyDescent="0.2">
      <c r="AF65400" s="12"/>
    </row>
    <row r="65401" spans="32:32" x14ac:dyDescent="0.2">
      <c r="AF65401" s="12"/>
    </row>
    <row r="65402" spans="32:32" x14ac:dyDescent="0.2">
      <c r="AF65402" s="12"/>
    </row>
    <row r="65403" spans="32:32" x14ac:dyDescent="0.2">
      <c r="AF65403" s="12"/>
    </row>
    <row r="65404" spans="32:32" x14ac:dyDescent="0.2">
      <c r="AF65404" s="12"/>
    </row>
    <row r="65405" spans="32:32" x14ac:dyDescent="0.2">
      <c r="AF65405" s="12"/>
    </row>
    <row r="65406" spans="32:32" x14ac:dyDescent="0.2">
      <c r="AF65406" s="12"/>
    </row>
    <row r="65407" spans="32:32" x14ac:dyDescent="0.2">
      <c r="AF65407" s="12"/>
    </row>
    <row r="65408" spans="32:32" x14ac:dyDescent="0.2">
      <c r="AF65408" s="12"/>
    </row>
    <row r="65409" spans="32:32" x14ac:dyDescent="0.2">
      <c r="AF65409" s="12"/>
    </row>
    <row r="65410" spans="32:32" x14ac:dyDescent="0.2">
      <c r="AF65410" s="12"/>
    </row>
    <row r="65411" spans="32:32" x14ac:dyDescent="0.2">
      <c r="AF65411" s="12"/>
    </row>
    <row r="65412" spans="32:32" x14ac:dyDescent="0.2">
      <c r="AF65412" s="12"/>
    </row>
    <row r="65413" spans="32:32" x14ac:dyDescent="0.2">
      <c r="AF65413" s="12"/>
    </row>
    <row r="65414" spans="32:32" x14ac:dyDescent="0.2">
      <c r="AF65414" s="12"/>
    </row>
    <row r="65415" spans="32:32" x14ac:dyDescent="0.2">
      <c r="AF65415" s="12"/>
    </row>
    <row r="65416" spans="32:32" x14ac:dyDescent="0.2">
      <c r="AF65416" s="12"/>
    </row>
    <row r="65417" spans="32:32" x14ac:dyDescent="0.2">
      <c r="AF65417" s="12"/>
    </row>
    <row r="65418" spans="32:32" x14ac:dyDescent="0.2">
      <c r="AF65418" s="12"/>
    </row>
    <row r="65419" spans="32:32" x14ac:dyDescent="0.2">
      <c r="AF65419" s="12"/>
    </row>
    <row r="65420" spans="32:32" x14ac:dyDescent="0.2">
      <c r="AF65420" s="12"/>
    </row>
    <row r="65421" spans="32:32" x14ac:dyDescent="0.2">
      <c r="AF65421" s="12"/>
    </row>
    <row r="65422" spans="32:32" x14ac:dyDescent="0.2">
      <c r="AF65422" s="12"/>
    </row>
    <row r="65423" spans="32:32" x14ac:dyDescent="0.2">
      <c r="AF65423" s="12"/>
    </row>
    <row r="65424" spans="32:32" x14ac:dyDescent="0.2">
      <c r="AF65424" s="12"/>
    </row>
    <row r="65425" spans="32:32" x14ac:dyDescent="0.2">
      <c r="AF65425" s="12"/>
    </row>
    <row r="65426" spans="32:32" x14ac:dyDescent="0.2">
      <c r="AF65426" s="12"/>
    </row>
    <row r="65427" spans="32:32" x14ac:dyDescent="0.2">
      <c r="AF65427" s="12"/>
    </row>
    <row r="65428" spans="32:32" x14ac:dyDescent="0.2">
      <c r="AF65428" s="12"/>
    </row>
    <row r="65429" spans="32:32" x14ac:dyDescent="0.2">
      <c r="AF65429" s="12"/>
    </row>
    <row r="65430" spans="32:32" x14ac:dyDescent="0.2">
      <c r="AF65430" s="12"/>
    </row>
    <row r="65431" spans="32:32" x14ac:dyDescent="0.2">
      <c r="AF65431" s="12"/>
    </row>
    <row r="65432" spans="32:32" x14ac:dyDescent="0.2">
      <c r="AF65432" s="12"/>
    </row>
    <row r="65433" spans="32:32" x14ac:dyDescent="0.2">
      <c r="AF65433" s="12"/>
    </row>
    <row r="65434" spans="32:32" x14ac:dyDescent="0.2">
      <c r="AF65434" s="12"/>
    </row>
    <row r="65435" spans="32:32" x14ac:dyDescent="0.2">
      <c r="AF65435" s="12"/>
    </row>
    <row r="65436" spans="32:32" x14ac:dyDescent="0.2">
      <c r="AF65436" s="12"/>
    </row>
    <row r="65437" spans="32:32" x14ac:dyDescent="0.2">
      <c r="AF65437" s="12"/>
    </row>
    <row r="65438" spans="32:32" x14ac:dyDescent="0.2">
      <c r="AF65438" s="12"/>
    </row>
    <row r="65439" spans="32:32" x14ac:dyDescent="0.2">
      <c r="AF65439" s="12"/>
    </row>
    <row r="65440" spans="32:32" x14ac:dyDescent="0.2">
      <c r="AF65440" s="12"/>
    </row>
    <row r="65441" spans="32:32" x14ac:dyDescent="0.2">
      <c r="AF65441" s="12"/>
    </row>
    <row r="65442" spans="32:32" x14ac:dyDescent="0.2">
      <c r="AF65442" s="12"/>
    </row>
    <row r="65443" spans="32:32" x14ac:dyDescent="0.2">
      <c r="AF65443" s="12"/>
    </row>
    <row r="65444" spans="32:32" x14ac:dyDescent="0.2">
      <c r="AF65444" s="12"/>
    </row>
    <row r="65445" spans="32:32" x14ac:dyDescent="0.2">
      <c r="AF65445" s="12"/>
    </row>
    <row r="65446" spans="32:32" x14ac:dyDescent="0.2">
      <c r="AF65446" s="12"/>
    </row>
    <row r="65447" spans="32:32" x14ac:dyDescent="0.2">
      <c r="AF65447" s="12"/>
    </row>
    <row r="65448" spans="32:32" x14ac:dyDescent="0.2">
      <c r="AF65448" s="12"/>
    </row>
    <row r="65449" spans="32:32" x14ac:dyDescent="0.2">
      <c r="AF65449" s="12"/>
    </row>
    <row r="65450" spans="32:32" x14ac:dyDescent="0.2">
      <c r="AF65450" s="12"/>
    </row>
    <row r="65451" spans="32:32" x14ac:dyDescent="0.2">
      <c r="AF65451" s="12"/>
    </row>
    <row r="65452" spans="32:32" x14ac:dyDescent="0.2">
      <c r="AF65452" s="12"/>
    </row>
    <row r="65453" spans="32:32" x14ac:dyDescent="0.2">
      <c r="AF65453" s="12"/>
    </row>
    <row r="65454" spans="32:32" x14ac:dyDescent="0.2">
      <c r="AF65454" s="12"/>
    </row>
    <row r="65455" spans="32:32" x14ac:dyDescent="0.2">
      <c r="AF65455" s="12"/>
    </row>
    <row r="65456" spans="32:32" x14ac:dyDescent="0.2">
      <c r="AF65456" s="12"/>
    </row>
    <row r="65457" spans="32:32" x14ac:dyDescent="0.2">
      <c r="AF65457" s="12"/>
    </row>
    <row r="65458" spans="32:32" x14ac:dyDescent="0.2">
      <c r="AF65458" s="12"/>
    </row>
    <row r="65459" spans="32:32" x14ac:dyDescent="0.2">
      <c r="AF65459" s="12"/>
    </row>
    <row r="65460" spans="32:32" x14ac:dyDescent="0.2">
      <c r="AF65460" s="12"/>
    </row>
    <row r="65461" spans="32:32" x14ac:dyDescent="0.2">
      <c r="AF65461" s="12"/>
    </row>
    <row r="65462" spans="32:32" x14ac:dyDescent="0.2">
      <c r="AF65462" s="12"/>
    </row>
    <row r="65463" spans="32:32" x14ac:dyDescent="0.2">
      <c r="AF65463" s="12"/>
    </row>
    <row r="65464" spans="32:32" x14ac:dyDescent="0.2">
      <c r="AF65464" s="12"/>
    </row>
    <row r="65465" spans="32:32" x14ac:dyDescent="0.2">
      <c r="AF65465" s="12"/>
    </row>
    <row r="65466" spans="32:32" x14ac:dyDescent="0.2">
      <c r="AF65466" s="12"/>
    </row>
    <row r="65467" spans="32:32" x14ac:dyDescent="0.2">
      <c r="AF65467" s="12"/>
    </row>
    <row r="65468" spans="32:32" x14ac:dyDescent="0.2">
      <c r="AF65468" s="12"/>
    </row>
    <row r="65469" spans="32:32" x14ac:dyDescent="0.2">
      <c r="AF65469" s="12"/>
    </row>
    <row r="65470" spans="32:32" x14ac:dyDescent="0.2">
      <c r="AF65470" s="12"/>
    </row>
    <row r="65471" spans="32:32" x14ac:dyDescent="0.2">
      <c r="AF65471" s="12"/>
    </row>
    <row r="65472" spans="32:32" x14ac:dyDescent="0.2">
      <c r="AF65472" s="12"/>
    </row>
    <row r="65473" spans="32:32" x14ac:dyDescent="0.2">
      <c r="AF65473" s="12"/>
    </row>
    <row r="65474" spans="32:32" x14ac:dyDescent="0.2">
      <c r="AF65474" s="12"/>
    </row>
    <row r="65475" spans="32:32" x14ac:dyDescent="0.2">
      <c r="AF65475" s="12"/>
    </row>
    <row r="65476" spans="32:32" x14ac:dyDescent="0.2">
      <c r="AF65476" s="12"/>
    </row>
    <row r="65477" spans="32:32" x14ac:dyDescent="0.2">
      <c r="AF65477" s="12"/>
    </row>
    <row r="65478" spans="32:32" x14ac:dyDescent="0.2">
      <c r="AF65478" s="12"/>
    </row>
    <row r="65479" spans="32:32" x14ac:dyDescent="0.2">
      <c r="AF65479" s="12"/>
    </row>
    <row r="65480" spans="32:32" x14ac:dyDescent="0.2">
      <c r="AF65480" s="12"/>
    </row>
    <row r="65481" spans="32:32" x14ac:dyDescent="0.2">
      <c r="AF65481" s="12"/>
    </row>
    <row r="65482" spans="32:32" x14ac:dyDescent="0.2">
      <c r="AF65482" s="12"/>
    </row>
    <row r="65483" spans="32:32" x14ac:dyDescent="0.2">
      <c r="AF65483" s="12"/>
    </row>
    <row r="65484" spans="32:32" x14ac:dyDescent="0.2">
      <c r="AF65484" s="12"/>
    </row>
    <row r="65485" spans="32:32" x14ac:dyDescent="0.2">
      <c r="AF65485" s="12"/>
    </row>
    <row r="65486" spans="32:32" x14ac:dyDescent="0.2">
      <c r="AF65486" s="12"/>
    </row>
    <row r="65487" spans="32:32" x14ac:dyDescent="0.2">
      <c r="AF65487" s="12"/>
    </row>
    <row r="65488" spans="32:32" x14ac:dyDescent="0.2">
      <c r="AF65488" s="12"/>
    </row>
    <row r="65489" spans="32:32" x14ac:dyDescent="0.2">
      <c r="AF65489" s="12"/>
    </row>
    <row r="65490" spans="32:32" x14ac:dyDescent="0.2">
      <c r="AF65490" s="12"/>
    </row>
    <row r="65491" spans="32:32" x14ac:dyDescent="0.2">
      <c r="AF65491" s="12"/>
    </row>
    <row r="65492" spans="32:32" x14ac:dyDescent="0.2">
      <c r="AF65492" s="12"/>
    </row>
    <row r="65493" spans="32:32" x14ac:dyDescent="0.2">
      <c r="AF65493" s="12"/>
    </row>
    <row r="65494" spans="32:32" x14ac:dyDescent="0.2">
      <c r="AF65494" s="12"/>
    </row>
    <row r="65495" spans="32:32" x14ac:dyDescent="0.2">
      <c r="AF65495" s="12"/>
    </row>
    <row r="65496" spans="32:32" x14ac:dyDescent="0.2">
      <c r="AF65496" s="12"/>
    </row>
    <row r="65497" spans="32:32" x14ac:dyDescent="0.2">
      <c r="AF65497" s="12"/>
    </row>
    <row r="65498" spans="32:32" x14ac:dyDescent="0.2">
      <c r="AF65498" s="12"/>
    </row>
    <row r="65499" spans="32:32" x14ac:dyDescent="0.2">
      <c r="AF65499" s="12"/>
    </row>
    <row r="65500" spans="32:32" x14ac:dyDescent="0.2">
      <c r="AF65500" s="12"/>
    </row>
    <row r="65501" spans="32:32" x14ac:dyDescent="0.2">
      <c r="AF65501" s="12"/>
    </row>
    <row r="65502" spans="32:32" x14ac:dyDescent="0.2">
      <c r="AF65502" s="12"/>
    </row>
    <row r="65503" spans="32:32" x14ac:dyDescent="0.2">
      <c r="AF65503" s="12"/>
    </row>
    <row r="65504" spans="32:32" x14ac:dyDescent="0.2">
      <c r="AF65504" s="12"/>
    </row>
    <row r="65505" spans="32:32" x14ac:dyDescent="0.2">
      <c r="AF65505" s="12"/>
    </row>
    <row r="65506" spans="32:32" x14ac:dyDescent="0.2">
      <c r="AF65506" s="12"/>
    </row>
    <row r="65507" spans="32:32" x14ac:dyDescent="0.2">
      <c r="AF65507" s="12"/>
    </row>
    <row r="65508" spans="32:32" x14ac:dyDescent="0.2">
      <c r="AF65508" s="12"/>
    </row>
    <row r="65509" spans="32:32" x14ac:dyDescent="0.2">
      <c r="AF65509" s="12"/>
    </row>
    <row r="65510" spans="32:32" x14ac:dyDescent="0.2">
      <c r="AF65510" s="12"/>
    </row>
    <row r="65511" spans="32:32" x14ac:dyDescent="0.2">
      <c r="AF65511" s="12"/>
    </row>
    <row r="65512" spans="32:32" x14ac:dyDescent="0.2">
      <c r="AF65512" s="12"/>
    </row>
    <row r="65513" spans="32:32" x14ac:dyDescent="0.2">
      <c r="AF65513" s="12"/>
    </row>
    <row r="65514" spans="32:32" x14ac:dyDescent="0.2">
      <c r="AF65514" s="12"/>
    </row>
    <row r="65515" spans="32:32" x14ac:dyDescent="0.2">
      <c r="AF65515" s="12"/>
    </row>
    <row r="65516" spans="32:32" x14ac:dyDescent="0.2">
      <c r="AF65516" s="12"/>
    </row>
    <row r="65517" spans="32:32" x14ac:dyDescent="0.2">
      <c r="AF65517" s="12"/>
    </row>
    <row r="65518" spans="32:32" x14ac:dyDescent="0.2">
      <c r="AF65518" s="12"/>
    </row>
    <row r="65519" spans="32:32" x14ac:dyDescent="0.2">
      <c r="AF65519" s="12"/>
    </row>
    <row r="65520" spans="32:32" x14ac:dyDescent="0.2">
      <c r="AF65520" s="12"/>
    </row>
    <row r="65521" spans="32:32" x14ac:dyDescent="0.2">
      <c r="AF65521" s="12"/>
    </row>
    <row r="65522" spans="32:32" x14ac:dyDescent="0.2">
      <c r="AF65522" s="12"/>
    </row>
    <row r="65523" spans="32:32" x14ac:dyDescent="0.2">
      <c r="AF65523" s="12"/>
    </row>
    <row r="65524" spans="32:32" x14ac:dyDescent="0.2">
      <c r="AF65524" s="12"/>
    </row>
    <row r="65525" spans="32:32" x14ac:dyDescent="0.2">
      <c r="AF65525" s="12"/>
    </row>
    <row r="65526" spans="32:32" x14ac:dyDescent="0.2">
      <c r="AF65526" s="12"/>
    </row>
    <row r="65527" spans="32:32" x14ac:dyDescent="0.2">
      <c r="AF65527" s="12"/>
    </row>
    <row r="65528" spans="32:32" x14ac:dyDescent="0.2">
      <c r="AF65528" s="12"/>
    </row>
    <row r="65529" spans="32:32" x14ac:dyDescent="0.2">
      <c r="AF65529" s="12"/>
    </row>
    <row r="65530" spans="32:32" x14ac:dyDescent="0.2">
      <c r="AF65530" s="12"/>
    </row>
    <row r="65531" spans="32:32" x14ac:dyDescent="0.2">
      <c r="AF65531" s="12"/>
    </row>
    <row r="65532" spans="32:32" x14ac:dyDescent="0.2">
      <c r="AF65532" s="12"/>
    </row>
    <row r="65533" spans="32:32" x14ac:dyDescent="0.2">
      <c r="AF65533" s="12"/>
    </row>
    <row r="65534" spans="32:32" x14ac:dyDescent="0.2">
      <c r="AF65534" s="12"/>
    </row>
    <row r="65535" spans="32:32" x14ac:dyDescent="0.2">
      <c r="AF65535" s="12"/>
    </row>
    <row r="65536" spans="32:32" x14ac:dyDescent="0.2">
      <c r="AF65536" s="12"/>
    </row>
    <row r="65537" spans="32:32" x14ac:dyDescent="0.2">
      <c r="AF65537" s="12"/>
    </row>
    <row r="65538" spans="32:32" x14ac:dyDescent="0.2">
      <c r="AF65538" s="12"/>
    </row>
    <row r="65539" spans="32:32" x14ac:dyDescent="0.2">
      <c r="AF65539" s="12"/>
    </row>
    <row r="65540" spans="32:32" x14ac:dyDescent="0.2">
      <c r="AF65540" s="12"/>
    </row>
    <row r="65541" spans="32:32" x14ac:dyDescent="0.2">
      <c r="AF65541" s="12"/>
    </row>
    <row r="65542" spans="32:32" x14ac:dyDescent="0.2">
      <c r="AF65542" s="12"/>
    </row>
    <row r="65543" spans="32:32" x14ac:dyDescent="0.2">
      <c r="AF65543" s="12"/>
    </row>
    <row r="65544" spans="32:32" x14ac:dyDescent="0.2">
      <c r="AF65544" s="12"/>
    </row>
    <row r="65545" spans="32:32" x14ac:dyDescent="0.2">
      <c r="AF65545" s="12"/>
    </row>
    <row r="65546" spans="32:32" x14ac:dyDescent="0.2">
      <c r="AF65546" s="12"/>
    </row>
    <row r="65547" spans="32:32" x14ac:dyDescent="0.2">
      <c r="AF65547" s="12"/>
    </row>
    <row r="65548" spans="32:32" x14ac:dyDescent="0.2">
      <c r="AF65548" s="12"/>
    </row>
    <row r="65549" spans="32:32" x14ac:dyDescent="0.2">
      <c r="AF65549" s="12"/>
    </row>
    <row r="65550" spans="32:32" x14ac:dyDescent="0.2">
      <c r="AF65550" s="12"/>
    </row>
    <row r="65551" spans="32:32" x14ac:dyDescent="0.2">
      <c r="AF65551" s="12"/>
    </row>
    <row r="65552" spans="32:32" x14ac:dyDescent="0.2">
      <c r="AF65552" s="12"/>
    </row>
    <row r="65553" spans="32:32" x14ac:dyDescent="0.2">
      <c r="AF65553" s="12"/>
    </row>
    <row r="65554" spans="32:32" x14ac:dyDescent="0.2">
      <c r="AF65554" s="12"/>
    </row>
    <row r="65555" spans="32:32" x14ac:dyDescent="0.2">
      <c r="AF65555" s="12"/>
    </row>
    <row r="65556" spans="32:32" x14ac:dyDescent="0.2">
      <c r="AF65556" s="12"/>
    </row>
    <row r="65557" spans="32:32" x14ac:dyDescent="0.2">
      <c r="AF65557" s="12"/>
    </row>
    <row r="65558" spans="32:32" x14ac:dyDescent="0.2">
      <c r="AF65558" s="12"/>
    </row>
    <row r="65559" spans="32:32" x14ac:dyDescent="0.2">
      <c r="AF65559" s="12"/>
    </row>
    <row r="65560" spans="32:32" x14ac:dyDescent="0.2">
      <c r="AF65560" s="12"/>
    </row>
    <row r="65561" spans="32:32" x14ac:dyDescent="0.2">
      <c r="AF65561" s="12"/>
    </row>
    <row r="65562" spans="32:32" x14ac:dyDescent="0.2">
      <c r="AF65562" s="12"/>
    </row>
    <row r="65563" spans="32:32" x14ac:dyDescent="0.2">
      <c r="AF65563" s="12"/>
    </row>
    <row r="65564" spans="32:32" x14ac:dyDescent="0.2">
      <c r="AF65564" s="12"/>
    </row>
    <row r="65565" spans="32:32" x14ac:dyDescent="0.2">
      <c r="AF65565" s="12"/>
    </row>
    <row r="65566" spans="32:32" x14ac:dyDescent="0.2">
      <c r="AF65566" s="12"/>
    </row>
    <row r="65567" spans="32:32" x14ac:dyDescent="0.2">
      <c r="AF65567" s="12"/>
    </row>
    <row r="65568" spans="32:32" x14ac:dyDescent="0.2">
      <c r="AF65568" s="12"/>
    </row>
    <row r="65569" spans="32:32" x14ac:dyDescent="0.2">
      <c r="AF65569" s="12"/>
    </row>
    <row r="65570" spans="32:32" x14ac:dyDescent="0.2">
      <c r="AF65570" s="12"/>
    </row>
    <row r="65571" spans="32:32" x14ac:dyDescent="0.2">
      <c r="AF65571" s="12"/>
    </row>
    <row r="65572" spans="32:32" x14ac:dyDescent="0.2">
      <c r="AF65572" s="12"/>
    </row>
    <row r="65573" spans="32:32" x14ac:dyDescent="0.2">
      <c r="AF65573" s="12"/>
    </row>
    <row r="65574" spans="32:32" x14ac:dyDescent="0.2">
      <c r="AF65574" s="12"/>
    </row>
    <row r="65575" spans="32:32" x14ac:dyDescent="0.2">
      <c r="AF65575" s="12"/>
    </row>
    <row r="65576" spans="32:32" x14ac:dyDescent="0.2">
      <c r="AF65576" s="12"/>
    </row>
    <row r="65577" spans="32:32" x14ac:dyDescent="0.2">
      <c r="AF65577" s="12"/>
    </row>
    <row r="65578" spans="32:32" x14ac:dyDescent="0.2">
      <c r="AF65578" s="12"/>
    </row>
    <row r="65579" spans="32:32" x14ac:dyDescent="0.2">
      <c r="AF65579" s="12"/>
    </row>
    <row r="65580" spans="32:32" x14ac:dyDescent="0.2">
      <c r="AF65580" s="12"/>
    </row>
    <row r="65581" spans="32:32" x14ac:dyDescent="0.2">
      <c r="AF65581" s="12"/>
    </row>
    <row r="65582" spans="32:32" x14ac:dyDescent="0.2">
      <c r="AF65582" s="12"/>
    </row>
    <row r="65583" spans="32:32" x14ac:dyDescent="0.2">
      <c r="AF65583" s="12"/>
    </row>
    <row r="65584" spans="32:32" x14ac:dyDescent="0.2">
      <c r="AF65584" s="12"/>
    </row>
    <row r="65585" spans="32:32" x14ac:dyDescent="0.2">
      <c r="AF65585" s="12"/>
    </row>
  </sheetData>
  <sheetProtection algorithmName="SHA-512" hashValue="0swL1JDb/ZJugRxalyw890gwn0ZafjSAQz2GW0ehNFumhWvyWwEwyzbeY6RwBO7uup1F0UXOOr+wgmcUx5zvkg==" saltValue="yQru+VDaE3jNKhvxoosQlg==" spinCount="100000" sheet="1" objects="1" scenarios="1" autoFilter="0"/>
  <autoFilter ref="L15:L65585"/>
  <mergeCells count="25">
    <mergeCell ref="O71:Q71"/>
    <mergeCell ref="O15:R15"/>
    <mergeCell ref="Q58:X58"/>
    <mergeCell ref="O61:X63"/>
    <mergeCell ref="O65:X65"/>
    <mergeCell ref="O68:Q68"/>
    <mergeCell ref="O66:X66"/>
    <mergeCell ref="O4:P4"/>
    <mergeCell ref="S4:X4"/>
    <mergeCell ref="O5:P5"/>
    <mergeCell ref="S5:X5"/>
    <mergeCell ref="F8:K8"/>
    <mergeCell ref="L8:L12"/>
    <mergeCell ref="O8:P8"/>
    <mergeCell ref="S8:U8"/>
    <mergeCell ref="F9:K9"/>
    <mergeCell ref="F10:K10"/>
    <mergeCell ref="AE5:AF5"/>
    <mergeCell ref="O7:P7"/>
    <mergeCell ref="S7:U7"/>
    <mergeCell ref="AL7:AL11"/>
    <mergeCell ref="Y8:Y12"/>
    <mergeCell ref="Z8:Z12"/>
    <mergeCell ref="AA12:AB12"/>
    <mergeCell ref="AJ7:AJ11"/>
  </mergeCells>
  <phoneticPr fontId="38" type="noConversion"/>
  <conditionalFormatting sqref="M14 M16:M18 M20:M24 M27:M42 M48:M54">
    <cfRule type="cellIs" dxfId="429" priority="42461" stopIfTrue="1" operator="notEqual">
      <formula>$N14</formula>
    </cfRule>
  </conditionalFormatting>
  <conditionalFormatting sqref="N14:O14 W14 N16:O18 W16:X18 R16:R18 R20:R24 W20:X24 N20:O24 N27:O42 W27:X42 R27:R42 N48:O54 W48:X54 R48:R54">
    <cfRule type="expression" dxfId="428" priority="42462" stopIfTrue="1">
      <formula>$C14=1</formula>
    </cfRule>
    <cfRule type="expression" dxfId="427" priority="42463" stopIfTrue="1">
      <formula>OR($C14=0,$C14=2,$C14=3,$C14=4)</formula>
    </cfRule>
  </conditionalFormatting>
  <conditionalFormatting sqref="U14:V14 U16:V18 U20:V24 U27:V42 U48:V54">
    <cfRule type="expression" dxfId="426" priority="42464" stopIfTrue="1">
      <formula>$C14=1</formula>
    </cfRule>
    <cfRule type="expression" dxfId="425" priority="42465" stopIfTrue="1">
      <formula>OR($C14=0,$C14=2,$C14=3,$C14=4)</formula>
    </cfRule>
    <cfRule type="expression" dxfId="424" priority="42466" stopIfTrue="1">
      <formula>AND(TIPOORCAMENTO="Licitado",$C14&lt;&gt;"L",$C14&lt;&gt;-1)</formula>
    </cfRule>
  </conditionalFormatting>
  <conditionalFormatting sqref="P14:Q14 S14:T14 Y14 AG14:AH14 P16:Q18 S16:T18 Y16:Y18 AG16:AH18 AG20:AH24 Y20:Y24 S20:T24 P20:Q24 P27:Q42 S27:T42 Y27:Y42 AG27:AH42 AG48:AH54 Y48:Y54 S48:T54 P48:Q54">
    <cfRule type="expression" dxfId="423" priority="42467" stopIfTrue="1">
      <formula>$C14=1</formula>
    </cfRule>
    <cfRule type="expression" dxfId="422" priority="42468" stopIfTrue="1">
      <formula>OR($C14=0,$C14=2,$C14=3,$C14=4)</formula>
    </cfRule>
  </conditionalFormatting>
  <conditionalFormatting sqref="AJ7:AJ18 AJ20:AJ24 AJ27:AJ45 AJ48:AJ55">
    <cfRule type="expression" dxfId="421" priority="42469" stopIfTrue="1">
      <formula>OR(ACOMPANHAMENTO&lt;&gt;"BM",TIPOORCAMENTO="Licitado")</formula>
    </cfRule>
    <cfRule type="expression" dxfId="420" priority="42470" stopIfTrue="1">
      <formula>$C7=1</formula>
    </cfRule>
    <cfRule type="expression" dxfId="419" priority="42471" stopIfTrue="1">
      <formula>OR(AND(ISNUMBER($C7),$C7=0),$C7=2,$C7=3,$C7=4)</formula>
    </cfRule>
  </conditionalFormatting>
  <conditionalFormatting sqref="AL7:AL18 AL20:AL24 AL27:AL45 AL48:AL55">
    <cfRule type="expression" dxfId="418" priority="42472" stopIfTrue="1">
      <formula>TIPOORCAMENTO="PROPOSTO"</formula>
    </cfRule>
    <cfRule type="expression" dxfId="417" priority="42473" stopIfTrue="1">
      <formula>$C7=1</formula>
    </cfRule>
    <cfRule type="expression" dxfId="416" priority="42474" stopIfTrue="1">
      <formula>OR(AND(ISNUMBER($C7),$C7=0),$C7=2,$C7=3,$C7=4)</formula>
    </cfRule>
  </conditionalFormatting>
  <conditionalFormatting sqref="O8:P8">
    <cfRule type="expression" dxfId="415" priority="42478" stopIfTrue="1">
      <formula>ISERROR(INDIRECT($F$9))</formula>
    </cfRule>
  </conditionalFormatting>
  <conditionalFormatting sqref="S7:V8">
    <cfRule type="expression" dxfId="414" priority="42479" stopIfTrue="1">
      <formula>TIPOORCAMENTO="Proposto"</formula>
    </cfRule>
  </conditionalFormatting>
  <conditionalFormatting sqref="S9:X9">
    <cfRule type="expression" dxfId="413" priority="42426" stopIfTrue="1">
      <formula>TIPOORCAMENTO="Proposto"</formula>
    </cfRule>
  </conditionalFormatting>
  <conditionalFormatting sqref="AM7:AN18 AM20:AN24 AM27:AN45 AM48:AN55">
    <cfRule type="expression" dxfId="412" priority="42475" stopIfTrue="1">
      <formula>TIPOORCAMENTO="PROPOSTO"</formula>
    </cfRule>
    <cfRule type="expression" dxfId="411" priority="42476" stopIfTrue="1">
      <formula>$C7=1</formula>
    </cfRule>
    <cfRule type="expression" dxfId="410" priority="42477" stopIfTrue="1">
      <formula>OR(AND(ISNUMBER($C7),$C7=0),$C7=2,$C7=3,$C7=4)</formula>
    </cfRule>
  </conditionalFormatting>
  <conditionalFormatting sqref="X14">
    <cfRule type="expression" dxfId="409" priority="28051" stopIfTrue="1">
      <formula>$C14=1</formula>
    </cfRule>
    <cfRule type="expression" dxfId="408" priority="28052" stopIfTrue="1">
      <formula>OR($C14=0,$C14=2,$C14=3,$C14=4)</formula>
    </cfRule>
  </conditionalFormatting>
  <conditionalFormatting sqref="AC11">
    <cfRule type="cellIs" dxfId="407" priority="18886" operator="equal">
      <formula>"OK"</formula>
    </cfRule>
  </conditionalFormatting>
  <conditionalFormatting sqref="R14">
    <cfRule type="expression" dxfId="406" priority="3818" stopIfTrue="1">
      <formula>$C14=1</formula>
    </cfRule>
    <cfRule type="expression" dxfId="405" priority="3819" stopIfTrue="1">
      <formula>OR($C14=0,$C14=2,$C14=3,$C14=4)</formula>
    </cfRule>
  </conditionalFormatting>
  <conditionalFormatting sqref="R14 R16:R18 R20:R24 R27:R42">
    <cfRule type="beginsWith" dxfId="404" priority="3817" operator="beginsWith" text="(">
      <formula>LEFT(R14,LEN("("))="("</formula>
    </cfRule>
  </conditionalFormatting>
  <conditionalFormatting sqref="M43:M45">
    <cfRule type="cellIs" dxfId="403" priority="494" stopIfTrue="1" operator="notEqual">
      <formula>$N43</formula>
    </cfRule>
  </conditionalFormatting>
  <conditionalFormatting sqref="N43:O45 W43:W45">
    <cfRule type="expression" dxfId="402" priority="495" stopIfTrue="1">
      <formula>$C43=1</formula>
    </cfRule>
    <cfRule type="expression" dxfId="401" priority="496" stopIfTrue="1">
      <formula>OR($C43=0,$C43=2,$C43=3,$C43=4)</formula>
    </cfRule>
  </conditionalFormatting>
  <conditionalFormatting sqref="U43:V45">
    <cfRule type="expression" dxfId="400" priority="497" stopIfTrue="1">
      <formula>$C43=1</formula>
    </cfRule>
    <cfRule type="expression" dxfId="399" priority="498" stopIfTrue="1">
      <formula>OR($C43=0,$C43=2,$C43=3,$C43=4)</formula>
    </cfRule>
    <cfRule type="expression" dxfId="398" priority="499" stopIfTrue="1">
      <formula>AND(TIPOORCAMENTO="Licitado",$C43&lt;&gt;"L",$C43&lt;&gt;-1)</formula>
    </cfRule>
  </conditionalFormatting>
  <conditionalFormatting sqref="P43:Q45 S43:T45 Y43:Y45 AG43:AH45">
    <cfRule type="expression" dxfId="397" priority="500" stopIfTrue="1">
      <formula>$C43=1</formula>
    </cfRule>
    <cfRule type="expression" dxfId="396" priority="501" stopIfTrue="1">
      <formula>OR($C43=0,$C43=2,$C43=3,$C43=4)</formula>
    </cfRule>
  </conditionalFormatting>
  <conditionalFormatting sqref="X43:X45">
    <cfRule type="expression" dxfId="395" priority="492" stopIfTrue="1">
      <formula>$C43=1</formula>
    </cfRule>
    <cfRule type="expression" dxfId="394" priority="493" stopIfTrue="1">
      <formula>OR($C43=0,$C43=2,$C43=3,$C43=4)</formula>
    </cfRule>
  </conditionalFormatting>
  <conditionalFormatting sqref="R43:R45">
    <cfRule type="expression" dxfId="393" priority="490" stopIfTrue="1">
      <formula>$C43=1</formula>
    </cfRule>
    <cfRule type="expression" dxfId="392" priority="491" stopIfTrue="1">
      <formula>OR($C43=0,$C43=2,$C43=3,$C43=4)</formula>
    </cfRule>
  </conditionalFormatting>
  <conditionalFormatting sqref="R43:R45 R48:R52">
    <cfRule type="beginsWith" dxfId="391" priority="489" operator="beginsWith" text="(">
      <formula>LEFT(R43,LEN("("))="("</formula>
    </cfRule>
  </conditionalFormatting>
  <conditionalFormatting sqref="R53:R54">
    <cfRule type="beginsWith" dxfId="390" priority="476" operator="beginsWith" text="(">
      <formula>LEFT(R53,LEN("("))="("</formula>
    </cfRule>
  </conditionalFormatting>
  <conditionalFormatting sqref="M46">
    <cfRule type="cellIs" dxfId="389" priority="160" stopIfTrue="1" operator="notEqual">
      <formula>$N46</formula>
    </cfRule>
  </conditionalFormatting>
  <conditionalFormatting sqref="N46:O46 W46">
    <cfRule type="expression" dxfId="388" priority="161" stopIfTrue="1">
      <formula>$C46=1</formula>
    </cfRule>
    <cfRule type="expression" dxfId="387" priority="162" stopIfTrue="1">
      <formula>OR($C46=0,$C46=2,$C46=3,$C46=4)</formula>
    </cfRule>
  </conditionalFormatting>
  <conditionalFormatting sqref="U46:V46">
    <cfRule type="expression" dxfId="386" priority="163" stopIfTrue="1">
      <formula>$C46=1</formula>
    </cfRule>
    <cfRule type="expression" dxfId="385" priority="164" stopIfTrue="1">
      <formula>OR($C46=0,$C46=2,$C46=3,$C46=4)</formula>
    </cfRule>
    <cfRule type="expression" dxfId="384" priority="165" stopIfTrue="1">
      <formula>AND(TIPOORCAMENTO="Licitado",$C46&lt;&gt;"L",$C46&lt;&gt;-1)</formula>
    </cfRule>
  </conditionalFormatting>
  <conditionalFormatting sqref="P46:Q46 S46:T46 Y46 AG46:AH46">
    <cfRule type="expression" dxfId="383" priority="166" stopIfTrue="1">
      <formula>$C46=1</formula>
    </cfRule>
    <cfRule type="expression" dxfId="382" priority="167" stopIfTrue="1">
      <formula>OR($C46=0,$C46=2,$C46=3,$C46=4)</formula>
    </cfRule>
  </conditionalFormatting>
  <conditionalFormatting sqref="AJ46">
    <cfRule type="expression" dxfId="381" priority="168" stopIfTrue="1">
      <formula>OR(ACOMPANHAMENTO&lt;&gt;"BM",TIPOORCAMENTO="Licitado")</formula>
    </cfRule>
    <cfRule type="expression" dxfId="380" priority="169" stopIfTrue="1">
      <formula>$C46=1</formula>
    </cfRule>
    <cfRule type="expression" dxfId="379" priority="170" stopIfTrue="1">
      <formula>OR(AND(ISNUMBER($C46),$C46=0),$C46=2,$C46=3,$C46=4)</formula>
    </cfRule>
  </conditionalFormatting>
  <conditionalFormatting sqref="AL46">
    <cfRule type="expression" dxfId="378" priority="171" stopIfTrue="1">
      <formula>TIPOORCAMENTO="PROPOSTO"</formula>
    </cfRule>
    <cfRule type="expression" dxfId="377" priority="172" stopIfTrue="1">
      <formula>$C46=1</formula>
    </cfRule>
    <cfRule type="expression" dxfId="376" priority="173" stopIfTrue="1">
      <formula>OR(AND(ISNUMBER($C46),$C46=0),$C46=2,$C46=3,$C46=4)</formula>
    </cfRule>
  </conditionalFormatting>
  <conditionalFormatting sqref="AM46:AN46">
    <cfRule type="expression" dxfId="375" priority="174" stopIfTrue="1">
      <formula>TIPOORCAMENTO="PROPOSTO"</formula>
    </cfRule>
    <cfRule type="expression" dxfId="374" priority="175" stopIfTrue="1">
      <formula>$C46=1</formula>
    </cfRule>
    <cfRule type="expression" dxfId="373" priority="176" stopIfTrue="1">
      <formula>OR(AND(ISNUMBER($C46),$C46=0),$C46=2,$C46=3,$C46=4)</formula>
    </cfRule>
  </conditionalFormatting>
  <conditionalFormatting sqref="X46">
    <cfRule type="expression" dxfId="372" priority="158" stopIfTrue="1">
      <formula>$C46=1</formula>
    </cfRule>
    <cfRule type="expression" dxfId="371" priority="159" stopIfTrue="1">
      <formula>OR($C46=0,$C46=2,$C46=3,$C46=4)</formula>
    </cfRule>
  </conditionalFormatting>
  <conditionalFormatting sqref="R46">
    <cfRule type="expression" dxfId="370" priority="156" stopIfTrue="1">
      <formula>$C46=1</formula>
    </cfRule>
    <cfRule type="expression" dxfId="369" priority="157" stopIfTrue="1">
      <formula>OR($C46=0,$C46=2,$C46=3,$C46=4)</formula>
    </cfRule>
  </conditionalFormatting>
  <conditionalFormatting sqref="R46">
    <cfRule type="beginsWith" dxfId="368" priority="155" operator="beginsWith" text="(">
      <formula>LEFT(R46,LEN("("))="("</formula>
    </cfRule>
  </conditionalFormatting>
  <conditionalFormatting sqref="M25">
    <cfRule type="cellIs" dxfId="367" priority="138" stopIfTrue="1" operator="notEqual">
      <formula>$N25</formula>
    </cfRule>
  </conditionalFormatting>
  <conditionalFormatting sqref="N25:O25 W25">
    <cfRule type="expression" dxfId="366" priority="139" stopIfTrue="1">
      <formula>$C25=1</formula>
    </cfRule>
    <cfRule type="expression" dxfId="365" priority="140" stopIfTrue="1">
      <formula>OR($C25=0,$C25=2,$C25=3,$C25=4)</formula>
    </cfRule>
  </conditionalFormatting>
  <conditionalFormatting sqref="U25:V25">
    <cfRule type="expression" dxfId="364" priority="141" stopIfTrue="1">
      <formula>$C25=1</formula>
    </cfRule>
    <cfRule type="expression" dxfId="363" priority="142" stopIfTrue="1">
      <formula>OR($C25=0,$C25=2,$C25=3,$C25=4)</formula>
    </cfRule>
    <cfRule type="expression" dxfId="362" priority="143" stopIfTrue="1">
      <formula>AND(TIPOORCAMENTO="Licitado",$C25&lt;&gt;"L",$C25&lt;&gt;-1)</formula>
    </cfRule>
  </conditionalFormatting>
  <conditionalFormatting sqref="P25:Q25 S25:T25 Y25 AG25:AH25">
    <cfRule type="expression" dxfId="361" priority="144" stopIfTrue="1">
      <formula>$C25=1</formula>
    </cfRule>
    <cfRule type="expression" dxfId="360" priority="145" stopIfTrue="1">
      <formula>OR($C25=0,$C25=2,$C25=3,$C25=4)</formula>
    </cfRule>
  </conditionalFormatting>
  <conditionalFormatting sqref="AJ25">
    <cfRule type="expression" dxfId="359" priority="146" stopIfTrue="1">
      <formula>OR(ACOMPANHAMENTO&lt;&gt;"BM",TIPOORCAMENTO="Licitado")</formula>
    </cfRule>
    <cfRule type="expression" dxfId="358" priority="147" stopIfTrue="1">
      <formula>$C25=1</formula>
    </cfRule>
    <cfRule type="expression" dxfId="357" priority="148" stopIfTrue="1">
      <formula>OR(AND(ISNUMBER($C25),$C25=0),$C25=2,$C25=3,$C25=4)</formula>
    </cfRule>
  </conditionalFormatting>
  <conditionalFormatting sqref="AL25">
    <cfRule type="expression" dxfId="356" priority="149" stopIfTrue="1">
      <formula>TIPOORCAMENTO="PROPOSTO"</formula>
    </cfRule>
    <cfRule type="expression" dxfId="355" priority="150" stopIfTrue="1">
      <formula>$C25=1</formula>
    </cfRule>
    <cfRule type="expression" dxfId="354" priority="151" stopIfTrue="1">
      <formula>OR(AND(ISNUMBER($C25),$C25=0),$C25=2,$C25=3,$C25=4)</formula>
    </cfRule>
  </conditionalFormatting>
  <conditionalFormatting sqref="AM25:AN25">
    <cfRule type="expression" dxfId="353" priority="152" stopIfTrue="1">
      <formula>TIPOORCAMENTO="PROPOSTO"</formula>
    </cfRule>
    <cfRule type="expression" dxfId="352" priority="153" stopIfTrue="1">
      <formula>$C25=1</formula>
    </cfRule>
    <cfRule type="expression" dxfId="351" priority="154" stopIfTrue="1">
      <formula>OR(AND(ISNUMBER($C25),$C25=0),$C25=2,$C25=3,$C25=4)</formula>
    </cfRule>
  </conditionalFormatting>
  <conditionalFormatting sqref="X25">
    <cfRule type="expression" dxfId="350" priority="136" stopIfTrue="1">
      <formula>$C25=1</formula>
    </cfRule>
    <cfRule type="expression" dxfId="349" priority="137" stopIfTrue="1">
      <formula>OR($C25=0,$C25=2,$C25=3,$C25=4)</formula>
    </cfRule>
  </conditionalFormatting>
  <conditionalFormatting sqref="R25">
    <cfRule type="expression" dxfId="348" priority="134" stopIfTrue="1">
      <formula>$C25=1</formula>
    </cfRule>
    <cfRule type="expression" dxfId="347" priority="135" stopIfTrue="1">
      <formula>OR($C25=0,$C25=2,$C25=3,$C25=4)</formula>
    </cfRule>
  </conditionalFormatting>
  <conditionalFormatting sqref="R25">
    <cfRule type="beginsWith" dxfId="346" priority="133" operator="beginsWith" text="(">
      <formula>LEFT(R25,LEN("("))="("</formula>
    </cfRule>
  </conditionalFormatting>
  <conditionalFormatting sqref="M19">
    <cfRule type="cellIs" dxfId="345" priority="72" stopIfTrue="1" operator="notEqual">
      <formula>$N19</formula>
    </cfRule>
  </conditionalFormatting>
  <conditionalFormatting sqref="N19:O19 W19">
    <cfRule type="expression" dxfId="344" priority="73" stopIfTrue="1">
      <formula>$C19=1</formula>
    </cfRule>
    <cfRule type="expression" dxfId="343" priority="74" stopIfTrue="1">
      <formula>OR($C19=0,$C19=2,$C19=3,$C19=4)</formula>
    </cfRule>
  </conditionalFormatting>
  <conditionalFormatting sqref="U19:V19">
    <cfRule type="expression" dxfId="342" priority="75" stopIfTrue="1">
      <formula>$C19=1</formula>
    </cfRule>
    <cfRule type="expression" dxfId="341" priority="76" stopIfTrue="1">
      <formula>OR($C19=0,$C19=2,$C19=3,$C19=4)</formula>
    </cfRule>
    <cfRule type="expression" dxfId="340" priority="77" stopIfTrue="1">
      <formula>AND(TIPOORCAMENTO="Licitado",$C19&lt;&gt;"L",$C19&lt;&gt;-1)</formula>
    </cfRule>
  </conditionalFormatting>
  <conditionalFormatting sqref="P19:Q19 S19:T19 Y19 AG19:AH19">
    <cfRule type="expression" dxfId="339" priority="78" stopIfTrue="1">
      <formula>$C19=1</formula>
    </cfRule>
    <cfRule type="expression" dxfId="338" priority="79" stopIfTrue="1">
      <formula>OR($C19=0,$C19=2,$C19=3,$C19=4)</formula>
    </cfRule>
  </conditionalFormatting>
  <conditionalFormatting sqref="AJ19">
    <cfRule type="expression" dxfId="337" priority="80" stopIfTrue="1">
      <formula>OR(ACOMPANHAMENTO&lt;&gt;"BM",TIPOORCAMENTO="Licitado")</formula>
    </cfRule>
    <cfRule type="expression" dxfId="336" priority="81" stopIfTrue="1">
      <formula>$C19=1</formula>
    </cfRule>
    <cfRule type="expression" dxfId="335" priority="82" stopIfTrue="1">
      <formula>OR(AND(ISNUMBER($C19),$C19=0),$C19=2,$C19=3,$C19=4)</formula>
    </cfRule>
  </conditionalFormatting>
  <conditionalFormatting sqref="AL19">
    <cfRule type="expression" dxfId="334" priority="83" stopIfTrue="1">
      <formula>TIPOORCAMENTO="PROPOSTO"</formula>
    </cfRule>
    <cfRule type="expression" dxfId="333" priority="84" stopIfTrue="1">
      <formula>$C19=1</formula>
    </cfRule>
    <cfRule type="expression" dxfId="332" priority="85" stopIfTrue="1">
      <formula>OR(AND(ISNUMBER($C19),$C19=0),$C19=2,$C19=3,$C19=4)</formula>
    </cfRule>
  </conditionalFormatting>
  <conditionalFormatting sqref="AM19:AN19">
    <cfRule type="expression" dxfId="331" priority="86" stopIfTrue="1">
      <formula>TIPOORCAMENTO="PROPOSTO"</formula>
    </cfRule>
    <cfRule type="expression" dxfId="330" priority="87" stopIfTrue="1">
      <formula>$C19=1</formula>
    </cfRule>
    <cfRule type="expression" dxfId="329" priority="88" stopIfTrue="1">
      <formula>OR(AND(ISNUMBER($C19),$C19=0),$C19=2,$C19=3,$C19=4)</formula>
    </cfRule>
  </conditionalFormatting>
  <conditionalFormatting sqref="X19">
    <cfRule type="expression" dxfId="328" priority="70" stopIfTrue="1">
      <formula>$C19=1</formula>
    </cfRule>
    <cfRule type="expression" dxfId="327" priority="71" stopIfTrue="1">
      <formula>OR($C19=0,$C19=2,$C19=3,$C19=4)</formula>
    </cfRule>
  </conditionalFormatting>
  <conditionalFormatting sqref="R19">
    <cfRule type="expression" dxfId="326" priority="68" stopIfTrue="1">
      <formula>$C19=1</formula>
    </cfRule>
    <cfRule type="expression" dxfId="325" priority="69" stopIfTrue="1">
      <formula>OR($C19=0,$C19=2,$C19=3,$C19=4)</formula>
    </cfRule>
  </conditionalFormatting>
  <conditionalFormatting sqref="R19">
    <cfRule type="beginsWith" dxfId="324" priority="67" operator="beginsWith" text="(">
      <formula>LEFT(R19,LEN("("))="("</formula>
    </cfRule>
  </conditionalFormatting>
  <conditionalFormatting sqref="M26">
    <cfRule type="cellIs" dxfId="323" priority="28" stopIfTrue="1" operator="notEqual">
      <formula>$N26</formula>
    </cfRule>
  </conditionalFormatting>
  <conditionalFormatting sqref="N26:O26 W26">
    <cfRule type="expression" dxfId="322" priority="29" stopIfTrue="1">
      <formula>$C26=1</formula>
    </cfRule>
    <cfRule type="expression" dxfId="321" priority="30" stopIfTrue="1">
      <formula>OR($C26=0,$C26=2,$C26=3,$C26=4)</formula>
    </cfRule>
  </conditionalFormatting>
  <conditionalFormatting sqref="U26:V26">
    <cfRule type="expression" dxfId="320" priority="31" stopIfTrue="1">
      <formula>$C26=1</formula>
    </cfRule>
    <cfRule type="expression" dxfId="319" priority="32" stopIfTrue="1">
      <formula>OR($C26=0,$C26=2,$C26=3,$C26=4)</formula>
    </cfRule>
    <cfRule type="expression" dxfId="318" priority="33" stopIfTrue="1">
      <formula>AND(TIPOORCAMENTO="Licitado",$C26&lt;&gt;"L",$C26&lt;&gt;-1)</formula>
    </cfRule>
  </conditionalFormatting>
  <conditionalFormatting sqref="P26:Q26 S26:T26 Y26 AG26:AH26">
    <cfRule type="expression" dxfId="317" priority="34" stopIfTrue="1">
      <formula>$C26=1</formula>
    </cfRule>
    <cfRule type="expression" dxfId="316" priority="35" stopIfTrue="1">
      <formula>OR($C26=0,$C26=2,$C26=3,$C26=4)</formula>
    </cfRule>
  </conditionalFormatting>
  <conditionalFormatting sqref="AJ26">
    <cfRule type="expression" dxfId="315" priority="36" stopIfTrue="1">
      <formula>OR(ACOMPANHAMENTO&lt;&gt;"BM",TIPOORCAMENTO="Licitado")</formula>
    </cfRule>
    <cfRule type="expression" dxfId="314" priority="37" stopIfTrue="1">
      <formula>$C26=1</formula>
    </cfRule>
    <cfRule type="expression" dxfId="313" priority="38" stopIfTrue="1">
      <formula>OR(AND(ISNUMBER($C26),$C26=0),$C26=2,$C26=3,$C26=4)</formula>
    </cfRule>
  </conditionalFormatting>
  <conditionalFormatting sqref="AL26">
    <cfRule type="expression" dxfId="312" priority="39" stopIfTrue="1">
      <formula>TIPOORCAMENTO="PROPOSTO"</formula>
    </cfRule>
    <cfRule type="expression" dxfId="311" priority="40" stopIfTrue="1">
      <formula>$C26=1</formula>
    </cfRule>
    <cfRule type="expression" dxfId="310" priority="41" stopIfTrue="1">
      <formula>OR(AND(ISNUMBER($C26),$C26=0),$C26=2,$C26=3,$C26=4)</formula>
    </cfRule>
  </conditionalFormatting>
  <conditionalFormatting sqref="AM26:AN26">
    <cfRule type="expression" dxfId="309" priority="42" stopIfTrue="1">
      <formula>TIPOORCAMENTO="PROPOSTO"</formula>
    </cfRule>
    <cfRule type="expression" dxfId="308" priority="43" stopIfTrue="1">
      <formula>$C26=1</formula>
    </cfRule>
    <cfRule type="expression" dxfId="307" priority="44" stopIfTrue="1">
      <formula>OR(AND(ISNUMBER($C26),$C26=0),$C26=2,$C26=3,$C26=4)</formula>
    </cfRule>
  </conditionalFormatting>
  <conditionalFormatting sqref="X26">
    <cfRule type="expression" dxfId="306" priority="26" stopIfTrue="1">
      <formula>$C26=1</formula>
    </cfRule>
    <cfRule type="expression" dxfId="305" priority="27" stopIfTrue="1">
      <formula>OR($C26=0,$C26=2,$C26=3,$C26=4)</formula>
    </cfRule>
  </conditionalFormatting>
  <conditionalFormatting sqref="R26">
    <cfRule type="expression" dxfId="304" priority="24" stopIfTrue="1">
      <formula>$C26=1</formula>
    </cfRule>
    <cfRule type="expression" dxfId="303" priority="25" stopIfTrue="1">
      <formula>OR($C26=0,$C26=2,$C26=3,$C26=4)</formula>
    </cfRule>
  </conditionalFormatting>
  <conditionalFormatting sqref="R26">
    <cfRule type="beginsWith" dxfId="302" priority="23" operator="beginsWith" text="(">
      <formula>LEFT(R26,LEN("("))="("</formula>
    </cfRule>
  </conditionalFormatting>
  <conditionalFormatting sqref="M47">
    <cfRule type="cellIs" dxfId="301" priority="6" stopIfTrue="1" operator="notEqual">
      <formula>$N47</formula>
    </cfRule>
  </conditionalFormatting>
  <conditionalFormatting sqref="N47:O47 W47">
    <cfRule type="expression" dxfId="300" priority="7" stopIfTrue="1">
      <formula>$C47=1</formula>
    </cfRule>
    <cfRule type="expression" dxfId="299" priority="8" stopIfTrue="1">
      <formula>OR($C47=0,$C47=2,$C47=3,$C47=4)</formula>
    </cfRule>
  </conditionalFormatting>
  <conditionalFormatting sqref="U47:V47">
    <cfRule type="expression" dxfId="298" priority="9" stopIfTrue="1">
      <formula>$C47=1</formula>
    </cfRule>
    <cfRule type="expression" dxfId="297" priority="10" stopIfTrue="1">
      <formula>OR($C47=0,$C47=2,$C47=3,$C47=4)</formula>
    </cfRule>
    <cfRule type="expression" dxfId="296" priority="11" stopIfTrue="1">
      <formula>AND(TIPOORCAMENTO="Licitado",$C47&lt;&gt;"L",$C47&lt;&gt;-1)</formula>
    </cfRule>
  </conditionalFormatting>
  <conditionalFormatting sqref="P47:Q47 S47:T47 Y47 AG47:AH47">
    <cfRule type="expression" dxfId="295" priority="12" stopIfTrue="1">
      <formula>$C47=1</formula>
    </cfRule>
    <cfRule type="expression" dxfId="294" priority="13" stopIfTrue="1">
      <formula>OR($C47=0,$C47=2,$C47=3,$C47=4)</formula>
    </cfRule>
  </conditionalFormatting>
  <conditionalFormatting sqref="AJ47">
    <cfRule type="expression" dxfId="293" priority="14" stopIfTrue="1">
      <formula>OR(ACOMPANHAMENTO&lt;&gt;"BM",TIPOORCAMENTO="Licitado")</formula>
    </cfRule>
    <cfRule type="expression" dxfId="292" priority="15" stopIfTrue="1">
      <formula>$C47=1</formula>
    </cfRule>
    <cfRule type="expression" dxfId="291" priority="16" stopIfTrue="1">
      <formula>OR(AND(ISNUMBER($C47),$C47=0),$C47=2,$C47=3,$C47=4)</formula>
    </cfRule>
  </conditionalFormatting>
  <conditionalFormatting sqref="AL47">
    <cfRule type="expression" dxfId="290" priority="17" stopIfTrue="1">
      <formula>TIPOORCAMENTO="PROPOSTO"</formula>
    </cfRule>
    <cfRule type="expression" dxfId="289" priority="18" stopIfTrue="1">
      <formula>$C47=1</formula>
    </cfRule>
    <cfRule type="expression" dxfId="288" priority="19" stopIfTrue="1">
      <formula>OR(AND(ISNUMBER($C47),$C47=0),$C47=2,$C47=3,$C47=4)</formula>
    </cfRule>
  </conditionalFormatting>
  <conditionalFormatting sqref="AM47:AN47">
    <cfRule type="expression" dxfId="287" priority="20" stopIfTrue="1">
      <formula>TIPOORCAMENTO="PROPOSTO"</formula>
    </cfRule>
    <cfRule type="expression" dxfId="286" priority="21" stopIfTrue="1">
      <formula>$C47=1</formula>
    </cfRule>
    <cfRule type="expression" dxfId="285" priority="22" stopIfTrue="1">
      <formula>OR(AND(ISNUMBER($C47),$C47=0),$C47=2,$C47=3,$C47=4)</formula>
    </cfRule>
  </conditionalFormatting>
  <conditionalFormatting sqref="X47">
    <cfRule type="expression" dxfId="284" priority="4" stopIfTrue="1">
      <formula>$C47=1</formula>
    </cfRule>
    <cfRule type="expression" dxfId="283" priority="5" stopIfTrue="1">
      <formula>OR($C47=0,$C47=2,$C47=3,$C47=4)</formula>
    </cfRule>
  </conditionalFormatting>
  <conditionalFormatting sqref="R47">
    <cfRule type="expression" dxfId="282" priority="2" stopIfTrue="1">
      <formula>$C47=1</formula>
    </cfRule>
    <cfRule type="expression" dxfId="281" priority="3" stopIfTrue="1">
      <formula>OR($C47=0,$C47=2,$C47=3,$C47=4)</formula>
    </cfRule>
  </conditionalFormatting>
  <conditionalFormatting sqref="R47">
    <cfRule type="beginsWith" dxfId="280" priority="1" operator="beginsWith" text="(">
      <formula>LEFT(R47,LEN("("))="("</formula>
    </cfRule>
  </conditionalFormatting>
  <dataValidations count="8">
    <dataValidation type="decimal" operator="greaterThan" allowBlank="1" showErrorMessage="1" error="Apenas números decimais maiores que zero." sqref="U14 AL14 AJ14 AJ16:AJ54 AL16:AL54 U16:U54">
      <formula1>0</formula1>
      <formula2>0</formula2>
    </dataValidation>
    <dataValidation allowBlank="1" showInputMessage="1" showErrorMessage="1" prompt="A entrada de quantidades é feita na coluna AJ se acompanhamento por BM, ou na aba &quot;Memória de Cálculo/PLQ&quot; se acompanhamento por PLE." sqref="T14 T16:T54"/>
    <dataValidation allowBlank="1" showInputMessage="1" showErrorMessage="1" prompt="Para Orçamento Proposto, o Preço Unitário é resultado do produto do Custo Unitário pelo BDI._x000a_Para Orçamento Licitado, deve ser preenchido na Coluna AL." sqref="W14 W16:W54"/>
    <dataValidation type="list" errorStyle="information" allowBlank="1" showInputMessage="1" prompt="Selecione uma sigla de unidade na lista suspensa." sqref="S14 S16:S54">
      <formula1>ListaTgov.Unidades</formula1>
    </dataValidation>
    <dataValidation type="list" errorStyle="warning" allowBlank="1" showInputMessage="1" showErrorMessage="1" errorTitle="Aviso BDI" error="Selecione um dos 3 BDI da lista._x000a__x000a_Caso tenha mais de 3 BDI nesta Planilha Orçamentária digite apenas valor percentual." promptTitle="Legenda:" prompt="RA: Rateio proporcional entre Repasse e Contrapartida._x000a_RP: 100% Repasse_x000a_CP: 100% Contrapartida_x000a_OU: 100% Outros." sqref="Y14 Y16:Y54">
      <formula1>ORÇAMENTO.Lista.Recurso</formula1>
    </dataValidation>
    <dataValidation type="list" errorStyle="warning" allowBlank="1" showInputMessage="1" errorTitle="Aviso BDI" error="Selecione um dos 3 BDI da lista._x000a__x000a_Caso tenha mais de 3 BDI nesta Planilha Orçamentária digite apenas valor percentual." promptTitle="Aviso BDI" prompt="Selecione um dos 3 BDI da lista._x000a__x000a_Caso tenha mais de 3 BDI nesta Planilha Orçamentária digite apenas valor percentual." sqref="V14 V16:V54">
      <formula1>ORÇAMENTO.Lista.BDI</formula1>
    </dataValidation>
    <dataValidation type="list" allowBlank="1" showInputMessage="1" promptTitle="Fonte:" prompt="Selecione na lista a fonte referencial de custo do serviço._x000a__x000a_Caso seja outra fonte, digite o nome da fonte nesta célula._x000a__x000a_O nome da fonte deve ser idêntico ao que consta na planilha referência." sqref="P14 P16:P54">
      <formula1>ORÇAMENTO.Lista.Fonte</formula1>
    </dataValidation>
    <dataValidation type="list" showInputMessage="1" showErrorMessage="1" errorTitle="Erro de Entrada" error="Selecione somente os itens da lista." promptTitle="Nível:" prompt="Selecione na lista o nível de itemização da Planilha." sqref="M14 M16:M54">
      <formula1>ORÇAMENTO.Lista.Nível</formula1>
    </dataValidation>
  </dataValidations>
  <pageMargins left="0.78740157480314998" right="0.78740157480314998" top="0.78740157480314998" bottom="0.78740157480314998" header="0.59055118110236204" footer="0.59055118110236204"/>
  <pageSetup paperSize="9" scale="67" firstPageNumber="0" fitToHeight="0" orientation="landscape" r:id="rId1"/>
  <headerFooter alignWithMargins="0">
    <oddHeader>&amp;C&amp;14I</oddHeader>
    <oddFooter>&amp;LPMv3.14&amp;R&amp;P / &amp;N</oddFooter>
  </headerFooter>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28" r:id="rId4" name="CaixaArredQuant">
              <controlPr defaultSize="0" print="0" autoFill="0" autoLine="0" autoPict="0">
                <anchor moveWithCells="1" sizeWithCells="1">
                  <from>
                    <xdr:col>19</xdr:col>
                    <xdr:colOff>381000</xdr:colOff>
                    <xdr:row>9</xdr:row>
                    <xdr:rowOff>66675</xdr:rowOff>
                  </from>
                  <to>
                    <xdr:col>19</xdr:col>
                    <xdr:colOff>828675</xdr:colOff>
                    <xdr:row>10</xdr:row>
                    <xdr:rowOff>142875</xdr:rowOff>
                  </to>
                </anchor>
              </controlPr>
            </control>
          </mc:Choice>
        </mc:AlternateContent>
        <mc:AlternateContent xmlns:mc="http://schemas.openxmlformats.org/markup-compatibility/2006">
          <mc:Choice Requires="x14">
            <control shapeId="5129" r:id="rId5" name="CaixaArredCustoUnit">
              <controlPr defaultSize="0" print="0" autoFill="0" autoLine="0" autoPict="0">
                <anchor moveWithCells="1" sizeWithCells="1">
                  <from>
                    <xdr:col>20</xdr:col>
                    <xdr:colOff>390525</xdr:colOff>
                    <xdr:row>9</xdr:row>
                    <xdr:rowOff>66675</xdr:rowOff>
                  </from>
                  <to>
                    <xdr:col>20</xdr:col>
                    <xdr:colOff>819150</xdr:colOff>
                    <xdr:row>10</xdr:row>
                    <xdr:rowOff>142875</xdr:rowOff>
                  </to>
                </anchor>
              </controlPr>
            </control>
          </mc:Choice>
        </mc:AlternateContent>
        <mc:AlternateContent xmlns:mc="http://schemas.openxmlformats.org/markup-compatibility/2006">
          <mc:Choice Requires="x14">
            <control shapeId="5130" r:id="rId6" name="CaixaArredBDI">
              <controlPr defaultSize="0" print="0" autoFill="0" autoLine="0" autoPict="0">
                <anchor moveWithCells="1" sizeWithCells="1">
                  <from>
                    <xdr:col>21</xdr:col>
                    <xdr:colOff>266700</xdr:colOff>
                    <xdr:row>9</xdr:row>
                    <xdr:rowOff>66675</xdr:rowOff>
                  </from>
                  <to>
                    <xdr:col>21</xdr:col>
                    <xdr:colOff>676275</xdr:colOff>
                    <xdr:row>10</xdr:row>
                    <xdr:rowOff>142875</xdr:rowOff>
                  </to>
                </anchor>
              </controlPr>
            </control>
          </mc:Choice>
        </mc:AlternateContent>
        <mc:AlternateContent xmlns:mc="http://schemas.openxmlformats.org/markup-compatibility/2006">
          <mc:Choice Requires="x14">
            <control shapeId="5131" r:id="rId7" name="CaixaArredPrecoUnit">
              <controlPr defaultSize="0" print="0" autoFill="0" autoLine="0" autoPict="0">
                <anchor moveWithCells="1" sizeWithCells="1">
                  <from>
                    <xdr:col>22</xdr:col>
                    <xdr:colOff>390525</xdr:colOff>
                    <xdr:row>9</xdr:row>
                    <xdr:rowOff>66675</xdr:rowOff>
                  </from>
                  <to>
                    <xdr:col>22</xdr:col>
                    <xdr:colOff>809625</xdr:colOff>
                    <xdr:row>10</xdr:row>
                    <xdr:rowOff>142875</xdr:rowOff>
                  </to>
                </anchor>
              </controlPr>
            </control>
          </mc:Choice>
        </mc:AlternateContent>
        <mc:AlternateContent xmlns:mc="http://schemas.openxmlformats.org/markup-compatibility/2006">
          <mc:Choice Requires="x14">
            <control shapeId="5132" r:id="rId8" name="CaixaArredPrecoTotal">
              <controlPr defaultSize="0" print="0" autoFill="0" autoLine="0" autoPict="0">
                <anchor moveWithCells="1" sizeWithCells="1">
                  <from>
                    <xdr:col>23</xdr:col>
                    <xdr:colOff>428625</xdr:colOff>
                    <xdr:row>9</xdr:row>
                    <xdr:rowOff>47625</xdr:rowOff>
                  </from>
                  <to>
                    <xdr:col>23</xdr:col>
                    <xdr:colOff>857250</xdr:colOff>
                    <xdr:row>10</xdr:row>
                    <xdr:rowOff>142875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8">
    <pageSetUpPr fitToPage="1"/>
  </sheetPr>
  <dimension ref="A1:Z31"/>
  <sheetViews>
    <sheetView showGridLines="0" zoomScaleNormal="100" workbookViewId="0">
      <pane xSplit="4" ySplit="14" topLeftCell="F15" activePane="bottomRight" state="frozen"/>
      <selection pane="topRight" activeCell="E2" sqref="E2"/>
      <selection pane="bottomLeft" activeCell="A15" sqref="A15"/>
      <selection pane="bottomRight"/>
    </sheetView>
  </sheetViews>
  <sheetFormatPr defaultRowHeight="12.75" x14ac:dyDescent="0.2"/>
  <cols>
    <col min="1" max="1" width="3.5703125" style="505" customWidth="1"/>
    <col min="2" max="2" width="5.42578125" hidden="1" customWidth="1"/>
    <col min="3" max="3" width="12.5703125" customWidth="1"/>
    <col min="4" max="4" width="50.5703125" customWidth="1"/>
    <col min="5" max="5" width="14.5703125" hidden="1" customWidth="1"/>
    <col min="6" max="6" width="28.5703125" customWidth="1"/>
    <col min="7" max="7" width="14.5703125" hidden="1" customWidth="1"/>
    <col min="8" max="25" width="14.5703125" customWidth="1"/>
    <col min="26" max="26" width="14.5703125" hidden="1" customWidth="1"/>
  </cols>
  <sheetData>
    <row r="1" spans="1:26" hidden="1" x14ac:dyDescent="0.2">
      <c r="A1" s="505" t="str">
        <f t="shared" ref="A1" si="0">IF(D1="","","F")</f>
        <v/>
      </c>
      <c r="B1" t="e">
        <f ca="1">IF(OR(C1=" ",D1=""),"",CONCATENATE(C1,". ",D1))</f>
        <v>#REF!</v>
      </c>
      <c r="C1" s="181" t="e" cm="1">
        <f t="array" aca="1" ref="C1" ca="1">IF(OR(ROW(C1)=ROW(EVENTOS.firstrow)+1,AND(OFFSET(C1,-1,0)&lt;&gt;" ",OFFSET(C1,-1,1)&lt;&gt;"")),OFFSET(C1,-1,0)+1," ")</f>
        <v>#REF!</v>
      </c>
      <c r="D1" s="495"/>
      <c r="E1" s="619" cm="1">
        <f t="array" aca="1" ref="E1" ca="1">IF(AUTOEVENTO="Manual",ROUND(SUMPRODUCT((CÁLCULO!$M$15:$M$55=EVENTOS!$C1)*(OFFSET(CÁLCULO!$AA$15:$AA$55,0,E$13))),2),0)</f>
        <v>0</v>
      </c>
      <c r="F1" s="182">
        <f ca="1">IF(AUTOEVENTO="Manual",ROUND(SUMPRODUCT((CÁLCULO!$M$15:$M$55=EVENTOS!$C1)*(OFFSET(CÁLCULO!$AA$15,0,1):OFFSET(CÁLCULO!$AL$55,0,-1))),2),0)</f>
        <v>0</v>
      </c>
      <c r="G1" s="620" t="str">
        <f ca="1">IF(AND(D1=0,F1&gt;0),"NOME",
 IF(AND(D1&lt;&gt;0,$F$14&gt;0,F1=0),"VALOR",
 IF(AND(Import.TipoArredondamento="TransfereGOV",$A1="F",LEN(D1)&gt;100),"Nome &gt;100","")))</f>
        <v/>
      </c>
      <c r="H1" s="619" cm="1">
        <f t="array" aca="1" ref="H1" ca="1">IF(AUTOEVENTO="Manual",ROUND(SUMPRODUCT((CÁLCULO!$M$15:$M$55=EVENTOS!$C1)*(OFFSET(CÁLCULO!$AA$15:$AA$55,0,H$13))),2),0)</f>
        <v>0</v>
      </c>
      <c r="I1" s="619" cm="1">
        <f t="array" aca="1" ref="I1" ca="1">IF(AUTOEVENTO="Manual",ROUND(SUMPRODUCT((CÁLCULO!$M$15:$M$55=EVENTOS!$C1)*(OFFSET(CÁLCULO!$AA$15:$AA$55,0,I$13))),2),0)</f>
        <v>0</v>
      </c>
      <c r="J1" s="619" cm="1">
        <f t="array" aca="1" ref="J1" ca="1">IF(AUTOEVENTO="Manual",ROUND(SUMPRODUCT((CÁLCULO!$M$15:$M$55=EVENTOS!$C1)*(OFFSET(CÁLCULO!$AA$15:$AA$55,0,J$13))),2),0)</f>
        <v>0</v>
      </c>
      <c r="K1" s="619" cm="1">
        <f t="array" aca="1" ref="K1" ca="1">IF(AUTOEVENTO="Manual",ROUND(SUMPRODUCT((CÁLCULO!$M$15:$M$55=EVENTOS!$C1)*(OFFSET(CÁLCULO!$AA$15:$AA$55,0,K$13))),2),0)</f>
        <v>0</v>
      </c>
      <c r="L1" s="619" cm="1">
        <f t="array" aca="1" ref="L1" ca="1">IF(AUTOEVENTO="Manual",ROUND(SUMPRODUCT((CÁLCULO!$M$15:$M$55=EVENTOS!$C1)*(OFFSET(CÁLCULO!$AA$15:$AA$55,0,L$13))),2),0)</f>
        <v>0</v>
      </c>
      <c r="M1" s="619" cm="1">
        <f t="array" aca="1" ref="M1" ca="1">IF(AUTOEVENTO="Manual",ROUND(SUMPRODUCT((CÁLCULO!$M$15:$M$55=EVENTOS!$C1)*(OFFSET(CÁLCULO!$AA$15:$AA$55,0,M$13))),2),0)</f>
        <v>0</v>
      </c>
      <c r="N1" s="619" cm="1">
        <f t="array" aca="1" ref="N1" ca="1">IF(AUTOEVENTO="Manual",ROUND(SUMPRODUCT((CÁLCULO!$M$15:$M$55=EVENTOS!$C1)*(OFFSET(CÁLCULO!$AA$15:$AA$55,0,N$13))),2),0)</f>
        <v>0</v>
      </c>
      <c r="O1" s="619" cm="1">
        <f t="array" aca="1" ref="O1" ca="1">IF(AUTOEVENTO="Manual",ROUND(SUMPRODUCT((CÁLCULO!$M$15:$M$55=EVENTOS!$C1)*(OFFSET(CÁLCULO!$AA$15:$AA$55,0,O$13))),2),0)</f>
        <v>0</v>
      </c>
      <c r="P1" s="619" cm="1">
        <f t="array" aca="1" ref="P1" ca="1">IF(AUTOEVENTO="Manual",ROUND(SUMPRODUCT((CÁLCULO!$M$15:$M$55=EVENTOS!$C1)*(OFFSET(CÁLCULO!$AA$15:$AA$55,0,P$13))),2),0)</f>
        <v>0</v>
      </c>
      <c r="Q1" s="619" cm="1">
        <f t="array" aca="1" ref="Q1" ca="1">IF(AUTOEVENTO="Manual",ROUND(SUMPRODUCT((CÁLCULO!$M$15:$M$55=EVENTOS!$C1)*(OFFSET(CÁLCULO!$AA$15:$AA$55,0,Q$13))),2),0)</f>
        <v>0</v>
      </c>
      <c r="R1" s="619" cm="1">
        <f t="array" aca="1" ref="R1" ca="1">IF(AUTOEVENTO="Manual",ROUND(SUMPRODUCT((CÁLCULO!$M$15:$M$55=EVENTOS!$C1)*(OFFSET(CÁLCULO!$AA$15:$AA$55,0,R$13))),2),0)</f>
        <v>0</v>
      </c>
      <c r="S1" s="619" cm="1">
        <f t="array" aca="1" ref="S1" ca="1">IF(AUTOEVENTO="Manual",ROUND(SUMPRODUCT((CÁLCULO!$M$15:$M$55=EVENTOS!$C1)*(OFFSET(CÁLCULO!$AA$15:$AA$55,0,S$13))),2),0)</f>
        <v>0</v>
      </c>
      <c r="T1" s="619" cm="1">
        <f t="array" aca="1" ref="T1" ca="1">IF(AUTOEVENTO="Manual",ROUND(SUMPRODUCT((CÁLCULO!$M$15:$M$55=EVENTOS!$C1)*(OFFSET(CÁLCULO!$AA$15:$AA$55,0,T$13))),2),0)</f>
        <v>0</v>
      </c>
      <c r="U1" s="619" cm="1">
        <f t="array" aca="1" ref="U1" ca="1">IF(AUTOEVENTO="Manual",ROUND(SUMPRODUCT((CÁLCULO!$M$15:$M$55=EVENTOS!$C1)*(OFFSET(CÁLCULO!$AA$15:$AA$55,0,U$13))),2),0)</f>
        <v>0</v>
      </c>
      <c r="V1" s="619" cm="1">
        <f t="array" aca="1" ref="V1" ca="1">IF(AUTOEVENTO="Manual",ROUND(SUMPRODUCT((CÁLCULO!$M$15:$M$55=EVENTOS!$C1)*(OFFSET(CÁLCULO!$AA$15:$AA$55,0,V$13))),2),0)</f>
        <v>0</v>
      </c>
      <c r="W1" s="619" cm="1">
        <f t="array" aca="1" ref="W1" ca="1">IF(AUTOEVENTO="Manual",ROUND(SUMPRODUCT((CÁLCULO!$M$15:$M$55=EVENTOS!$C1)*(OFFSET(CÁLCULO!$AA$15:$AA$55,0,W$13))),2),0)</f>
        <v>0</v>
      </c>
      <c r="X1" s="619" cm="1">
        <f t="array" aca="1" ref="X1" ca="1">IF(AUTOEVENTO="Manual",ROUND(SUMPRODUCT((CÁLCULO!$M$15:$M$55=EVENTOS!$C1)*(OFFSET(CÁLCULO!$AA$15:$AA$55,0,X$13))),2),0)</f>
        <v>0</v>
      </c>
      <c r="Y1" s="619" cm="1">
        <f t="array" aca="1" ref="Y1" ca="1">IF(AUTOEVENTO="Manual",ROUND(SUMPRODUCT((CÁLCULO!$M$15:$M$55=EVENTOS!$C1)*(OFFSET(CÁLCULO!$AA$15:$AA$55,0,Y$13))),2),0)</f>
        <v>0</v>
      </c>
    </row>
    <row r="2" spans="1:26" ht="30" customHeight="1" x14ac:dyDescent="0.2">
      <c r="F2" s="81" t="s">
        <v>756</v>
      </c>
      <c r="O2" s="621" t="s">
        <v>757</v>
      </c>
      <c r="Y2" s="621" t="s">
        <v>757</v>
      </c>
    </row>
    <row r="4" spans="1:26" ht="12.75" customHeight="1" x14ac:dyDescent="0.2">
      <c r="C4" s="54" t="s">
        <v>652</v>
      </c>
      <c r="D4" s="95"/>
      <c r="E4" s="76"/>
      <c r="F4" s="207" t="s">
        <v>758</v>
      </c>
      <c r="G4" s="76"/>
      <c r="H4" s="483"/>
      <c r="I4" s="483"/>
      <c r="J4" s="483"/>
      <c r="K4" s="483"/>
      <c r="L4" s="483"/>
      <c r="N4" s="54" t="s">
        <v>650</v>
      </c>
      <c r="O4" s="503" t="s">
        <v>707</v>
      </c>
      <c r="P4" s="207" t="s">
        <v>758</v>
      </c>
      <c r="Q4" s="76"/>
      <c r="R4" s="483"/>
      <c r="S4" s="483"/>
      <c r="T4" s="483"/>
      <c r="U4" s="483"/>
      <c r="V4" s="483"/>
      <c r="X4" s="54" t="s">
        <v>650</v>
      </c>
      <c r="Y4" s="503" t="s">
        <v>707</v>
      </c>
    </row>
    <row r="5" spans="1:26" ht="12.75" customHeight="1" x14ac:dyDescent="0.2">
      <c r="C5" s="504" t="str">
        <f>Import.Proponente</f>
        <v>18.029.165/0001-51</v>
      </c>
      <c r="D5" s="502"/>
      <c r="E5" s="502"/>
      <c r="F5" s="724" t="str">
        <f>Import.Apelido</f>
        <v>Construção de ponte e pavimentação de estrada vicinal</v>
      </c>
      <c r="G5" s="725"/>
      <c r="H5" s="725"/>
      <c r="I5" s="725"/>
      <c r="J5" s="725"/>
      <c r="K5" s="725"/>
      <c r="L5" s="725"/>
      <c r="M5" s="726"/>
      <c r="N5" s="55">
        <f>Import.CR</f>
        <v>0</v>
      </c>
      <c r="O5" s="55" t="str">
        <f>Import.SICONV</f>
        <v>948148</v>
      </c>
      <c r="P5" s="724" t="str">
        <f>Import.Apelido</f>
        <v>Construção de ponte e pavimentação de estrada vicinal</v>
      </c>
      <c r="Q5" s="725"/>
      <c r="R5" s="725"/>
      <c r="S5" s="725"/>
      <c r="T5" s="725"/>
      <c r="U5" s="725"/>
      <c r="V5" s="725"/>
      <c r="W5" s="726"/>
      <c r="X5" s="55">
        <f>Import.CR</f>
        <v>0</v>
      </c>
      <c r="Y5" s="55" t="str">
        <f>Import.SICONV</f>
        <v>948148</v>
      </c>
      <c r="Z5" t="s">
        <v>752</v>
      </c>
    </row>
    <row r="6" spans="1:26" ht="24.95" customHeight="1" x14ac:dyDescent="0.25">
      <c r="B6" t="s">
        <v>937</v>
      </c>
      <c r="C6" t="s">
        <v>759</v>
      </c>
      <c r="F6" s="520" t="str">
        <f>IF(AUTOEVENTO="MANUAL",
  IF(COUNTIF($G$15:$G$24,"NOME")&gt;0,"Falta preencher o nome do Título do Evento nº "&amp;INDEX($C$15:$C$24,MATCH("NOME",$G$15:$G$24,0)),
  IF(COUNTIF($G$15:$G$24,"VALOR")&gt;0,"Falta atribuir serviços ao Evento nº "&amp;INDEX($C$15:$C$24,MATCH("VALOR",$G$15:$G$24,0))&amp;". Corrigir a atribuição dos eventos na aba CÁLCULO. Ou excluir linhas dos eventos não utilizados.",
  IF(ROUND($F$14,2)&lt;&gt;ROUND(ORÇAMENTO!$X$15,2),"O valor total dos Eventos é diferente do valor total do Orçamento. Corrigir a atribuição dos eventos na aba CÁLCULO",
  IF(COUNTIF($G$15:$G$24,"Nome &gt;100")&gt;0,"O tamanho do Título do Evento no TransfereGOV é limitado a 100 caracteres. Resuma o nome do Título do Evento nº "&amp;INDEX($C$15:$C$24,MATCH("Nome &gt;100",$G$15:$G$24,0)),"")))),"")</f>
        <v/>
      </c>
    </row>
    <row r="7" spans="1:26" ht="3.95" customHeight="1" thickBot="1" x14ac:dyDescent="0.25">
      <c r="B7" t="s">
        <v>940</v>
      </c>
    </row>
    <row r="8" spans="1:26" ht="16.5" thickBot="1" x14ac:dyDescent="0.3">
      <c r="B8" t="s">
        <v>941</v>
      </c>
      <c r="C8" s="731" t="s">
        <v>937</v>
      </c>
      <c r="D8" s="732"/>
      <c r="F8" s="520" t="str">
        <f>IF(ACOMPANHAMENTO="BM","",
 IF(Import.Eventos.Nível="","◄ Selecione a forma de definição dos agrupadores de eventos",
 IF(Import.Eventos.Nível="","◄ Selecione a forma de definição dos agrupadores de eventos","")))</f>
        <v/>
      </c>
    </row>
    <row r="9" spans="1:26" ht="12" customHeight="1" x14ac:dyDescent="0.2">
      <c r="B9" t="s">
        <v>939</v>
      </c>
    </row>
    <row r="10" spans="1:26" ht="33.75" customHeight="1" x14ac:dyDescent="0.2">
      <c r="C10" s="585">
        <f ca="1">COUNTIF($C$15:$C$24,"&gt;0")-1</f>
        <v>0</v>
      </c>
      <c r="D10" t="s">
        <v>752</v>
      </c>
      <c r="E10" s="727">
        <f ca="1">OFFSET(CÁLCULO!$P$12,0,EVENTOS!E$13)</f>
        <v>1</v>
      </c>
      <c r="F10" t="s">
        <v>752</v>
      </c>
      <c r="G10" s="728"/>
      <c r="H10" s="727">
        <f ca="1">OFFSET(CÁLCULO!$P$12,0,EVENTOS!H$13)</f>
        <v>1</v>
      </c>
      <c r="I10" s="727">
        <f ca="1">OFFSET(CÁLCULO!$P$12,0,EVENTOS!I$13)</f>
        <v>2</v>
      </c>
      <c r="J10" s="727">
        <f ca="1">OFFSET(CÁLCULO!$P$12,0,EVENTOS!J$13)</f>
        <v>3</v>
      </c>
      <c r="K10" s="728">
        <f ca="1">OFFSET(CÁLCULO!$P$12,0,EVENTOS!K$13)</f>
        <v>4</v>
      </c>
      <c r="L10" s="728" t="str">
        <f ca="1">OFFSET(CÁLCULO!$P$12,0,EVENTOS!L$13)</f>
        <v>.</v>
      </c>
      <c r="M10" s="728" t="str">
        <f ca="1">OFFSET(CÁLCULO!$P$12,0,EVENTOS!M$13)</f>
        <v>.</v>
      </c>
      <c r="N10" s="728" t="str">
        <f ca="1">OFFSET(CÁLCULO!$P$12,0,EVENTOS!N$13)</f>
        <v>.</v>
      </c>
      <c r="O10" s="728" t="str">
        <f ca="1">OFFSET(CÁLCULO!$P$12,0,EVENTOS!O$13)</f>
        <v>.</v>
      </c>
      <c r="P10" s="728" t="str">
        <f ca="1">OFFSET(CÁLCULO!$P$12,0,EVENTOS!P$13)</f>
        <v>.</v>
      </c>
      <c r="Q10" s="728" t="str">
        <f ca="1">OFFSET(CÁLCULO!$P$12,0,EVENTOS!Q$13)</f>
        <v>.</v>
      </c>
      <c r="R10" s="728" t="str">
        <f ca="1">OFFSET(CÁLCULO!$P$12,0,EVENTOS!R$13)</f>
        <v>.</v>
      </c>
      <c r="S10" s="728" t="str">
        <f ca="1">OFFSET(CÁLCULO!$P$12,0,EVENTOS!S$13)</f>
        <v>.</v>
      </c>
      <c r="T10" s="728" t="str">
        <f ca="1">OFFSET(CÁLCULO!$P$12,0,EVENTOS!T$13)</f>
        <v>.</v>
      </c>
      <c r="U10" s="728" t="str">
        <f ca="1">OFFSET(CÁLCULO!$P$12,0,EVENTOS!U$13)</f>
        <v>.</v>
      </c>
      <c r="V10" s="728" t="str">
        <f ca="1">OFFSET(CÁLCULO!$P$12,0,EVENTOS!V$13)</f>
        <v>.</v>
      </c>
      <c r="W10" s="728" t="str">
        <f ca="1">OFFSET(CÁLCULO!$P$12,0,EVENTOS!W$13)</f>
        <v>.</v>
      </c>
      <c r="X10" s="728" t="str">
        <f ca="1">OFFSET(CÁLCULO!$P$12,0,EVENTOS!X$13)</f>
        <v>.</v>
      </c>
      <c r="Y10" s="728" t="str">
        <f ca="1">OFFSET(CÁLCULO!$P$12,0,EVENTOS!Y$13)</f>
        <v>.</v>
      </c>
    </row>
    <row r="11" spans="1:26" ht="35.1" customHeight="1" x14ac:dyDescent="0.2">
      <c r="A11" s="506" t="s">
        <v>655</v>
      </c>
      <c r="C11" s="733" t="str" cm="1">
        <f t="array" ref="C11">IF(ACOMPANHAMENTO="BM","Foi selecionado na aba 'MENU' o acompanhamento por BM. Não há necessidade de definição de Eventos.",IF(AND(Import.Eventos.Nível&lt;&gt;"Definir Manualmente",Import.Eventos.Nível&lt;&gt;""),"Foi selecionada a forma automática de definição dos agrupadores de eventos.",""))</f>
        <v>Foi selecionada a forma automática de definição dos agrupadores de eventos.</v>
      </c>
      <c r="D11" s="733"/>
      <c r="E11" s="727"/>
      <c r="F11" s="496"/>
      <c r="G11" s="729"/>
      <c r="H11" s="727"/>
      <c r="I11" s="727"/>
      <c r="J11" s="727"/>
      <c r="K11" s="729"/>
      <c r="L11" s="729"/>
      <c r="M11" s="729"/>
      <c r="N11" s="729"/>
      <c r="O11" s="729"/>
      <c r="P11" s="729"/>
      <c r="Q11" s="729"/>
      <c r="R11" s="729"/>
      <c r="S11" s="729"/>
      <c r="T11" s="729"/>
      <c r="U11" s="729"/>
      <c r="V11" s="729"/>
      <c r="W11" s="729"/>
      <c r="X11" s="729"/>
      <c r="Y11" s="729"/>
    </row>
    <row r="12" spans="1:26" ht="12" customHeight="1" x14ac:dyDescent="0.2">
      <c r="A12" s="507" t="s">
        <v>660</v>
      </c>
      <c r="E12" s="727"/>
      <c r="G12" s="730"/>
      <c r="H12" s="727"/>
      <c r="I12" s="727"/>
      <c r="J12" s="727"/>
      <c r="K12" s="730"/>
      <c r="L12" s="730"/>
      <c r="M12" s="730"/>
      <c r="N12" s="730"/>
      <c r="O12" s="730"/>
      <c r="P12" s="730"/>
      <c r="Q12" s="730"/>
      <c r="R12" s="730"/>
      <c r="S12" s="730"/>
      <c r="T12" s="730"/>
      <c r="U12" s="730"/>
      <c r="V12" s="730"/>
      <c r="W12" s="730"/>
      <c r="X12" s="730"/>
      <c r="Y12" s="730"/>
    </row>
    <row r="13" spans="1:26" ht="15" x14ac:dyDescent="0.25">
      <c r="A13" s="507"/>
      <c r="C13" s="497" t="s">
        <v>760</v>
      </c>
      <c r="D13" s="622" t="s">
        <v>761</v>
      </c>
      <c r="E13" s="623">
        <f ca="1">IF(NOT(ISNUMBER(OFFSET(E13,0,-1))),1,IF(OR(OFFSET(E13,0,-1)=0,OFFSET(E13,0,-1)+1&gt;CÁLCULO.FrentesPreenchidas),0,OFFSET(E13,0,-1)+1))</f>
        <v>1</v>
      </c>
      <c r="F13" s="544" t="s">
        <v>762</v>
      </c>
      <c r="G13" s="494"/>
      <c r="H13" s="623">
        <f t="shared" ref="H13:Y13" ca="1" si="1">IF(NOT(ISNUMBER(OFFSET(H13,0,-1))),1,IF(OR(OFFSET(H13,0,-1)=0,OFFSET(H13,0,-1)+1&gt;CÁLCULO.FrentesPreenchidas),0,OFFSET(H13,0,-1)+1))</f>
        <v>1</v>
      </c>
      <c r="I13" s="623">
        <f t="shared" ca="1" si="1"/>
        <v>2</v>
      </c>
      <c r="J13" s="623">
        <f t="shared" ca="1" si="1"/>
        <v>3</v>
      </c>
      <c r="K13" s="623">
        <f t="shared" ca="1" si="1"/>
        <v>4</v>
      </c>
      <c r="L13" s="623">
        <f t="shared" ca="1" si="1"/>
        <v>0</v>
      </c>
      <c r="M13" s="623">
        <f t="shared" ca="1" si="1"/>
        <v>0</v>
      </c>
      <c r="N13" s="623">
        <f t="shared" ca="1" si="1"/>
        <v>0</v>
      </c>
      <c r="O13" s="623">
        <f t="shared" ca="1" si="1"/>
        <v>0</v>
      </c>
      <c r="P13" s="623">
        <f t="shared" ca="1" si="1"/>
        <v>0</v>
      </c>
      <c r="Q13" s="623">
        <f t="shared" ca="1" si="1"/>
        <v>0</v>
      </c>
      <c r="R13" s="623">
        <f t="shared" ca="1" si="1"/>
        <v>0</v>
      </c>
      <c r="S13" s="623">
        <f t="shared" ca="1" si="1"/>
        <v>0</v>
      </c>
      <c r="T13" s="623">
        <f t="shared" ca="1" si="1"/>
        <v>0</v>
      </c>
      <c r="U13" s="623">
        <f t="shared" ca="1" si="1"/>
        <v>0</v>
      </c>
      <c r="V13" s="623">
        <f t="shared" ca="1" si="1"/>
        <v>0</v>
      </c>
      <c r="W13" s="623">
        <f t="shared" ca="1" si="1"/>
        <v>0</v>
      </c>
      <c r="X13" s="623">
        <f t="shared" ca="1" si="1"/>
        <v>0</v>
      </c>
      <c r="Y13" s="623">
        <f t="shared" ca="1" si="1"/>
        <v>0</v>
      </c>
    </row>
    <row r="14" spans="1:26" ht="15" customHeight="1" x14ac:dyDescent="0.2">
      <c r="A14" s="505" t="s">
        <v>536</v>
      </c>
      <c r="C14" s="540"/>
      <c r="D14" s="541" t="s">
        <v>763</v>
      </c>
      <c r="E14" s="624">
        <f ca="1">SUM(E$15:E$24)</f>
        <v>0</v>
      </c>
      <c r="F14" s="542">
        <f ca="1">SUM(F$15:F$24)</f>
        <v>0</v>
      </c>
      <c r="H14" s="624">
        <f t="shared" ref="H14:Y14" ca="1" si="2">SUM(H$15:H$24)</f>
        <v>0</v>
      </c>
      <c r="I14" s="624">
        <f t="shared" ca="1" si="2"/>
        <v>0</v>
      </c>
      <c r="J14" s="624">
        <f t="shared" ca="1" si="2"/>
        <v>0</v>
      </c>
      <c r="K14" s="624">
        <f t="shared" ca="1" si="2"/>
        <v>0</v>
      </c>
      <c r="L14" s="624">
        <f t="shared" ca="1" si="2"/>
        <v>0</v>
      </c>
      <c r="M14" s="624">
        <f t="shared" ca="1" si="2"/>
        <v>0</v>
      </c>
      <c r="N14" s="624">
        <f t="shared" ca="1" si="2"/>
        <v>0</v>
      </c>
      <c r="O14" s="624">
        <f t="shared" ca="1" si="2"/>
        <v>0</v>
      </c>
      <c r="P14" s="624">
        <f t="shared" ca="1" si="2"/>
        <v>0</v>
      </c>
      <c r="Q14" s="624">
        <f t="shared" ca="1" si="2"/>
        <v>0</v>
      </c>
      <c r="R14" s="624">
        <f t="shared" ca="1" si="2"/>
        <v>0</v>
      </c>
      <c r="S14" s="624">
        <f t="shared" ca="1" si="2"/>
        <v>0</v>
      </c>
      <c r="T14" s="624">
        <f t="shared" ca="1" si="2"/>
        <v>0</v>
      </c>
      <c r="U14" s="624">
        <f t="shared" ca="1" si="2"/>
        <v>0</v>
      </c>
      <c r="V14" s="624">
        <f t="shared" ca="1" si="2"/>
        <v>0</v>
      </c>
      <c r="W14" s="624">
        <f t="shared" ca="1" si="2"/>
        <v>0</v>
      </c>
      <c r="X14" s="624">
        <f t="shared" ca="1" si="2"/>
        <v>0</v>
      </c>
      <c r="Y14" s="624">
        <f t="shared" ca="1" si="2"/>
        <v>0</v>
      </c>
    </row>
    <row r="15" spans="1:26" x14ac:dyDescent="0.2">
      <c r="A15" s="505" t="str">
        <f t="shared" ref="A15:A23" si="3">IF(D15="","","F")</f>
        <v/>
      </c>
      <c r="B15" t="str">
        <f>IF(OR(C15=" ",D15=""),"",CONCATENATE(C15,". ",D15))</f>
        <v/>
      </c>
      <c r="C15" s="545" cm="1">
        <f t="array" ref="C15">IF(AdmLocal="Automática",1,0)</f>
        <v>0</v>
      </c>
      <c r="D15" s="625" t="str">
        <f>IF(C15=1,"Administração Local","")</f>
        <v/>
      </c>
      <c r="E15" s="626">
        <f ca="1">IF($F$15=0,0,IF(E13=1,$F$15-SUM($I$15:$Z$15),ROUND(SUM(OFFSET(E15,1,0):OFFSET(E$24,-1,0))/SUM(OFFSET($F15,1,0):OFFSET($F$24,-1,0))*$F$15,2)))</f>
        <v>0</v>
      </c>
      <c r="F15" s="546" cm="1">
        <f t="array" ref="F15">IF($C$15=0,0,ROUND(SUMPRODUCT((CÁLCULO!$M$15:$M$55=EVENTOS!$C15)*(ORÇAMENTO!$X$15:'ORÇAMENTO'!$X$55)),2))</f>
        <v>0</v>
      </c>
      <c r="G15" s="627"/>
      <c r="H15" s="626">
        <f ca="1">IF($F$15=0,0,IF(H13=1,$F$15-SUM($I$15:$Z$15),ROUND(SUM(OFFSET(H15,1,0):OFFSET(H$24,-1,0))/SUM(OFFSET($F15,1,0):OFFSET($F$24,-1,0))*$F$15,2)))</f>
        <v>0</v>
      </c>
      <c r="I15" s="626">
        <f ca="1">IF($F$15=0,0,IF(I13=1,$F$15-SUM($I$15:$Z$15),ROUND(SUM(OFFSET(I15,1,0):OFFSET(I$24,-1,0))/SUM(OFFSET($F15,1,0):OFFSET($F$24,-1,0))*$F$15,2)))</f>
        <v>0</v>
      </c>
      <c r="J15" s="626">
        <f ca="1">IF($F$15=0,0,IF(J13=1,$F$15-SUM($I$15:$Z$15),ROUND(SUM(OFFSET(J15,1,0):OFFSET(J$24,-1,0))/SUM(OFFSET($F15,1,0):OFFSET($F$24,-1,0))*$F$15,2)))</f>
        <v>0</v>
      </c>
      <c r="K15" s="626">
        <f ca="1">IF($F$15=0,0,IF(K13=1,$F$15-SUM($I$15:$Z$15),ROUND(SUM(OFFSET(K15,1,0):OFFSET(K$24,-1,0))/SUM(OFFSET($F15,1,0):OFFSET($F$24,-1,0))*$F$15,2)))</f>
        <v>0</v>
      </c>
      <c r="L15" s="626">
        <f ca="1">IF($F$15=0,0,IF(L13=1,$F$15-SUM($I$15:$Z$15),ROUND(SUM(OFFSET(L15,1,0):OFFSET(L$24,-1,0))/SUM(OFFSET($F15,1,0):OFFSET($F$24,-1,0))*$F$15,2)))</f>
        <v>0</v>
      </c>
      <c r="M15" s="626">
        <f ca="1">IF($F$15=0,0,IF(M13=1,$F$15-SUM($I$15:$Z$15),ROUND(SUM(OFFSET(M15,1,0):OFFSET(M$24,-1,0))/SUM(OFFSET($F15,1,0):OFFSET($F$24,-1,0))*$F$15,2)))</f>
        <v>0</v>
      </c>
      <c r="N15" s="626">
        <f ca="1">IF($F$15=0,0,IF(N13=1,$F$15-SUM($I$15:$Z$15),ROUND(SUM(OFFSET(N15,1,0):OFFSET(N$24,-1,0))/SUM(OFFSET($F15,1,0):OFFSET($F$24,-1,0))*$F$15,2)))</f>
        <v>0</v>
      </c>
      <c r="O15" s="626">
        <f ca="1">IF($F$15=0,0,IF(O13=1,$F$15-SUM($I$15:$Z$15),ROUND(SUM(OFFSET(O15,1,0):OFFSET(O$24,-1,0))/SUM(OFFSET($F15,1,0):OFFSET($F$24,-1,0))*$F$15,2)))</f>
        <v>0</v>
      </c>
      <c r="P15" s="626">
        <f ca="1">IF($F$15=0,0,IF(P13=1,$F$15-SUM($I$15:$Z$15),ROUND(SUM(OFFSET(P15,1,0):OFFSET(P$24,-1,0))/SUM(OFFSET($F15,1,0):OFFSET($F$24,-1,0))*$F$15,2)))</f>
        <v>0</v>
      </c>
      <c r="Q15" s="626">
        <f ca="1">IF($F$15=0,0,IF(Q13=1,$F$15-SUM($I$15:$Z$15),ROUND(SUM(OFFSET(Q15,1,0):OFFSET(Q$24,-1,0))/SUM(OFFSET($F15,1,0):OFFSET($F$24,-1,0))*$F$15,2)))</f>
        <v>0</v>
      </c>
      <c r="R15" s="626">
        <f ca="1">IF($F$15=0,0,IF(R13=1,$F$15-SUM($I$15:$Z$15),ROUND(SUM(OFFSET(R15,1,0):OFFSET(R$24,-1,0))/SUM(OFFSET($F15,1,0):OFFSET($F$24,-1,0))*$F$15,2)))</f>
        <v>0</v>
      </c>
      <c r="S15" s="626">
        <f ca="1">IF($F$15=0,0,IF(S13=1,$F$15-SUM($I$15:$Z$15),ROUND(SUM(OFFSET(S15,1,0):OFFSET(S$24,-1,0))/SUM(OFFSET($F15,1,0):OFFSET($F$24,-1,0))*$F$15,2)))</f>
        <v>0</v>
      </c>
      <c r="T15" s="626">
        <f ca="1">IF($F$15=0,0,IF(T13=1,$F$15-SUM($I$15:$Z$15),ROUND(SUM(OFFSET(T15,1,0):OFFSET(T$24,-1,0))/SUM(OFFSET($F15,1,0):OFFSET($F$24,-1,0))*$F$15,2)))</f>
        <v>0</v>
      </c>
      <c r="U15" s="626">
        <f ca="1">IF($F$15=0,0,IF(U13=1,$F$15-SUM($I$15:$Z$15),ROUND(SUM(OFFSET(U15,1,0):OFFSET(U$24,-1,0))/SUM(OFFSET($F15,1,0):OFFSET($F$24,-1,0))*$F$15,2)))</f>
        <v>0</v>
      </c>
      <c r="V15" s="626">
        <f ca="1">IF($F$15=0,0,IF(V13=1,$F$15-SUM($I$15:$Z$15),ROUND(SUM(OFFSET(V15,1,0):OFFSET(V$24,-1,0))/SUM(OFFSET($F15,1,0):OFFSET($F$24,-1,0))*$F$15,2)))</f>
        <v>0</v>
      </c>
      <c r="W15" s="626">
        <f ca="1">IF($F$15=0,0,IF(W13=1,$F$15-SUM($I$15:$Z$15),ROUND(SUM(OFFSET(W15,1,0):OFFSET(W$24,-1,0))/SUM(OFFSET($F15,1,0):OFFSET($F$24,-1,0))*$F$15,2)))</f>
        <v>0</v>
      </c>
      <c r="X15" s="626">
        <f ca="1">IF($F$15=0,0,IF(X13=1,$F$15-SUM($I$15:$Z$15),ROUND(SUM(OFFSET(X15,1,0):OFFSET(X$24,-1,0))/SUM(OFFSET($F15,1,0):OFFSET($F$24,-1,0))*$F$15,2)))</f>
        <v>0</v>
      </c>
      <c r="Y15" s="626">
        <f ca="1">IF($F$15=0,0,IF(Y13=1,$F$15-SUM($I$15:$Z$15),ROUND(SUM(OFFSET(Y15,1,0):OFFSET(Y$24,-1,0))/SUM(OFFSET($F15,1,0):OFFSET($F$24,-1,0))*$F$15,2)))</f>
        <v>0</v>
      </c>
    </row>
    <row r="16" spans="1:26" x14ac:dyDescent="0.2">
      <c r="A16" s="505" t="str">
        <f t="shared" si="3"/>
        <v/>
      </c>
      <c r="B16" t="str">
        <f t="shared" ref="B16:B23" ca="1" si="4">IF(OR(C16=" ",D16=""),"",CONCATENATE(C16,". ",D16))</f>
        <v/>
      </c>
      <c r="C16" s="181" cm="1">
        <f t="array" aca="1" ref="C16" ca="1">IF(OR(ROW(C16)=ROW(EVENTOS.firstrow)+1,AND(OFFSET(C16,-1,0)&lt;&gt;" ",OFFSET(C16,-1,1)&lt;&gt;"")),OFFSET(C16,-1,0)+1," ")</f>
        <v>1</v>
      </c>
      <c r="D16" s="495"/>
      <c r="E16" s="619" cm="1">
        <f t="array" aca="1" ref="E16" ca="1">IF(AUTOEVENTO="Manual",ROUND(SUMPRODUCT((CÁLCULO!$M$15:$M$55=EVENTOS!$C16)*(OFFSET(CÁLCULO!$AA$15:$AA$55,0,E$13))),2),0)</f>
        <v>0</v>
      </c>
      <c r="F16" s="182">
        <f ca="1">IF(AUTOEVENTO="Manual",ROUND(SUMPRODUCT((CÁLCULO!$M$15:$M$55=EVENTOS!$C16)*(OFFSET(CÁLCULO!$AA$15,0,1):OFFSET(CÁLCULO!$AL$55,0,-1))),2),0)</f>
        <v>0</v>
      </c>
      <c r="G16" s="620" t="str">
        <f t="shared" ref="G16:G23" ca="1" si="5">IF(AND(D16=0,F16&gt;0),"NOME",
 IF(AND(D16&lt;&gt;0,$F$14&gt;0,F16=0),"VALOR",
 IF(AND(Import.TipoArredondamento="TransfereGOV",$A16="F",LEN(D16)&gt;100),"Nome &gt;100","")))</f>
        <v/>
      </c>
      <c r="H16" s="619" cm="1">
        <f t="array" aca="1" ref="H16" ca="1">IF(AUTOEVENTO="Manual",ROUND(SUMPRODUCT((CÁLCULO!$M$15:$M$55=EVENTOS!$C16)*(OFFSET(CÁLCULO!$AA$15:$AA$55,0,H$13))),2),0)</f>
        <v>0</v>
      </c>
      <c r="I16" s="619" cm="1">
        <f t="array" aca="1" ref="I16" ca="1">IF(AUTOEVENTO="Manual",ROUND(SUMPRODUCT((CÁLCULO!$M$15:$M$55=EVENTOS!$C16)*(OFFSET(CÁLCULO!$AA$15:$AA$55,0,I$13))),2),0)</f>
        <v>0</v>
      </c>
      <c r="J16" s="619" cm="1">
        <f t="array" aca="1" ref="J16" ca="1">IF(AUTOEVENTO="Manual",ROUND(SUMPRODUCT((CÁLCULO!$M$15:$M$55=EVENTOS!$C16)*(OFFSET(CÁLCULO!$AA$15:$AA$55,0,J$13))),2),0)</f>
        <v>0</v>
      </c>
      <c r="K16" s="619" cm="1">
        <f t="array" aca="1" ref="K16" ca="1">IF(AUTOEVENTO="Manual",ROUND(SUMPRODUCT((CÁLCULO!$M$15:$M$55=EVENTOS!$C16)*(OFFSET(CÁLCULO!$AA$15:$AA$55,0,K$13))),2),0)</f>
        <v>0</v>
      </c>
      <c r="L16" s="619" cm="1">
        <f t="array" aca="1" ref="L16" ca="1">IF(AUTOEVENTO="Manual",ROUND(SUMPRODUCT((CÁLCULO!$M$15:$M$55=EVENTOS!$C16)*(OFFSET(CÁLCULO!$AA$15:$AA$55,0,L$13))),2),0)</f>
        <v>0</v>
      </c>
      <c r="M16" s="619" cm="1">
        <f t="array" aca="1" ref="M16" ca="1">IF(AUTOEVENTO="Manual",ROUND(SUMPRODUCT((CÁLCULO!$M$15:$M$55=EVENTOS!$C16)*(OFFSET(CÁLCULO!$AA$15:$AA$55,0,M$13))),2),0)</f>
        <v>0</v>
      </c>
      <c r="N16" s="619" cm="1">
        <f t="array" aca="1" ref="N16" ca="1">IF(AUTOEVENTO="Manual",ROUND(SUMPRODUCT((CÁLCULO!$M$15:$M$55=EVENTOS!$C16)*(OFFSET(CÁLCULO!$AA$15:$AA$55,0,N$13))),2),0)</f>
        <v>0</v>
      </c>
      <c r="O16" s="619" cm="1">
        <f t="array" aca="1" ref="O16" ca="1">IF(AUTOEVENTO="Manual",ROUND(SUMPRODUCT((CÁLCULO!$M$15:$M$55=EVENTOS!$C16)*(OFFSET(CÁLCULO!$AA$15:$AA$55,0,O$13))),2),0)</f>
        <v>0</v>
      </c>
      <c r="P16" s="619" cm="1">
        <f t="array" aca="1" ref="P16" ca="1">IF(AUTOEVENTO="Manual",ROUND(SUMPRODUCT((CÁLCULO!$M$15:$M$55=EVENTOS!$C16)*(OFFSET(CÁLCULO!$AA$15:$AA$55,0,P$13))),2),0)</f>
        <v>0</v>
      </c>
      <c r="Q16" s="619" cm="1">
        <f t="array" aca="1" ref="Q16" ca="1">IF(AUTOEVENTO="Manual",ROUND(SUMPRODUCT((CÁLCULO!$M$15:$M$55=EVENTOS!$C16)*(OFFSET(CÁLCULO!$AA$15:$AA$55,0,Q$13))),2),0)</f>
        <v>0</v>
      </c>
      <c r="R16" s="619" cm="1">
        <f t="array" aca="1" ref="R16" ca="1">IF(AUTOEVENTO="Manual",ROUND(SUMPRODUCT((CÁLCULO!$M$15:$M$55=EVENTOS!$C16)*(OFFSET(CÁLCULO!$AA$15:$AA$55,0,R$13))),2),0)</f>
        <v>0</v>
      </c>
      <c r="S16" s="619" cm="1">
        <f t="array" aca="1" ref="S16" ca="1">IF(AUTOEVENTO="Manual",ROUND(SUMPRODUCT((CÁLCULO!$M$15:$M$55=EVENTOS!$C16)*(OFFSET(CÁLCULO!$AA$15:$AA$55,0,S$13))),2),0)</f>
        <v>0</v>
      </c>
      <c r="T16" s="619" cm="1">
        <f t="array" aca="1" ref="T16" ca="1">IF(AUTOEVENTO="Manual",ROUND(SUMPRODUCT((CÁLCULO!$M$15:$M$55=EVENTOS!$C16)*(OFFSET(CÁLCULO!$AA$15:$AA$55,0,T$13))),2),0)</f>
        <v>0</v>
      </c>
      <c r="U16" s="619" cm="1">
        <f t="array" aca="1" ref="U16" ca="1">IF(AUTOEVENTO="Manual",ROUND(SUMPRODUCT((CÁLCULO!$M$15:$M$55=EVENTOS!$C16)*(OFFSET(CÁLCULO!$AA$15:$AA$55,0,U$13))),2),0)</f>
        <v>0</v>
      </c>
      <c r="V16" s="619" cm="1">
        <f t="array" aca="1" ref="V16" ca="1">IF(AUTOEVENTO="Manual",ROUND(SUMPRODUCT((CÁLCULO!$M$15:$M$55=EVENTOS!$C16)*(OFFSET(CÁLCULO!$AA$15:$AA$55,0,V$13))),2),0)</f>
        <v>0</v>
      </c>
      <c r="W16" s="619" cm="1">
        <f t="array" aca="1" ref="W16" ca="1">IF(AUTOEVENTO="Manual",ROUND(SUMPRODUCT((CÁLCULO!$M$15:$M$55=EVENTOS!$C16)*(OFFSET(CÁLCULO!$AA$15:$AA$55,0,W$13))),2),0)</f>
        <v>0</v>
      </c>
      <c r="X16" s="619" cm="1">
        <f t="array" aca="1" ref="X16" ca="1">IF(AUTOEVENTO="Manual",ROUND(SUMPRODUCT((CÁLCULO!$M$15:$M$55=EVENTOS!$C16)*(OFFSET(CÁLCULO!$AA$15:$AA$55,0,X$13))),2),0)</f>
        <v>0</v>
      </c>
      <c r="Y16" s="619" cm="1">
        <f t="array" aca="1" ref="Y16" ca="1">IF(AUTOEVENTO="Manual",ROUND(SUMPRODUCT((CÁLCULO!$M$15:$M$55=EVENTOS!$C16)*(OFFSET(CÁLCULO!$AA$15:$AA$55,0,Y$13))),2),0)</f>
        <v>0</v>
      </c>
    </row>
    <row r="17" spans="1:25" x14ac:dyDescent="0.2">
      <c r="A17" s="505" t="str">
        <f t="shared" si="3"/>
        <v/>
      </c>
      <c r="B17" t="str">
        <f t="shared" ca="1" si="4"/>
        <v/>
      </c>
      <c r="C17" s="181" t="str" cm="1">
        <f t="array" aca="1" ref="C17" ca="1">IF(OR(ROW(C17)=ROW(EVENTOS.firstrow)+1,AND(OFFSET(C17,-1,0)&lt;&gt;" ",OFFSET(C17,-1,1)&lt;&gt;"")),OFFSET(C17,-1,0)+1," ")</f>
        <v xml:space="preserve"> </v>
      </c>
      <c r="D17" s="495"/>
      <c r="E17" s="619" cm="1">
        <f t="array" aca="1" ref="E17" ca="1">IF(AUTOEVENTO="Manual",ROUND(SUMPRODUCT((CÁLCULO!$M$15:$M$55=EVENTOS!$C17)*(OFFSET(CÁLCULO!$AA$15:$AA$55,0,E$13))),2),0)</f>
        <v>0</v>
      </c>
      <c r="F17" s="182">
        <f ca="1">IF(AUTOEVENTO="Manual",ROUND(SUMPRODUCT((CÁLCULO!$M$15:$M$55=EVENTOS!$C17)*(OFFSET(CÁLCULO!$AA$15,0,1):OFFSET(CÁLCULO!$AL$55,0,-1))),2),0)</f>
        <v>0</v>
      </c>
      <c r="G17" s="620" t="str">
        <f t="shared" ca="1" si="5"/>
        <v/>
      </c>
      <c r="H17" s="619" cm="1">
        <f t="array" aca="1" ref="H17" ca="1">IF(AUTOEVENTO="Manual",ROUND(SUMPRODUCT((CÁLCULO!$M$15:$M$55=EVENTOS!$C17)*(OFFSET(CÁLCULO!$AA$15:$AA$55,0,H$13))),2),0)</f>
        <v>0</v>
      </c>
      <c r="I17" s="619" cm="1">
        <f t="array" aca="1" ref="I17" ca="1">IF(AUTOEVENTO="Manual",ROUND(SUMPRODUCT((CÁLCULO!$M$15:$M$55=EVENTOS!$C17)*(OFFSET(CÁLCULO!$AA$15:$AA$55,0,I$13))),2),0)</f>
        <v>0</v>
      </c>
      <c r="J17" s="619" cm="1">
        <f t="array" aca="1" ref="J17" ca="1">IF(AUTOEVENTO="Manual",ROUND(SUMPRODUCT((CÁLCULO!$M$15:$M$55=EVENTOS!$C17)*(OFFSET(CÁLCULO!$AA$15:$AA$55,0,J$13))),2),0)</f>
        <v>0</v>
      </c>
      <c r="K17" s="619" cm="1">
        <f t="array" aca="1" ref="K17" ca="1">IF(AUTOEVENTO="Manual",ROUND(SUMPRODUCT((CÁLCULO!$M$15:$M$55=EVENTOS!$C17)*(OFFSET(CÁLCULO!$AA$15:$AA$55,0,K$13))),2),0)</f>
        <v>0</v>
      </c>
      <c r="L17" s="619" cm="1">
        <f t="array" aca="1" ref="L17" ca="1">IF(AUTOEVENTO="Manual",ROUND(SUMPRODUCT((CÁLCULO!$M$15:$M$55=EVENTOS!$C17)*(OFFSET(CÁLCULO!$AA$15:$AA$55,0,L$13))),2),0)</f>
        <v>0</v>
      </c>
      <c r="M17" s="619" cm="1">
        <f t="array" aca="1" ref="M17" ca="1">IF(AUTOEVENTO="Manual",ROUND(SUMPRODUCT((CÁLCULO!$M$15:$M$55=EVENTOS!$C17)*(OFFSET(CÁLCULO!$AA$15:$AA$55,0,M$13))),2),0)</f>
        <v>0</v>
      </c>
      <c r="N17" s="619" cm="1">
        <f t="array" aca="1" ref="N17" ca="1">IF(AUTOEVENTO="Manual",ROUND(SUMPRODUCT((CÁLCULO!$M$15:$M$55=EVENTOS!$C17)*(OFFSET(CÁLCULO!$AA$15:$AA$55,0,N$13))),2),0)</f>
        <v>0</v>
      </c>
      <c r="O17" s="619" cm="1">
        <f t="array" aca="1" ref="O17" ca="1">IF(AUTOEVENTO="Manual",ROUND(SUMPRODUCT((CÁLCULO!$M$15:$M$55=EVENTOS!$C17)*(OFFSET(CÁLCULO!$AA$15:$AA$55,0,O$13))),2),0)</f>
        <v>0</v>
      </c>
      <c r="P17" s="619" cm="1">
        <f t="array" aca="1" ref="P17" ca="1">IF(AUTOEVENTO="Manual",ROUND(SUMPRODUCT((CÁLCULO!$M$15:$M$55=EVENTOS!$C17)*(OFFSET(CÁLCULO!$AA$15:$AA$55,0,P$13))),2),0)</f>
        <v>0</v>
      </c>
      <c r="Q17" s="619" cm="1">
        <f t="array" aca="1" ref="Q17" ca="1">IF(AUTOEVENTO="Manual",ROUND(SUMPRODUCT((CÁLCULO!$M$15:$M$55=EVENTOS!$C17)*(OFFSET(CÁLCULO!$AA$15:$AA$55,0,Q$13))),2),0)</f>
        <v>0</v>
      </c>
      <c r="R17" s="619" cm="1">
        <f t="array" aca="1" ref="R17" ca="1">IF(AUTOEVENTO="Manual",ROUND(SUMPRODUCT((CÁLCULO!$M$15:$M$55=EVENTOS!$C17)*(OFFSET(CÁLCULO!$AA$15:$AA$55,0,R$13))),2),0)</f>
        <v>0</v>
      </c>
      <c r="S17" s="619" cm="1">
        <f t="array" aca="1" ref="S17" ca="1">IF(AUTOEVENTO="Manual",ROUND(SUMPRODUCT((CÁLCULO!$M$15:$M$55=EVENTOS!$C17)*(OFFSET(CÁLCULO!$AA$15:$AA$55,0,S$13))),2),0)</f>
        <v>0</v>
      </c>
      <c r="T17" s="619" cm="1">
        <f t="array" aca="1" ref="T17" ca="1">IF(AUTOEVENTO="Manual",ROUND(SUMPRODUCT((CÁLCULO!$M$15:$M$55=EVENTOS!$C17)*(OFFSET(CÁLCULO!$AA$15:$AA$55,0,T$13))),2),0)</f>
        <v>0</v>
      </c>
      <c r="U17" s="619" cm="1">
        <f t="array" aca="1" ref="U17" ca="1">IF(AUTOEVENTO="Manual",ROUND(SUMPRODUCT((CÁLCULO!$M$15:$M$55=EVENTOS!$C17)*(OFFSET(CÁLCULO!$AA$15:$AA$55,0,U$13))),2),0)</f>
        <v>0</v>
      </c>
      <c r="V17" s="619" cm="1">
        <f t="array" aca="1" ref="V17" ca="1">IF(AUTOEVENTO="Manual",ROUND(SUMPRODUCT((CÁLCULO!$M$15:$M$55=EVENTOS!$C17)*(OFFSET(CÁLCULO!$AA$15:$AA$55,0,V$13))),2),0)</f>
        <v>0</v>
      </c>
      <c r="W17" s="619" cm="1">
        <f t="array" aca="1" ref="W17" ca="1">IF(AUTOEVENTO="Manual",ROUND(SUMPRODUCT((CÁLCULO!$M$15:$M$55=EVENTOS!$C17)*(OFFSET(CÁLCULO!$AA$15:$AA$55,0,W$13))),2),0)</f>
        <v>0</v>
      </c>
      <c r="X17" s="619" cm="1">
        <f t="array" aca="1" ref="X17" ca="1">IF(AUTOEVENTO="Manual",ROUND(SUMPRODUCT((CÁLCULO!$M$15:$M$55=EVENTOS!$C17)*(OFFSET(CÁLCULO!$AA$15:$AA$55,0,X$13))),2),0)</f>
        <v>0</v>
      </c>
      <c r="Y17" s="619" cm="1">
        <f t="array" aca="1" ref="Y17" ca="1">IF(AUTOEVENTO="Manual",ROUND(SUMPRODUCT((CÁLCULO!$M$15:$M$55=EVENTOS!$C17)*(OFFSET(CÁLCULO!$AA$15:$AA$55,0,Y$13))),2),0)</f>
        <v>0</v>
      </c>
    </row>
    <row r="18" spans="1:25" x14ac:dyDescent="0.2">
      <c r="A18" s="505" t="str">
        <f t="shared" si="3"/>
        <v/>
      </c>
      <c r="B18" t="str">
        <f t="shared" ca="1" si="4"/>
        <v/>
      </c>
      <c r="C18" s="181" t="str" cm="1">
        <f t="array" aca="1" ref="C18" ca="1">IF(OR(ROW(C18)=ROW(EVENTOS.firstrow)+1,AND(OFFSET(C18,-1,0)&lt;&gt;" ",OFFSET(C18,-1,1)&lt;&gt;"")),OFFSET(C18,-1,0)+1," ")</f>
        <v xml:space="preserve"> </v>
      </c>
      <c r="D18" s="495"/>
      <c r="E18" s="619" cm="1">
        <f t="array" aca="1" ref="E18" ca="1">IF(AUTOEVENTO="Manual",ROUND(SUMPRODUCT((CÁLCULO!$M$15:$M$55=EVENTOS!$C18)*(OFFSET(CÁLCULO!$AA$15:$AA$55,0,E$13))),2),0)</f>
        <v>0</v>
      </c>
      <c r="F18" s="182">
        <f ca="1">IF(AUTOEVENTO="Manual",ROUND(SUMPRODUCT((CÁLCULO!$M$15:$M$55=EVENTOS!$C18)*(OFFSET(CÁLCULO!$AA$15,0,1):OFFSET(CÁLCULO!$AL$55,0,-1))),2),0)</f>
        <v>0</v>
      </c>
      <c r="G18" s="620" t="str">
        <f t="shared" ca="1" si="5"/>
        <v/>
      </c>
      <c r="H18" s="619" cm="1">
        <f t="array" aca="1" ref="H18" ca="1">IF(AUTOEVENTO="Manual",ROUND(SUMPRODUCT((CÁLCULO!$M$15:$M$55=EVENTOS!$C18)*(OFFSET(CÁLCULO!$AA$15:$AA$55,0,H$13))),2),0)</f>
        <v>0</v>
      </c>
      <c r="I18" s="619" cm="1">
        <f t="array" aca="1" ref="I18" ca="1">IF(AUTOEVENTO="Manual",ROUND(SUMPRODUCT((CÁLCULO!$M$15:$M$55=EVENTOS!$C18)*(OFFSET(CÁLCULO!$AA$15:$AA$55,0,I$13))),2),0)</f>
        <v>0</v>
      </c>
      <c r="J18" s="619" cm="1">
        <f t="array" aca="1" ref="J18" ca="1">IF(AUTOEVENTO="Manual",ROUND(SUMPRODUCT((CÁLCULO!$M$15:$M$55=EVENTOS!$C18)*(OFFSET(CÁLCULO!$AA$15:$AA$55,0,J$13))),2),0)</f>
        <v>0</v>
      </c>
      <c r="K18" s="619" cm="1">
        <f t="array" aca="1" ref="K18" ca="1">IF(AUTOEVENTO="Manual",ROUND(SUMPRODUCT((CÁLCULO!$M$15:$M$55=EVENTOS!$C18)*(OFFSET(CÁLCULO!$AA$15:$AA$55,0,K$13))),2),0)</f>
        <v>0</v>
      </c>
      <c r="L18" s="619" cm="1">
        <f t="array" aca="1" ref="L18" ca="1">IF(AUTOEVENTO="Manual",ROUND(SUMPRODUCT((CÁLCULO!$M$15:$M$55=EVENTOS!$C18)*(OFFSET(CÁLCULO!$AA$15:$AA$55,0,L$13))),2),0)</f>
        <v>0</v>
      </c>
      <c r="M18" s="619" cm="1">
        <f t="array" aca="1" ref="M18" ca="1">IF(AUTOEVENTO="Manual",ROUND(SUMPRODUCT((CÁLCULO!$M$15:$M$55=EVENTOS!$C18)*(OFFSET(CÁLCULO!$AA$15:$AA$55,0,M$13))),2),0)</f>
        <v>0</v>
      </c>
      <c r="N18" s="619" cm="1">
        <f t="array" aca="1" ref="N18" ca="1">IF(AUTOEVENTO="Manual",ROUND(SUMPRODUCT((CÁLCULO!$M$15:$M$55=EVENTOS!$C18)*(OFFSET(CÁLCULO!$AA$15:$AA$55,0,N$13))),2),0)</f>
        <v>0</v>
      </c>
      <c r="O18" s="619" cm="1">
        <f t="array" aca="1" ref="O18" ca="1">IF(AUTOEVENTO="Manual",ROUND(SUMPRODUCT((CÁLCULO!$M$15:$M$55=EVENTOS!$C18)*(OFFSET(CÁLCULO!$AA$15:$AA$55,0,O$13))),2),0)</f>
        <v>0</v>
      </c>
      <c r="P18" s="619" cm="1">
        <f t="array" aca="1" ref="P18" ca="1">IF(AUTOEVENTO="Manual",ROUND(SUMPRODUCT((CÁLCULO!$M$15:$M$55=EVENTOS!$C18)*(OFFSET(CÁLCULO!$AA$15:$AA$55,0,P$13))),2),0)</f>
        <v>0</v>
      </c>
      <c r="Q18" s="619" cm="1">
        <f t="array" aca="1" ref="Q18" ca="1">IF(AUTOEVENTO="Manual",ROUND(SUMPRODUCT((CÁLCULO!$M$15:$M$55=EVENTOS!$C18)*(OFFSET(CÁLCULO!$AA$15:$AA$55,0,Q$13))),2),0)</f>
        <v>0</v>
      </c>
      <c r="R18" s="619" cm="1">
        <f t="array" aca="1" ref="R18" ca="1">IF(AUTOEVENTO="Manual",ROUND(SUMPRODUCT((CÁLCULO!$M$15:$M$55=EVENTOS!$C18)*(OFFSET(CÁLCULO!$AA$15:$AA$55,0,R$13))),2),0)</f>
        <v>0</v>
      </c>
      <c r="S18" s="619" cm="1">
        <f t="array" aca="1" ref="S18" ca="1">IF(AUTOEVENTO="Manual",ROUND(SUMPRODUCT((CÁLCULO!$M$15:$M$55=EVENTOS!$C18)*(OFFSET(CÁLCULO!$AA$15:$AA$55,0,S$13))),2),0)</f>
        <v>0</v>
      </c>
      <c r="T18" s="619" cm="1">
        <f t="array" aca="1" ref="T18" ca="1">IF(AUTOEVENTO="Manual",ROUND(SUMPRODUCT((CÁLCULO!$M$15:$M$55=EVENTOS!$C18)*(OFFSET(CÁLCULO!$AA$15:$AA$55,0,T$13))),2),0)</f>
        <v>0</v>
      </c>
      <c r="U18" s="619" cm="1">
        <f t="array" aca="1" ref="U18" ca="1">IF(AUTOEVENTO="Manual",ROUND(SUMPRODUCT((CÁLCULO!$M$15:$M$55=EVENTOS!$C18)*(OFFSET(CÁLCULO!$AA$15:$AA$55,0,U$13))),2),0)</f>
        <v>0</v>
      </c>
      <c r="V18" s="619" cm="1">
        <f t="array" aca="1" ref="V18" ca="1">IF(AUTOEVENTO="Manual",ROUND(SUMPRODUCT((CÁLCULO!$M$15:$M$55=EVENTOS!$C18)*(OFFSET(CÁLCULO!$AA$15:$AA$55,0,V$13))),2),0)</f>
        <v>0</v>
      </c>
      <c r="W18" s="619" cm="1">
        <f t="array" aca="1" ref="W18" ca="1">IF(AUTOEVENTO="Manual",ROUND(SUMPRODUCT((CÁLCULO!$M$15:$M$55=EVENTOS!$C18)*(OFFSET(CÁLCULO!$AA$15:$AA$55,0,W$13))),2),0)</f>
        <v>0</v>
      </c>
      <c r="X18" s="619" cm="1">
        <f t="array" aca="1" ref="X18" ca="1">IF(AUTOEVENTO="Manual",ROUND(SUMPRODUCT((CÁLCULO!$M$15:$M$55=EVENTOS!$C18)*(OFFSET(CÁLCULO!$AA$15:$AA$55,0,X$13))),2),0)</f>
        <v>0</v>
      </c>
      <c r="Y18" s="619" cm="1">
        <f t="array" aca="1" ref="Y18" ca="1">IF(AUTOEVENTO="Manual",ROUND(SUMPRODUCT((CÁLCULO!$M$15:$M$55=EVENTOS!$C18)*(OFFSET(CÁLCULO!$AA$15:$AA$55,0,Y$13))),2),0)</f>
        <v>0</v>
      </c>
    </row>
    <row r="19" spans="1:25" x14ac:dyDescent="0.2">
      <c r="A19" s="505" t="str">
        <f t="shared" si="3"/>
        <v/>
      </c>
      <c r="B19" t="str">
        <f t="shared" ca="1" si="4"/>
        <v/>
      </c>
      <c r="C19" s="181" t="str" cm="1">
        <f t="array" aca="1" ref="C19" ca="1">IF(OR(ROW(C19)=ROW(EVENTOS.firstrow)+1,AND(OFFSET(C19,-1,0)&lt;&gt;" ",OFFSET(C19,-1,1)&lt;&gt;"")),OFFSET(C19,-1,0)+1," ")</f>
        <v xml:space="preserve"> </v>
      </c>
      <c r="D19" s="495"/>
      <c r="E19" s="619" cm="1">
        <f t="array" aca="1" ref="E19" ca="1">IF(AUTOEVENTO="Manual",ROUND(SUMPRODUCT((CÁLCULO!$M$15:$M$55=EVENTOS!$C19)*(OFFSET(CÁLCULO!$AA$15:$AA$55,0,E$13))),2),0)</f>
        <v>0</v>
      </c>
      <c r="F19" s="182">
        <f ca="1">IF(AUTOEVENTO="Manual",ROUND(SUMPRODUCT((CÁLCULO!$M$15:$M$55=EVENTOS!$C19)*(OFFSET(CÁLCULO!$AA$15,0,1):OFFSET(CÁLCULO!$AL$55,0,-1))),2),0)</f>
        <v>0</v>
      </c>
      <c r="G19" s="620" t="str">
        <f t="shared" ca="1" si="5"/>
        <v/>
      </c>
      <c r="H19" s="619" cm="1">
        <f t="array" aca="1" ref="H19" ca="1">IF(AUTOEVENTO="Manual",ROUND(SUMPRODUCT((CÁLCULO!$M$15:$M$55=EVENTOS!$C19)*(OFFSET(CÁLCULO!$AA$15:$AA$55,0,H$13))),2),0)</f>
        <v>0</v>
      </c>
      <c r="I19" s="619" cm="1">
        <f t="array" aca="1" ref="I19" ca="1">IF(AUTOEVENTO="Manual",ROUND(SUMPRODUCT((CÁLCULO!$M$15:$M$55=EVENTOS!$C19)*(OFFSET(CÁLCULO!$AA$15:$AA$55,0,I$13))),2),0)</f>
        <v>0</v>
      </c>
      <c r="J19" s="619" cm="1">
        <f t="array" aca="1" ref="J19" ca="1">IF(AUTOEVENTO="Manual",ROUND(SUMPRODUCT((CÁLCULO!$M$15:$M$55=EVENTOS!$C19)*(OFFSET(CÁLCULO!$AA$15:$AA$55,0,J$13))),2),0)</f>
        <v>0</v>
      </c>
      <c r="K19" s="619" cm="1">
        <f t="array" aca="1" ref="K19" ca="1">IF(AUTOEVENTO="Manual",ROUND(SUMPRODUCT((CÁLCULO!$M$15:$M$55=EVENTOS!$C19)*(OFFSET(CÁLCULO!$AA$15:$AA$55,0,K$13))),2),0)</f>
        <v>0</v>
      </c>
      <c r="L19" s="619" cm="1">
        <f t="array" aca="1" ref="L19" ca="1">IF(AUTOEVENTO="Manual",ROUND(SUMPRODUCT((CÁLCULO!$M$15:$M$55=EVENTOS!$C19)*(OFFSET(CÁLCULO!$AA$15:$AA$55,0,L$13))),2),0)</f>
        <v>0</v>
      </c>
      <c r="M19" s="619" cm="1">
        <f t="array" aca="1" ref="M19" ca="1">IF(AUTOEVENTO="Manual",ROUND(SUMPRODUCT((CÁLCULO!$M$15:$M$55=EVENTOS!$C19)*(OFFSET(CÁLCULO!$AA$15:$AA$55,0,M$13))),2),0)</f>
        <v>0</v>
      </c>
      <c r="N19" s="619" cm="1">
        <f t="array" aca="1" ref="N19" ca="1">IF(AUTOEVENTO="Manual",ROUND(SUMPRODUCT((CÁLCULO!$M$15:$M$55=EVENTOS!$C19)*(OFFSET(CÁLCULO!$AA$15:$AA$55,0,N$13))),2),0)</f>
        <v>0</v>
      </c>
      <c r="O19" s="619" cm="1">
        <f t="array" aca="1" ref="O19" ca="1">IF(AUTOEVENTO="Manual",ROUND(SUMPRODUCT((CÁLCULO!$M$15:$M$55=EVENTOS!$C19)*(OFFSET(CÁLCULO!$AA$15:$AA$55,0,O$13))),2),0)</f>
        <v>0</v>
      </c>
      <c r="P19" s="619" cm="1">
        <f t="array" aca="1" ref="P19" ca="1">IF(AUTOEVENTO="Manual",ROUND(SUMPRODUCT((CÁLCULO!$M$15:$M$55=EVENTOS!$C19)*(OFFSET(CÁLCULO!$AA$15:$AA$55,0,P$13))),2),0)</f>
        <v>0</v>
      </c>
      <c r="Q19" s="619" cm="1">
        <f t="array" aca="1" ref="Q19" ca="1">IF(AUTOEVENTO="Manual",ROUND(SUMPRODUCT((CÁLCULO!$M$15:$M$55=EVENTOS!$C19)*(OFFSET(CÁLCULO!$AA$15:$AA$55,0,Q$13))),2),0)</f>
        <v>0</v>
      </c>
      <c r="R19" s="619" cm="1">
        <f t="array" aca="1" ref="R19" ca="1">IF(AUTOEVENTO="Manual",ROUND(SUMPRODUCT((CÁLCULO!$M$15:$M$55=EVENTOS!$C19)*(OFFSET(CÁLCULO!$AA$15:$AA$55,0,R$13))),2),0)</f>
        <v>0</v>
      </c>
      <c r="S19" s="619" cm="1">
        <f t="array" aca="1" ref="S19" ca="1">IF(AUTOEVENTO="Manual",ROUND(SUMPRODUCT((CÁLCULO!$M$15:$M$55=EVENTOS!$C19)*(OFFSET(CÁLCULO!$AA$15:$AA$55,0,S$13))),2),0)</f>
        <v>0</v>
      </c>
      <c r="T19" s="619" cm="1">
        <f t="array" aca="1" ref="T19" ca="1">IF(AUTOEVENTO="Manual",ROUND(SUMPRODUCT((CÁLCULO!$M$15:$M$55=EVENTOS!$C19)*(OFFSET(CÁLCULO!$AA$15:$AA$55,0,T$13))),2),0)</f>
        <v>0</v>
      </c>
      <c r="U19" s="619" cm="1">
        <f t="array" aca="1" ref="U19" ca="1">IF(AUTOEVENTO="Manual",ROUND(SUMPRODUCT((CÁLCULO!$M$15:$M$55=EVENTOS!$C19)*(OFFSET(CÁLCULO!$AA$15:$AA$55,0,U$13))),2),0)</f>
        <v>0</v>
      </c>
      <c r="V19" s="619" cm="1">
        <f t="array" aca="1" ref="V19" ca="1">IF(AUTOEVENTO="Manual",ROUND(SUMPRODUCT((CÁLCULO!$M$15:$M$55=EVENTOS!$C19)*(OFFSET(CÁLCULO!$AA$15:$AA$55,0,V$13))),2),0)</f>
        <v>0</v>
      </c>
      <c r="W19" s="619" cm="1">
        <f t="array" aca="1" ref="W19" ca="1">IF(AUTOEVENTO="Manual",ROUND(SUMPRODUCT((CÁLCULO!$M$15:$M$55=EVENTOS!$C19)*(OFFSET(CÁLCULO!$AA$15:$AA$55,0,W$13))),2),0)</f>
        <v>0</v>
      </c>
      <c r="X19" s="619" cm="1">
        <f t="array" aca="1" ref="X19" ca="1">IF(AUTOEVENTO="Manual",ROUND(SUMPRODUCT((CÁLCULO!$M$15:$M$55=EVENTOS!$C19)*(OFFSET(CÁLCULO!$AA$15:$AA$55,0,X$13))),2),0)</f>
        <v>0</v>
      </c>
      <c r="Y19" s="619" cm="1">
        <f t="array" aca="1" ref="Y19" ca="1">IF(AUTOEVENTO="Manual",ROUND(SUMPRODUCT((CÁLCULO!$M$15:$M$55=EVENTOS!$C19)*(OFFSET(CÁLCULO!$AA$15:$AA$55,0,Y$13))),2),0)</f>
        <v>0</v>
      </c>
    </row>
    <row r="20" spans="1:25" x14ac:dyDescent="0.2">
      <c r="A20" s="505" t="str">
        <f t="shared" si="3"/>
        <v/>
      </c>
      <c r="B20" t="str">
        <f t="shared" ca="1" si="4"/>
        <v/>
      </c>
      <c r="C20" s="181" t="str" cm="1">
        <f t="array" aca="1" ref="C20" ca="1">IF(OR(ROW(C20)=ROW(EVENTOS.firstrow)+1,AND(OFFSET(C20,-1,0)&lt;&gt;" ",OFFSET(C20,-1,1)&lt;&gt;"")),OFFSET(C20,-1,0)+1," ")</f>
        <v xml:space="preserve"> </v>
      </c>
      <c r="D20" s="495"/>
      <c r="E20" s="619" cm="1">
        <f t="array" aca="1" ref="E20" ca="1">IF(AUTOEVENTO="Manual",ROUND(SUMPRODUCT((CÁLCULO!$M$15:$M$55=EVENTOS!$C20)*(OFFSET(CÁLCULO!$AA$15:$AA$55,0,E$13))),2),0)</f>
        <v>0</v>
      </c>
      <c r="F20" s="182">
        <f ca="1">IF(AUTOEVENTO="Manual",ROUND(SUMPRODUCT((CÁLCULO!$M$15:$M$55=EVENTOS!$C20)*(OFFSET(CÁLCULO!$AA$15,0,1):OFFSET(CÁLCULO!$AL$55,0,-1))),2),0)</f>
        <v>0</v>
      </c>
      <c r="G20" s="620" t="str">
        <f t="shared" ca="1" si="5"/>
        <v/>
      </c>
      <c r="H20" s="619" cm="1">
        <f t="array" aca="1" ref="H20" ca="1">IF(AUTOEVENTO="Manual",ROUND(SUMPRODUCT((CÁLCULO!$M$15:$M$55=EVENTOS!$C20)*(OFFSET(CÁLCULO!$AA$15:$AA$55,0,H$13))),2),0)</f>
        <v>0</v>
      </c>
      <c r="I20" s="619" cm="1">
        <f t="array" aca="1" ref="I20" ca="1">IF(AUTOEVENTO="Manual",ROUND(SUMPRODUCT((CÁLCULO!$M$15:$M$55=EVENTOS!$C20)*(OFFSET(CÁLCULO!$AA$15:$AA$55,0,I$13))),2),0)</f>
        <v>0</v>
      </c>
      <c r="J20" s="619" cm="1">
        <f t="array" aca="1" ref="J20" ca="1">IF(AUTOEVENTO="Manual",ROUND(SUMPRODUCT((CÁLCULO!$M$15:$M$55=EVENTOS!$C20)*(OFFSET(CÁLCULO!$AA$15:$AA$55,0,J$13))),2),0)</f>
        <v>0</v>
      </c>
      <c r="K20" s="619" cm="1">
        <f t="array" aca="1" ref="K20" ca="1">IF(AUTOEVENTO="Manual",ROUND(SUMPRODUCT((CÁLCULO!$M$15:$M$55=EVENTOS!$C20)*(OFFSET(CÁLCULO!$AA$15:$AA$55,0,K$13))),2),0)</f>
        <v>0</v>
      </c>
      <c r="L20" s="619" cm="1">
        <f t="array" aca="1" ref="L20" ca="1">IF(AUTOEVENTO="Manual",ROUND(SUMPRODUCT((CÁLCULO!$M$15:$M$55=EVENTOS!$C20)*(OFFSET(CÁLCULO!$AA$15:$AA$55,0,L$13))),2),0)</f>
        <v>0</v>
      </c>
      <c r="M20" s="619" cm="1">
        <f t="array" aca="1" ref="M20" ca="1">IF(AUTOEVENTO="Manual",ROUND(SUMPRODUCT((CÁLCULO!$M$15:$M$55=EVENTOS!$C20)*(OFFSET(CÁLCULO!$AA$15:$AA$55,0,M$13))),2),0)</f>
        <v>0</v>
      </c>
      <c r="N20" s="619" cm="1">
        <f t="array" aca="1" ref="N20" ca="1">IF(AUTOEVENTO="Manual",ROUND(SUMPRODUCT((CÁLCULO!$M$15:$M$55=EVENTOS!$C20)*(OFFSET(CÁLCULO!$AA$15:$AA$55,0,N$13))),2),0)</f>
        <v>0</v>
      </c>
      <c r="O20" s="619" cm="1">
        <f t="array" aca="1" ref="O20" ca="1">IF(AUTOEVENTO="Manual",ROUND(SUMPRODUCT((CÁLCULO!$M$15:$M$55=EVENTOS!$C20)*(OFFSET(CÁLCULO!$AA$15:$AA$55,0,O$13))),2),0)</f>
        <v>0</v>
      </c>
      <c r="P20" s="619" cm="1">
        <f t="array" aca="1" ref="P20" ca="1">IF(AUTOEVENTO="Manual",ROUND(SUMPRODUCT((CÁLCULO!$M$15:$M$55=EVENTOS!$C20)*(OFFSET(CÁLCULO!$AA$15:$AA$55,0,P$13))),2),0)</f>
        <v>0</v>
      </c>
      <c r="Q20" s="619" cm="1">
        <f t="array" aca="1" ref="Q20" ca="1">IF(AUTOEVENTO="Manual",ROUND(SUMPRODUCT((CÁLCULO!$M$15:$M$55=EVENTOS!$C20)*(OFFSET(CÁLCULO!$AA$15:$AA$55,0,Q$13))),2),0)</f>
        <v>0</v>
      </c>
      <c r="R20" s="619" cm="1">
        <f t="array" aca="1" ref="R20" ca="1">IF(AUTOEVENTO="Manual",ROUND(SUMPRODUCT((CÁLCULO!$M$15:$M$55=EVENTOS!$C20)*(OFFSET(CÁLCULO!$AA$15:$AA$55,0,R$13))),2),0)</f>
        <v>0</v>
      </c>
      <c r="S20" s="619" cm="1">
        <f t="array" aca="1" ref="S20" ca="1">IF(AUTOEVENTO="Manual",ROUND(SUMPRODUCT((CÁLCULO!$M$15:$M$55=EVENTOS!$C20)*(OFFSET(CÁLCULO!$AA$15:$AA$55,0,S$13))),2),0)</f>
        <v>0</v>
      </c>
      <c r="T20" s="619" cm="1">
        <f t="array" aca="1" ref="T20" ca="1">IF(AUTOEVENTO="Manual",ROUND(SUMPRODUCT((CÁLCULO!$M$15:$M$55=EVENTOS!$C20)*(OFFSET(CÁLCULO!$AA$15:$AA$55,0,T$13))),2),0)</f>
        <v>0</v>
      </c>
      <c r="U20" s="619" cm="1">
        <f t="array" aca="1" ref="U20" ca="1">IF(AUTOEVENTO="Manual",ROUND(SUMPRODUCT((CÁLCULO!$M$15:$M$55=EVENTOS!$C20)*(OFFSET(CÁLCULO!$AA$15:$AA$55,0,U$13))),2),0)</f>
        <v>0</v>
      </c>
      <c r="V20" s="619" cm="1">
        <f t="array" aca="1" ref="V20" ca="1">IF(AUTOEVENTO="Manual",ROUND(SUMPRODUCT((CÁLCULO!$M$15:$M$55=EVENTOS!$C20)*(OFFSET(CÁLCULO!$AA$15:$AA$55,0,V$13))),2),0)</f>
        <v>0</v>
      </c>
      <c r="W20" s="619" cm="1">
        <f t="array" aca="1" ref="W20" ca="1">IF(AUTOEVENTO="Manual",ROUND(SUMPRODUCT((CÁLCULO!$M$15:$M$55=EVENTOS!$C20)*(OFFSET(CÁLCULO!$AA$15:$AA$55,0,W$13))),2),0)</f>
        <v>0</v>
      </c>
      <c r="X20" s="619" cm="1">
        <f t="array" aca="1" ref="X20" ca="1">IF(AUTOEVENTO="Manual",ROUND(SUMPRODUCT((CÁLCULO!$M$15:$M$55=EVENTOS!$C20)*(OFFSET(CÁLCULO!$AA$15:$AA$55,0,X$13))),2),0)</f>
        <v>0</v>
      </c>
      <c r="Y20" s="619" cm="1">
        <f t="array" aca="1" ref="Y20" ca="1">IF(AUTOEVENTO="Manual",ROUND(SUMPRODUCT((CÁLCULO!$M$15:$M$55=EVENTOS!$C20)*(OFFSET(CÁLCULO!$AA$15:$AA$55,0,Y$13))),2),0)</f>
        <v>0</v>
      </c>
    </row>
    <row r="21" spans="1:25" x14ac:dyDescent="0.2">
      <c r="A21" s="505" t="str">
        <f t="shared" si="3"/>
        <v/>
      </c>
      <c r="B21" t="str">
        <f t="shared" ca="1" si="4"/>
        <v/>
      </c>
      <c r="C21" s="181" t="str" cm="1">
        <f t="array" aca="1" ref="C21" ca="1">IF(OR(ROW(C21)=ROW(EVENTOS.firstrow)+1,AND(OFFSET(C21,-1,0)&lt;&gt;" ",OFFSET(C21,-1,1)&lt;&gt;"")),OFFSET(C21,-1,0)+1," ")</f>
        <v xml:space="preserve"> </v>
      </c>
      <c r="D21" s="495"/>
      <c r="E21" s="619" cm="1">
        <f t="array" aca="1" ref="E21" ca="1">IF(AUTOEVENTO="Manual",ROUND(SUMPRODUCT((CÁLCULO!$M$15:$M$55=EVENTOS!$C21)*(OFFSET(CÁLCULO!$AA$15:$AA$55,0,E$13))),2),0)</f>
        <v>0</v>
      </c>
      <c r="F21" s="182">
        <f ca="1">IF(AUTOEVENTO="Manual",ROUND(SUMPRODUCT((CÁLCULO!$M$15:$M$55=EVENTOS!$C21)*(OFFSET(CÁLCULO!$AA$15,0,1):OFFSET(CÁLCULO!$AL$55,0,-1))),2),0)</f>
        <v>0</v>
      </c>
      <c r="G21" s="620" t="str">
        <f t="shared" ca="1" si="5"/>
        <v/>
      </c>
      <c r="H21" s="619" cm="1">
        <f t="array" aca="1" ref="H21" ca="1">IF(AUTOEVENTO="Manual",ROUND(SUMPRODUCT((CÁLCULO!$M$15:$M$55=EVENTOS!$C21)*(OFFSET(CÁLCULO!$AA$15:$AA$55,0,H$13))),2),0)</f>
        <v>0</v>
      </c>
      <c r="I21" s="619" cm="1">
        <f t="array" aca="1" ref="I21" ca="1">IF(AUTOEVENTO="Manual",ROUND(SUMPRODUCT((CÁLCULO!$M$15:$M$55=EVENTOS!$C21)*(OFFSET(CÁLCULO!$AA$15:$AA$55,0,I$13))),2),0)</f>
        <v>0</v>
      </c>
      <c r="J21" s="619" cm="1">
        <f t="array" aca="1" ref="J21" ca="1">IF(AUTOEVENTO="Manual",ROUND(SUMPRODUCT((CÁLCULO!$M$15:$M$55=EVENTOS!$C21)*(OFFSET(CÁLCULO!$AA$15:$AA$55,0,J$13))),2),0)</f>
        <v>0</v>
      </c>
      <c r="K21" s="619" cm="1">
        <f t="array" aca="1" ref="K21" ca="1">IF(AUTOEVENTO="Manual",ROUND(SUMPRODUCT((CÁLCULO!$M$15:$M$55=EVENTOS!$C21)*(OFFSET(CÁLCULO!$AA$15:$AA$55,0,K$13))),2),0)</f>
        <v>0</v>
      </c>
      <c r="L21" s="619" cm="1">
        <f t="array" aca="1" ref="L21" ca="1">IF(AUTOEVENTO="Manual",ROUND(SUMPRODUCT((CÁLCULO!$M$15:$M$55=EVENTOS!$C21)*(OFFSET(CÁLCULO!$AA$15:$AA$55,0,L$13))),2),0)</f>
        <v>0</v>
      </c>
      <c r="M21" s="619" cm="1">
        <f t="array" aca="1" ref="M21" ca="1">IF(AUTOEVENTO="Manual",ROUND(SUMPRODUCT((CÁLCULO!$M$15:$M$55=EVENTOS!$C21)*(OFFSET(CÁLCULO!$AA$15:$AA$55,0,M$13))),2),0)</f>
        <v>0</v>
      </c>
      <c r="N21" s="619" cm="1">
        <f t="array" aca="1" ref="N21" ca="1">IF(AUTOEVENTO="Manual",ROUND(SUMPRODUCT((CÁLCULO!$M$15:$M$55=EVENTOS!$C21)*(OFFSET(CÁLCULO!$AA$15:$AA$55,0,N$13))),2),0)</f>
        <v>0</v>
      </c>
      <c r="O21" s="619" cm="1">
        <f t="array" aca="1" ref="O21" ca="1">IF(AUTOEVENTO="Manual",ROUND(SUMPRODUCT((CÁLCULO!$M$15:$M$55=EVENTOS!$C21)*(OFFSET(CÁLCULO!$AA$15:$AA$55,0,O$13))),2),0)</f>
        <v>0</v>
      </c>
      <c r="P21" s="619" cm="1">
        <f t="array" aca="1" ref="P21" ca="1">IF(AUTOEVENTO="Manual",ROUND(SUMPRODUCT((CÁLCULO!$M$15:$M$55=EVENTOS!$C21)*(OFFSET(CÁLCULO!$AA$15:$AA$55,0,P$13))),2),0)</f>
        <v>0</v>
      </c>
      <c r="Q21" s="619" cm="1">
        <f t="array" aca="1" ref="Q21" ca="1">IF(AUTOEVENTO="Manual",ROUND(SUMPRODUCT((CÁLCULO!$M$15:$M$55=EVENTOS!$C21)*(OFFSET(CÁLCULO!$AA$15:$AA$55,0,Q$13))),2),0)</f>
        <v>0</v>
      </c>
      <c r="R21" s="619" cm="1">
        <f t="array" aca="1" ref="R21" ca="1">IF(AUTOEVENTO="Manual",ROUND(SUMPRODUCT((CÁLCULO!$M$15:$M$55=EVENTOS!$C21)*(OFFSET(CÁLCULO!$AA$15:$AA$55,0,R$13))),2),0)</f>
        <v>0</v>
      </c>
      <c r="S21" s="619" cm="1">
        <f t="array" aca="1" ref="S21" ca="1">IF(AUTOEVENTO="Manual",ROUND(SUMPRODUCT((CÁLCULO!$M$15:$M$55=EVENTOS!$C21)*(OFFSET(CÁLCULO!$AA$15:$AA$55,0,S$13))),2),0)</f>
        <v>0</v>
      </c>
      <c r="T21" s="619" cm="1">
        <f t="array" aca="1" ref="T21" ca="1">IF(AUTOEVENTO="Manual",ROUND(SUMPRODUCT((CÁLCULO!$M$15:$M$55=EVENTOS!$C21)*(OFFSET(CÁLCULO!$AA$15:$AA$55,0,T$13))),2),0)</f>
        <v>0</v>
      </c>
      <c r="U21" s="619" cm="1">
        <f t="array" aca="1" ref="U21" ca="1">IF(AUTOEVENTO="Manual",ROUND(SUMPRODUCT((CÁLCULO!$M$15:$M$55=EVENTOS!$C21)*(OFFSET(CÁLCULO!$AA$15:$AA$55,0,U$13))),2),0)</f>
        <v>0</v>
      </c>
      <c r="V21" s="619" cm="1">
        <f t="array" aca="1" ref="V21" ca="1">IF(AUTOEVENTO="Manual",ROUND(SUMPRODUCT((CÁLCULO!$M$15:$M$55=EVENTOS!$C21)*(OFFSET(CÁLCULO!$AA$15:$AA$55,0,V$13))),2),0)</f>
        <v>0</v>
      </c>
      <c r="W21" s="619" cm="1">
        <f t="array" aca="1" ref="W21" ca="1">IF(AUTOEVENTO="Manual",ROUND(SUMPRODUCT((CÁLCULO!$M$15:$M$55=EVENTOS!$C21)*(OFFSET(CÁLCULO!$AA$15:$AA$55,0,W$13))),2),0)</f>
        <v>0</v>
      </c>
      <c r="X21" s="619" cm="1">
        <f t="array" aca="1" ref="X21" ca="1">IF(AUTOEVENTO="Manual",ROUND(SUMPRODUCT((CÁLCULO!$M$15:$M$55=EVENTOS!$C21)*(OFFSET(CÁLCULO!$AA$15:$AA$55,0,X$13))),2),0)</f>
        <v>0</v>
      </c>
      <c r="Y21" s="619" cm="1">
        <f t="array" aca="1" ref="Y21" ca="1">IF(AUTOEVENTO="Manual",ROUND(SUMPRODUCT((CÁLCULO!$M$15:$M$55=EVENTOS!$C21)*(OFFSET(CÁLCULO!$AA$15:$AA$55,0,Y$13))),2),0)</f>
        <v>0</v>
      </c>
    </row>
    <row r="22" spans="1:25" x14ac:dyDescent="0.2">
      <c r="A22" s="505" t="str">
        <f t="shared" si="3"/>
        <v/>
      </c>
      <c r="B22" t="str">
        <f t="shared" ca="1" si="4"/>
        <v/>
      </c>
      <c r="C22" s="181" t="str" cm="1">
        <f t="array" aca="1" ref="C22" ca="1">IF(OR(ROW(C22)=ROW(EVENTOS.firstrow)+1,AND(OFFSET(C22,-1,0)&lt;&gt;" ",OFFSET(C22,-1,1)&lt;&gt;"")),OFFSET(C22,-1,0)+1," ")</f>
        <v xml:space="preserve"> </v>
      </c>
      <c r="D22" s="495"/>
      <c r="E22" s="619" cm="1">
        <f t="array" aca="1" ref="E22" ca="1">IF(AUTOEVENTO="Manual",ROUND(SUMPRODUCT((CÁLCULO!$M$15:$M$55=EVENTOS!$C22)*(OFFSET(CÁLCULO!$AA$15:$AA$55,0,E$13))),2),0)</f>
        <v>0</v>
      </c>
      <c r="F22" s="182">
        <f ca="1">IF(AUTOEVENTO="Manual",ROUND(SUMPRODUCT((CÁLCULO!$M$15:$M$55=EVENTOS!$C22)*(OFFSET(CÁLCULO!$AA$15,0,1):OFFSET(CÁLCULO!$AL$55,0,-1))),2),0)</f>
        <v>0</v>
      </c>
      <c r="G22" s="620" t="str">
        <f t="shared" ca="1" si="5"/>
        <v/>
      </c>
      <c r="H22" s="619" cm="1">
        <f t="array" aca="1" ref="H22" ca="1">IF(AUTOEVENTO="Manual",ROUND(SUMPRODUCT((CÁLCULO!$M$15:$M$55=EVENTOS!$C22)*(OFFSET(CÁLCULO!$AA$15:$AA$55,0,H$13))),2),0)</f>
        <v>0</v>
      </c>
      <c r="I22" s="619" cm="1">
        <f t="array" aca="1" ref="I22" ca="1">IF(AUTOEVENTO="Manual",ROUND(SUMPRODUCT((CÁLCULO!$M$15:$M$55=EVENTOS!$C22)*(OFFSET(CÁLCULO!$AA$15:$AA$55,0,I$13))),2),0)</f>
        <v>0</v>
      </c>
      <c r="J22" s="619" cm="1">
        <f t="array" aca="1" ref="J22" ca="1">IF(AUTOEVENTO="Manual",ROUND(SUMPRODUCT((CÁLCULO!$M$15:$M$55=EVENTOS!$C22)*(OFFSET(CÁLCULO!$AA$15:$AA$55,0,J$13))),2),0)</f>
        <v>0</v>
      </c>
      <c r="K22" s="619" cm="1">
        <f t="array" aca="1" ref="K22" ca="1">IF(AUTOEVENTO="Manual",ROUND(SUMPRODUCT((CÁLCULO!$M$15:$M$55=EVENTOS!$C22)*(OFFSET(CÁLCULO!$AA$15:$AA$55,0,K$13))),2),0)</f>
        <v>0</v>
      </c>
      <c r="L22" s="619" cm="1">
        <f t="array" aca="1" ref="L22" ca="1">IF(AUTOEVENTO="Manual",ROUND(SUMPRODUCT((CÁLCULO!$M$15:$M$55=EVENTOS!$C22)*(OFFSET(CÁLCULO!$AA$15:$AA$55,0,L$13))),2),0)</f>
        <v>0</v>
      </c>
      <c r="M22" s="619" cm="1">
        <f t="array" aca="1" ref="M22" ca="1">IF(AUTOEVENTO="Manual",ROUND(SUMPRODUCT((CÁLCULO!$M$15:$M$55=EVENTOS!$C22)*(OFFSET(CÁLCULO!$AA$15:$AA$55,0,M$13))),2),0)</f>
        <v>0</v>
      </c>
      <c r="N22" s="619" cm="1">
        <f t="array" aca="1" ref="N22" ca="1">IF(AUTOEVENTO="Manual",ROUND(SUMPRODUCT((CÁLCULO!$M$15:$M$55=EVENTOS!$C22)*(OFFSET(CÁLCULO!$AA$15:$AA$55,0,N$13))),2),0)</f>
        <v>0</v>
      </c>
      <c r="O22" s="619" cm="1">
        <f t="array" aca="1" ref="O22" ca="1">IF(AUTOEVENTO="Manual",ROUND(SUMPRODUCT((CÁLCULO!$M$15:$M$55=EVENTOS!$C22)*(OFFSET(CÁLCULO!$AA$15:$AA$55,0,O$13))),2),0)</f>
        <v>0</v>
      </c>
      <c r="P22" s="619" cm="1">
        <f t="array" aca="1" ref="P22" ca="1">IF(AUTOEVENTO="Manual",ROUND(SUMPRODUCT((CÁLCULO!$M$15:$M$55=EVENTOS!$C22)*(OFFSET(CÁLCULO!$AA$15:$AA$55,0,P$13))),2),0)</f>
        <v>0</v>
      </c>
      <c r="Q22" s="619" cm="1">
        <f t="array" aca="1" ref="Q22" ca="1">IF(AUTOEVENTO="Manual",ROUND(SUMPRODUCT((CÁLCULO!$M$15:$M$55=EVENTOS!$C22)*(OFFSET(CÁLCULO!$AA$15:$AA$55,0,Q$13))),2),0)</f>
        <v>0</v>
      </c>
      <c r="R22" s="619" cm="1">
        <f t="array" aca="1" ref="R22" ca="1">IF(AUTOEVENTO="Manual",ROUND(SUMPRODUCT((CÁLCULO!$M$15:$M$55=EVENTOS!$C22)*(OFFSET(CÁLCULO!$AA$15:$AA$55,0,R$13))),2),0)</f>
        <v>0</v>
      </c>
      <c r="S22" s="619" cm="1">
        <f t="array" aca="1" ref="S22" ca="1">IF(AUTOEVENTO="Manual",ROUND(SUMPRODUCT((CÁLCULO!$M$15:$M$55=EVENTOS!$C22)*(OFFSET(CÁLCULO!$AA$15:$AA$55,0,S$13))),2),0)</f>
        <v>0</v>
      </c>
      <c r="T22" s="619" cm="1">
        <f t="array" aca="1" ref="T22" ca="1">IF(AUTOEVENTO="Manual",ROUND(SUMPRODUCT((CÁLCULO!$M$15:$M$55=EVENTOS!$C22)*(OFFSET(CÁLCULO!$AA$15:$AA$55,0,T$13))),2),0)</f>
        <v>0</v>
      </c>
      <c r="U22" s="619" cm="1">
        <f t="array" aca="1" ref="U22" ca="1">IF(AUTOEVENTO="Manual",ROUND(SUMPRODUCT((CÁLCULO!$M$15:$M$55=EVENTOS!$C22)*(OFFSET(CÁLCULO!$AA$15:$AA$55,0,U$13))),2),0)</f>
        <v>0</v>
      </c>
      <c r="V22" s="619" cm="1">
        <f t="array" aca="1" ref="V22" ca="1">IF(AUTOEVENTO="Manual",ROUND(SUMPRODUCT((CÁLCULO!$M$15:$M$55=EVENTOS!$C22)*(OFFSET(CÁLCULO!$AA$15:$AA$55,0,V$13))),2),0)</f>
        <v>0</v>
      </c>
      <c r="W22" s="619" cm="1">
        <f t="array" aca="1" ref="W22" ca="1">IF(AUTOEVENTO="Manual",ROUND(SUMPRODUCT((CÁLCULO!$M$15:$M$55=EVENTOS!$C22)*(OFFSET(CÁLCULO!$AA$15:$AA$55,0,W$13))),2),0)</f>
        <v>0</v>
      </c>
      <c r="X22" s="619" cm="1">
        <f t="array" aca="1" ref="X22" ca="1">IF(AUTOEVENTO="Manual",ROUND(SUMPRODUCT((CÁLCULO!$M$15:$M$55=EVENTOS!$C22)*(OFFSET(CÁLCULO!$AA$15:$AA$55,0,X$13))),2),0)</f>
        <v>0</v>
      </c>
      <c r="Y22" s="619" cm="1">
        <f t="array" aca="1" ref="Y22" ca="1">IF(AUTOEVENTO="Manual",ROUND(SUMPRODUCT((CÁLCULO!$M$15:$M$55=EVENTOS!$C22)*(OFFSET(CÁLCULO!$AA$15:$AA$55,0,Y$13))),2),0)</f>
        <v>0</v>
      </c>
    </row>
    <row r="23" spans="1:25" x14ac:dyDescent="0.2">
      <c r="A23" s="505" t="str">
        <f t="shared" si="3"/>
        <v/>
      </c>
      <c r="B23" t="str">
        <f t="shared" ca="1" si="4"/>
        <v/>
      </c>
      <c r="C23" s="181" t="str" cm="1">
        <f t="array" aca="1" ref="C23" ca="1">IF(OR(ROW(C23)=ROW(EVENTOS.firstrow)+1,AND(OFFSET(C23,-1,0)&lt;&gt;" ",OFFSET(C23,-1,1)&lt;&gt;"")),OFFSET(C23,-1,0)+1," ")</f>
        <v xml:space="preserve"> </v>
      </c>
      <c r="D23" s="495"/>
      <c r="E23" s="619" cm="1">
        <f t="array" aca="1" ref="E23" ca="1">IF(AUTOEVENTO="Manual",ROUND(SUMPRODUCT((CÁLCULO!$M$15:$M$55=EVENTOS!$C23)*(OFFSET(CÁLCULO!$AA$15:$AA$55,0,E$13))),2),0)</f>
        <v>0</v>
      </c>
      <c r="F23" s="182">
        <f ca="1">IF(AUTOEVENTO="Manual",ROUND(SUMPRODUCT((CÁLCULO!$M$15:$M$55=EVENTOS!$C23)*(OFFSET(CÁLCULO!$AA$15,0,1):OFFSET(CÁLCULO!$AL$55,0,-1))),2),0)</f>
        <v>0</v>
      </c>
      <c r="G23" s="620" t="str">
        <f t="shared" ca="1" si="5"/>
        <v/>
      </c>
      <c r="H23" s="619" cm="1">
        <f t="array" aca="1" ref="H23" ca="1">IF(AUTOEVENTO="Manual",ROUND(SUMPRODUCT((CÁLCULO!$M$15:$M$55=EVENTOS!$C23)*(OFFSET(CÁLCULO!$AA$15:$AA$55,0,H$13))),2),0)</f>
        <v>0</v>
      </c>
      <c r="I23" s="619" cm="1">
        <f t="array" aca="1" ref="I23" ca="1">IF(AUTOEVENTO="Manual",ROUND(SUMPRODUCT((CÁLCULO!$M$15:$M$55=EVENTOS!$C23)*(OFFSET(CÁLCULO!$AA$15:$AA$55,0,I$13))),2),0)</f>
        <v>0</v>
      </c>
      <c r="J23" s="619" cm="1">
        <f t="array" aca="1" ref="J23" ca="1">IF(AUTOEVENTO="Manual",ROUND(SUMPRODUCT((CÁLCULO!$M$15:$M$55=EVENTOS!$C23)*(OFFSET(CÁLCULO!$AA$15:$AA$55,0,J$13))),2),0)</f>
        <v>0</v>
      </c>
      <c r="K23" s="619" cm="1">
        <f t="array" aca="1" ref="K23" ca="1">IF(AUTOEVENTO="Manual",ROUND(SUMPRODUCT((CÁLCULO!$M$15:$M$55=EVENTOS!$C23)*(OFFSET(CÁLCULO!$AA$15:$AA$55,0,K$13))),2),0)</f>
        <v>0</v>
      </c>
      <c r="L23" s="619" cm="1">
        <f t="array" aca="1" ref="L23" ca="1">IF(AUTOEVENTO="Manual",ROUND(SUMPRODUCT((CÁLCULO!$M$15:$M$55=EVENTOS!$C23)*(OFFSET(CÁLCULO!$AA$15:$AA$55,0,L$13))),2),0)</f>
        <v>0</v>
      </c>
      <c r="M23" s="619" cm="1">
        <f t="array" aca="1" ref="M23" ca="1">IF(AUTOEVENTO="Manual",ROUND(SUMPRODUCT((CÁLCULO!$M$15:$M$55=EVENTOS!$C23)*(OFFSET(CÁLCULO!$AA$15:$AA$55,0,M$13))),2),0)</f>
        <v>0</v>
      </c>
      <c r="N23" s="619" cm="1">
        <f t="array" aca="1" ref="N23" ca="1">IF(AUTOEVENTO="Manual",ROUND(SUMPRODUCT((CÁLCULO!$M$15:$M$55=EVENTOS!$C23)*(OFFSET(CÁLCULO!$AA$15:$AA$55,0,N$13))),2),0)</f>
        <v>0</v>
      </c>
      <c r="O23" s="619" cm="1">
        <f t="array" aca="1" ref="O23" ca="1">IF(AUTOEVENTO="Manual",ROUND(SUMPRODUCT((CÁLCULO!$M$15:$M$55=EVENTOS!$C23)*(OFFSET(CÁLCULO!$AA$15:$AA$55,0,O$13))),2),0)</f>
        <v>0</v>
      </c>
      <c r="P23" s="619" cm="1">
        <f t="array" aca="1" ref="P23" ca="1">IF(AUTOEVENTO="Manual",ROUND(SUMPRODUCT((CÁLCULO!$M$15:$M$55=EVENTOS!$C23)*(OFFSET(CÁLCULO!$AA$15:$AA$55,0,P$13))),2),0)</f>
        <v>0</v>
      </c>
      <c r="Q23" s="619" cm="1">
        <f t="array" aca="1" ref="Q23" ca="1">IF(AUTOEVENTO="Manual",ROUND(SUMPRODUCT((CÁLCULO!$M$15:$M$55=EVENTOS!$C23)*(OFFSET(CÁLCULO!$AA$15:$AA$55,0,Q$13))),2),0)</f>
        <v>0</v>
      </c>
      <c r="R23" s="619" cm="1">
        <f t="array" aca="1" ref="R23" ca="1">IF(AUTOEVENTO="Manual",ROUND(SUMPRODUCT((CÁLCULO!$M$15:$M$55=EVENTOS!$C23)*(OFFSET(CÁLCULO!$AA$15:$AA$55,0,R$13))),2),0)</f>
        <v>0</v>
      </c>
      <c r="S23" s="619" cm="1">
        <f t="array" aca="1" ref="S23" ca="1">IF(AUTOEVENTO="Manual",ROUND(SUMPRODUCT((CÁLCULO!$M$15:$M$55=EVENTOS!$C23)*(OFFSET(CÁLCULO!$AA$15:$AA$55,0,S$13))),2),0)</f>
        <v>0</v>
      </c>
      <c r="T23" s="619" cm="1">
        <f t="array" aca="1" ref="T23" ca="1">IF(AUTOEVENTO="Manual",ROUND(SUMPRODUCT((CÁLCULO!$M$15:$M$55=EVENTOS!$C23)*(OFFSET(CÁLCULO!$AA$15:$AA$55,0,T$13))),2),0)</f>
        <v>0</v>
      </c>
      <c r="U23" s="619" cm="1">
        <f t="array" aca="1" ref="U23" ca="1">IF(AUTOEVENTO="Manual",ROUND(SUMPRODUCT((CÁLCULO!$M$15:$M$55=EVENTOS!$C23)*(OFFSET(CÁLCULO!$AA$15:$AA$55,0,U$13))),2),0)</f>
        <v>0</v>
      </c>
      <c r="V23" s="619" cm="1">
        <f t="array" aca="1" ref="V23" ca="1">IF(AUTOEVENTO="Manual",ROUND(SUMPRODUCT((CÁLCULO!$M$15:$M$55=EVENTOS!$C23)*(OFFSET(CÁLCULO!$AA$15:$AA$55,0,V$13))),2),0)</f>
        <v>0</v>
      </c>
      <c r="W23" s="619" cm="1">
        <f t="array" aca="1" ref="W23" ca="1">IF(AUTOEVENTO="Manual",ROUND(SUMPRODUCT((CÁLCULO!$M$15:$M$55=EVENTOS!$C23)*(OFFSET(CÁLCULO!$AA$15:$AA$55,0,W$13))),2),0)</f>
        <v>0</v>
      </c>
      <c r="X23" s="619" cm="1">
        <f t="array" aca="1" ref="X23" ca="1">IF(AUTOEVENTO="Manual",ROUND(SUMPRODUCT((CÁLCULO!$M$15:$M$55=EVENTOS!$C23)*(OFFSET(CÁLCULO!$AA$15:$AA$55,0,X$13))),2),0)</f>
        <v>0</v>
      </c>
      <c r="Y23" s="619" cm="1">
        <f t="array" aca="1" ref="Y23" ca="1">IF(AUTOEVENTO="Manual",ROUND(SUMPRODUCT((CÁLCULO!$M$15:$M$55=EVENTOS!$C23)*(OFFSET(CÁLCULO!$AA$15:$AA$55,0,Y$13))),2),0)</f>
        <v>0</v>
      </c>
    </row>
    <row r="24" spans="1:25" ht="5.0999999999999996" customHeight="1" x14ac:dyDescent="0.2">
      <c r="A24" s="505" t="s">
        <v>536</v>
      </c>
      <c r="C24" s="628"/>
      <c r="D24" s="629"/>
      <c r="E24" s="630"/>
      <c r="F24" s="183"/>
      <c r="G24" s="630"/>
      <c r="H24" s="630"/>
      <c r="I24" s="630"/>
      <c r="J24" s="630"/>
      <c r="K24" s="630"/>
      <c r="L24" s="630"/>
      <c r="M24" s="630"/>
      <c r="N24" s="630"/>
      <c r="O24" s="630"/>
      <c r="P24" s="630"/>
      <c r="Q24" s="630"/>
      <c r="R24" s="630"/>
      <c r="S24" s="630"/>
      <c r="T24" s="630"/>
      <c r="U24" s="630"/>
      <c r="V24" s="630"/>
      <c r="W24" s="630"/>
      <c r="X24" s="630"/>
      <c r="Y24" s="630"/>
    </row>
    <row r="25" spans="1:25" x14ac:dyDescent="0.2">
      <c r="A25" s="505" t="s">
        <v>536</v>
      </c>
    </row>
    <row r="26" spans="1:25" x14ac:dyDescent="0.2">
      <c r="A26" s="505" t="s">
        <v>536</v>
      </c>
    </row>
    <row r="27" spans="1:25" ht="15" x14ac:dyDescent="0.2">
      <c r="A27" s="505" t="s">
        <v>536</v>
      </c>
      <c r="D27" s="492" t="str">
        <f>Import.Município</f>
        <v>Liberdade - MG</v>
      </c>
      <c r="L27" s="459"/>
      <c r="M27" s="416"/>
      <c r="N27" s="416"/>
      <c r="O27" s="416"/>
      <c r="V27" s="459"/>
      <c r="W27" s="416"/>
      <c r="X27" s="416"/>
      <c r="Y27" s="416"/>
    </row>
    <row r="28" spans="1:25" x14ac:dyDescent="0.2">
      <c r="A28" s="505" t="s">
        <v>536</v>
      </c>
      <c r="D28" s="9" t="s">
        <v>693</v>
      </c>
      <c r="H28" s="543"/>
      <c r="I28" s="543"/>
      <c r="J28" s="543"/>
      <c r="L28" s="180" t="s">
        <v>696</v>
      </c>
      <c r="V28" s="180" t="s">
        <v>696</v>
      </c>
    </row>
    <row r="29" spans="1:25" x14ac:dyDescent="0.2">
      <c r="A29" s="505" t="s">
        <v>536</v>
      </c>
      <c r="H29" s="543"/>
      <c r="I29" s="543"/>
      <c r="J29" s="543"/>
      <c r="L29" s="397" t="str">
        <f t="array" aca="1" ref="L29:L31" ca="1">OFFSET(Import.RespOrçamento,0,-1) &amp; " " &amp; Import.RespOrçamento</f>
        <v>Nome: Antônio Carlos Sampaio Alves</v>
      </c>
      <c r="V29" s="397" t="str">
        <f t="array" aca="1" ref="V29:V31" ca="1">OFFSET(Import.RespOrçamento,0,-1) &amp; " " &amp; Import.RespOrçamento</f>
        <v>Nome: Antônio Carlos Sampaio Alves</v>
      </c>
    </row>
    <row r="30" spans="1:25" x14ac:dyDescent="0.2">
      <c r="A30" s="505" t="s">
        <v>536</v>
      </c>
      <c r="D30" s="493">
        <f>DADOS!$C$25</f>
        <v>45880</v>
      </c>
      <c r="L30" s="397" t="str">
        <f ca="1"/>
        <v>CREA/CAU: 214010-D</v>
      </c>
      <c r="V30" s="397" t="str">
        <f ca="1"/>
        <v>CREA/CAU: 214010-D</v>
      </c>
    </row>
    <row r="31" spans="1:25" x14ac:dyDescent="0.2">
      <c r="A31" s="505" t="s">
        <v>536</v>
      </c>
      <c r="D31" s="9" t="s">
        <v>694</v>
      </c>
      <c r="L31" s="397" t="str">
        <f ca="1"/>
        <v>ART/RRT: MG 20254192207</v>
      </c>
      <c r="V31" s="397" t="str">
        <f ca="1"/>
        <v>ART/RRT: MG 20254192207</v>
      </c>
    </row>
  </sheetData>
  <sheetProtection password="BD1F" sheet="1" objects="1" scenarios="1"/>
  <autoFilter ref="A13:A31"/>
  <mergeCells count="24">
    <mergeCell ref="X10:X12"/>
    <mergeCell ref="Y10:Y12"/>
    <mergeCell ref="C8:D8"/>
    <mergeCell ref="P10:P12"/>
    <mergeCell ref="Q10:Q12"/>
    <mergeCell ref="H10:H12"/>
    <mergeCell ref="I10:I12"/>
    <mergeCell ref="M10:M12"/>
    <mergeCell ref="N10:N12"/>
    <mergeCell ref="O10:O12"/>
    <mergeCell ref="S10:S12"/>
    <mergeCell ref="T10:T12"/>
    <mergeCell ref="U10:U12"/>
    <mergeCell ref="V10:V12"/>
    <mergeCell ref="W10:W12"/>
    <mergeCell ref="C11:D11"/>
    <mergeCell ref="F5:M5"/>
    <mergeCell ref="P5:W5"/>
    <mergeCell ref="E10:E12"/>
    <mergeCell ref="J10:J12"/>
    <mergeCell ref="K10:K12"/>
    <mergeCell ref="L10:L12"/>
    <mergeCell ref="R10:R12"/>
    <mergeCell ref="G10:G12"/>
  </mergeCells>
  <phoneticPr fontId="38" type="noConversion"/>
  <conditionalFormatting sqref="C10:J10 E11:J11 C12:J12 K10:Y12 C13:Y15 C1:Z1 Z10:Z15 C16:Z24">
    <cfRule type="expression" dxfId="279" priority="1" stopIfTrue="1">
      <formula>OR(AUTOEVENTO&lt;&gt;"Manual",ACOMPANHAMENTO="BM",C$10=0,C$13=0,$C1=" ")</formula>
    </cfRule>
  </conditionalFormatting>
  <conditionalFormatting sqref="A15 C15:XFD15">
    <cfRule type="expression" dxfId="278" priority="151">
      <formula>$C$15=0</formula>
    </cfRule>
  </conditionalFormatting>
  <dataValidations count="1">
    <dataValidation type="list" allowBlank="1" showInputMessage="1" showErrorMessage="1" errorTitle="Erro:" error="Selecione na lista a forma de definir os agrupadores de eventos." promptTitle="Definir Agrupadores de Eventos:" prompt="Selecione na lista a forma de definir os agrupadores de eventos." sqref="C8:D8">
      <formula1>EVENTOS.Lista.Agrupar</formula1>
    </dataValidation>
  </dataValidations>
  <pageMargins left="0.78740157480314998" right="0.78740157480314998" top="0.78740157480314998" bottom="0.78740157480314998" header="5.7086614173228396" footer="0.59055118110236204"/>
  <pageSetup paperSize="9" scale="24" firstPageNumber="0" orientation="portrait" horizontalDpi="300" verticalDpi="300" r:id="rId1"/>
  <headerFooter alignWithMargins="0">
    <oddHeader>&amp;L_</oddHeader>
    <oddFooter>&amp;LPMv3.14&amp;R&amp;P / &amp;N</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6"/>
  <dimension ref="A1:BH65323"/>
  <sheetViews>
    <sheetView showGridLines="0" zoomScaleNormal="100" zoomScaleSheetLayoutView="90" workbookViewId="0">
      <pane xSplit="8" ySplit="15" topLeftCell="Q16" activePane="bottomRight" state="frozen"/>
      <selection pane="topRight" activeCell="I1" sqref="I1"/>
      <selection pane="bottomLeft" activeCell="C16" sqref="C16"/>
      <selection pane="bottomRight"/>
    </sheetView>
  </sheetViews>
  <sheetFormatPr defaultRowHeight="0" customHeight="1" zeroHeight="1" x14ac:dyDescent="0.2"/>
  <cols>
    <col min="1" max="1" width="15.42578125" style="7" hidden="1" customWidth="1"/>
    <col min="2" max="2" width="9.140625" style="7" hidden="1" customWidth="1"/>
    <col min="3" max="3" width="3.5703125" style="7" customWidth="1"/>
    <col min="4" max="4" width="8.5703125" customWidth="1"/>
    <col min="5" max="5" width="12.5703125" customWidth="1"/>
    <col min="6" max="6" width="65.5703125" customWidth="1"/>
    <col min="7" max="7" width="10.5703125" customWidth="1"/>
    <col min="8" max="8" width="14.5703125" customWidth="1"/>
    <col min="9" max="9" width="29.5703125" customWidth="1"/>
    <col min="10" max="10" width="2.42578125" customWidth="1"/>
    <col min="11" max="11" width="4.5703125" customWidth="1"/>
    <col min="12" max="12" width="0.42578125" customWidth="1"/>
    <col min="13" max="13" width="9.140625" style="7" hidden="1" customWidth="1"/>
    <col min="14" max="14" width="31.5703125" customWidth="1"/>
    <col min="15" max="15" width="9.140625" hidden="1" customWidth="1"/>
    <col min="16" max="16" width="0.42578125" customWidth="1"/>
    <col min="17" max="26" width="11.5703125" customWidth="1"/>
    <col min="27" max="59" width="9.140625" hidden="1" customWidth="1"/>
    <col min="60" max="60" width="1.5703125" hidden="1" customWidth="1"/>
  </cols>
  <sheetData>
    <row r="1" spans="1:59" ht="12.75" hidden="1" customHeight="1" x14ac:dyDescent="0.2">
      <c r="M1" s="7">
        <f ca="1">SUM(OFFSET(CÁLCULO!$P$1,0,1):OFFSET(CÁLCULO!$AA$1,0,-1))</f>
        <v>4</v>
      </c>
      <c r="O1" s="631" cm="1">
        <f t="array" ref="O1">IF(OR(ACOMPANHAMENTO="BM",N1=0,O12=""),0,1)</f>
        <v>0</v>
      </c>
      <c r="P1" t="s">
        <v>764</v>
      </c>
      <c r="Q1" s="631" cm="1">
        <f t="array" ref="Q1">IF(OR(ACOMPANHAMENTO="BM",P1=0,Q12=""),0,1)</f>
        <v>1</v>
      </c>
      <c r="R1" s="631" cm="1">
        <f t="array" ref="R1">IF(OR(ACOMPANHAMENTO="BM",Q1=0,R12=""),0,1)</f>
        <v>1</v>
      </c>
      <c r="S1" s="631" cm="1">
        <f t="array" ref="S1">IF(OR(ACOMPANHAMENTO="BM",R1=0,S12=""),0,1)</f>
        <v>1</v>
      </c>
      <c r="T1" s="631" cm="1">
        <f t="array" ref="T1">IF(OR(ACOMPANHAMENTO="BM",S1=0,T12=""),0,1)</f>
        <v>1</v>
      </c>
      <c r="U1" s="631" cm="1">
        <f t="array" ref="U1">IF(OR(ACOMPANHAMENTO="BM",T1=0,U12=""),0,1)</f>
        <v>0</v>
      </c>
      <c r="V1" s="631" cm="1">
        <f t="array" ref="V1">IF(OR(ACOMPANHAMENTO="BM",U1=0,V12=""),0,1)</f>
        <v>0</v>
      </c>
      <c r="W1" s="631" cm="1">
        <f t="array" ref="W1">IF(OR(ACOMPANHAMENTO="BM",V1=0,W12=""),0,1)</f>
        <v>0</v>
      </c>
      <c r="X1" s="631" cm="1">
        <f t="array" ref="X1">IF(OR(ACOMPANHAMENTO="BM",W1=0,X12=""),0,1)</f>
        <v>0</v>
      </c>
      <c r="Y1" s="631" cm="1">
        <f t="array" ref="Y1">IF(OR(ACOMPANHAMENTO="BM",X1=0,Y12=""),0,1)</f>
        <v>0</v>
      </c>
      <c r="Z1" s="631" cm="1">
        <f t="array" ref="Z1">IF(OR(ACOMPANHAMENTO="BM",Y1=0,Z12=""),0,1)</f>
        <v>0</v>
      </c>
      <c r="AB1" t="s">
        <v>765</v>
      </c>
      <c r="AM1" t="s">
        <v>766</v>
      </c>
      <c r="AX1" t="s">
        <v>767</v>
      </c>
    </row>
    <row r="2" spans="1:59" ht="12.75" hidden="1" customHeight="1" x14ac:dyDescent="0.2"/>
    <row r="3" spans="1:59" ht="12.75" hidden="1" customHeight="1" x14ac:dyDescent="0.2"/>
    <row r="4" spans="1:59" ht="12.75" hidden="1" customHeight="1" x14ac:dyDescent="0.2"/>
    <row r="5" spans="1:59" ht="12.75" hidden="1" customHeight="1" x14ac:dyDescent="0.2"/>
    <row r="6" spans="1:59" ht="15.75" customHeight="1" x14ac:dyDescent="0.2">
      <c r="F6" s="735" t="str" cm="1">
        <f t="array" ref="F6">IF(ACOMPANHAMENTO="BM","MEMÓRIA DE CÁLCULO","PLQ - PLANILHA DE LEVANTAMENTO DE QUANTIDADES")</f>
        <v>PLQ - PLANILHA DE LEVANTAMENTO DE QUANTIDADES</v>
      </c>
      <c r="G6" s="735"/>
      <c r="H6" s="735"/>
      <c r="I6" s="140"/>
      <c r="K6" s="140"/>
      <c r="L6" s="140"/>
      <c r="M6" s="141"/>
      <c r="N6" s="140"/>
      <c r="P6" s="140"/>
      <c r="Q6" s="736" t="s">
        <v>644</v>
      </c>
      <c r="R6" s="737"/>
      <c r="Y6" s="703" t="s">
        <v>644</v>
      </c>
      <c r="Z6" s="703"/>
    </row>
    <row r="7" spans="1:59" ht="15" customHeight="1" x14ac:dyDescent="0.2">
      <c r="F7" s="738" t="str" cm="1">
        <f t="array" ref="F7">IF(ACOMPANHAMENTO="BM","","Memória de Cálculo")&amp;" - "&amp;import.recurso</f>
        <v>Memória de Cálculo - OGU</v>
      </c>
      <c r="G7" s="738"/>
      <c r="H7" s="738"/>
      <c r="I7" s="142"/>
      <c r="K7" s="142"/>
      <c r="L7" s="142"/>
      <c r="M7" s="143"/>
      <c r="N7" s="142"/>
      <c r="P7" s="142"/>
      <c r="Q7" s="739" t="s">
        <v>647</v>
      </c>
      <c r="R7" s="740"/>
      <c r="Y7" s="704" t="s">
        <v>647</v>
      </c>
      <c r="Z7" s="704"/>
    </row>
    <row r="8" spans="1:59" ht="12.75" customHeight="1" x14ac:dyDescent="0.2">
      <c r="AE8" s="475"/>
    </row>
    <row r="9" spans="1:59" ht="12.75" customHeight="1" x14ac:dyDescent="0.2">
      <c r="E9" s="699" t="s">
        <v>708</v>
      </c>
      <c r="F9" s="699"/>
      <c r="G9" s="699" t="s">
        <v>707</v>
      </c>
      <c r="H9" s="699"/>
      <c r="I9" s="86" t="s">
        <v>650</v>
      </c>
      <c r="K9" s="144" t="s">
        <v>652</v>
      </c>
      <c r="L9" s="145"/>
      <c r="M9" s="145"/>
      <c r="N9" s="145"/>
      <c r="O9" s="145"/>
      <c r="P9" s="145"/>
      <c r="Q9" s="145"/>
      <c r="R9" s="146"/>
      <c r="S9" s="699" t="s">
        <v>650</v>
      </c>
      <c r="T9" s="699"/>
      <c r="U9" s="699" t="s">
        <v>652</v>
      </c>
      <c r="V9" s="699"/>
      <c r="W9" s="699"/>
      <c r="X9" s="699"/>
      <c r="Y9" s="699"/>
      <c r="Z9" s="699"/>
    </row>
    <row r="10" spans="1:59" ht="12.75" customHeight="1" x14ac:dyDescent="0.2">
      <c r="A10" s="600" t="s">
        <v>768</v>
      </c>
      <c r="E10" s="702" t="str">
        <f>Import.Apelido</f>
        <v>Construção de ponte e pavimentação de estrada vicinal</v>
      </c>
      <c r="F10" s="702"/>
      <c r="G10" s="702" t="str" cm="1">
        <f t="array" ref="G10">Import.TransfereGOV</f>
        <v>948148</v>
      </c>
      <c r="H10" s="702"/>
      <c r="I10" s="89">
        <f>Import.CR</f>
        <v>0</v>
      </c>
      <c r="K10" s="147" t="str">
        <f>Import.Proponente</f>
        <v>18.029.165/0001-51</v>
      </c>
      <c r="L10" s="148"/>
      <c r="M10" s="99"/>
      <c r="N10" s="148"/>
      <c r="O10" s="148"/>
      <c r="P10" s="148"/>
      <c r="Q10" s="148"/>
      <c r="R10" s="90"/>
      <c r="S10" s="702">
        <f>Import.CR</f>
        <v>0</v>
      </c>
      <c r="T10" s="702"/>
      <c r="U10" s="702" t="str">
        <f>Import.Proponente</f>
        <v>18.029.165/0001-51</v>
      </c>
      <c r="V10" s="702"/>
      <c r="W10" s="702"/>
      <c r="X10" s="702"/>
      <c r="Y10" s="702"/>
      <c r="Z10" s="702"/>
    </row>
    <row r="11" spans="1:59" ht="15" customHeight="1" x14ac:dyDescent="0.2">
      <c r="A11" s="449" t="str">
        <f>IF(AND(Import.TipoArredondamento="Tradicional",AUTOEVENTO="Manual"),"Automática",IF(CRONOPLE!$B$8="","Sem Adm","Manual"))</f>
        <v>Manual</v>
      </c>
      <c r="F11" s="566" t="str">
        <f ca="1">IF(AND(ACOMPANHAMENTO="PLE",ISERROR(AUTOEVENTO)),"Selecione a forma de definição dos agrupadores de eventos na aba EVENTOS",
  IF(AND(ACOMPANHAMENTO="PLE",CÁLCULO.FrentesPreenchidas=0),"Preencher os nomes das Frentes de Obra",
  IF(COUNTIF($J$15:$J$55,"►E")&gt;0,"Não pode haver serviços sem agrupador de eventos",
  IF(COUNTIF($P$11:$AA$11,"▼")&gt;0,"Não pode haver frentes de obra sem quantidades",
  IF(COUNTIF($P$11:$AA$11,"Nome &gt;100")&gt;0,"Nome da frente de obra com mais de 100 caracteres","")))))</f>
        <v/>
      </c>
      <c r="N11" s="572" t="str">
        <f ca="1">IF(OR(COUNTIF($J$15:$J$55,"►E")&gt;0,COUNTIF($J$15:$J$55,"►Q")&gt;0),"",
IF(COUNTIF($J$15:$J$55,"►S")&gt;0,"Preencha as quantidades com no máximo duas casas decimais",
IF(COUNTIF($P$11:$AA$11,"▼")&gt;0,"Falta preencher a frente de obra nº " &amp; HLOOKUP("▼",$P$11:$AA$13,3,FALSE),
IF(COUNTIF($P$11:$AA$11,"Nome &gt;100")&gt;0,"Resuma o nome da frente de obra nº " &amp; HLOOKUP("Nome &gt;100",$P$11:$AA$13,3,FALSE),""))))</f>
        <v/>
      </c>
      <c r="O11" s="565" t="e">
        <f ca="1">IF(AND(O1=1,O15=0),"▼",IF(AND(O1=1,LEN(O12)&gt;100),"Nome &gt;100",""))</f>
        <v>#VALUE!</v>
      </c>
      <c r="P11" s="7"/>
      <c r="Q11" s="565" t="str">
        <f t="shared" ref="Q11:Z11" ca="1" si="0">IF(AND(Q1=1,Q15=0),"▼",IF(AND(Q1=1,LEN(Q12)&gt;100),"Nome &gt;100",""))</f>
        <v/>
      </c>
      <c r="R11" s="565" t="str">
        <f t="shared" ca="1" si="0"/>
        <v/>
      </c>
      <c r="S11" s="565" t="str">
        <f t="shared" ca="1" si="0"/>
        <v/>
      </c>
      <c r="T11" s="565" t="str">
        <f t="shared" ca="1" si="0"/>
        <v/>
      </c>
      <c r="U11" s="565" t="str">
        <f t="shared" ca="1" si="0"/>
        <v/>
      </c>
      <c r="V11" s="565" t="str">
        <f t="shared" ca="1" si="0"/>
        <v/>
      </c>
      <c r="W11" s="565" t="str">
        <f t="shared" ca="1" si="0"/>
        <v/>
      </c>
      <c r="X11" s="565" t="str">
        <f t="shared" ca="1" si="0"/>
        <v/>
      </c>
      <c r="Y11" s="565" t="str">
        <f t="shared" ca="1" si="0"/>
        <v/>
      </c>
      <c r="Z11" s="565" t="str">
        <f t="shared" ca="1" si="0"/>
        <v/>
      </c>
    </row>
    <row r="12" spans="1:59" ht="69.95" customHeight="1" x14ac:dyDescent="0.2">
      <c r="A12" s="598">
        <f>IF(Import.Eventos.Nível="Definir Manualmente","Manual",MATCH(Import.Eventos.Nível,EVENTOS!$B$6:$B$9,0)+1)</f>
        <v>2</v>
      </c>
      <c r="B12" s="7" t="s">
        <v>769</v>
      </c>
      <c r="C12" s="488" t="s">
        <v>655</v>
      </c>
      <c r="H12" s="149"/>
      <c r="I12" s="574" t="str">
        <f ca="1">IF(AND(ACOMPANHAMENTO="PLE",CÁLCULO.FrentesPreenchidas=0),"",
  IF(COUNTIF($J$15:$J$55,"►E")&gt;0,"Falta Definir o Agrupador de Evento na linha "&amp;MATCH("►E",$J$15:$J$55,0)+ROW($J$14),
  IF(COUNTIF($J$15:$J$55,"►Q")&gt;0,"Falta preencher a quantidade do serviço na linha "&amp;MATCH("►Q",$J$15:$J$55,0)+ROW($J$14),
  IF(COUNTIF($J$15:$J$55,"►S")&gt;0,"Verifique as quantidades preenchidas na linha "&amp;MATCH("►S",$J$15:$J$55,0)+ROW($J$14),
  IF(AND(COUNTIF($P$11:$AA$11,"▼")=0,COUNTIF($J$15:$J$55,"◄")&gt;0),"Falta Preencher o Memorial de Cálculo na linha "&amp;MATCH("◄",$J$15:$J$55,0)+ROW($J$14),"")))))</f>
        <v/>
      </c>
      <c r="J12" s="150" t="s">
        <v>764</v>
      </c>
      <c r="K12" s="151" t="s">
        <v>770</v>
      </c>
      <c r="L12" s="150" t="s">
        <v>764</v>
      </c>
      <c r="M12" s="569" cm="1">
        <f t="array" aca="1" ref="M12" ca="1">IF(ACOMPANHAMENTO="BM",0,MAX($M$15:$M$55))</f>
        <v>8</v>
      </c>
      <c r="N12" s="573" t="str">
        <f ca="1">IF(AND(ACOMPANHAMENTO="PLE",CÁLCULO.FrentesPreenchidas=0),"Preencher os nomes das Frentes de Obra ►","FRENTES DE OBRA:")</f>
        <v>FRENTES DE OBRA:</v>
      </c>
      <c r="O12" s="152"/>
      <c r="P12" s="150" t="s">
        <v>764</v>
      </c>
      <c r="Q12" s="451">
        <v>1</v>
      </c>
      <c r="R12" s="152">
        <v>2</v>
      </c>
      <c r="S12" s="152">
        <v>3</v>
      </c>
      <c r="T12" s="519">
        <v>4</v>
      </c>
      <c r="U12" s="152"/>
      <c r="V12" s="152"/>
      <c r="W12" s="152"/>
      <c r="X12" s="152"/>
      <c r="Y12" s="152"/>
      <c r="Z12" s="153"/>
      <c r="AA12" s="150" t="s">
        <v>764</v>
      </c>
      <c r="AB12" s="154">
        <f ca="1">IF(OFFSET($P$1,0,AB$13)=0,0,OFFSET($P$12,0,AB$13))</f>
        <v>1</v>
      </c>
      <c r="AC12" s="154">
        <f t="shared" ref="AC12:AK12" ca="1" si="1">IF(OFFSET($P$1,0,AC$13)=0,0,OFFSET($P$12,0,AC$13))</f>
        <v>2</v>
      </c>
      <c r="AD12" s="154">
        <f t="shared" ca="1" si="1"/>
        <v>3</v>
      </c>
      <c r="AE12" s="154">
        <f t="shared" ca="1" si="1"/>
        <v>4</v>
      </c>
      <c r="AF12" s="154">
        <f t="shared" ca="1" si="1"/>
        <v>0</v>
      </c>
      <c r="AG12" s="154">
        <f t="shared" ca="1" si="1"/>
        <v>0</v>
      </c>
      <c r="AH12" s="154">
        <f t="shared" ca="1" si="1"/>
        <v>0</v>
      </c>
      <c r="AI12" s="154">
        <f t="shared" ca="1" si="1"/>
        <v>0</v>
      </c>
      <c r="AJ12" s="154">
        <f t="shared" ca="1" si="1"/>
        <v>0</v>
      </c>
      <c r="AK12" s="154">
        <f t="shared" ca="1" si="1"/>
        <v>0</v>
      </c>
      <c r="AM12" s="154">
        <f t="shared" ref="AM12:BG12" ca="1" si="2">IF(OFFSET($P$1,0,AM$13)=0,0,OFFSET($P$12,0,AM$13))</f>
        <v>1</v>
      </c>
      <c r="AN12" s="155">
        <f t="shared" ca="1" si="2"/>
        <v>2</v>
      </c>
      <c r="AO12" s="155">
        <f t="shared" ca="1" si="2"/>
        <v>3</v>
      </c>
      <c r="AP12" s="155">
        <f t="shared" ca="1" si="2"/>
        <v>4</v>
      </c>
      <c r="AQ12" s="155">
        <f t="shared" ca="1" si="2"/>
        <v>0</v>
      </c>
      <c r="AR12" s="155">
        <f t="shared" ca="1" si="2"/>
        <v>0</v>
      </c>
      <c r="AS12" s="155">
        <f t="shared" ca="1" si="2"/>
        <v>0</v>
      </c>
      <c r="AT12" s="155">
        <f t="shared" ca="1" si="2"/>
        <v>0</v>
      </c>
      <c r="AU12" s="155">
        <f t="shared" ca="1" si="2"/>
        <v>0</v>
      </c>
      <c r="AV12" s="156">
        <f t="shared" ca="1" si="2"/>
        <v>0</v>
      </c>
      <c r="AX12" s="154">
        <f t="shared" ca="1" si="2"/>
        <v>1</v>
      </c>
      <c r="AY12" s="155">
        <f t="shared" ca="1" si="2"/>
        <v>2</v>
      </c>
      <c r="AZ12" s="155">
        <f t="shared" ca="1" si="2"/>
        <v>3</v>
      </c>
      <c r="BA12" s="155">
        <f t="shared" ca="1" si="2"/>
        <v>4</v>
      </c>
      <c r="BB12" s="155">
        <f t="shared" ca="1" si="2"/>
        <v>0</v>
      </c>
      <c r="BC12" s="155">
        <f t="shared" ca="1" si="2"/>
        <v>0</v>
      </c>
      <c r="BD12" s="155">
        <f t="shared" ca="1" si="2"/>
        <v>0</v>
      </c>
      <c r="BE12" s="155">
        <f t="shared" ca="1" si="2"/>
        <v>0</v>
      </c>
      <c r="BF12" s="155">
        <f t="shared" ca="1" si="2"/>
        <v>0</v>
      </c>
      <c r="BG12" s="156">
        <f t="shared" ca="1" si="2"/>
        <v>0</v>
      </c>
    </row>
    <row r="13" spans="1:59" ht="12.75" customHeight="1" x14ac:dyDescent="0.2">
      <c r="A13" s="599" t="s">
        <v>771</v>
      </c>
      <c r="B13" s="7" t="s">
        <v>769</v>
      </c>
      <c r="C13" s="489" t="s">
        <v>660</v>
      </c>
      <c r="D13" s="106" t="s">
        <v>733</v>
      </c>
      <c r="E13" s="106" t="s">
        <v>735</v>
      </c>
      <c r="F13" s="106" t="s">
        <v>118</v>
      </c>
      <c r="G13" s="108" t="s">
        <v>738</v>
      </c>
      <c r="H13" s="106" t="s">
        <v>712</v>
      </c>
      <c r="I13" s="106" t="s">
        <v>772</v>
      </c>
      <c r="J13" s="521"/>
      <c r="K13" s="291" t="s">
        <v>773</v>
      </c>
      <c r="L13" s="150"/>
      <c r="M13" s="106" t="s">
        <v>774</v>
      </c>
      <c r="N13" s="106" t="s">
        <v>775</v>
      </c>
      <c r="O13" s="157" t="e">
        <f ca="1">OFFSET(O13,0,-1)+1</f>
        <v>#VALUE!</v>
      </c>
      <c r="Q13" s="158">
        <f t="shared" ref="Q13:Z13" ca="1" si="3">OFFSET(Q13,0,-1)+1</f>
        <v>1</v>
      </c>
      <c r="R13" s="157">
        <f t="shared" ca="1" si="3"/>
        <v>2</v>
      </c>
      <c r="S13" s="157">
        <f t="shared" ca="1" si="3"/>
        <v>3</v>
      </c>
      <c r="T13" s="157">
        <f t="shared" ca="1" si="3"/>
        <v>4</v>
      </c>
      <c r="U13" s="157">
        <f t="shared" ca="1" si="3"/>
        <v>5</v>
      </c>
      <c r="V13" s="157">
        <f t="shared" ca="1" si="3"/>
        <v>6</v>
      </c>
      <c r="W13" s="157">
        <f t="shared" ca="1" si="3"/>
        <v>7</v>
      </c>
      <c r="X13" s="157">
        <f t="shared" ca="1" si="3"/>
        <v>8</v>
      </c>
      <c r="Y13" s="157">
        <f t="shared" ca="1" si="3"/>
        <v>9</v>
      </c>
      <c r="Z13" s="159">
        <f t="shared" ca="1" si="3"/>
        <v>10</v>
      </c>
      <c r="AB13" s="112">
        <f t="shared" ref="AB13:BG13" ca="1" si="4">OFFSET(AB13,0,-1)+1</f>
        <v>1</v>
      </c>
      <c r="AC13" s="160">
        <f t="shared" ca="1" si="4"/>
        <v>2</v>
      </c>
      <c r="AD13" s="160">
        <f t="shared" ca="1" si="4"/>
        <v>3</v>
      </c>
      <c r="AE13" s="160">
        <f t="shared" ca="1" si="4"/>
        <v>4</v>
      </c>
      <c r="AF13" s="160">
        <f t="shared" ca="1" si="4"/>
        <v>5</v>
      </c>
      <c r="AG13" s="160">
        <f t="shared" ca="1" si="4"/>
        <v>6</v>
      </c>
      <c r="AH13" s="160">
        <f t="shared" ca="1" si="4"/>
        <v>7</v>
      </c>
      <c r="AI13" s="160">
        <f t="shared" ca="1" si="4"/>
        <v>8</v>
      </c>
      <c r="AJ13" s="160">
        <f t="shared" ca="1" si="4"/>
        <v>9</v>
      </c>
      <c r="AK13" s="161">
        <f t="shared" ca="1" si="4"/>
        <v>10</v>
      </c>
      <c r="AM13" s="112">
        <f t="shared" ca="1" si="4"/>
        <v>1</v>
      </c>
      <c r="AN13" s="160">
        <f t="shared" ca="1" si="4"/>
        <v>2</v>
      </c>
      <c r="AO13" s="160">
        <f t="shared" ca="1" si="4"/>
        <v>3</v>
      </c>
      <c r="AP13" s="160">
        <f t="shared" ca="1" si="4"/>
        <v>4</v>
      </c>
      <c r="AQ13" s="160">
        <f t="shared" ca="1" si="4"/>
        <v>5</v>
      </c>
      <c r="AR13" s="160">
        <f t="shared" ca="1" si="4"/>
        <v>6</v>
      </c>
      <c r="AS13" s="160">
        <f t="shared" ca="1" si="4"/>
        <v>7</v>
      </c>
      <c r="AT13" s="160">
        <f t="shared" ca="1" si="4"/>
        <v>8</v>
      </c>
      <c r="AU13" s="160">
        <f t="shared" ca="1" si="4"/>
        <v>9</v>
      </c>
      <c r="AV13" s="161">
        <f t="shared" ca="1" si="4"/>
        <v>10</v>
      </c>
      <c r="AX13" s="112">
        <f t="shared" ca="1" si="4"/>
        <v>1</v>
      </c>
      <c r="AY13" s="160">
        <f t="shared" ca="1" si="4"/>
        <v>2</v>
      </c>
      <c r="AZ13" s="160">
        <f t="shared" ca="1" si="4"/>
        <v>3</v>
      </c>
      <c r="BA13" s="160">
        <f t="shared" ca="1" si="4"/>
        <v>4</v>
      </c>
      <c r="BB13" s="160">
        <f t="shared" ca="1" si="4"/>
        <v>5</v>
      </c>
      <c r="BC13" s="160">
        <f t="shared" ca="1" si="4"/>
        <v>6</v>
      </c>
      <c r="BD13" s="160">
        <f t="shared" ca="1" si="4"/>
        <v>7</v>
      </c>
      <c r="BE13" s="160">
        <f t="shared" ca="1" si="4"/>
        <v>8</v>
      </c>
      <c r="BF13" s="160">
        <f t="shared" ca="1" si="4"/>
        <v>9</v>
      </c>
      <c r="BG13" s="161">
        <f t="shared" ca="1" si="4"/>
        <v>10</v>
      </c>
    </row>
    <row r="14" spans="1:59" ht="12.75" hidden="1" x14ac:dyDescent="0.2">
      <c r="A14" s="7" t="str">
        <f ca="1">IFERROR(IF(AUTOEVENTO="Manual",IF(K14&lt;&gt;"",MIN(VALUE(LEFT(K14,FIND(".",K14)-1)),COUNTA(EVENTOS.Lista)),0),IF(OR($B14&gt;AUTOEVENTO,$B14="S",$B14=0),SUBSTITUTE(OFFSET($A14,-1,0),IF($D14="Serviço",".",""),""),$L14&amp;".")),0)</f>
        <v>1.</v>
      </c>
      <c r="B14" s="7">
        <f ca="1">OFFSET(ORÇAMENTO!C$15,$L14,0)</f>
        <v>1</v>
      </c>
      <c r="C14" s="7" t="str">
        <f ca="1">OFFSET(ORÇAMENTO!L$15,$L14,0)</f>
        <v>F</v>
      </c>
      <c r="D14" s="115" t="str">
        <f ca="1">OFFSET(ORÇAMENTO!N$15,$L14,0)</f>
        <v>Meta</v>
      </c>
      <c r="E14" s="116" t="str">
        <f ca="1">OFFSET(ORÇAMENTO!O$15,$L14,0)</f>
        <v>1.</v>
      </c>
      <c r="F14" s="162" t="str">
        <f ca="1">OFFSET(ORÇAMENTO!R$15,$L14,0)</f>
        <v>CONSTRUÇÃO DE PONTE E PAVIMENTAÇÃO DE ESTRADA VICINAL</v>
      </c>
      <c r="G14" s="163" t="str">
        <f ca="1">IF($D14&lt;&gt;"Serviço","",OFFSET(ORÇAMENTO!S$15,$L14,0))</f>
        <v/>
      </c>
      <c r="H14" s="121" cm="1">
        <f t="array" aca="1" ref="H14" ca="1">IF($D14&lt;&gt;"Serviço",0,IF(ACOMPANHAMENTO="BM",ROUND(OFFSET(ORÇAMENTO!AJ$15,$L14,0),15-13*ORÇAMENTO!$AF$7),IF(IFERROR(CÁLCULO.FrentesPreenchidas,0)=0,0,SUM(ROUND(OFFSET($P14,0,1,1,CÁLCULO.FrentesPreenchidas),15-13*ORÇAMENTO!$AF$7)))))</f>
        <v>0</v>
      </c>
      <c r="I14" s="467"/>
      <c r="J14" s="650" t="str" cm="1">
        <f t="array" aca="1" ref="J14" ca="1">IF(OR(B14&lt;&gt;"S",CÁLCULO.FrentesPreenchidas=0),"",IF(AND(ACOMPANHAMENTO="PLE",AUTOEVENTO="Manual",OR(H14&gt;0,ORÇAMENTO!AC14="QUANT."),OR(K14="",M14=0,N14="")),"►E",IF(AND(ACOMPANHAMENTO="PLE",ORÇAMENTO!AC14="QUANT."),"►Q",IF(AND(ACOMPANHAMENTO="PLE",H14&lt;&gt;SUMPRODUCT(($Q$1:$AA$1=1)*ROUND(Q14:AA14,15))),"►S",IF(AND(COUNTIF($P$11:$AA$11,"▼")=0,H14&gt;0,I14=""),"◄M","")))))</f>
        <v/>
      </c>
      <c r="K14" s="651"/>
      <c r="L14" s="164">
        <f ca="1">OFFSET(L14,-1,0)+1</f>
        <v>1</v>
      </c>
      <c r="M14" s="165" t="str">
        <f ca="1">IF($D14&lt;&gt;"Serviço","",
          IF(AUTOEVENTO="manual",$A14,
                IF(ISERROR(MATCH($A14,$A$15:OFFSET($A14,-1,0),0)),MAX($M$15:OFFSET(M14,-1,0))+1,
                      INDEX($M$15:OFFSET(M14,-1,0),MATCH($A14,$A$15:OFFSET($A14,-1,0),0)))))</f>
        <v/>
      </c>
      <c r="N14" s="166" t="str">
        <f ca="1">IF($D14&lt;&gt;"Serviço","",
         IF(AUTOEVENTO="Manual",
                IF($A14=0,"&lt;-- defina o número do agrupador",
                       OFFSET(EVENTOS!$D$15,$A14-$A$15,0)),
                OFFSET($F$15,$A14,0)))</f>
        <v/>
      </c>
      <c r="O14" s="167"/>
      <c r="Q14" s="167"/>
      <c r="R14" s="168"/>
      <c r="S14" s="168"/>
      <c r="T14" s="168"/>
      <c r="U14" s="168"/>
      <c r="V14" s="168"/>
      <c r="W14" s="168"/>
      <c r="X14" s="168"/>
      <c r="Y14" s="168"/>
      <c r="Z14" s="169"/>
      <c r="AB14" s="452">
        <f ca="1">IF(AND($D14="Serviço",AB$12&lt;&gt;0,$H14&gt;0,OR(AUTOEVENTO&lt;&gt;"manual",$M14&lt;&gt;$A$15)),
        IF(Import.TipoArredondamento&lt;&gt;"TransfereGOV",
              ROUND(OFFSET($P14,0,AB$13),15-13*ORÇAMENTO!$AF$7)/$H14*OFFSET(ORÇAMENTO!$X$15,ROW(AB14)-ROW(AB$15),0),
              ROUND(ROUND(OFFSET($P14,0,AB$13),15-13*ORÇAMENTO!$AF$7)*OFFSET(ORÇAMENTO!$W$15,ROW(AB14)-ROW(AB$15),0),15-13*ORÇAMENTO!$AF$11)),
         0)</f>
        <v>0</v>
      </c>
      <c r="AC14" s="452">
        <f ca="1">IF(AND($D14="Serviço",AC$12&lt;&gt;0,$H14&gt;0,OR(AUTOEVENTO&lt;&gt;"manual",$M14&lt;&gt;$A$15)),
        IF(Import.TipoArredondamento&lt;&gt;"TransfereGOV",
              ROUND(OFFSET($P14,0,AC$13),15-13*ORÇAMENTO!$AF$7)/$H14*OFFSET(ORÇAMENTO!$X$15,ROW(AC14)-ROW(AC$15),0),
              ROUND(ROUND(OFFSET($P14,0,AC$13),15-13*ORÇAMENTO!$AF$7)*OFFSET(ORÇAMENTO!$W$15,ROW(AC14)-ROW(AC$15),0),15-13*ORÇAMENTO!$AF$11)),
         0)</f>
        <v>0</v>
      </c>
      <c r="AD14" s="452">
        <f ca="1">IF(AND($D14="Serviço",AD$12&lt;&gt;0,$H14&gt;0,OR(AUTOEVENTO&lt;&gt;"manual",$M14&lt;&gt;$A$15)),
        IF(Import.TipoArredondamento&lt;&gt;"TransfereGOV",
              ROUND(OFFSET($P14,0,AD$13),15-13*ORÇAMENTO!$AF$7)/$H14*OFFSET(ORÇAMENTO!$X$15,ROW(AD14)-ROW(AD$15),0),
              ROUND(ROUND(OFFSET($P14,0,AD$13),15-13*ORÇAMENTO!$AF$7)*OFFSET(ORÇAMENTO!$W$15,ROW(AD14)-ROW(AD$15),0),15-13*ORÇAMENTO!$AF$11)),
         0)</f>
        <v>0</v>
      </c>
      <c r="AE14" s="452">
        <f ca="1">IF(AND($D14="Serviço",AE$12&lt;&gt;0,$H14&gt;0,OR(AUTOEVENTO&lt;&gt;"manual",$M14&lt;&gt;$A$15)),
        IF(Import.TipoArredondamento&lt;&gt;"TransfereGOV",
              ROUND(OFFSET($P14,0,AE$13),15-13*ORÇAMENTO!$AF$7)/$H14*OFFSET(ORÇAMENTO!$X$15,ROW(AE14)-ROW(AE$15),0),
              ROUND(ROUND(OFFSET($P14,0,AE$13),15-13*ORÇAMENTO!$AF$7)*OFFSET(ORÇAMENTO!$W$15,ROW(AE14)-ROW(AE$15),0),15-13*ORÇAMENTO!$AF$11)),
         0)</f>
        <v>0</v>
      </c>
      <c r="AF14" s="452">
        <f ca="1">IF(AND($D14="Serviço",AF$12&lt;&gt;0,$H14&gt;0,OR(AUTOEVENTO&lt;&gt;"manual",$M14&lt;&gt;$A$15)),
        IF(Import.TipoArredondamento&lt;&gt;"TransfereGOV",
              ROUND(OFFSET($P14,0,AF$13),15-13*ORÇAMENTO!$AF$7)/$H14*OFFSET(ORÇAMENTO!$X$15,ROW(AF14)-ROW(AF$15),0),
              ROUND(ROUND(OFFSET($P14,0,AF$13),15-13*ORÇAMENTO!$AF$7)*OFFSET(ORÇAMENTO!$W$15,ROW(AF14)-ROW(AF$15),0),15-13*ORÇAMENTO!$AF$11)),
         0)</f>
        <v>0</v>
      </c>
      <c r="AG14" s="452">
        <f ca="1">IF(AND($D14="Serviço",AG$12&lt;&gt;0,$H14&gt;0,OR(AUTOEVENTO&lt;&gt;"manual",$M14&lt;&gt;$A$15)),
        IF(Import.TipoArredondamento&lt;&gt;"TransfereGOV",
              ROUND(OFFSET($P14,0,AG$13),15-13*ORÇAMENTO!$AF$7)/$H14*OFFSET(ORÇAMENTO!$X$15,ROW(AG14)-ROW(AG$15),0),
              ROUND(ROUND(OFFSET($P14,0,AG$13),15-13*ORÇAMENTO!$AF$7)*OFFSET(ORÇAMENTO!$W$15,ROW(AG14)-ROW(AG$15),0),15-13*ORÇAMENTO!$AF$11)),
         0)</f>
        <v>0</v>
      </c>
      <c r="AH14" s="452">
        <f ca="1">IF(AND($D14="Serviço",AH$12&lt;&gt;0,$H14&gt;0,OR(AUTOEVENTO&lt;&gt;"manual",$M14&lt;&gt;$A$15)),
        IF(Import.TipoArredondamento&lt;&gt;"TransfereGOV",
              ROUND(OFFSET($P14,0,AH$13),15-13*ORÇAMENTO!$AF$7)/$H14*OFFSET(ORÇAMENTO!$X$15,ROW(AH14)-ROW(AH$15),0),
              ROUND(ROUND(OFFSET($P14,0,AH$13),15-13*ORÇAMENTO!$AF$7)*OFFSET(ORÇAMENTO!$W$15,ROW(AH14)-ROW(AH$15),0),15-13*ORÇAMENTO!$AF$11)),
         0)</f>
        <v>0</v>
      </c>
      <c r="AI14" s="452">
        <f ca="1">IF(AND($D14="Serviço",AI$12&lt;&gt;0,$H14&gt;0,OR(AUTOEVENTO&lt;&gt;"manual",$M14&lt;&gt;$A$15)),
        IF(Import.TipoArredondamento&lt;&gt;"TransfereGOV",
              ROUND(OFFSET($P14,0,AI$13),15-13*ORÇAMENTO!$AF$7)/$H14*OFFSET(ORÇAMENTO!$X$15,ROW(AI14)-ROW(AI$15),0),
              ROUND(ROUND(OFFSET($P14,0,AI$13),15-13*ORÇAMENTO!$AF$7)*OFFSET(ORÇAMENTO!$W$15,ROW(AI14)-ROW(AI$15),0),15-13*ORÇAMENTO!$AF$11)),
         0)</f>
        <v>0</v>
      </c>
      <c r="AJ14" s="452">
        <f ca="1">IF(AND($D14="Serviço",AJ$12&lt;&gt;0,$H14&gt;0,OR(AUTOEVENTO&lt;&gt;"manual",$M14&lt;&gt;$A$15)),
        IF(Import.TipoArredondamento&lt;&gt;"TransfereGOV",
              ROUND(OFFSET($P14,0,AJ$13),15-13*ORÇAMENTO!$AF$7)/$H14*OFFSET(ORÇAMENTO!$X$15,ROW(AJ14)-ROW(AJ$15),0),
              ROUND(ROUND(OFFSET($P14,0,AJ$13),15-13*ORÇAMENTO!$AF$7)*OFFSET(ORÇAMENTO!$W$15,ROW(AJ14)-ROW(AJ$15),0),15-13*ORÇAMENTO!$AF$11)),
         0)</f>
        <v>0</v>
      </c>
      <c r="AK14" s="452">
        <f ca="1">IF(AND($D14="Serviço",AK$12&lt;&gt;0,$H14&gt;0,OR(AUTOEVENTO&lt;&gt;"manual",$M14&lt;&gt;$A$15)),
        IF(Import.TipoArredondamento&lt;&gt;"TransfereGOV",
              ROUND(OFFSET($P14,0,AK$13),15-13*ORÇAMENTO!$AF$7)/$H14*OFFSET(ORÇAMENTO!$X$15,ROW(AK14)-ROW(AK$15),0),
              ROUND(ROUND(OFFSET($P14,0,AK$13),15-13*ORÇAMENTO!$AF$7)*OFFSET(ORÇAMENTO!$W$15,ROW(AK14)-ROW(AK$15),0),15-13*ORÇAMENTO!$AF$11)),
         0)</f>
        <v>0</v>
      </c>
      <c r="AM14" s="170">
        <f ca="1">IF(OR($D14&lt;&gt;"Serviço",AND(AUTOEVENTO="Manual",$M14=$A$15)),0,
         IF(OFFSET(CRONOPLE!$F$15,$M14-$A$15,AM$13)=0,10^12,OFFSET(CRONOPLE!$F$15,$M14-$A$15,AM$13)))</f>
        <v>0</v>
      </c>
      <c r="AN14" s="170">
        <f ca="1">IF(OR($D14&lt;&gt;"Serviço",AND(AUTOEVENTO="Manual",$M14=$A$15)),0,
         IF(OFFSET(CRONOPLE!$F$15,$M14-$A$15,AN$13)=0,10^12,OFFSET(CRONOPLE!$F$15,$M14-$A$15,AN$13)))</f>
        <v>0</v>
      </c>
      <c r="AO14" s="170">
        <f ca="1">IF(OR($D14&lt;&gt;"Serviço",AND(AUTOEVENTO="Manual",$M14=$A$15)),0,
         IF(OFFSET(CRONOPLE!$F$15,$M14-$A$15,AO$13)=0,10^12,OFFSET(CRONOPLE!$F$15,$M14-$A$15,AO$13)))</f>
        <v>0</v>
      </c>
      <c r="AP14" s="170">
        <f ca="1">IF(OR($D14&lt;&gt;"Serviço",AND(AUTOEVENTO="Manual",$M14=$A$15)),0,
         IF(OFFSET(CRONOPLE!$F$15,$M14-$A$15,AP$13)=0,10^12,OFFSET(CRONOPLE!$F$15,$M14-$A$15,AP$13)))</f>
        <v>0</v>
      </c>
      <c r="AQ14" s="170">
        <f ca="1">IF(OR($D14&lt;&gt;"Serviço",AND(AUTOEVENTO="Manual",$M14=$A$15)),0,
         IF(OFFSET(CRONOPLE!$F$15,$M14-$A$15,AQ$13)=0,10^12,OFFSET(CRONOPLE!$F$15,$M14-$A$15,AQ$13)))</f>
        <v>0</v>
      </c>
      <c r="AR14" s="170">
        <f ca="1">IF(OR($D14&lt;&gt;"Serviço",AND(AUTOEVENTO="Manual",$M14=$A$15)),0,
         IF(OFFSET(CRONOPLE!$F$15,$M14-$A$15,AR$13)=0,10^12,OFFSET(CRONOPLE!$F$15,$M14-$A$15,AR$13)))</f>
        <v>0</v>
      </c>
      <c r="AS14" s="170">
        <f ca="1">IF(OR($D14&lt;&gt;"Serviço",AND(AUTOEVENTO="Manual",$M14=$A$15)),0,
         IF(OFFSET(CRONOPLE!$F$15,$M14-$A$15,AS$13)=0,10^12,OFFSET(CRONOPLE!$F$15,$M14-$A$15,AS$13)))</f>
        <v>0</v>
      </c>
      <c r="AT14" s="170">
        <f ca="1">IF(OR($D14&lt;&gt;"Serviço",AND(AUTOEVENTO="Manual",$M14=$A$15)),0,
         IF(OFFSET(CRONOPLE!$F$15,$M14-$A$15,AT$13)=0,10^12,OFFSET(CRONOPLE!$F$15,$M14-$A$15,AT$13)))</f>
        <v>0</v>
      </c>
      <c r="AU14" s="170">
        <f ca="1">IF(OR($D14&lt;&gt;"Serviço",AND(AUTOEVENTO="Manual",$M14=$A$15)),0,
         IF(OFFSET(CRONOPLE!$F$15,$M14-$A$15,AU$13)=0,10^12,OFFSET(CRONOPLE!$F$15,$M14-$A$15,AU$13)))</f>
        <v>0</v>
      </c>
      <c r="AV14" s="170">
        <f ca="1">IF(OR($D14&lt;&gt;"Serviço",AND(AUTOEVENTO="Manual",$M14=$A$15)),0,
         IF(OFFSET(CRONOPLE!$F$15,$M14-$A$15,AV$13)=0,10^12,OFFSET(CRONOPLE!$F$15,$M14-$A$15,AV$13)))</f>
        <v>0</v>
      </c>
      <c r="AX14" s="171" cm="1">
        <f t="array" aca="1" ref="AX14" ca="1">IF(OR($D14&lt;&gt;"Serviço",AND(AUTOEVENTO="Manual",$M14=$A$15),$M14&gt;(ROW(PLE.lastrow)-ROW(PLE.firstrow))),0,
           IF(OFFSET(PLE!$G$15,$M14-$A$15,AX$13)="",10^12,OFFSET(PLE!$G$15,$M14-$A$15,AX$13)))</f>
        <v>0</v>
      </c>
      <c r="AY14" s="171" cm="1">
        <f t="array" aca="1" ref="AY14" ca="1">IF(OR($D14&lt;&gt;"Serviço",AND(AUTOEVENTO="Manual",$M14=$A$15),$M14&gt;(ROW(PLE.lastrow)-ROW(PLE.firstrow))),0,
           IF(OFFSET(PLE!$G$15,$M14-$A$15,AY$13)="",10^12,OFFSET(PLE!$G$15,$M14-$A$15,AY$13)))</f>
        <v>0</v>
      </c>
      <c r="AZ14" s="171" cm="1">
        <f t="array" aca="1" ref="AZ14" ca="1">IF(OR($D14&lt;&gt;"Serviço",AND(AUTOEVENTO="Manual",$M14=$A$15),$M14&gt;(ROW(PLE.lastrow)-ROW(PLE.firstrow))),0,
           IF(OFFSET(PLE!$G$15,$M14-$A$15,AZ$13)="",10^12,OFFSET(PLE!$G$15,$M14-$A$15,AZ$13)))</f>
        <v>0</v>
      </c>
      <c r="BA14" s="171" cm="1">
        <f t="array" aca="1" ref="BA14" ca="1">IF(OR($D14&lt;&gt;"Serviço",AND(AUTOEVENTO="Manual",$M14=$A$15),$M14&gt;(ROW(PLE.lastrow)-ROW(PLE.firstrow))),0,
           IF(OFFSET(PLE!$G$15,$M14-$A$15,BA$13)="",10^12,OFFSET(PLE!$G$15,$M14-$A$15,BA$13)))</f>
        <v>0</v>
      </c>
      <c r="BB14" s="171" cm="1">
        <f t="array" aca="1" ref="BB14" ca="1">IF(OR($D14&lt;&gt;"Serviço",AND(AUTOEVENTO="Manual",$M14=$A$15),$M14&gt;(ROW(PLE.lastrow)-ROW(PLE.firstrow))),0,
           IF(OFFSET(PLE!$G$15,$M14-$A$15,BB$13)="",10^12,OFFSET(PLE!$G$15,$M14-$A$15,BB$13)))</f>
        <v>0</v>
      </c>
      <c r="BC14" s="171" cm="1">
        <f t="array" aca="1" ref="BC14" ca="1">IF(OR($D14&lt;&gt;"Serviço",AND(AUTOEVENTO="Manual",$M14=$A$15),$M14&gt;(ROW(PLE.lastrow)-ROW(PLE.firstrow))),0,
           IF(OFFSET(PLE!$G$15,$M14-$A$15,BC$13)="",10^12,OFFSET(PLE!$G$15,$M14-$A$15,BC$13)))</f>
        <v>0</v>
      </c>
      <c r="BD14" s="171" cm="1">
        <f t="array" aca="1" ref="BD14" ca="1">IF(OR($D14&lt;&gt;"Serviço",AND(AUTOEVENTO="Manual",$M14=$A$15),$M14&gt;(ROW(PLE.lastrow)-ROW(PLE.firstrow))),0,
           IF(OFFSET(PLE!$G$15,$M14-$A$15,BD$13)="",10^12,OFFSET(PLE!$G$15,$M14-$A$15,BD$13)))</f>
        <v>0</v>
      </c>
      <c r="BE14" s="171" cm="1">
        <f t="array" aca="1" ref="BE14" ca="1">IF(OR($D14&lt;&gt;"Serviço",AND(AUTOEVENTO="Manual",$M14=$A$15),$M14&gt;(ROW(PLE.lastrow)-ROW(PLE.firstrow))),0,
           IF(OFFSET(PLE!$G$15,$M14-$A$15,BE$13)="",10^12,OFFSET(PLE!$G$15,$M14-$A$15,BE$13)))</f>
        <v>0</v>
      </c>
      <c r="BF14" s="171" cm="1">
        <f t="array" aca="1" ref="BF14" ca="1">IF(OR($D14&lt;&gt;"Serviço",AND(AUTOEVENTO="Manual",$M14=$A$15),$M14&gt;(ROW(PLE.lastrow)-ROW(PLE.firstrow))),0,
           IF(OFFSET(PLE!$G$15,$M14-$A$15,BF$13)="",10^12,OFFSET(PLE!$G$15,$M14-$A$15,BF$13)))</f>
        <v>0</v>
      </c>
      <c r="BG14" s="171" cm="1">
        <f t="array" aca="1" ref="BG14" ca="1">IF(OR($D14&lt;&gt;"Serviço",AND(AUTOEVENTO="Manual",$M14=$A$15),$M14&gt;(ROW(PLE.lastrow)-ROW(PLE.firstrow))),0,
           IF(OFFSET(PLE!$G$15,$M14-$A$15,BG$13)="",10^12,OFFSET(PLE!$G$15,$M14-$A$15,BG$13)))</f>
        <v>0</v>
      </c>
    </row>
    <row r="15" spans="1:59" ht="12.75" customHeight="1" x14ac:dyDescent="0.2">
      <c r="A15" s="652" cm="1">
        <f t="array" ref="A15">IF(AdmLocal="Automática",1,0)</f>
        <v>0</v>
      </c>
      <c r="B15" s="7" t="str">
        <f ca="1">OFFSET(ORÇAMENTO!C$15,ROW(B15)-ROW(B$15),0)</f>
        <v>L</v>
      </c>
      <c r="C15" s="7" t="str">
        <f ca="1">OFFSET(ORÇAMENTO!L$15,ROW(C15)-ROW(C$15),0)</f>
        <v>F</v>
      </c>
      <c r="D15" s="129" t="str" cm="1">
        <f t="array" ref="D15">IF(TIPOORCAMENTO="LICITADO","CTEF","LOTE")</f>
        <v>LOTE</v>
      </c>
      <c r="E15" s="734" t="str">
        <f>Import.DescLote</f>
        <v>Infraestrutura</v>
      </c>
      <c r="F15" s="734"/>
      <c r="G15" s="734"/>
      <c r="H15" s="734"/>
      <c r="I15" s="468"/>
      <c r="J15" s="521"/>
      <c r="K15" s="632"/>
      <c r="L15" s="164">
        <v>0</v>
      </c>
      <c r="M15" s="567">
        <v>0</v>
      </c>
      <c r="N15" s="172" t="s">
        <v>776</v>
      </c>
      <c r="O15" s="173" t="e">
        <f ca="1">OFFSET($AA$15,0,O$13)</f>
        <v>#VALUE!</v>
      </c>
      <c r="Q15" s="174">
        <f t="shared" ref="Q15:Z15" ca="1" si="5">OFFSET($AA$15,0,Q$13)</f>
        <v>191558.55</v>
      </c>
      <c r="R15" s="173">
        <f t="shared" ca="1" si="5"/>
        <v>240220.22999999998</v>
      </c>
      <c r="S15" s="173">
        <f t="shared" ca="1" si="5"/>
        <v>350487.95999999996</v>
      </c>
      <c r="T15" s="173">
        <f t="shared" ca="1" si="5"/>
        <v>281897.10000000003</v>
      </c>
      <c r="U15" s="173">
        <f t="shared" ca="1" si="5"/>
        <v>0</v>
      </c>
      <c r="V15" s="173">
        <f t="shared" ca="1" si="5"/>
        <v>0</v>
      </c>
      <c r="W15" s="173">
        <f t="shared" ca="1" si="5"/>
        <v>0</v>
      </c>
      <c r="X15" s="173">
        <f t="shared" ca="1" si="5"/>
        <v>0</v>
      </c>
      <c r="Y15" s="173">
        <f t="shared" ca="1" si="5"/>
        <v>0</v>
      </c>
      <c r="Z15" s="175">
        <f t="shared" ca="1" si="5"/>
        <v>0</v>
      </c>
      <c r="AB15" s="176">
        <f ca="1">ROUND(SUM(OFFSET(AB$15,1,0):AB$55),2)</f>
        <v>191558.55</v>
      </c>
      <c r="AC15" s="176">
        <f ca="1">SUM(OFFSET(AC$15,1,0):AC$55)</f>
        <v>240220.22999999998</v>
      </c>
      <c r="AD15" s="176">
        <f ca="1">SUM(OFFSET(AD$15,1,0):AD$55)</f>
        <v>350487.95999999996</v>
      </c>
      <c r="AE15" s="176">
        <f ca="1">SUM(OFFSET(AE$15,1,0):AE$55)</f>
        <v>281897.10000000003</v>
      </c>
      <c r="AF15" s="176">
        <f ca="1">SUM(OFFSET(AF$15,1,0):AF$55)</f>
        <v>0</v>
      </c>
      <c r="AG15" s="176">
        <f ca="1">SUM(OFFSET(AG$15,1,0):AG$55)</f>
        <v>0</v>
      </c>
      <c r="AH15" s="176">
        <f ca="1">SUM(OFFSET(AH$15,1,0):AH$55)</f>
        <v>0</v>
      </c>
      <c r="AI15" s="176">
        <f ca="1">SUM(OFFSET(AI$15,1,0):AI$55)</f>
        <v>0</v>
      </c>
      <c r="AJ15" s="176">
        <f ca="1">SUM(OFFSET(AJ$15,1,0):AJ$55)</f>
        <v>0</v>
      </c>
      <c r="AK15" s="176">
        <f ca="1">SUM(OFFSET(AK$15,1,0):AK$55)</f>
        <v>0</v>
      </c>
      <c r="AM15" s="177">
        <f>10^12</f>
        <v>1000000000000</v>
      </c>
      <c r="AN15" s="177">
        <f t="shared" ref="AN15:AV15" si="6">10^12</f>
        <v>1000000000000</v>
      </c>
      <c r="AO15" s="177">
        <f t="shared" si="6"/>
        <v>1000000000000</v>
      </c>
      <c r="AP15" s="177">
        <f t="shared" si="6"/>
        <v>1000000000000</v>
      </c>
      <c r="AQ15" s="177">
        <f t="shared" si="6"/>
        <v>1000000000000</v>
      </c>
      <c r="AR15" s="177">
        <f t="shared" si="6"/>
        <v>1000000000000</v>
      </c>
      <c r="AS15" s="177">
        <f t="shared" si="6"/>
        <v>1000000000000</v>
      </c>
      <c r="AT15" s="177">
        <f t="shared" si="6"/>
        <v>1000000000000</v>
      </c>
      <c r="AU15" s="177">
        <f t="shared" si="6"/>
        <v>1000000000000</v>
      </c>
      <c r="AV15" s="177">
        <f t="shared" si="6"/>
        <v>1000000000000</v>
      </c>
      <c r="AX15" s="177">
        <f t="shared" ref="AX15:BG15" si="7">10^12</f>
        <v>1000000000000</v>
      </c>
      <c r="AY15" s="177">
        <f t="shared" si="7"/>
        <v>1000000000000</v>
      </c>
      <c r="AZ15" s="177">
        <f t="shared" si="7"/>
        <v>1000000000000</v>
      </c>
      <c r="BA15" s="177">
        <f t="shared" si="7"/>
        <v>1000000000000</v>
      </c>
      <c r="BB15" s="177">
        <f t="shared" si="7"/>
        <v>1000000000000</v>
      </c>
      <c r="BC15" s="177">
        <f t="shared" si="7"/>
        <v>1000000000000</v>
      </c>
      <c r="BD15" s="177">
        <f t="shared" si="7"/>
        <v>1000000000000</v>
      </c>
      <c r="BE15" s="177">
        <f t="shared" si="7"/>
        <v>1000000000000</v>
      </c>
      <c r="BF15" s="177">
        <f t="shared" si="7"/>
        <v>1000000000000</v>
      </c>
      <c r="BG15" s="177">
        <f t="shared" si="7"/>
        <v>1000000000000</v>
      </c>
    </row>
    <row r="16" spans="1:59" ht="12.75" x14ac:dyDescent="0.2">
      <c r="A16" s="7" t="str">
        <f t="shared" ref="A16:A54" ca="1" si="8">IFERROR(IF(AUTOEVENTO="Manual",IF(K16&lt;&gt;"",MIN(VALUE(LEFT(K16,FIND(".",K16)-1)),COUNTA(EVENTOS.Lista)),0),IF(OR($B16&gt;AUTOEVENTO,$B16="S",$B16=0),SUBSTITUTE(OFFSET($A16,-1,0),IF($D16="Serviço",".",""),""),$L16&amp;".")),0)</f>
        <v>1.</v>
      </c>
      <c r="B16" s="7">
        <f ca="1">OFFSET(ORÇAMENTO!C$15,$L16,0)</f>
        <v>1</v>
      </c>
      <c r="C16" s="7" t="str">
        <f ca="1">OFFSET(ORÇAMENTO!L$15,$L16,0)</f>
        <v>F</v>
      </c>
      <c r="D16" s="115" t="str">
        <f ca="1">OFFSET(ORÇAMENTO!N$15,$L16,0)</f>
        <v>Meta</v>
      </c>
      <c r="E16" s="116" t="str">
        <f ca="1">OFFSET(ORÇAMENTO!O$15,$L16,0)</f>
        <v>1.</v>
      </c>
      <c r="F16" s="162" t="str">
        <f ca="1">OFFSET(ORÇAMENTO!R$15,$L16,0)</f>
        <v>CONSTRUÇÃO DE PONTE E PAVIMENTAÇÃO DE ESTRADA VICINAL</v>
      </c>
      <c r="G16" s="163" t="str">
        <f ca="1">IF($D16&lt;&gt;"Serviço","",OFFSET(ORÇAMENTO!S$15,$L16,0))</f>
        <v/>
      </c>
      <c r="H16" s="121" cm="1">
        <f t="array" aca="1" ref="H16" ca="1">IF($D16&lt;&gt;"Serviço",0,IF(ACOMPANHAMENTO="BM",ROUND(OFFSET(ORÇAMENTO!AJ$15,$L16,0),15-13*ORÇAMENTO!$AF$7),IF(IFERROR(CÁLCULO.FrentesPreenchidas,0)=0,0,SUM(ROUND(OFFSET($P16,0,1,1,CÁLCULO.FrentesPreenchidas),15-13*ORÇAMENTO!$AF$7)))))</f>
        <v>0</v>
      </c>
      <c r="I16" s="467"/>
      <c r="J16" s="650" t="str" cm="1">
        <f t="array" aca="1" ref="J16" ca="1">IF(OR(B16&lt;&gt;"S",CÁLCULO.FrentesPreenchidas=0),"",IF(AND(ACOMPANHAMENTO="PLE",AUTOEVENTO="Manual",OR(H16&gt;0,ORÇAMENTO!AC16="QUANT."),OR(K16="",M16=0,N16="")),"►E",IF(AND(ACOMPANHAMENTO="PLE",ORÇAMENTO!AC16="QUANT."),"►Q",IF(AND(ACOMPANHAMENTO="PLE",H16&lt;&gt;SUMPRODUCT(($Q$1:$AA$1=1)*ROUND(Q16:AA16,15))),"►S",IF(AND(COUNTIF($P$11:$AA$11,"▼")=0,H16&gt;0,I16=""),"◄M","")))))</f>
        <v/>
      </c>
      <c r="K16" s="651"/>
      <c r="L16" s="164">
        <f t="shared" ref="L16:L54" ca="1" si="9">OFFSET(L16,-1,0)+1</f>
        <v>1</v>
      </c>
      <c r="M16" s="165" t="str">
        <f ca="1">IF($D16&lt;&gt;"Serviço","",
          IF(AUTOEVENTO="manual",$A16,
                IF(ISERROR(MATCH($A16,$A$15:OFFSET($A16,-1,0),0)),MAX($M$15:OFFSET(M16,-1,0))+1,
                      INDEX($M$15:OFFSET(M16,-1,0),MATCH($A16,$A$15:OFFSET($A16,-1,0),0)))))</f>
        <v/>
      </c>
      <c r="N16" s="166" t="str">
        <f ca="1">IF($D16&lt;&gt;"Serviço","",
         IF(AUTOEVENTO="Manual",
                IF($A16=0,"&lt;-- defina o número do agrupador",
                       OFFSET(EVENTOS!$D$15,$A16-$A$15,0)),
                OFFSET($F$15,$A16,0)))</f>
        <v/>
      </c>
      <c r="O16" s="167"/>
      <c r="Q16" s="167"/>
      <c r="R16" s="168"/>
      <c r="S16" s="168"/>
      <c r="T16" s="168"/>
      <c r="U16" s="168"/>
      <c r="V16" s="168"/>
      <c r="W16" s="168"/>
      <c r="X16" s="168"/>
      <c r="Y16" s="168"/>
      <c r="Z16" s="169"/>
      <c r="AB16" s="452">
        <f ca="1">IF(AND($D16="Serviço",AB$12&lt;&gt;0,$H16&gt;0,OR(AUTOEVENTO&lt;&gt;"manual",$M16&lt;&gt;$A$15)),
        IF(Import.TipoArredondamento&lt;&gt;"TransfereGOV",
              ROUND(OFFSET($P16,0,AB$13),15-13*ORÇAMENTO!$AF$7)/$H16*OFFSET(ORÇAMENTO!$X$15,ROW(AB16)-ROW(AB$15),0),
              ROUND(ROUND(OFFSET($P16,0,AB$13),15-13*ORÇAMENTO!$AF$7)*OFFSET(ORÇAMENTO!$W$15,ROW(AB16)-ROW(AB$15),0),15-13*ORÇAMENTO!$AF$11)),
         0)</f>
        <v>0</v>
      </c>
      <c r="AC16" s="452">
        <f ca="1">IF(AND($D16="Serviço",AC$12&lt;&gt;0,$H16&gt;0,OR(AUTOEVENTO&lt;&gt;"manual",$M16&lt;&gt;$A$15)),
        IF(Import.TipoArredondamento&lt;&gt;"TransfereGOV",
              ROUND(OFFSET($P16,0,AC$13),15-13*ORÇAMENTO!$AF$7)/$H16*OFFSET(ORÇAMENTO!$X$15,ROW(AC16)-ROW(AC$15),0),
              ROUND(ROUND(OFFSET($P16,0,AC$13),15-13*ORÇAMENTO!$AF$7)*OFFSET(ORÇAMENTO!$W$15,ROW(AC16)-ROW(AC$15),0),15-13*ORÇAMENTO!$AF$11)),
         0)</f>
        <v>0</v>
      </c>
      <c r="AD16" s="452">
        <f ca="1">IF(AND($D16="Serviço",AD$12&lt;&gt;0,$H16&gt;0,OR(AUTOEVENTO&lt;&gt;"manual",$M16&lt;&gt;$A$15)),
        IF(Import.TipoArredondamento&lt;&gt;"TransfereGOV",
              ROUND(OFFSET($P16,0,AD$13),15-13*ORÇAMENTO!$AF$7)/$H16*OFFSET(ORÇAMENTO!$X$15,ROW(AD16)-ROW(AD$15),0),
              ROUND(ROUND(OFFSET($P16,0,AD$13),15-13*ORÇAMENTO!$AF$7)*OFFSET(ORÇAMENTO!$W$15,ROW(AD16)-ROW(AD$15),0),15-13*ORÇAMENTO!$AF$11)),
         0)</f>
        <v>0</v>
      </c>
      <c r="AE16" s="452">
        <f ca="1">IF(AND($D16="Serviço",AE$12&lt;&gt;0,$H16&gt;0,OR(AUTOEVENTO&lt;&gt;"manual",$M16&lt;&gt;$A$15)),
        IF(Import.TipoArredondamento&lt;&gt;"TransfereGOV",
              ROUND(OFFSET($P16,0,AE$13),15-13*ORÇAMENTO!$AF$7)/$H16*OFFSET(ORÇAMENTO!$X$15,ROW(AE16)-ROW(AE$15),0),
              ROUND(ROUND(OFFSET($P16,0,AE$13),15-13*ORÇAMENTO!$AF$7)*OFFSET(ORÇAMENTO!$W$15,ROW(AE16)-ROW(AE$15),0),15-13*ORÇAMENTO!$AF$11)),
         0)</f>
        <v>0</v>
      </c>
      <c r="AF16" s="452">
        <f ca="1">IF(AND($D16="Serviço",AF$12&lt;&gt;0,$H16&gt;0,OR(AUTOEVENTO&lt;&gt;"manual",$M16&lt;&gt;$A$15)),
        IF(Import.TipoArredondamento&lt;&gt;"TransfereGOV",
              ROUND(OFFSET($P16,0,AF$13),15-13*ORÇAMENTO!$AF$7)/$H16*OFFSET(ORÇAMENTO!$X$15,ROW(AF16)-ROW(AF$15),0),
              ROUND(ROUND(OFFSET($P16,0,AF$13),15-13*ORÇAMENTO!$AF$7)*OFFSET(ORÇAMENTO!$W$15,ROW(AF16)-ROW(AF$15),0),15-13*ORÇAMENTO!$AF$11)),
         0)</f>
        <v>0</v>
      </c>
      <c r="AG16" s="452">
        <f ca="1">IF(AND($D16="Serviço",AG$12&lt;&gt;0,$H16&gt;0,OR(AUTOEVENTO&lt;&gt;"manual",$M16&lt;&gt;$A$15)),
        IF(Import.TipoArredondamento&lt;&gt;"TransfereGOV",
              ROUND(OFFSET($P16,0,AG$13),15-13*ORÇAMENTO!$AF$7)/$H16*OFFSET(ORÇAMENTO!$X$15,ROW(AG16)-ROW(AG$15),0),
              ROUND(ROUND(OFFSET($P16,0,AG$13),15-13*ORÇAMENTO!$AF$7)*OFFSET(ORÇAMENTO!$W$15,ROW(AG16)-ROW(AG$15),0),15-13*ORÇAMENTO!$AF$11)),
         0)</f>
        <v>0</v>
      </c>
      <c r="AH16" s="452">
        <f ca="1">IF(AND($D16="Serviço",AH$12&lt;&gt;0,$H16&gt;0,OR(AUTOEVENTO&lt;&gt;"manual",$M16&lt;&gt;$A$15)),
        IF(Import.TipoArredondamento&lt;&gt;"TransfereGOV",
              ROUND(OFFSET($P16,0,AH$13),15-13*ORÇAMENTO!$AF$7)/$H16*OFFSET(ORÇAMENTO!$X$15,ROW(AH16)-ROW(AH$15),0),
              ROUND(ROUND(OFFSET($P16,0,AH$13),15-13*ORÇAMENTO!$AF$7)*OFFSET(ORÇAMENTO!$W$15,ROW(AH16)-ROW(AH$15),0),15-13*ORÇAMENTO!$AF$11)),
         0)</f>
        <v>0</v>
      </c>
      <c r="AI16" s="452">
        <f ca="1">IF(AND($D16="Serviço",AI$12&lt;&gt;0,$H16&gt;0,OR(AUTOEVENTO&lt;&gt;"manual",$M16&lt;&gt;$A$15)),
        IF(Import.TipoArredondamento&lt;&gt;"TransfereGOV",
              ROUND(OFFSET($P16,0,AI$13),15-13*ORÇAMENTO!$AF$7)/$H16*OFFSET(ORÇAMENTO!$X$15,ROW(AI16)-ROW(AI$15),0),
              ROUND(ROUND(OFFSET($P16,0,AI$13),15-13*ORÇAMENTO!$AF$7)*OFFSET(ORÇAMENTO!$W$15,ROW(AI16)-ROW(AI$15),0),15-13*ORÇAMENTO!$AF$11)),
         0)</f>
        <v>0</v>
      </c>
      <c r="AJ16" s="452">
        <f ca="1">IF(AND($D16="Serviço",AJ$12&lt;&gt;0,$H16&gt;0,OR(AUTOEVENTO&lt;&gt;"manual",$M16&lt;&gt;$A$15)),
        IF(Import.TipoArredondamento&lt;&gt;"TransfereGOV",
              ROUND(OFFSET($P16,0,AJ$13),15-13*ORÇAMENTO!$AF$7)/$H16*OFFSET(ORÇAMENTO!$X$15,ROW(AJ16)-ROW(AJ$15),0),
              ROUND(ROUND(OFFSET($P16,0,AJ$13),15-13*ORÇAMENTO!$AF$7)*OFFSET(ORÇAMENTO!$W$15,ROW(AJ16)-ROW(AJ$15),0),15-13*ORÇAMENTO!$AF$11)),
         0)</f>
        <v>0</v>
      </c>
      <c r="AK16" s="452">
        <f ca="1">IF(AND($D16="Serviço",AK$12&lt;&gt;0,$H16&gt;0,OR(AUTOEVENTO&lt;&gt;"manual",$M16&lt;&gt;$A$15)),
        IF(Import.TipoArredondamento&lt;&gt;"TransfereGOV",
              ROUND(OFFSET($P16,0,AK$13),15-13*ORÇAMENTO!$AF$7)/$H16*OFFSET(ORÇAMENTO!$X$15,ROW(AK16)-ROW(AK$15),0),
              ROUND(ROUND(OFFSET($P16,0,AK$13),15-13*ORÇAMENTO!$AF$7)*OFFSET(ORÇAMENTO!$W$15,ROW(AK16)-ROW(AK$15),0),15-13*ORÇAMENTO!$AF$11)),
         0)</f>
        <v>0</v>
      </c>
      <c r="AM16" s="170">
        <f ca="1">IF(OR($D16&lt;&gt;"Serviço",AND(AUTOEVENTO="Manual",$M16=$A$15)),0,
         IF(OFFSET(CRONOPLE!$F$15,$M16-$A$15,AM$13)=0,10^12,OFFSET(CRONOPLE!$F$15,$M16-$A$15,AM$13)))</f>
        <v>0</v>
      </c>
      <c r="AN16" s="170">
        <f ca="1">IF(OR($D16&lt;&gt;"Serviço",AND(AUTOEVENTO="Manual",$M16=$A$15)),0,
         IF(OFFSET(CRONOPLE!$F$15,$M16-$A$15,AN$13)=0,10^12,OFFSET(CRONOPLE!$F$15,$M16-$A$15,AN$13)))</f>
        <v>0</v>
      </c>
      <c r="AO16" s="170">
        <f ca="1">IF(OR($D16&lt;&gt;"Serviço",AND(AUTOEVENTO="Manual",$M16=$A$15)),0,
         IF(OFFSET(CRONOPLE!$F$15,$M16-$A$15,AO$13)=0,10^12,OFFSET(CRONOPLE!$F$15,$M16-$A$15,AO$13)))</f>
        <v>0</v>
      </c>
      <c r="AP16" s="170">
        <f ca="1">IF(OR($D16&lt;&gt;"Serviço",AND(AUTOEVENTO="Manual",$M16=$A$15)),0,
         IF(OFFSET(CRONOPLE!$F$15,$M16-$A$15,AP$13)=0,10^12,OFFSET(CRONOPLE!$F$15,$M16-$A$15,AP$13)))</f>
        <v>0</v>
      </c>
      <c r="AQ16" s="170">
        <f ca="1">IF(OR($D16&lt;&gt;"Serviço",AND(AUTOEVENTO="Manual",$M16=$A$15)),0,
         IF(OFFSET(CRONOPLE!$F$15,$M16-$A$15,AQ$13)=0,10^12,OFFSET(CRONOPLE!$F$15,$M16-$A$15,AQ$13)))</f>
        <v>0</v>
      </c>
      <c r="AR16" s="170">
        <f ca="1">IF(OR($D16&lt;&gt;"Serviço",AND(AUTOEVENTO="Manual",$M16=$A$15)),0,
         IF(OFFSET(CRONOPLE!$F$15,$M16-$A$15,AR$13)=0,10^12,OFFSET(CRONOPLE!$F$15,$M16-$A$15,AR$13)))</f>
        <v>0</v>
      </c>
      <c r="AS16" s="170">
        <f ca="1">IF(OR($D16&lt;&gt;"Serviço",AND(AUTOEVENTO="Manual",$M16=$A$15)),0,
         IF(OFFSET(CRONOPLE!$F$15,$M16-$A$15,AS$13)=0,10^12,OFFSET(CRONOPLE!$F$15,$M16-$A$15,AS$13)))</f>
        <v>0</v>
      </c>
      <c r="AT16" s="170">
        <f ca="1">IF(OR($D16&lt;&gt;"Serviço",AND(AUTOEVENTO="Manual",$M16=$A$15)),0,
         IF(OFFSET(CRONOPLE!$F$15,$M16-$A$15,AT$13)=0,10^12,OFFSET(CRONOPLE!$F$15,$M16-$A$15,AT$13)))</f>
        <v>0</v>
      </c>
      <c r="AU16" s="170">
        <f ca="1">IF(OR($D16&lt;&gt;"Serviço",AND(AUTOEVENTO="Manual",$M16=$A$15)),0,
         IF(OFFSET(CRONOPLE!$F$15,$M16-$A$15,AU$13)=0,10^12,OFFSET(CRONOPLE!$F$15,$M16-$A$15,AU$13)))</f>
        <v>0</v>
      </c>
      <c r="AV16" s="170">
        <f ca="1">IF(OR($D16&lt;&gt;"Serviço",AND(AUTOEVENTO="Manual",$M16=$A$15)),0,
         IF(OFFSET(CRONOPLE!$F$15,$M16-$A$15,AV$13)=0,10^12,OFFSET(CRONOPLE!$F$15,$M16-$A$15,AV$13)))</f>
        <v>0</v>
      </c>
      <c r="AX16" s="171" cm="1">
        <f t="array" aca="1" ref="AX16" ca="1">IF(OR($D16&lt;&gt;"Serviço",AND(AUTOEVENTO="Manual",$M16=$A$15),$M16&gt;(ROW(PLE.lastrow)-ROW(PLE.firstrow))),0,
           IF(OFFSET(PLE!$G$15,$M16-$A$15,AX$13)="",10^12,OFFSET(PLE!$G$15,$M16-$A$15,AX$13)))</f>
        <v>0</v>
      </c>
      <c r="AY16" s="171" cm="1">
        <f t="array" aca="1" ref="AY16" ca="1">IF(OR($D16&lt;&gt;"Serviço",AND(AUTOEVENTO="Manual",$M16=$A$15),$M16&gt;(ROW(PLE.lastrow)-ROW(PLE.firstrow))),0,
           IF(OFFSET(PLE!$G$15,$M16-$A$15,AY$13)="",10^12,OFFSET(PLE!$G$15,$M16-$A$15,AY$13)))</f>
        <v>0</v>
      </c>
      <c r="AZ16" s="171" cm="1">
        <f t="array" aca="1" ref="AZ16" ca="1">IF(OR($D16&lt;&gt;"Serviço",AND(AUTOEVENTO="Manual",$M16=$A$15),$M16&gt;(ROW(PLE.lastrow)-ROW(PLE.firstrow))),0,
           IF(OFFSET(PLE!$G$15,$M16-$A$15,AZ$13)="",10^12,OFFSET(PLE!$G$15,$M16-$A$15,AZ$13)))</f>
        <v>0</v>
      </c>
      <c r="BA16" s="171" cm="1">
        <f t="array" aca="1" ref="BA16" ca="1">IF(OR($D16&lt;&gt;"Serviço",AND(AUTOEVENTO="Manual",$M16=$A$15),$M16&gt;(ROW(PLE.lastrow)-ROW(PLE.firstrow))),0,
           IF(OFFSET(PLE!$G$15,$M16-$A$15,BA$13)="",10^12,OFFSET(PLE!$G$15,$M16-$A$15,BA$13)))</f>
        <v>0</v>
      </c>
      <c r="BB16" s="171" cm="1">
        <f t="array" aca="1" ref="BB16" ca="1">IF(OR($D16&lt;&gt;"Serviço",AND(AUTOEVENTO="Manual",$M16=$A$15),$M16&gt;(ROW(PLE.lastrow)-ROW(PLE.firstrow))),0,
           IF(OFFSET(PLE!$G$15,$M16-$A$15,BB$13)="",10^12,OFFSET(PLE!$G$15,$M16-$A$15,BB$13)))</f>
        <v>0</v>
      </c>
      <c r="BC16" s="171" cm="1">
        <f t="array" aca="1" ref="BC16" ca="1">IF(OR($D16&lt;&gt;"Serviço",AND(AUTOEVENTO="Manual",$M16=$A$15),$M16&gt;(ROW(PLE.lastrow)-ROW(PLE.firstrow))),0,
           IF(OFFSET(PLE!$G$15,$M16-$A$15,BC$13)="",10^12,OFFSET(PLE!$G$15,$M16-$A$15,BC$13)))</f>
        <v>0</v>
      </c>
      <c r="BD16" s="171" cm="1">
        <f t="array" aca="1" ref="BD16" ca="1">IF(OR($D16&lt;&gt;"Serviço",AND(AUTOEVENTO="Manual",$M16=$A$15),$M16&gt;(ROW(PLE.lastrow)-ROW(PLE.firstrow))),0,
           IF(OFFSET(PLE!$G$15,$M16-$A$15,BD$13)="",10^12,OFFSET(PLE!$G$15,$M16-$A$15,BD$13)))</f>
        <v>0</v>
      </c>
      <c r="BE16" s="171" cm="1">
        <f t="array" aca="1" ref="BE16" ca="1">IF(OR($D16&lt;&gt;"Serviço",AND(AUTOEVENTO="Manual",$M16=$A$15),$M16&gt;(ROW(PLE.lastrow)-ROW(PLE.firstrow))),0,
           IF(OFFSET(PLE!$G$15,$M16-$A$15,BE$13)="",10^12,OFFSET(PLE!$G$15,$M16-$A$15,BE$13)))</f>
        <v>0</v>
      </c>
      <c r="BF16" s="171" cm="1">
        <f t="array" aca="1" ref="BF16" ca="1">IF(OR($D16&lt;&gt;"Serviço",AND(AUTOEVENTO="Manual",$M16=$A$15),$M16&gt;(ROW(PLE.lastrow)-ROW(PLE.firstrow))),0,
           IF(OFFSET(PLE!$G$15,$M16-$A$15,BF$13)="",10^12,OFFSET(PLE!$G$15,$M16-$A$15,BF$13)))</f>
        <v>0</v>
      </c>
      <c r="BG16" s="171" cm="1">
        <f t="array" aca="1" ref="BG16" ca="1">IF(OR($D16&lt;&gt;"Serviço",AND(AUTOEVENTO="Manual",$M16=$A$15),$M16&gt;(ROW(PLE.lastrow)-ROW(PLE.firstrow))),0,
           IF(OFFSET(PLE!$G$15,$M16-$A$15,BG$13)="",10^12,OFFSET(PLE!$G$15,$M16-$A$15,BG$13)))</f>
        <v>0</v>
      </c>
    </row>
    <row r="17" spans="1:59" ht="12.75" x14ac:dyDescent="0.2">
      <c r="A17" s="7" t="str">
        <f t="shared" ca="1" si="8"/>
        <v>2.</v>
      </c>
      <c r="B17" s="7">
        <f ca="1">OFFSET(ORÇAMENTO!C$15,$L17,0)</f>
        <v>2</v>
      </c>
      <c r="C17" s="7" t="str">
        <f ca="1">OFFSET(ORÇAMENTO!L$15,$L17,0)</f>
        <v>F</v>
      </c>
      <c r="D17" s="115" t="str">
        <f ca="1">OFFSET(ORÇAMENTO!N$15,$L17,0)</f>
        <v>Nível 2</v>
      </c>
      <c r="E17" s="116" t="str">
        <f ca="1">OFFSET(ORÇAMENTO!O$15,$L17,0)</f>
        <v>1.1.</v>
      </c>
      <c r="F17" s="162" t="str">
        <f ca="1">OFFSET(ORÇAMENTO!R$15,$L17,0)</f>
        <v>ADMINISTRAÇÃO LOCAL</v>
      </c>
      <c r="G17" s="163" t="str">
        <f ca="1">IF($D17&lt;&gt;"Serviço","",OFFSET(ORÇAMENTO!S$15,$L17,0))</f>
        <v/>
      </c>
      <c r="H17" s="121" cm="1">
        <f t="array" aca="1" ref="H17" ca="1">IF($D17&lt;&gt;"Serviço",0,IF(ACOMPANHAMENTO="BM",ROUND(OFFSET(ORÇAMENTO!AJ$15,$L17,0),15-13*ORÇAMENTO!$AF$7),IF(IFERROR(CÁLCULO.FrentesPreenchidas,0)=0,0,SUM(ROUND(OFFSET($P17,0,1,1,CÁLCULO.FrentesPreenchidas),15-13*ORÇAMENTO!$AF$7)))))</f>
        <v>0</v>
      </c>
      <c r="I17" s="467"/>
      <c r="J17" s="650" t="str" cm="1">
        <f t="array" aca="1" ref="J17" ca="1">IF(OR(B17&lt;&gt;"S",CÁLCULO.FrentesPreenchidas=0),"",IF(AND(ACOMPANHAMENTO="PLE",AUTOEVENTO="Manual",OR(H17&gt;0,ORÇAMENTO!AC17="QUANT."),OR(K17="",M17=0,N17="")),"►E",IF(AND(ACOMPANHAMENTO="PLE",ORÇAMENTO!AC17="QUANT."),"►Q",IF(AND(ACOMPANHAMENTO="PLE",H17&lt;&gt;SUMPRODUCT(($Q$1:$AA$1=1)*ROUND(Q17:AA17,15))),"►S",IF(AND(COUNTIF($P$11:$AA$11,"▼")=0,H17&gt;0,I17=""),"◄M","")))))</f>
        <v/>
      </c>
      <c r="K17" s="651"/>
      <c r="L17" s="164">
        <f t="shared" ca="1" si="9"/>
        <v>2</v>
      </c>
      <c r="M17" s="165" t="str">
        <f ca="1">IF($D17&lt;&gt;"Serviço","",
          IF(AUTOEVENTO="manual",$A17,
                IF(ISERROR(MATCH($A17,$A$15:OFFSET($A17,-1,0),0)),MAX($M$15:OFFSET(M17,-1,0))+1,
                      INDEX($M$15:OFFSET(M17,-1,0),MATCH($A17,$A$15:OFFSET($A17,-1,0),0)))))</f>
        <v/>
      </c>
      <c r="N17" s="166" t="str">
        <f ca="1">IF($D17&lt;&gt;"Serviço","",
         IF(AUTOEVENTO="Manual",
                IF($A17=0,"&lt;-- defina o número do agrupador",
                       OFFSET(EVENTOS!$D$15,$A17-$A$15,0)),
                OFFSET($F$15,$A17,0)))</f>
        <v/>
      </c>
      <c r="O17" s="167"/>
      <c r="Q17" s="167"/>
      <c r="R17" s="168"/>
      <c r="S17" s="168"/>
      <c r="T17" s="168"/>
      <c r="U17" s="168"/>
      <c r="V17" s="168"/>
      <c r="W17" s="168"/>
      <c r="X17" s="168"/>
      <c r="Y17" s="168"/>
      <c r="Z17" s="169"/>
      <c r="AB17" s="452">
        <f ca="1">IF(AND($D17="Serviço",AB$12&lt;&gt;0,$H17&gt;0,OR(AUTOEVENTO&lt;&gt;"manual",$M17&lt;&gt;$A$15)),
        IF(Import.TipoArredondamento&lt;&gt;"TransfereGOV",
              ROUND(OFFSET($P17,0,AB$13),15-13*ORÇAMENTO!$AF$7)/$H17*OFFSET(ORÇAMENTO!$X$15,ROW(AB17)-ROW(AB$15),0),
              ROUND(ROUND(OFFSET($P17,0,AB$13),15-13*ORÇAMENTO!$AF$7)*OFFSET(ORÇAMENTO!$W$15,ROW(AB17)-ROW(AB$15),0),15-13*ORÇAMENTO!$AF$11)),
         0)</f>
        <v>0</v>
      </c>
      <c r="AC17" s="452">
        <f ca="1">IF(AND($D17="Serviço",AC$12&lt;&gt;0,$H17&gt;0,OR(AUTOEVENTO&lt;&gt;"manual",$M17&lt;&gt;$A$15)),
        IF(Import.TipoArredondamento&lt;&gt;"TransfereGOV",
              ROUND(OFFSET($P17,0,AC$13),15-13*ORÇAMENTO!$AF$7)/$H17*OFFSET(ORÇAMENTO!$X$15,ROW(AC17)-ROW(AC$15),0),
              ROUND(ROUND(OFFSET($P17,0,AC$13),15-13*ORÇAMENTO!$AF$7)*OFFSET(ORÇAMENTO!$W$15,ROW(AC17)-ROW(AC$15),0),15-13*ORÇAMENTO!$AF$11)),
         0)</f>
        <v>0</v>
      </c>
      <c r="AD17" s="452">
        <f ca="1">IF(AND($D17="Serviço",AD$12&lt;&gt;0,$H17&gt;0,OR(AUTOEVENTO&lt;&gt;"manual",$M17&lt;&gt;$A$15)),
        IF(Import.TipoArredondamento&lt;&gt;"TransfereGOV",
              ROUND(OFFSET($P17,0,AD$13),15-13*ORÇAMENTO!$AF$7)/$H17*OFFSET(ORÇAMENTO!$X$15,ROW(AD17)-ROW(AD$15),0),
              ROUND(ROUND(OFFSET($P17,0,AD$13),15-13*ORÇAMENTO!$AF$7)*OFFSET(ORÇAMENTO!$W$15,ROW(AD17)-ROW(AD$15),0),15-13*ORÇAMENTO!$AF$11)),
         0)</f>
        <v>0</v>
      </c>
      <c r="AE17" s="452">
        <f ca="1">IF(AND($D17="Serviço",AE$12&lt;&gt;0,$H17&gt;0,OR(AUTOEVENTO&lt;&gt;"manual",$M17&lt;&gt;$A$15)),
        IF(Import.TipoArredondamento&lt;&gt;"TransfereGOV",
              ROUND(OFFSET($P17,0,AE$13),15-13*ORÇAMENTO!$AF$7)/$H17*OFFSET(ORÇAMENTO!$X$15,ROW(AE17)-ROW(AE$15),0),
              ROUND(ROUND(OFFSET($P17,0,AE$13),15-13*ORÇAMENTO!$AF$7)*OFFSET(ORÇAMENTO!$W$15,ROW(AE17)-ROW(AE$15),0),15-13*ORÇAMENTO!$AF$11)),
         0)</f>
        <v>0</v>
      </c>
      <c r="AF17" s="452">
        <f ca="1">IF(AND($D17="Serviço",AF$12&lt;&gt;0,$H17&gt;0,OR(AUTOEVENTO&lt;&gt;"manual",$M17&lt;&gt;$A$15)),
        IF(Import.TipoArredondamento&lt;&gt;"TransfereGOV",
              ROUND(OFFSET($P17,0,AF$13),15-13*ORÇAMENTO!$AF$7)/$H17*OFFSET(ORÇAMENTO!$X$15,ROW(AF17)-ROW(AF$15),0),
              ROUND(ROUND(OFFSET($P17,0,AF$13),15-13*ORÇAMENTO!$AF$7)*OFFSET(ORÇAMENTO!$W$15,ROW(AF17)-ROW(AF$15),0),15-13*ORÇAMENTO!$AF$11)),
         0)</f>
        <v>0</v>
      </c>
      <c r="AG17" s="452">
        <f ca="1">IF(AND($D17="Serviço",AG$12&lt;&gt;0,$H17&gt;0,OR(AUTOEVENTO&lt;&gt;"manual",$M17&lt;&gt;$A$15)),
        IF(Import.TipoArredondamento&lt;&gt;"TransfereGOV",
              ROUND(OFFSET($P17,0,AG$13),15-13*ORÇAMENTO!$AF$7)/$H17*OFFSET(ORÇAMENTO!$X$15,ROW(AG17)-ROW(AG$15),0),
              ROUND(ROUND(OFFSET($P17,0,AG$13),15-13*ORÇAMENTO!$AF$7)*OFFSET(ORÇAMENTO!$W$15,ROW(AG17)-ROW(AG$15),0),15-13*ORÇAMENTO!$AF$11)),
         0)</f>
        <v>0</v>
      </c>
      <c r="AH17" s="452">
        <f ca="1">IF(AND($D17="Serviço",AH$12&lt;&gt;0,$H17&gt;0,OR(AUTOEVENTO&lt;&gt;"manual",$M17&lt;&gt;$A$15)),
        IF(Import.TipoArredondamento&lt;&gt;"TransfereGOV",
              ROUND(OFFSET($P17,0,AH$13),15-13*ORÇAMENTO!$AF$7)/$H17*OFFSET(ORÇAMENTO!$X$15,ROW(AH17)-ROW(AH$15),0),
              ROUND(ROUND(OFFSET($P17,0,AH$13),15-13*ORÇAMENTO!$AF$7)*OFFSET(ORÇAMENTO!$W$15,ROW(AH17)-ROW(AH$15),0),15-13*ORÇAMENTO!$AF$11)),
         0)</f>
        <v>0</v>
      </c>
      <c r="AI17" s="452">
        <f ca="1">IF(AND($D17="Serviço",AI$12&lt;&gt;0,$H17&gt;0,OR(AUTOEVENTO&lt;&gt;"manual",$M17&lt;&gt;$A$15)),
        IF(Import.TipoArredondamento&lt;&gt;"TransfereGOV",
              ROUND(OFFSET($P17,0,AI$13),15-13*ORÇAMENTO!$AF$7)/$H17*OFFSET(ORÇAMENTO!$X$15,ROW(AI17)-ROW(AI$15),0),
              ROUND(ROUND(OFFSET($P17,0,AI$13),15-13*ORÇAMENTO!$AF$7)*OFFSET(ORÇAMENTO!$W$15,ROW(AI17)-ROW(AI$15),0),15-13*ORÇAMENTO!$AF$11)),
         0)</f>
        <v>0</v>
      </c>
      <c r="AJ17" s="452">
        <f ca="1">IF(AND($D17="Serviço",AJ$12&lt;&gt;0,$H17&gt;0,OR(AUTOEVENTO&lt;&gt;"manual",$M17&lt;&gt;$A$15)),
        IF(Import.TipoArredondamento&lt;&gt;"TransfereGOV",
              ROUND(OFFSET($P17,0,AJ$13),15-13*ORÇAMENTO!$AF$7)/$H17*OFFSET(ORÇAMENTO!$X$15,ROW(AJ17)-ROW(AJ$15),0),
              ROUND(ROUND(OFFSET($P17,0,AJ$13),15-13*ORÇAMENTO!$AF$7)*OFFSET(ORÇAMENTO!$W$15,ROW(AJ17)-ROW(AJ$15),0),15-13*ORÇAMENTO!$AF$11)),
         0)</f>
        <v>0</v>
      </c>
      <c r="AK17" s="452">
        <f ca="1">IF(AND($D17="Serviço",AK$12&lt;&gt;0,$H17&gt;0,OR(AUTOEVENTO&lt;&gt;"manual",$M17&lt;&gt;$A$15)),
        IF(Import.TipoArredondamento&lt;&gt;"TransfereGOV",
              ROUND(OFFSET($P17,0,AK$13),15-13*ORÇAMENTO!$AF$7)/$H17*OFFSET(ORÇAMENTO!$X$15,ROW(AK17)-ROW(AK$15),0),
              ROUND(ROUND(OFFSET($P17,0,AK$13),15-13*ORÇAMENTO!$AF$7)*OFFSET(ORÇAMENTO!$W$15,ROW(AK17)-ROW(AK$15),0),15-13*ORÇAMENTO!$AF$11)),
         0)</f>
        <v>0</v>
      </c>
      <c r="AM17" s="170">
        <f ca="1">IF(OR($D17&lt;&gt;"Serviço",AND(AUTOEVENTO="Manual",$M17=$A$15)),0,
         IF(OFFSET(CRONOPLE!$F$15,$M17-$A$15,AM$13)=0,10^12,OFFSET(CRONOPLE!$F$15,$M17-$A$15,AM$13)))</f>
        <v>0</v>
      </c>
      <c r="AN17" s="170">
        <f ca="1">IF(OR($D17&lt;&gt;"Serviço",AND(AUTOEVENTO="Manual",$M17=$A$15)),0,
         IF(OFFSET(CRONOPLE!$F$15,$M17-$A$15,AN$13)=0,10^12,OFFSET(CRONOPLE!$F$15,$M17-$A$15,AN$13)))</f>
        <v>0</v>
      </c>
      <c r="AO17" s="170">
        <f ca="1">IF(OR($D17&lt;&gt;"Serviço",AND(AUTOEVENTO="Manual",$M17=$A$15)),0,
         IF(OFFSET(CRONOPLE!$F$15,$M17-$A$15,AO$13)=0,10^12,OFFSET(CRONOPLE!$F$15,$M17-$A$15,AO$13)))</f>
        <v>0</v>
      </c>
      <c r="AP17" s="170">
        <f ca="1">IF(OR($D17&lt;&gt;"Serviço",AND(AUTOEVENTO="Manual",$M17=$A$15)),0,
         IF(OFFSET(CRONOPLE!$F$15,$M17-$A$15,AP$13)=0,10^12,OFFSET(CRONOPLE!$F$15,$M17-$A$15,AP$13)))</f>
        <v>0</v>
      </c>
      <c r="AQ17" s="170">
        <f ca="1">IF(OR($D17&lt;&gt;"Serviço",AND(AUTOEVENTO="Manual",$M17=$A$15)),0,
         IF(OFFSET(CRONOPLE!$F$15,$M17-$A$15,AQ$13)=0,10^12,OFFSET(CRONOPLE!$F$15,$M17-$A$15,AQ$13)))</f>
        <v>0</v>
      </c>
      <c r="AR17" s="170">
        <f ca="1">IF(OR($D17&lt;&gt;"Serviço",AND(AUTOEVENTO="Manual",$M17=$A$15)),0,
         IF(OFFSET(CRONOPLE!$F$15,$M17-$A$15,AR$13)=0,10^12,OFFSET(CRONOPLE!$F$15,$M17-$A$15,AR$13)))</f>
        <v>0</v>
      </c>
      <c r="AS17" s="170">
        <f ca="1">IF(OR($D17&lt;&gt;"Serviço",AND(AUTOEVENTO="Manual",$M17=$A$15)),0,
         IF(OFFSET(CRONOPLE!$F$15,$M17-$A$15,AS$13)=0,10^12,OFFSET(CRONOPLE!$F$15,$M17-$A$15,AS$13)))</f>
        <v>0</v>
      </c>
      <c r="AT17" s="170">
        <f ca="1">IF(OR($D17&lt;&gt;"Serviço",AND(AUTOEVENTO="Manual",$M17=$A$15)),0,
         IF(OFFSET(CRONOPLE!$F$15,$M17-$A$15,AT$13)=0,10^12,OFFSET(CRONOPLE!$F$15,$M17-$A$15,AT$13)))</f>
        <v>0</v>
      </c>
      <c r="AU17" s="170">
        <f ca="1">IF(OR($D17&lt;&gt;"Serviço",AND(AUTOEVENTO="Manual",$M17=$A$15)),0,
         IF(OFFSET(CRONOPLE!$F$15,$M17-$A$15,AU$13)=0,10^12,OFFSET(CRONOPLE!$F$15,$M17-$A$15,AU$13)))</f>
        <v>0</v>
      </c>
      <c r="AV17" s="170">
        <f ca="1">IF(OR($D17&lt;&gt;"Serviço",AND(AUTOEVENTO="Manual",$M17=$A$15)),0,
         IF(OFFSET(CRONOPLE!$F$15,$M17-$A$15,AV$13)=0,10^12,OFFSET(CRONOPLE!$F$15,$M17-$A$15,AV$13)))</f>
        <v>0</v>
      </c>
      <c r="AX17" s="171" cm="1">
        <f t="array" aca="1" ref="AX17" ca="1">IF(OR($D17&lt;&gt;"Serviço",AND(AUTOEVENTO="Manual",$M17=$A$15),$M17&gt;(ROW(PLE.lastrow)-ROW(PLE.firstrow))),0,
           IF(OFFSET(PLE!$G$15,$M17-$A$15,AX$13)="",10^12,OFFSET(PLE!$G$15,$M17-$A$15,AX$13)))</f>
        <v>0</v>
      </c>
      <c r="AY17" s="171" cm="1">
        <f t="array" aca="1" ref="AY17" ca="1">IF(OR($D17&lt;&gt;"Serviço",AND(AUTOEVENTO="Manual",$M17=$A$15),$M17&gt;(ROW(PLE.lastrow)-ROW(PLE.firstrow))),0,
           IF(OFFSET(PLE!$G$15,$M17-$A$15,AY$13)="",10^12,OFFSET(PLE!$G$15,$M17-$A$15,AY$13)))</f>
        <v>0</v>
      </c>
      <c r="AZ17" s="171" cm="1">
        <f t="array" aca="1" ref="AZ17" ca="1">IF(OR($D17&lt;&gt;"Serviço",AND(AUTOEVENTO="Manual",$M17=$A$15),$M17&gt;(ROW(PLE.lastrow)-ROW(PLE.firstrow))),0,
           IF(OFFSET(PLE!$G$15,$M17-$A$15,AZ$13)="",10^12,OFFSET(PLE!$G$15,$M17-$A$15,AZ$13)))</f>
        <v>0</v>
      </c>
      <c r="BA17" s="171" cm="1">
        <f t="array" aca="1" ref="BA17" ca="1">IF(OR($D17&lt;&gt;"Serviço",AND(AUTOEVENTO="Manual",$M17=$A$15),$M17&gt;(ROW(PLE.lastrow)-ROW(PLE.firstrow))),0,
           IF(OFFSET(PLE!$G$15,$M17-$A$15,BA$13)="",10^12,OFFSET(PLE!$G$15,$M17-$A$15,BA$13)))</f>
        <v>0</v>
      </c>
      <c r="BB17" s="171" cm="1">
        <f t="array" aca="1" ref="BB17" ca="1">IF(OR($D17&lt;&gt;"Serviço",AND(AUTOEVENTO="Manual",$M17=$A$15),$M17&gt;(ROW(PLE.lastrow)-ROW(PLE.firstrow))),0,
           IF(OFFSET(PLE!$G$15,$M17-$A$15,BB$13)="",10^12,OFFSET(PLE!$G$15,$M17-$A$15,BB$13)))</f>
        <v>0</v>
      </c>
      <c r="BC17" s="171" cm="1">
        <f t="array" aca="1" ref="BC17" ca="1">IF(OR($D17&lt;&gt;"Serviço",AND(AUTOEVENTO="Manual",$M17=$A$15),$M17&gt;(ROW(PLE.lastrow)-ROW(PLE.firstrow))),0,
           IF(OFFSET(PLE!$G$15,$M17-$A$15,BC$13)="",10^12,OFFSET(PLE!$G$15,$M17-$A$15,BC$13)))</f>
        <v>0</v>
      </c>
      <c r="BD17" s="171" cm="1">
        <f t="array" aca="1" ref="BD17" ca="1">IF(OR($D17&lt;&gt;"Serviço",AND(AUTOEVENTO="Manual",$M17=$A$15),$M17&gt;(ROW(PLE.lastrow)-ROW(PLE.firstrow))),0,
           IF(OFFSET(PLE!$G$15,$M17-$A$15,BD$13)="",10^12,OFFSET(PLE!$G$15,$M17-$A$15,BD$13)))</f>
        <v>0</v>
      </c>
      <c r="BE17" s="171" cm="1">
        <f t="array" aca="1" ref="BE17" ca="1">IF(OR($D17&lt;&gt;"Serviço",AND(AUTOEVENTO="Manual",$M17=$A$15),$M17&gt;(ROW(PLE.lastrow)-ROW(PLE.firstrow))),0,
           IF(OFFSET(PLE!$G$15,$M17-$A$15,BE$13)="",10^12,OFFSET(PLE!$G$15,$M17-$A$15,BE$13)))</f>
        <v>0</v>
      </c>
      <c r="BF17" s="171" cm="1">
        <f t="array" aca="1" ref="BF17" ca="1">IF(OR($D17&lt;&gt;"Serviço",AND(AUTOEVENTO="Manual",$M17=$A$15),$M17&gt;(ROW(PLE.lastrow)-ROW(PLE.firstrow))),0,
           IF(OFFSET(PLE!$G$15,$M17-$A$15,BF$13)="",10^12,OFFSET(PLE!$G$15,$M17-$A$15,BF$13)))</f>
        <v>0</v>
      </c>
      <c r="BG17" s="171" cm="1">
        <f t="array" aca="1" ref="BG17" ca="1">IF(OR($D17&lt;&gt;"Serviço",AND(AUTOEVENTO="Manual",$M17=$A$15),$M17&gt;(ROW(PLE.lastrow)-ROW(PLE.firstrow))),0,
           IF(OFFSET(PLE!$G$15,$M17-$A$15,BG$13)="",10^12,OFFSET(PLE!$G$15,$M17-$A$15,BG$13)))</f>
        <v>0</v>
      </c>
    </row>
    <row r="18" spans="1:59" ht="25.5" x14ac:dyDescent="0.2">
      <c r="A18" s="7" t="str">
        <f t="shared" ca="1" si="8"/>
        <v>2</v>
      </c>
      <c r="B18" s="7" t="str">
        <f ca="1">OFFSET(ORÇAMENTO!C$15,$L18,0)</f>
        <v>S</v>
      </c>
      <c r="C18" s="7" t="str">
        <f ca="1">OFFSET(ORÇAMENTO!L$15,$L18,0)</f>
        <v>F</v>
      </c>
      <c r="D18" s="115" t="str">
        <f ca="1">OFFSET(ORÇAMENTO!N$15,$L18,0)</f>
        <v>Serviço</v>
      </c>
      <c r="E18" s="116" t="str">
        <f ca="1">OFFSET(ORÇAMENTO!O$15,$L18,0)</f>
        <v>1.1.1.</v>
      </c>
      <c r="F18" s="162" t="str">
        <f ca="1">OFFSET(ORÇAMENTO!R$15,$L18,0)</f>
        <v>ENGENHEIRO CIVIL DE OBRA PLENO COM ENCARGOS COMPLEMENTARES</v>
      </c>
      <c r="G18" s="163" t="str">
        <f ca="1">IF($D18&lt;&gt;"Serviço","",OFFSET(ORÇAMENTO!S$15,$L18,0))</f>
        <v>H</v>
      </c>
      <c r="H18" s="121" cm="1">
        <f t="array" aca="1" ref="H18" ca="1">IF($D18&lt;&gt;"Serviço",0,IF(ACOMPANHAMENTO="BM",ROUND(OFFSET(ORÇAMENTO!AJ$15,$L18,0),15-13*ORÇAMENTO!$AF$7),IF(IFERROR(CÁLCULO.FrentesPreenchidas,0)=0,0,SUM(ROUND(OFFSET($P18,0,1,1,CÁLCULO.FrentesPreenchidas),15-13*ORÇAMENTO!$AF$7)))))</f>
        <v>360</v>
      </c>
      <c r="I18" s="467"/>
      <c r="J18" s="650" t="str" cm="1">
        <f t="array" aca="1" ref="J18" ca="1">IF(OR(B18&lt;&gt;"S",CÁLCULO.FrentesPreenchidas=0),"",IF(AND(ACOMPANHAMENTO="PLE",AUTOEVENTO="Manual",OR(H18&gt;0,ORÇAMENTO!AC18="QUANT."),OR(K18="",M18=0,N18="")),"►E",IF(AND(ACOMPANHAMENTO="PLE",ORÇAMENTO!AC18="QUANT."),"►Q",IF(AND(ACOMPANHAMENTO="PLE",H18&lt;&gt;SUMPRODUCT(($Q$1:$AA$1=1)*ROUND(Q18:AA18,15))),"►S",IF(AND(COUNTIF($P$11:$AA$11,"▼")=0,H18&gt;0,I18=""),"◄M","")))))</f>
        <v>◄M</v>
      </c>
      <c r="K18" s="651"/>
      <c r="L18" s="164">
        <f t="shared" ca="1" si="9"/>
        <v>3</v>
      </c>
      <c r="M18" s="165">
        <f ca="1">IF($D18&lt;&gt;"Serviço","",
          IF(AUTOEVENTO="manual",$A18,
                IF(ISERROR(MATCH($A18,$A$15:OFFSET($A18,-1,0),0)),MAX($M$15:OFFSET(M18,-1,0))+1,
                      INDEX($M$15:OFFSET(M18,-1,0),MATCH($A18,$A$15:OFFSET($A18,-1,0),0)))))</f>
        <v>1</v>
      </c>
      <c r="N18" s="166" t="str">
        <f ca="1">IF($D18&lt;&gt;"Serviço","",
         IF(AUTOEVENTO="Manual",
                IF($A18=0,"&lt;-- defina o número do agrupador",
                       OFFSET(EVENTOS!$D$15,$A18-$A$15,0)),
                OFFSET($F$15,$A18,0)))</f>
        <v>ADMINISTRAÇÃO LOCAL</v>
      </c>
      <c r="O18" s="167"/>
      <c r="Q18" s="167">
        <v>90</v>
      </c>
      <c r="R18" s="168">
        <v>90</v>
      </c>
      <c r="S18" s="168">
        <v>90</v>
      </c>
      <c r="T18" s="168">
        <v>90</v>
      </c>
      <c r="U18" s="168"/>
      <c r="V18" s="168"/>
      <c r="W18" s="168"/>
      <c r="X18" s="168"/>
      <c r="Y18" s="168"/>
      <c r="Z18" s="169"/>
      <c r="AB18" s="452">
        <f ca="1">IF(AND($D18="Serviço",AB$12&lt;&gt;0,$H18&gt;0,OR(AUTOEVENTO&lt;&gt;"manual",$M18&lt;&gt;$A$15)),
        IF(Import.TipoArredondamento&lt;&gt;"TransfereGOV",
              ROUND(OFFSET($P18,0,AB$13),15-13*ORÇAMENTO!$AF$7)/$H18*OFFSET(ORÇAMENTO!$X$15,ROW(AB18)-ROW(AB$15),0),
              ROUND(ROUND(OFFSET($P18,0,AB$13),15-13*ORÇAMENTO!$AF$7)*OFFSET(ORÇAMENTO!$W$15,ROW(AB18)-ROW(AB$15),0),15-13*ORÇAMENTO!$AF$11)),
         0)</f>
        <v>12594.6</v>
      </c>
      <c r="AC18" s="452">
        <f ca="1">IF(AND($D18="Serviço",AC$12&lt;&gt;0,$H18&gt;0,OR(AUTOEVENTO&lt;&gt;"manual",$M18&lt;&gt;$A$15)),
        IF(Import.TipoArredondamento&lt;&gt;"TransfereGOV",
              ROUND(OFFSET($P18,0,AC$13),15-13*ORÇAMENTO!$AF$7)/$H18*OFFSET(ORÇAMENTO!$X$15,ROW(AC18)-ROW(AC$15),0),
              ROUND(ROUND(OFFSET($P18,0,AC$13),15-13*ORÇAMENTO!$AF$7)*OFFSET(ORÇAMENTO!$W$15,ROW(AC18)-ROW(AC$15),0),15-13*ORÇAMENTO!$AF$11)),
         0)</f>
        <v>12594.6</v>
      </c>
      <c r="AD18" s="452">
        <f ca="1">IF(AND($D18="Serviço",AD$12&lt;&gt;0,$H18&gt;0,OR(AUTOEVENTO&lt;&gt;"manual",$M18&lt;&gt;$A$15)),
        IF(Import.TipoArredondamento&lt;&gt;"TransfereGOV",
              ROUND(OFFSET($P18,0,AD$13),15-13*ORÇAMENTO!$AF$7)/$H18*OFFSET(ORÇAMENTO!$X$15,ROW(AD18)-ROW(AD$15),0),
              ROUND(ROUND(OFFSET($P18,0,AD$13),15-13*ORÇAMENTO!$AF$7)*OFFSET(ORÇAMENTO!$W$15,ROW(AD18)-ROW(AD$15),0),15-13*ORÇAMENTO!$AF$11)),
         0)</f>
        <v>12594.6</v>
      </c>
      <c r="AE18" s="452">
        <f ca="1">IF(AND($D18="Serviço",AE$12&lt;&gt;0,$H18&gt;0,OR(AUTOEVENTO&lt;&gt;"manual",$M18&lt;&gt;$A$15)),
        IF(Import.TipoArredondamento&lt;&gt;"TransfereGOV",
              ROUND(OFFSET($P18,0,AE$13),15-13*ORÇAMENTO!$AF$7)/$H18*OFFSET(ORÇAMENTO!$X$15,ROW(AE18)-ROW(AE$15),0),
              ROUND(ROUND(OFFSET($P18,0,AE$13),15-13*ORÇAMENTO!$AF$7)*OFFSET(ORÇAMENTO!$W$15,ROW(AE18)-ROW(AE$15),0),15-13*ORÇAMENTO!$AF$11)),
         0)</f>
        <v>12594.6</v>
      </c>
      <c r="AF18" s="452">
        <f ca="1">IF(AND($D18="Serviço",AF$12&lt;&gt;0,$H18&gt;0,OR(AUTOEVENTO&lt;&gt;"manual",$M18&lt;&gt;$A$15)),
        IF(Import.TipoArredondamento&lt;&gt;"TransfereGOV",
              ROUND(OFFSET($P18,0,AF$13),15-13*ORÇAMENTO!$AF$7)/$H18*OFFSET(ORÇAMENTO!$X$15,ROW(AF18)-ROW(AF$15),0),
              ROUND(ROUND(OFFSET($P18,0,AF$13),15-13*ORÇAMENTO!$AF$7)*OFFSET(ORÇAMENTO!$W$15,ROW(AF18)-ROW(AF$15),0),15-13*ORÇAMENTO!$AF$11)),
         0)</f>
        <v>0</v>
      </c>
      <c r="AG18" s="452">
        <f ca="1">IF(AND($D18="Serviço",AG$12&lt;&gt;0,$H18&gt;0,OR(AUTOEVENTO&lt;&gt;"manual",$M18&lt;&gt;$A$15)),
        IF(Import.TipoArredondamento&lt;&gt;"TransfereGOV",
              ROUND(OFFSET($P18,0,AG$13),15-13*ORÇAMENTO!$AF$7)/$H18*OFFSET(ORÇAMENTO!$X$15,ROW(AG18)-ROW(AG$15),0),
              ROUND(ROUND(OFFSET($P18,0,AG$13),15-13*ORÇAMENTO!$AF$7)*OFFSET(ORÇAMENTO!$W$15,ROW(AG18)-ROW(AG$15),0),15-13*ORÇAMENTO!$AF$11)),
         0)</f>
        <v>0</v>
      </c>
      <c r="AH18" s="452">
        <f ca="1">IF(AND($D18="Serviço",AH$12&lt;&gt;0,$H18&gt;0,OR(AUTOEVENTO&lt;&gt;"manual",$M18&lt;&gt;$A$15)),
        IF(Import.TipoArredondamento&lt;&gt;"TransfereGOV",
              ROUND(OFFSET($P18,0,AH$13),15-13*ORÇAMENTO!$AF$7)/$H18*OFFSET(ORÇAMENTO!$X$15,ROW(AH18)-ROW(AH$15),0),
              ROUND(ROUND(OFFSET($P18,0,AH$13),15-13*ORÇAMENTO!$AF$7)*OFFSET(ORÇAMENTO!$W$15,ROW(AH18)-ROW(AH$15),0),15-13*ORÇAMENTO!$AF$11)),
         0)</f>
        <v>0</v>
      </c>
      <c r="AI18" s="452">
        <f ca="1">IF(AND($D18="Serviço",AI$12&lt;&gt;0,$H18&gt;0,OR(AUTOEVENTO&lt;&gt;"manual",$M18&lt;&gt;$A$15)),
        IF(Import.TipoArredondamento&lt;&gt;"TransfereGOV",
              ROUND(OFFSET($P18,0,AI$13),15-13*ORÇAMENTO!$AF$7)/$H18*OFFSET(ORÇAMENTO!$X$15,ROW(AI18)-ROW(AI$15),0),
              ROUND(ROUND(OFFSET($P18,0,AI$13),15-13*ORÇAMENTO!$AF$7)*OFFSET(ORÇAMENTO!$W$15,ROW(AI18)-ROW(AI$15),0),15-13*ORÇAMENTO!$AF$11)),
         0)</f>
        <v>0</v>
      </c>
      <c r="AJ18" s="452">
        <f ca="1">IF(AND($D18="Serviço",AJ$12&lt;&gt;0,$H18&gt;0,OR(AUTOEVENTO&lt;&gt;"manual",$M18&lt;&gt;$A$15)),
        IF(Import.TipoArredondamento&lt;&gt;"TransfereGOV",
              ROUND(OFFSET($P18,0,AJ$13),15-13*ORÇAMENTO!$AF$7)/$H18*OFFSET(ORÇAMENTO!$X$15,ROW(AJ18)-ROW(AJ$15),0),
              ROUND(ROUND(OFFSET($P18,0,AJ$13),15-13*ORÇAMENTO!$AF$7)*OFFSET(ORÇAMENTO!$W$15,ROW(AJ18)-ROW(AJ$15),0),15-13*ORÇAMENTO!$AF$11)),
         0)</f>
        <v>0</v>
      </c>
      <c r="AK18" s="452">
        <f ca="1">IF(AND($D18="Serviço",AK$12&lt;&gt;0,$H18&gt;0,OR(AUTOEVENTO&lt;&gt;"manual",$M18&lt;&gt;$A$15)),
        IF(Import.TipoArredondamento&lt;&gt;"TransfereGOV",
              ROUND(OFFSET($P18,0,AK$13),15-13*ORÇAMENTO!$AF$7)/$H18*OFFSET(ORÇAMENTO!$X$15,ROW(AK18)-ROW(AK$15),0),
              ROUND(ROUND(OFFSET($P18,0,AK$13),15-13*ORÇAMENTO!$AF$7)*OFFSET(ORÇAMENTO!$W$15,ROW(AK18)-ROW(AK$15),0),15-13*ORÇAMENTO!$AF$11)),
         0)</f>
        <v>0</v>
      </c>
      <c r="AM18" s="170">
        <f ca="1">IF(OR($D18&lt;&gt;"Serviço",AND(AUTOEVENTO="Manual",$M18=$A$15)),0,
         IF(OFFSET(CRONOPLE!$F$15,$M18-$A$15,AM$13)=0,10^12,OFFSET(CRONOPLE!$F$15,$M18-$A$15,AM$13)))</f>
        <v>1</v>
      </c>
      <c r="AN18" s="170">
        <f ca="1">IF(OR($D18&lt;&gt;"Serviço",AND(AUTOEVENTO="Manual",$M18=$A$15)),0,
         IF(OFFSET(CRONOPLE!$F$15,$M18-$A$15,AN$13)=0,10^12,OFFSET(CRONOPLE!$F$15,$M18-$A$15,AN$13)))</f>
        <v>2</v>
      </c>
      <c r="AO18" s="170">
        <f ca="1">IF(OR($D18&lt;&gt;"Serviço",AND(AUTOEVENTO="Manual",$M18=$A$15)),0,
         IF(OFFSET(CRONOPLE!$F$15,$M18-$A$15,AO$13)=0,10^12,OFFSET(CRONOPLE!$F$15,$M18-$A$15,AO$13)))</f>
        <v>3</v>
      </c>
      <c r="AP18" s="170">
        <f ca="1">IF(OR($D18&lt;&gt;"Serviço",AND(AUTOEVENTO="Manual",$M18=$A$15)),0,
         IF(OFFSET(CRONOPLE!$F$15,$M18-$A$15,AP$13)=0,10^12,OFFSET(CRONOPLE!$F$15,$M18-$A$15,AP$13)))</f>
        <v>4</v>
      </c>
      <c r="AQ18" s="170">
        <f ca="1">IF(OR($D18&lt;&gt;"Serviço",AND(AUTOEVENTO="Manual",$M18=$A$15)),0,
         IF(OFFSET(CRONOPLE!$F$15,$M18-$A$15,AQ$13)=0,10^12,OFFSET(CRONOPLE!$F$15,$M18-$A$15,AQ$13)))</f>
        <v>1000000000000</v>
      </c>
      <c r="AR18" s="170">
        <f ca="1">IF(OR($D18&lt;&gt;"Serviço",AND(AUTOEVENTO="Manual",$M18=$A$15)),0,
         IF(OFFSET(CRONOPLE!$F$15,$M18-$A$15,AR$13)=0,10^12,OFFSET(CRONOPLE!$F$15,$M18-$A$15,AR$13)))</f>
        <v>1000000000000</v>
      </c>
      <c r="AS18" s="170">
        <f ca="1">IF(OR($D18&lt;&gt;"Serviço",AND(AUTOEVENTO="Manual",$M18=$A$15)),0,
         IF(OFFSET(CRONOPLE!$F$15,$M18-$A$15,AS$13)=0,10^12,OFFSET(CRONOPLE!$F$15,$M18-$A$15,AS$13)))</f>
        <v>1000000000000</v>
      </c>
      <c r="AT18" s="170">
        <f ca="1">IF(OR($D18&lt;&gt;"Serviço",AND(AUTOEVENTO="Manual",$M18=$A$15)),0,
         IF(OFFSET(CRONOPLE!$F$15,$M18-$A$15,AT$13)=0,10^12,OFFSET(CRONOPLE!$F$15,$M18-$A$15,AT$13)))</f>
        <v>1000000000000</v>
      </c>
      <c r="AU18" s="170">
        <f ca="1">IF(OR($D18&lt;&gt;"Serviço",AND(AUTOEVENTO="Manual",$M18=$A$15)),0,
         IF(OFFSET(CRONOPLE!$F$15,$M18-$A$15,AU$13)=0,10^12,OFFSET(CRONOPLE!$F$15,$M18-$A$15,AU$13)))</f>
        <v>1000000000000</v>
      </c>
      <c r="AV18" s="170">
        <f ca="1">IF(OR($D18&lt;&gt;"Serviço",AND(AUTOEVENTO="Manual",$M18=$A$15)),0,
         IF(OFFSET(CRONOPLE!$F$15,$M18-$A$15,AV$13)=0,10^12,OFFSET(CRONOPLE!$F$15,$M18-$A$15,AV$13)))</f>
        <v>1000000000000</v>
      </c>
      <c r="AX18" s="171" cm="1">
        <f t="array" aca="1" ref="AX18" ca="1">IF(OR($D18&lt;&gt;"Serviço",AND(AUTOEVENTO="Manual",$M18=$A$15),$M18&gt;(ROW(PLE.lastrow)-ROW(PLE.firstrow))),0,
           IF(OFFSET(PLE!$G$15,$M18-$A$15,AX$13)="",10^12,OFFSET(PLE!$G$15,$M18-$A$15,AX$13)))</f>
        <v>1000000000000</v>
      </c>
      <c r="AY18" s="171" cm="1">
        <f t="array" aca="1" ref="AY18" ca="1">IF(OR($D18&lt;&gt;"Serviço",AND(AUTOEVENTO="Manual",$M18=$A$15),$M18&gt;(ROW(PLE.lastrow)-ROW(PLE.firstrow))),0,
           IF(OFFSET(PLE!$G$15,$M18-$A$15,AY$13)="",10^12,OFFSET(PLE!$G$15,$M18-$A$15,AY$13)))</f>
        <v>1000000000000</v>
      </c>
      <c r="AZ18" s="171" cm="1">
        <f t="array" aca="1" ref="AZ18" ca="1">IF(OR($D18&lt;&gt;"Serviço",AND(AUTOEVENTO="Manual",$M18=$A$15),$M18&gt;(ROW(PLE.lastrow)-ROW(PLE.firstrow))),0,
           IF(OFFSET(PLE!$G$15,$M18-$A$15,AZ$13)="",10^12,OFFSET(PLE!$G$15,$M18-$A$15,AZ$13)))</f>
        <v>1000000000000</v>
      </c>
      <c r="BA18" s="171" cm="1">
        <f t="array" aca="1" ref="BA18" ca="1">IF(OR($D18&lt;&gt;"Serviço",AND(AUTOEVENTO="Manual",$M18=$A$15),$M18&gt;(ROW(PLE.lastrow)-ROW(PLE.firstrow))),0,
           IF(OFFSET(PLE!$G$15,$M18-$A$15,BA$13)="",10^12,OFFSET(PLE!$G$15,$M18-$A$15,BA$13)))</f>
        <v>1000000000000</v>
      </c>
      <c r="BB18" s="171" cm="1">
        <f t="array" aca="1" ref="BB18" ca="1">IF(OR($D18&lt;&gt;"Serviço",AND(AUTOEVENTO="Manual",$M18=$A$15),$M18&gt;(ROW(PLE.lastrow)-ROW(PLE.firstrow))),0,
           IF(OFFSET(PLE!$G$15,$M18-$A$15,BB$13)="",10^12,OFFSET(PLE!$G$15,$M18-$A$15,BB$13)))</f>
        <v>1000000000000</v>
      </c>
      <c r="BC18" s="171" cm="1">
        <f t="array" aca="1" ref="BC18" ca="1">IF(OR($D18&lt;&gt;"Serviço",AND(AUTOEVENTO="Manual",$M18=$A$15),$M18&gt;(ROW(PLE.lastrow)-ROW(PLE.firstrow))),0,
           IF(OFFSET(PLE!$G$15,$M18-$A$15,BC$13)="",10^12,OFFSET(PLE!$G$15,$M18-$A$15,BC$13)))</f>
        <v>1000000000000</v>
      </c>
      <c r="BD18" s="171" cm="1">
        <f t="array" aca="1" ref="BD18" ca="1">IF(OR($D18&lt;&gt;"Serviço",AND(AUTOEVENTO="Manual",$M18=$A$15),$M18&gt;(ROW(PLE.lastrow)-ROW(PLE.firstrow))),0,
           IF(OFFSET(PLE!$G$15,$M18-$A$15,BD$13)="",10^12,OFFSET(PLE!$G$15,$M18-$A$15,BD$13)))</f>
        <v>1000000000000</v>
      </c>
      <c r="BE18" s="171" cm="1">
        <f t="array" aca="1" ref="BE18" ca="1">IF(OR($D18&lt;&gt;"Serviço",AND(AUTOEVENTO="Manual",$M18=$A$15),$M18&gt;(ROW(PLE.lastrow)-ROW(PLE.firstrow))),0,
           IF(OFFSET(PLE!$G$15,$M18-$A$15,BE$13)="",10^12,OFFSET(PLE!$G$15,$M18-$A$15,BE$13)))</f>
        <v>1000000000000</v>
      </c>
      <c r="BF18" s="171" cm="1">
        <f t="array" aca="1" ref="BF18" ca="1">IF(OR($D18&lt;&gt;"Serviço",AND(AUTOEVENTO="Manual",$M18=$A$15),$M18&gt;(ROW(PLE.lastrow)-ROW(PLE.firstrow))),0,
           IF(OFFSET(PLE!$G$15,$M18-$A$15,BF$13)="",10^12,OFFSET(PLE!$G$15,$M18-$A$15,BF$13)))</f>
        <v>1000000000000</v>
      </c>
      <c r="BG18" s="171" cm="1">
        <f t="array" aca="1" ref="BG18" ca="1">IF(OR($D18&lt;&gt;"Serviço",AND(AUTOEVENTO="Manual",$M18=$A$15),$M18&gt;(ROW(PLE.lastrow)-ROW(PLE.firstrow))),0,
           IF(OFFSET(PLE!$G$15,$M18-$A$15,BG$13)="",10^12,OFFSET(PLE!$G$15,$M18-$A$15,BG$13)))</f>
        <v>1000000000000</v>
      </c>
    </row>
    <row r="19" spans="1:59" ht="12.75" x14ac:dyDescent="0.2">
      <c r="A19" s="7" t="str">
        <f ca="1">IFERROR(IF(AUTOEVENTO="Manual",IF(K19&lt;&gt;"",MIN(VALUE(LEFT(K19,FIND(".",K19)-1)),COUNTA(EVENTOS.Lista)),0),IF(OR($B19&gt;AUTOEVENTO,$B19="S",$B19=0),SUBSTITUTE(OFFSET($A19,-1,0),IF($D19="Serviço",".",""),""),$L19&amp;".")),0)</f>
        <v>2</v>
      </c>
      <c r="B19" s="7" t="str">
        <f ca="1">OFFSET(ORÇAMENTO!C$15,$L19,0)</f>
        <v>S</v>
      </c>
      <c r="C19" s="7" t="str">
        <f ca="1">OFFSET(ORÇAMENTO!L$15,$L19,0)</f>
        <v>F</v>
      </c>
      <c r="D19" s="115" t="str">
        <f ca="1">OFFSET(ORÇAMENTO!N$15,$L19,0)</f>
        <v>Serviço</v>
      </c>
      <c r="E19" s="116" t="str">
        <f ca="1">OFFSET(ORÇAMENTO!O$15,$L19,0)</f>
        <v>1.1.2.</v>
      </c>
      <c r="F19" s="162" t="str">
        <f ca="1">OFFSET(ORÇAMENTO!R$15,$L19,0)</f>
        <v>MESTRE DE OBRAS COM ENCARGOS COMPLEMENTARES</v>
      </c>
      <c r="G19" s="163" t="str">
        <f ca="1">IF($D19&lt;&gt;"Serviço","",OFFSET(ORÇAMENTO!S$15,$L19,0))</f>
        <v>MÊS</v>
      </c>
      <c r="H19" s="121" cm="1">
        <f t="array" aca="1" ref="H19" ca="1">IF($D19&lt;&gt;"Serviço",0,IF(ACOMPANHAMENTO="BM",ROUND(OFFSET(ORÇAMENTO!AJ$15,$L19,0),15-13*ORÇAMENTO!$AF$7),IF(IFERROR(CÁLCULO.FrentesPreenchidas,0)=0,0,SUM(ROUND(OFFSET($P19,0,1,1,CÁLCULO.FrentesPreenchidas),15-13*ORÇAMENTO!$AF$7)))))</f>
        <v>4</v>
      </c>
      <c r="I19" s="467"/>
      <c r="J19" s="650" t="str" cm="1">
        <f t="array" aca="1" ref="J19" ca="1">IF(OR(B19&lt;&gt;"S",CÁLCULO.FrentesPreenchidas=0),"",IF(AND(ACOMPANHAMENTO="PLE",AUTOEVENTO="Manual",OR(H19&gt;0,ORÇAMENTO!AC19="QUANT."),OR(K19="",M19=0,N19="")),"►E",IF(AND(ACOMPANHAMENTO="PLE",ORÇAMENTO!AC19="QUANT."),"►Q",IF(AND(ACOMPANHAMENTO="PLE",H19&lt;&gt;SUMPRODUCT(($Q$1:$AA$1=1)*ROUND(Q19:AA19,15))),"►S",IF(AND(COUNTIF($P$11:$AA$11,"▼")=0,H19&gt;0,I19=""),"◄M","")))))</f>
        <v>◄M</v>
      </c>
      <c r="K19" s="651"/>
      <c r="L19" s="164">
        <f ca="1">OFFSET(L19,-1,0)+1</f>
        <v>4</v>
      </c>
      <c r="M19" s="165">
        <f ca="1">IF($D19&lt;&gt;"Serviço","",
          IF(AUTOEVENTO="manual",$A19,
                IF(ISERROR(MATCH($A19,$A$15:OFFSET($A19,-1,0),0)),MAX($M$15:OFFSET(M19,-1,0))+1,
                      INDEX($M$15:OFFSET(M19,-1,0),MATCH($A19,$A$15:OFFSET($A19,-1,0),0)))))</f>
        <v>1</v>
      </c>
      <c r="N19" s="166" t="str">
        <f ca="1">IF($D19&lt;&gt;"Serviço","",
         IF(AUTOEVENTO="Manual",
                IF($A19=0,"&lt;-- defina o número do agrupador",
                       OFFSET(EVENTOS!$D$15,$A19-$A$15,0)),
                OFFSET($F$15,$A19,0)))</f>
        <v>ADMINISTRAÇÃO LOCAL</v>
      </c>
      <c r="O19" s="167"/>
      <c r="Q19" s="167">
        <v>1</v>
      </c>
      <c r="R19" s="168">
        <v>1</v>
      </c>
      <c r="S19" s="168">
        <v>1</v>
      </c>
      <c r="T19" s="168">
        <v>1</v>
      </c>
      <c r="U19" s="168"/>
      <c r="V19" s="168"/>
      <c r="W19" s="168"/>
      <c r="X19" s="168"/>
      <c r="Y19" s="168"/>
      <c r="Z19" s="169"/>
      <c r="AB19" s="452">
        <f ca="1">IF(AND($D19="Serviço",AB$12&lt;&gt;0,$H19&gt;0,OR(AUTOEVENTO&lt;&gt;"manual",$M19&lt;&gt;$A$15)),
        IF(Import.TipoArredondamento&lt;&gt;"TransfereGOV",
              ROUND(OFFSET($P19,0,AB$13),15-13*ORÇAMENTO!$AF$7)/$H19*OFFSET(ORÇAMENTO!$X$15,ROW(AB19)-ROW(AB$15),0),
              ROUND(ROUND(OFFSET($P19,0,AB$13),15-13*ORÇAMENTO!$AF$7)*OFFSET(ORÇAMENTO!$W$15,ROW(AB19)-ROW(AB$15),0),15-13*ORÇAMENTO!$AF$11)),
         0)</f>
        <v>19773.96</v>
      </c>
      <c r="AC19" s="452">
        <f ca="1">IF(AND($D19="Serviço",AC$12&lt;&gt;0,$H19&gt;0,OR(AUTOEVENTO&lt;&gt;"manual",$M19&lt;&gt;$A$15)),
        IF(Import.TipoArredondamento&lt;&gt;"TransfereGOV",
              ROUND(OFFSET($P19,0,AC$13),15-13*ORÇAMENTO!$AF$7)/$H19*OFFSET(ORÇAMENTO!$X$15,ROW(AC19)-ROW(AC$15),0),
              ROUND(ROUND(OFFSET($P19,0,AC$13),15-13*ORÇAMENTO!$AF$7)*OFFSET(ORÇAMENTO!$W$15,ROW(AC19)-ROW(AC$15),0),15-13*ORÇAMENTO!$AF$11)),
         0)</f>
        <v>19773.96</v>
      </c>
      <c r="AD19" s="452">
        <f ca="1">IF(AND($D19="Serviço",AD$12&lt;&gt;0,$H19&gt;0,OR(AUTOEVENTO&lt;&gt;"manual",$M19&lt;&gt;$A$15)),
        IF(Import.TipoArredondamento&lt;&gt;"TransfereGOV",
              ROUND(OFFSET($P19,0,AD$13),15-13*ORÇAMENTO!$AF$7)/$H19*OFFSET(ORÇAMENTO!$X$15,ROW(AD19)-ROW(AD$15),0),
              ROUND(ROUND(OFFSET($P19,0,AD$13),15-13*ORÇAMENTO!$AF$7)*OFFSET(ORÇAMENTO!$W$15,ROW(AD19)-ROW(AD$15),0),15-13*ORÇAMENTO!$AF$11)),
         0)</f>
        <v>19773.96</v>
      </c>
      <c r="AE19" s="452">
        <f ca="1">IF(AND($D19="Serviço",AE$12&lt;&gt;0,$H19&gt;0,OR(AUTOEVENTO&lt;&gt;"manual",$M19&lt;&gt;$A$15)),
        IF(Import.TipoArredondamento&lt;&gt;"TransfereGOV",
              ROUND(OFFSET($P19,0,AE$13),15-13*ORÇAMENTO!$AF$7)/$H19*OFFSET(ORÇAMENTO!$X$15,ROW(AE19)-ROW(AE$15),0),
              ROUND(ROUND(OFFSET($P19,0,AE$13),15-13*ORÇAMENTO!$AF$7)*OFFSET(ORÇAMENTO!$W$15,ROW(AE19)-ROW(AE$15),0),15-13*ORÇAMENTO!$AF$11)),
         0)</f>
        <v>19773.96</v>
      </c>
      <c r="AF19" s="452">
        <f ca="1">IF(AND($D19="Serviço",AF$12&lt;&gt;0,$H19&gt;0,OR(AUTOEVENTO&lt;&gt;"manual",$M19&lt;&gt;$A$15)),
        IF(Import.TipoArredondamento&lt;&gt;"TransfereGOV",
              ROUND(OFFSET($P19,0,AF$13),15-13*ORÇAMENTO!$AF$7)/$H19*OFFSET(ORÇAMENTO!$X$15,ROW(AF19)-ROW(AF$15),0),
              ROUND(ROUND(OFFSET($P19,0,AF$13),15-13*ORÇAMENTO!$AF$7)*OFFSET(ORÇAMENTO!$W$15,ROW(AF19)-ROW(AF$15),0),15-13*ORÇAMENTO!$AF$11)),
         0)</f>
        <v>0</v>
      </c>
      <c r="AG19" s="452">
        <f ca="1">IF(AND($D19="Serviço",AG$12&lt;&gt;0,$H19&gt;0,OR(AUTOEVENTO&lt;&gt;"manual",$M19&lt;&gt;$A$15)),
        IF(Import.TipoArredondamento&lt;&gt;"TransfereGOV",
              ROUND(OFFSET($P19,0,AG$13),15-13*ORÇAMENTO!$AF$7)/$H19*OFFSET(ORÇAMENTO!$X$15,ROW(AG19)-ROW(AG$15),0),
              ROUND(ROUND(OFFSET($P19,0,AG$13),15-13*ORÇAMENTO!$AF$7)*OFFSET(ORÇAMENTO!$W$15,ROW(AG19)-ROW(AG$15),0),15-13*ORÇAMENTO!$AF$11)),
         0)</f>
        <v>0</v>
      </c>
      <c r="AH19" s="452">
        <f ca="1">IF(AND($D19="Serviço",AH$12&lt;&gt;0,$H19&gt;0,OR(AUTOEVENTO&lt;&gt;"manual",$M19&lt;&gt;$A$15)),
        IF(Import.TipoArredondamento&lt;&gt;"TransfereGOV",
              ROUND(OFFSET($P19,0,AH$13),15-13*ORÇAMENTO!$AF$7)/$H19*OFFSET(ORÇAMENTO!$X$15,ROW(AH19)-ROW(AH$15),0),
              ROUND(ROUND(OFFSET($P19,0,AH$13),15-13*ORÇAMENTO!$AF$7)*OFFSET(ORÇAMENTO!$W$15,ROW(AH19)-ROW(AH$15),0),15-13*ORÇAMENTO!$AF$11)),
         0)</f>
        <v>0</v>
      </c>
      <c r="AI19" s="452">
        <f ca="1">IF(AND($D19="Serviço",AI$12&lt;&gt;0,$H19&gt;0,OR(AUTOEVENTO&lt;&gt;"manual",$M19&lt;&gt;$A$15)),
        IF(Import.TipoArredondamento&lt;&gt;"TransfereGOV",
              ROUND(OFFSET($P19,0,AI$13),15-13*ORÇAMENTO!$AF$7)/$H19*OFFSET(ORÇAMENTO!$X$15,ROW(AI19)-ROW(AI$15),0),
              ROUND(ROUND(OFFSET($P19,0,AI$13),15-13*ORÇAMENTO!$AF$7)*OFFSET(ORÇAMENTO!$W$15,ROW(AI19)-ROW(AI$15),0),15-13*ORÇAMENTO!$AF$11)),
         0)</f>
        <v>0</v>
      </c>
      <c r="AJ19" s="452">
        <f ca="1">IF(AND($D19="Serviço",AJ$12&lt;&gt;0,$H19&gt;0,OR(AUTOEVENTO&lt;&gt;"manual",$M19&lt;&gt;$A$15)),
        IF(Import.TipoArredondamento&lt;&gt;"TransfereGOV",
              ROUND(OFFSET($P19,0,AJ$13),15-13*ORÇAMENTO!$AF$7)/$H19*OFFSET(ORÇAMENTO!$X$15,ROW(AJ19)-ROW(AJ$15),0),
              ROUND(ROUND(OFFSET($P19,0,AJ$13),15-13*ORÇAMENTO!$AF$7)*OFFSET(ORÇAMENTO!$W$15,ROW(AJ19)-ROW(AJ$15),0),15-13*ORÇAMENTO!$AF$11)),
         0)</f>
        <v>0</v>
      </c>
      <c r="AK19" s="452">
        <f ca="1">IF(AND($D19="Serviço",AK$12&lt;&gt;0,$H19&gt;0,OR(AUTOEVENTO&lt;&gt;"manual",$M19&lt;&gt;$A$15)),
        IF(Import.TipoArredondamento&lt;&gt;"TransfereGOV",
              ROUND(OFFSET($P19,0,AK$13),15-13*ORÇAMENTO!$AF$7)/$H19*OFFSET(ORÇAMENTO!$X$15,ROW(AK19)-ROW(AK$15),0),
              ROUND(ROUND(OFFSET($P19,0,AK$13),15-13*ORÇAMENTO!$AF$7)*OFFSET(ORÇAMENTO!$W$15,ROW(AK19)-ROW(AK$15),0),15-13*ORÇAMENTO!$AF$11)),
         0)</f>
        <v>0</v>
      </c>
      <c r="AM19" s="170">
        <f ca="1">IF(OR($D19&lt;&gt;"Serviço",AND(AUTOEVENTO="Manual",$M19=$A$15)),0,
         IF(OFFSET(CRONOPLE!$F$15,$M19-$A$15,AM$13)=0,10^12,OFFSET(CRONOPLE!$F$15,$M19-$A$15,AM$13)))</f>
        <v>1</v>
      </c>
      <c r="AN19" s="170">
        <f ca="1">IF(OR($D19&lt;&gt;"Serviço",AND(AUTOEVENTO="Manual",$M19=$A$15)),0,
         IF(OFFSET(CRONOPLE!$F$15,$M19-$A$15,AN$13)=0,10^12,OFFSET(CRONOPLE!$F$15,$M19-$A$15,AN$13)))</f>
        <v>2</v>
      </c>
      <c r="AO19" s="170">
        <f ca="1">IF(OR($D19&lt;&gt;"Serviço",AND(AUTOEVENTO="Manual",$M19=$A$15)),0,
         IF(OFFSET(CRONOPLE!$F$15,$M19-$A$15,AO$13)=0,10^12,OFFSET(CRONOPLE!$F$15,$M19-$A$15,AO$13)))</f>
        <v>3</v>
      </c>
      <c r="AP19" s="170">
        <f ca="1">IF(OR($D19&lt;&gt;"Serviço",AND(AUTOEVENTO="Manual",$M19=$A$15)),0,
         IF(OFFSET(CRONOPLE!$F$15,$M19-$A$15,AP$13)=0,10^12,OFFSET(CRONOPLE!$F$15,$M19-$A$15,AP$13)))</f>
        <v>4</v>
      </c>
      <c r="AQ19" s="170">
        <f ca="1">IF(OR($D19&lt;&gt;"Serviço",AND(AUTOEVENTO="Manual",$M19=$A$15)),0,
         IF(OFFSET(CRONOPLE!$F$15,$M19-$A$15,AQ$13)=0,10^12,OFFSET(CRONOPLE!$F$15,$M19-$A$15,AQ$13)))</f>
        <v>1000000000000</v>
      </c>
      <c r="AR19" s="170">
        <f ca="1">IF(OR($D19&lt;&gt;"Serviço",AND(AUTOEVENTO="Manual",$M19=$A$15)),0,
         IF(OFFSET(CRONOPLE!$F$15,$M19-$A$15,AR$13)=0,10^12,OFFSET(CRONOPLE!$F$15,$M19-$A$15,AR$13)))</f>
        <v>1000000000000</v>
      </c>
      <c r="AS19" s="170">
        <f ca="1">IF(OR($D19&lt;&gt;"Serviço",AND(AUTOEVENTO="Manual",$M19=$A$15)),0,
         IF(OFFSET(CRONOPLE!$F$15,$M19-$A$15,AS$13)=0,10^12,OFFSET(CRONOPLE!$F$15,$M19-$A$15,AS$13)))</f>
        <v>1000000000000</v>
      </c>
      <c r="AT19" s="170">
        <f ca="1">IF(OR($D19&lt;&gt;"Serviço",AND(AUTOEVENTO="Manual",$M19=$A$15)),0,
         IF(OFFSET(CRONOPLE!$F$15,$M19-$A$15,AT$13)=0,10^12,OFFSET(CRONOPLE!$F$15,$M19-$A$15,AT$13)))</f>
        <v>1000000000000</v>
      </c>
      <c r="AU19" s="170">
        <f ca="1">IF(OR($D19&lt;&gt;"Serviço",AND(AUTOEVENTO="Manual",$M19=$A$15)),0,
         IF(OFFSET(CRONOPLE!$F$15,$M19-$A$15,AU$13)=0,10^12,OFFSET(CRONOPLE!$F$15,$M19-$A$15,AU$13)))</f>
        <v>1000000000000</v>
      </c>
      <c r="AV19" s="170">
        <f ca="1">IF(OR($D19&lt;&gt;"Serviço",AND(AUTOEVENTO="Manual",$M19=$A$15)),0,
         IF(OFFSET(CRONOPLE!$F$15,$M19-$A$15,AV$13)=0,10^12,OFFSET(CRONOPLE!$F$15,$M19-$A$15,AV$13)))</f>
        <v>1000000000000</v>
      </c>
      <c r="AX19" s="171" cm="1">
        <f t="array" aca="1" ref="AX19" ca="1">IF(OR($D19&lt;&gt;"Serviço",AND(AUTOEVENTO="Manual",$M19=$A$15),$M19&gt;(ROW(PLE.lastrow)-ROW(PLE.firstrow))),0,
           IF(OFFSET(PLE!$G$15,$M19-$A$15,AX$13)="",10^12,OFFSET(PLE!$G$15,$M19-$A$15,AX$13)))</f>
        <v>1000000000000</v>
      </c>
      <c r="AY19" s="171" cm="1">
        <f t="array" aca="1" ref="AY19" ca="1">IF(OR($D19&lt;&gt;"Serviço",AND(AUTOEVENTO="Manual",$M19=$A$15),$M19&gt;(ROW(PLE.lastrow)-ROW(PLE.firstrow))),0,
           IF(OFFSET(PLE!$G$15,$M19-$A$15,AY$13)="",10^12,OFFSET(PLE!$G$15,$M19-$A$15,AY$13)))</f>
        <v>1000000000000</v>
      </c>
      <c r="AZ19" s="171" cm="1">
        <f t="array" aca="1" ref="AZ19" ca="1">IF(OR($D19&lt;&gt;"Serviço",AND(AUTOEVENTO="Manual",$M19=$A$15),$M19&gt;(ROW(PLE.lastrow)-ROW(PLE.firstrow))),0,
           IF(OFFSET(PLE!$G$15,$M19-$A$15,AZ$13)="",10^12,OFFSET(PLE!$G$15,$M19-$A$15,AZ$13)))</f>
        <v>1000000000000</v>
      </c>
      <c r="BA19" s="171" cm="1">
        <f t="array" aca="1" ref="BA19" ca="1">IF(OR($D19&lt;&gt;"Serviço",AND(AUTOEVENTO="Manual",$M19=$A$15),$M19&gt;(ROW(PLE.lastrow)-ROW(PLE.firstrow))),0,
           IF(OFFSET(PLE!$G$15,$M19-$A$15,BA$13)="",10^12,OFFSET(PLE!$G$15,$M19-$A$15,BA$13)))</f>
        <v>1000000000000</v>
      </c>
      <c r="BB19" s="171" cm="1">
        <f t="array" aca="1" ref="BB19" ca="1">IF(OR($D19&lt;&gt;"Serviço",AND(AUTOEVENTO="Manual",$M19=$A$15),$M19&gt;(ROW(PLE.lastrow)-ROW(PLE.firstrow))),0,
           IF(OFFSET(PLE!$G$15,$M19-$A$15,BB$13)="",10^12,OFFSET(PLE!$G$15,$M19-$A$15,BB$13)))</f>
        <v>1000000000000</v>
      </c>
      <c r="BC19" s="171" cm="1">
        <f t="array" aca="1" ref="BC19" ca="1">IF(OR($D19&lt;&gt;"Serviço",AND(AUTOEVENTO="Manual",$M19=$A$15),$M19&gt;(ROW(PLE.lastrow)-ROW(PLE.firstrow))),0,
           IF(OFFSET(PLE!$G$15,$M19-$A$15,BC$13)="",10^12,OFFSET(PLE!$G$15,$M19-$A$15,BC$13)))</f>
        <v>1000000000000</v>
      </c>
      <c r="BD19" s="171" cm="1">
        <f t="array" aca="1" ref="BD19" ca="1">IF(OR($D19&lt;&gt;"Serviço",AND(AUTOEVENTO="Manual",$M19=$A$15),$M19&gt;(ROW(PLE.lastrow)-ROW(PLE.firstrow))),0,
           IF(OFFSET(PLE!$G$15,$M19-$A$15,BD$13)="",10^12,OFFSET(PLE!$G$15,$M19-$A$15,BD$13)))</f>
        <v>1000000000000</v>
      </c>
      <c r="BE19" s="171" cm="1">
        <f t="array" aca="1" ref="BE19" ca="1">IF(OR($D19&lt;&gt;"Serviço",AND(AUTOEVENTO="Manual",$M19=$A$15),$M19&gt;(ROW(PLE.lastrow)-ROW(PLE.firstrow))),0,
           IF(OFFSET(PLE!$G$15,$M19-$A$15,BE$13)="",10^12,OFFSET(PLE!$G$15,$M19-$A$15,BE$13)))</f>
        <v>1000000000000</v>
      </c>
      <c r="BF19" s="171" cm="1">
        <f t="array" aca="1" ref="BF19" ca="1">IF(OR($D19&lt;&gt;"Serviço",AND(AUTOEVENTO="Manual",$M19=$A$15),$M19&gt;(ROW(PLE.lastrow)-ROW(PLE.firstrow))),0,
           IF(OFFSET(PLE!$G$15,$M19-$A$15,BF$13)="",10^12,OFFSET(PLE!$G$15,$M19-$A$15,BF$13)))</f>
        <v>1000000000000</v>
      </c>
      <c r="BG19" s="171" cm="1">
        <f t="array" aca="1" ref="BG19" ca="1">IF(OR($D19&lt;&gt;"Serviço",AND(AUTOEVENTO="Manual",$M19=$A$15),$M19&gt;(ROW(PLE.lastrow)-ROW(PLE.firstrow))),0,
           IF(OFFSET(PLE!$G$15,$M19-$A$15,BG$13)="",10^12,OFFSET(PLE!$G$15,$M19-$A$15,BG$13)))</f>
        <v>1000000000000</v>
      </c>
    </row>
    <row r="20" spans="1:59" ht="12.75" x14ac:dyDescent="0.2">
      <c r="A20" s="7" t="str">
        <f t="shared" ca="1" si="8"/>
        <v>5.</v>
      </c>
      <c r="B20" s="7">
        <f ca="1">OFFSET(ORÇAMENTO!C$15,$L20,0)</f>
        <v>2</v>
      </c>
      <c r="C20" s="7" t="str">
        <f ca="1">OFFSET(ORÇAMENTO!L$15,$L20,0)</f>
        <v>F</v>
      </c>
      <c r="D20" s="115" t="str">
        <f ca="1">OFFSET(ORÇAMENTO!N$15,$L20,0)</f>
        <v>Nível 2</v>
      </c>
      <c r="E20" s="116" t="str">
        <f ca="1">OFFSET(ORÇAMENTO!O$15,$L20,0)</f>
        <v>1.2.</v>
      </c>
      <c r="F20" s="162" t="str">
        <f ca="1">OFFSET(ORÇAMENTO!R$15,$L20,0)</f>
        <v>SERVIÇOS PLELIMINARES</v>
      </c>
      <c r="G20" s="163" t="str">
        <f ca="1">IF($D20&lt;&gt;"Serviço","",OFFSET(ORÇAMENTO!S$15,$L20,0))</f>
        <v/>
      </c>
      <c r="H20" s="121" cm="1">
        <f t="array" aca="1" ref="H20" ca="1">IF($D20&lt;&gt;"Serviço",0,IF(ACOMPANHAMENTO="BM",ROUND(OFFSET(ORÇAMENTO!AJ$15,$L20,0),15-13*ORÇAMENTO!$AF$7),IF(IFERROR(CÁLCULO.FrentesPreenchidas,0)=0,0,SUM(ROUND(OFFSET($P20,0,1,1,CÁLCULO.FrentesPreenchidas),15-13*ORÇAMENTO!$AF$7)))))</f>
        <v>0</v>
      </c>
      <c r="I20" s="467"/>
      <c r="J20" s="650" t="str" cm="1">
        <f t="array" aca="1" ref="J20" ca="1">IF(OR(B20&lt;&gt;"S",CÁLCULO.FrentesPreenchidas=0),"",IF(AND(ACOMPANHAMENTO="PLE",AUTOEVENTO="Manual",OR(H20&gt;0,ORÇAMENTO!AC20="QUANT."),OR(K20="",M20=0,N20="")),"►E",IF(AND(ACOMPANHAMENTO="PLE",ORÇAMENTO!AC20="QUANT."),"►Q",IF(AND(ACOMPANHAMENTO="PLE",H20&lt;&gt;SUMPRODUCT(($Q$1:$AA$1=1)*ROUND(Q20:AA20,15))),"►S",IF(AND(COUNTIF($P$11:$AA$11,"▼")=0,H20&gt;0,I20=""),"◄M","")))))</f>
        <v/>
      </c>
      <c r="K20" s="651"/>
      <c r="L20" s="164">
        <f t="shared" ca="1" si="9"/>
        <v>5</v>
      </c>
      <c r="M20" s="165" t="str">
        <f ca="1">IF($D20&lt;&gt;"Serviço","",
          IF(AUTOEVENTO="manual",$A20,
                IF(ISERROR(MATCH($A20,$A$15:OFFSET($A20,-1,0),0)),MAX($M$15:OFFSET(M20,-1,0))+1,
                      INDEX($M$15:OFFSET(M20,-1,0),MATCH($A20,$A$15:OFFSET($A20,-1,0),0)))))</f>
        <v/>
      </c>
      <c r="N20" s="166" t="str">
        <f ca="1">IF($D20&lt;&gt;"Serviço","",
         IF(AUTOEVENTO="Manual",
                IF($A20=0,"&lt;-- defina o número do agrupador",
                       OFFSET(EVENTOS!$D$15,$A20-$A$15,0)),
                OFFSET($F$15,$A20,0)))</f>
        <v/>
      </c>
      <c r="O20" s="167"/>
      <c r="Q20" s="167"/>
      <c r="R20" s="168"/>
      <c r="S20" s="168"/>
      <c r="T20" s="168"/>
      <c r="U20" s="168"/>
      <c r="V20" s="168"/>
      <c r="W20" s="168"/>
      <c r="X20" s="168"/>
      <c r="Y20" s="168"/>
      <c r="Z20" s="169"/>
      <c r="AB20" s="452">
        <f ca="1">IF(AND($D20="Serviço",AB$12&lt;&gt;0,$H20&gt;0,OR(AUTOEVENTO&lt;&gt;"manual",$M20&lt;&gt;$A$15)),
        IF(Import.TipoArredondamento&lt;&gt;"TransfereGOV",
              ROUND(OFFSET($P20,0,AB$13),15-13*ORÇAMENTO!$AF$7)/$H20*OFFSET(ORÇAMENTO!$X$15,ROW(AB20)-ROW(AB$15),0),
              ROUND(ROUND(OFFSET($P20,0,AB$13),15-13*ORÇAMENTO!$AF$7)*OFFSET(ORÇAMENTO!$W$15,ROW(AB20)-ROW(AB$15),0),15-13*ORÇAMENTO!$AF$11)),
         0)</f>
        <v>0</v>
      </c>
      <c r="AC20" s="452">
        <f ca="1">IF(AND($D20="Serviço",AC$12&lt;&gt;0,$H20&gt;0,OR(AUTOEVENTO&lt;&gt;"manual",$M20&lt;&gt;$A$15)),
        IF(Import.TipoArredondamento&lt;&gt;"TransfereGOV",
              ROUND(OFFSET($P20,0,AC$13),15-13*ORÇAMENTO!$AF$7)/$H20*OFFSET(ORÇAMENTO!$X$15,ROW(AC20)-ROW(AC$15),0),
              ROUND(ROUND(OFFSET($P20,0,AC$13),15-13*ORÇAMENTO!$AF$7)*OFFSET(ORÇAMENTO!$W$15,ROW(AC20)-ROW(AC$15),0),15-13*ORÇAMENTO!$AF$11)),
         0)</f>
        <v>0</v>
      </c>
      <c r="AD20" s="452">
        <f ca="1">IF(AND($D20="Serviço",AD$12&lt;&gt;0,$H20&gt;0,OR(AUTOEVENTO&lt;&gt;"manual",$M20&lt;&gt;$A$15)),
        IF(Import.TipoArredondamento&lt;&gt;"TransfereGOV",
              ROUND(OFFSET($P20,0,AD$13),15-13*ORÇAMENTO!$AF$7)/$H20*OFFSET(ORÇAMENTO!$X$15,ROW(AD20)-ROW(AD$15),0),
              ROUND(ROUND(OFFSET($P20,0,AD$13),15-13*ORÇAMENTO!$AF$7)*OFFSET(ORÇAMENTO!$W$15,ROW(AD20)-ROW(AD$15),0),15-13*ORÇAMENTO!$AF$11)),
         0)</f>
        <v>0</v>
      </c>
      <c r="AE20" s="452">
        <f ca="1">IF(AND($D20="Serviço",AE$12&lt;&gt;0,$H20&gt;0,OR(AUTOEVENTO&lt;&gt;"manual",$M20&lt;&gt;$A$15)),
        IF(Import.TipoArredondamento&lt;&gt;"TransfereGOV",
              ROUND(OFFSET($P20,0,AE$13),15-13*ORÇAMENTO!$AF$7)/$H20*OFFSET(ORÇAMENTO!$X$15,ROW(AE20)-ROW(AE$15),0),
              ROUND(ROUND(OFFSET($P20,0,AE$13),15-13*ORÇAMENTO!$AF$7)*OFFSET(ORÇAMENTO!$W$15,ROW(AE20)-ROW(AE$15),0),15-13*ORÇAMENTO!$AF$11)),
         0)</f>
        <v>0</v>
      </c>
      <c r="AF20" s="452">
        <f ca="1">IF(AND($D20="Serviço",AF$12&lt;&gt;0,$H20&gt;0,OR(AUTOEVENTO&lt;&gt;"manual",$M20&lt;&gt;$A$15)),
        IF(Import.TipoArredondamento&lt;&gt;"TransfereGOV",
              ROUND(OFFSET($P20,0,AF$13),15-13*ORÇAMENTO!$AF$7)/$H20*OFFSET(ORÇAMENTO!$X$15,ROW(AF20)-ROW(AF$15),0),
              ROUND(ROUND(OFFSET($P20,0,AF$13),15-13*ORÇAMENTO!$AF$7)*OFFSET(ORÇAMENTO!$W$15,ROW(AF20)-ROW(AF$15),0),15-13*ORÇAMENTO!$AF$11)),
         0)</f>
        <v>0</v>
      </c>
      <c r="AG20" s="452">
        <f ca="1">IF(AND($D20="Serviço",AG$12&lt;&gt;0,$H20&gt;0,OR(AUTOEVENTO&lt;&gt;"manual",$M20&lt;&gt;$A$15)),
        IF(Import.TipoArredondamento&lt;&gt;"TransfereGOV",
              ROUND(OFFSET($P20,0,AG$13),15-13*ORÇAMENTO!$AF$7)/$H20*OFFSET(ORÇAMENTO!$X$15,ROW(AG20)-ROW(AG$15),0),
              ROUND(ROUND(OFFSET($P20,0,AG$13),15-13*ORÇAMENTO!$AF$7)*OFFSET(ORÇAMENTO!$W$15,ROW(AG20)-ROW(AG$15),0),15-13*ORÇAMENTO!$AF$11)),
         0)</f>
        <v>0</v>
      </c>
      <c r="AH20" s="452">
        <f ca="1">IF(AND($D20="Serviço",AH$12&lt;&gt;0,$H20&gt;0,OR(AUTOEVENTO&lt;&gt;"manual",$M20&lt;&gt;$A$15)),
        IF(Import.TipoArredondamento&lt;&gt;"TransfereGOV",
              ROUND(OFFSET($P20,0,AH$13),15-13*ORÇAMENTO!$AF$7)/$H20*OFFSET(ORÇAMENTO!$X$15,ROW(AH20)-ROW(AH$15),0),
              ROUND(ROUND(OFFSET($P20,0,AH$13),15-13*ORÇAMENTO!$AF$7)*OFFSET(ORÇAMENTO!$W$15,ROW(AH20)-ROW(AH$15),0),15-13*ORÇAMENTO!$AF$11)),
         0)</f>
        <v>0</v>
      </c>
      <c r="AI20" s="452">
        <f ca="1">IF(AND($D20="Serviço",AI$12&lt;&gt;0,$H20&gt;0,OR(AUTOEVENTO&lt;&gt;"manual",$M20&lt;&gt;$A$15)),
        IF(Import.TipoArredondamento&lt;&gt;"TransfereGOV",
              ROUND(OFFSET($P20,0,AI$13),15-13*ORÇAMENTO!$AF$7)/$H20*OFFSET(ORÇAMENTO!$X$15,ROW(AI20)-ROW(AI$15),0),
              ROUND(ROUND(OFFSET($P20,0,AI$13),15-13*ORÇAMENTO!$AF$7)*OFFSET(ORÇAMENTO!$W$15,ROW(AI20)-ROW(AI$15),0),15-13*ORÇAMENTO!$AF$11)),
         0)</f>
        <v>0</v>
      </c>
      <c r="AJ20" s="452">
        <f ca="1">IF(AND($D20="Serviço",AJ$12&lt;&gt;0,$H20&gt;0,OR(AUTOEVENTO&lt;&gt;"manual",$M20&lt;&gt;$A$15)),
        IF(Import.TipoArredondamento&lt;&gt;"TransfereGOV",
              ROUND(OFFSET($P20,0,AJ$13),15-13*ORÇAMENTO!$AF$7)/$H20*OFFSET(ORÇAMENTO!$X$15,ROW(AJ20)-ROW(AJ$15),0),
              ROUND(ROUND(OFFSET($P20,0,AJ$13),15-13*ORÇAMENTO!$AF$7)*OFFSET(ORÇAMENTO!$W$15,ROW(AJ20)-ROW(AJ$15),0),15-13*ORÇAMENTO!$AF$11)),
         0)</f>
        <v>0</v>
      </c>
      <c r="AK20" s="452">
        <f ca="1">IF(AND($D20="Serviço",AK$12&lt;&gt;0,$H20&gt;0,OR(AUTOEVENTO&lt;&gt;"manual",$M20&lt;&gt;$A$15)),
        IF(Import.TipoArredondamento&lt;&gt;"TransfereGOV",
              ROUND(OFFSET($P20,0,AK$13),15-13*ORÇAMENTO!$AF$7)/$H20*OFFSET(ORÇAMENTO!$X$15,ROW(AK20)-ROW(AK$15),0),
              ROUND(ROUND(OFFSET($P20,0,AK$13),15-13*ORÇAMENTO!$AF$7)*OFFSET(ORÇAMENTO!$W$15,ROW(AK20)-ROW(AK$15),0),15-13*ORÇAMENTO!$AF$11)),
         0)</f>
        <v>0</v>
      </c>
      <c r="AM20" s="170">
        <f ca="1">IF(OR($D20&lt;&gt;"Serviço",AND(AUTOEVENTO="Manual",$M20=$A$15)),0,
         IF(OFFSET(CRONOPLE!$F$15,$M20-$A$15,AM$13)=0,10^12,OFFSET(CRONOPLE!$F$15,$M20-$A$15,AM$13)))</f>
        <v>0</v>
      </c>
      <c r="AN20" s="170">
        <f ca="1">IF(OR($D20&lt;&gt;"Serviço",AND(AUTOEVENTO="Manual",$M20=$A$15)),0,
         IF(OFFSET(CRONOPLE!$F$15,$M20-$A$15,AN$13)=0,10^12,OFFSET(CRONOPLE!$F$15,$M20-$A$15,AN$13)))</f>
        <v>0</v>
      </c>
      <c r="AO20" s="170">
        <f ca="1">IF(OR($D20&lt;&gt;"Serviço",AND(AUTOEVENTO="Manual",$M20=$A$15)),0,
         IF(OFFSET(CRONOPLE!$F$15,$M20-$A$15,AO$13)=0,10^12,OFFSET(CRONOPLE!$F$15,$M20-$A$15,AO$13)))</f>
        <v>0</v>
      </c>
      <c r="AP20" s="170">
        <f ca="1">IF(OR($D20&lt;&gt;"Serviço",AND(AUTOEVENTO="Manual",$M20=$A$15)),0,
         IF(OFFSET(CRONOPLE!$F$15,$M20-$A$15,AP$13)=0,10^12,OFFSET(CRONOPLE!$F$15,$M20-$A$15,AP$13)))</f>
        <v>0</v>
      </c>
      <c r="AQ20" s="170">
        <f ca="1">IF(OR($D20&lt;&gt;"Serviço",AND(AUTOEVENTO="Manual",$M20=$A$15)),0,
         IF(OFFSET(CRONOPLE!$F$15,$M20-$A$15,AQ$13)=0,10^12,OFFSET(CRONOPLE!$F$15,$M20-$A$15,AQ$13)))</f>
        <v>0</v>
      </c>
      <c r="AR20" s="170">
        <f ca="1">IF(OR($D20&lt;&gt;"Serviço",AND(AUTOEVENTO="Manual",$M20=$A$15)),0,
         IF(OFFSET(CRONOPLE!$F$15,$M20-$A$15,AR$13)=0,10^12,OFFSET(CRONOPLE!$F$15,$M20-$A$15,AR$13)))</f>
        <v>0</v>
      </c>
      <c r="AS20" s="170">
        <f ca="1">IF(OR($D20&lt;&gt;"Serviço",AND(AUTOEVENTO="Manual",$M20=$A$15)),0,
         IF(OFFSET(CRONOPLE!$F$15,$M20-$A$15,AS$13)=0,10^12,OFFSET(CRONOPLE!$F$15,$M20-$A$15,AS$13)))</f>
        <v>0</v>
      </c>
      <c r="AT20" s="170">
        <f ca="1">IF(OR($D20&lt;&gt;"Serviço",AND(AUTOEVENTO="Manual",$M20=$A$15)),0,
         IF(OFFSET(CRONOPLE!$F$15,$M20-$A$15,AT$13)=0,10^12,OFFSET(CRONOPLE!$F$15,$M20-$A$15,AT$13)))</f>
        <v>0</v>
      </c>
      <c r="AU20" s="170">
        <f ca="1">IF(OR($D20&lt;&gt;"Serviço",AND(AUTOEVENTO="Manual",$M20=$A$15)),0,
         IF(OFFSET(CRONOPLE!$F$15,$M20-$A$15,AU$13)=0,10^12,OFFSET(CRONOPLE!$F$15,$M20-$A$15,AU$13)))</f>
        <v>0</v>
      </c>
      <c r="AV20" s="170">
        <f ca="1">IF(OR($D20&lt;&gt;"Serviço",AND(AUTOEVENTO="Manual",$M20=$A$15)),0,
         IF(OFFSET(CRONOPLE!$F$15,$M20-$A$15,AV$13)=0,10^12,OFFSET(CRONOPLE!$F$15,$M20-$A$15,AV$13)))</f>
        <v>0</v>
      </c>
      <c r="AX20" s="171" cm="1">
        <f t="array" aca="1" ref="AX20" ca="1">IF(OR($D20&lt;&gt;"Serviço",AND(AUTOEVENTO="Manual",$M20=$A$15),$M20&gt;(ROW(PLE.lastrow)-ROW(PLE.firstrow))),0,
           IF(OFFSET(PLE!$G$15,$M20-$A$15,AX$13)="",10^12,OFFSET(PLE!$G$15,$M20-$A$15,AX$13)))</f>
        <v>0</v>
      </c>
      <c r="AY20" s="171" cm="1">
        <f t="array" aca="1" ref="AY20" ca="1">IF(OR($D20&lt;&gt;"Serviço",AND(AUTOEVENTO="Manual",$M20=$A$15),$M20&gt;(ROW(PLE.lastrow)-ROW(PLE.firstrow))),0,
           IF(OFFSET(PLE!$G$15,$M20-$A$15,AY$13)="",10^12,OFFSET(PLE!$G$15,$M20-$A$15,AY$13)))</f>
        <v>0</v>
      </c>
      <c r="AZ20" s="171" cm="1">
        <f t="array" aca="1" ref="AZ20" ca="1">IF(OR($D20&lt;&gt;"Serviço",AND(AUTOEVENTO="Manual",$M20=$A$15),$M20&gt;(ROW(PLE.lastrow)-ROW(PLE.firstrow))),0,
           IF(OFFSET(PLE!$G$15,$M20-$A$15,AZ$13)="",10^12,OFFSET(PLE!$G$15,$M20-$A$15,AZ$13)))</f>
        <v>0</v>
      </c>
      <c r="BA20" s="171" cm="1">
        <f t="array" aca="1" ref="BA20" ca="1">IF(OR($D20&lt;&gt;"Serviço",AND(AUTOEVENTO="Manual",$M20=$A$15),$M20&gt;(ROW(PLE.lastrow)-ROW(PLE.firstrow))),0,
           IF(OFFSET(PLE!$G$15,$M20-$A$15,BA$13)="",10^12,OFFSET(PLE!$G$15,$M20-$A$15,BA$13)))</f>
        <v>0</v>
      </c>
      <c r="BB20" s="171" cm="1">
        <f t="array" aca="1" ref="BB20" ca="1">IF(OR($D20&lt;&gt;"Serviço",AND(AUTOEVENTO="Manual",$M20=$A$15),$M20&gt;(ROW(PLE.lastrow)-ROW(PLE.firstrow))),0,
           IF(OFFSET(PLE!$G$15,$M20-$A$15,BB$13)="",10^12,OFFSET(PLE!$G$15,$M20-$A$15,BB$13)))</f>
        <v>0</v>
      </c>
      <c r="BC20" s="171" cm="1">
        <f t="array" aca="1" ref="BC20" ca="1">IF(OR($D20&lt;&gt;"Serviço",AND(AUTOEVENTO="Manual",$M20=$A$15),$M20&gt;(ROW(PLE.lastrow)-ROW(PLE.firstrow))),0,
           IF(OFFSET(PLE!$G$15,$M20-$A$15,BC$13)="",10^12,OFFSET(PLE!$G$15,$M20-$A$15,BC$13)))</f>
        <v>0</v>
      </c>
      <c r="BD20" s="171" cm="1">
        <f t="array" aca="1" ref="BD20" ca="1">IF(OR($D20&lt;&gt;"Serviço",AND(AUTOEVENTO="Manual",$M20=$A$15),$M20&gt;(ROW(PLE.lastrow)-ROW(PLE.firstrow))),0,
           IF(OFFSET(PLE!$G$15,$M20-$A$15,BD$13)="",10^12,OFFSET(PLE!$G$15,$M20-$A$15,BD$13)))</f>
        <v>0</v>
      </c>
      <c r="BE20" s="171" cm="1">
        <f t="array" aca="1" ref="BE20" ca="1">IF(OR($D20&lt;&gt;"Serviço",AND(AUTOEVENTO="Manual",$M20=$A$15),$M20&gt;(ROW(PLE.lastrow)-ROW(PLE.firstrow))),0,
           IF(OFFSET(PLE!$G$15,$M20-$A$15,BE$13)="",10^12,OFFSET(PLE!$G$15,$M20-$A$15,BE$13)))</f>
        <v>0</v>
      </c>
      <c r="BF20" s="171" cm="1">
        <f t="array" aca="1" ref="BF20" ca="1">IF(OR($D20&lt;&gt;"Serviço",AND(AUTOEVENTO="Manual",$M20=$A$15),$M20&gt;(ROW(PLE.lastrow)-ROW(PLE.firstrow))),0,
           IF(OFFSET(PLE!$G$15,$M20-$A$15,BF$13)="",10^12,OFFSET(PLE!$G$15,$M20-$A$15,BF$13)))</f>
        <v>0</v>
      </c>
      <c r="BG20" s="171" cm="1">
        <f t="array" aca="1" ref="BG20" ca="1">IF(OR($D20&lt;&gt;"Serviço",AND(AUTOEVENTO="Manual",$M20=$A$15),$M20&gt;(ROW(PLE.lastrow)-ROW(PLE.firstrow))),0,
           IF(OFFSET(PLE!$G$15,$M20-$A$15,BG$13)="",10^12,OFFSET(PLE!$G$15,$M20-$A$15,BG$13)))</f>
        <v>0</v>
      </c>
    </row>
    <row r="21" spans="1:59" ht="38.25" x14ac:dyDescent="0.2">
      <c r="A21" s="7" t="str">
        <f t="shared" ca="1" si="8"/>
        <v>5</v>
      </c>
      <c r="B21" s="7" t="str">
        <f ca="1">OFFSET(ORÇAMENTO!C$15,$L21,0)</f>
        <v>S</v>
      </c>
      <c r="C21" s="7" t="str">
        <f ca="1">OFFSET(ORÇAMENTO!L$15,$L21,0)</f>
        <v>F</v>
      </c>
      <c r="D21" s="115" t="str">
        <f ca="1">OFFSET(ORÇAMENTO!N$15,$L21,0)</f>
        <v>Serviço</v>
      </c>
      <c r="E21" s="116" t="str">
        <f ca="1">OFFSET(ORÇAMENTO!O$15,$L21,0)</f>
        <v>1.2.1.</v>
      </c>
      <c r="F21" s="162" t="str">
        <f ca="1">OFFSET(ORÇAMENTO!R$15,$L21,0)</f>
        <v>FORNECIMENTO E INSTALAÇÃO DE PLACA DE OBRA COM CHAPA GALVANIZADA E ESTRUTURA DE MADEIRA.
 AF_03/2022_PS)</v>
      </c>
      <c r="G21" s="163" t="str">
        <f ca="1">IF($D21&lt;&gt;"Serviço","",OFFSET(ORÇAMENTO!S$15,$L21,0))</f>
        <v>M2</v>
      </c>
      <c r="H21" s="121" cm="1">
        <f t="array" aca="1" ref="H21" ca="1">IF($D21&lt;&gt;"Serviço",0,IF(ACOMPANHAMENTO="BM",ROUND(OFFSET(ORÇAMENTO!AJ$15,$L21,0),15-13*ORÇAMENTO!$AF$7),IF(IFERROR(CÁLCULO.FrentesPreenchidas,0)=0,0,SUM(ROUND(OFFSET($P21,0,1,1,CÁLCULO.FrentesPreenchidas),15-13*ORÇAMENTO!$AF$7)))))</f>
        <v>4.5</v>
      </c>
      <c r="I21" s="467"/>
      <c r="J21" s="650" t="str" cm="1">
        <f t="array" aca="1" ref="J21" ca="1">IF(OR(B21&lt;&gt;"S",CÁLCULO.FrentesPreenchidas=0),"",IF(AND(ACOMPANHAMENTO="PLE",AUTOEVENTO="Manual",OR(H21&gt;0,ORÇAMENTO!AC21="QUANT."),OR(K21="",M21=0,N21="")),"►E",IF(AND(ACOMPANHAMENTO="PLE",ORÇAMENTO!AC21="QUANT."),"►Q",IF(AND(ACOMPANHAMENTO="PLE",H21&lt;&gt;SUMPRODUCT(($Q$1:$AA$1=1)*ROUND(Q21:AA21,15))),"►S",IF(AND(COUNTIF($P$11:$AA$11,"▼")=0,H21&gt;0,I21=""),"◄M","")))))</f>
        <v>◄M</v>
      </c>
      <c r="K21" s="651"/>
      <c r="L21" s="164">
        <f t="shared" ca="1" si="9"/>
        <v>6</v>
      </c>
      <c r="M21" s="165">
        <f ca="1">IF($D21&lt;&gt;"Serviço","",
          IF(AUTOEVENTO="manual",$A21,
                IF(ISERROR(MATCH($A21,$A$15:OFFSET($A21,-1,0),0)),MAX($M$15:OFFSET(M21,-1,0))+1,
                      INDEX($M$15:OFFSET(M21,-1,0),MATCH($A21,$A$15:OFFSET($A21,-1,0),0)))))</f>
        <v>2</v>
      </c>
      <c r="N21" s="166" t="str">
        <f ca="1">IF($D21&lt;&gt;"Serviço","",
         IF(AUTOEVENTO="Manual",
                IF($A21=0,"&lt;-- defina o número do agrupador",
                       OFFSET(EVENTOS!$D$15,$A21-$A$15,0)),
                OFFSET($F$15,$A21,0)))</f>
        <v>SERVIÇOS PLELIMINARES</v>
      </c>
      <c r="O21" s="167"/>
      <c r="Q21" s="167">
        <v>4.5</v>
      </c>
      <c r="R21" s="168"/>
      <c r="S21" s="168"/>
      <c r="T21" s="168"/>
      <c r="U21" s="168"/>
      <c r="V21" s="168"/>
      <c r="W21" s="168"/>
      <c r="X21" s="168"/>
      <c r="Y21" s="168"/>
      <c r="Z21" s="169"/>
      <c r="AB21" s="452">
        <f ca="1">IF(AND($D21="Serviço",AB$12&lt;&gt;0,$H21&gt;0,OR(AUTOEVENTO&lt;&gt;"manual",$M21&lt;&gt;$A$15)),
        IF(Import.TipoArredondamento&lt;&gt;"TransfereGOV",
              ROUND(OFFSET($P21,0,AB$13),15-13*ORÇAMENTO!$AF$7)/$H21*OFFSET(ORÇAMENTO!$X$15,ROW(AB21)-ROW(AB$15),0),
              ROUND(ROUND(OFFSET($P21,0,AB$13),15-13*ORÇAMENTO!$AF$7)*OFFSET(ORÇAMENTO!$W$15,ROW(AB21)-ROW(AB$15),0),15-13*ORÇAMENTO!$AF$11)),
         0)</f>
        <v>2348.37</v>
      </c>
      <c r="AC21" s="452">
        <f ca="1">IF(AND($D21="Serviço",AC$12&lt;&gt;0,$H21&gt;0,OR(AUTOEVENTO&lt;&gt;"manual",$M21&lt;&gt;$A$15)),
        IF(Import.TipoArredondamento&lt;&gt;"TransfereGOV",
              ROUND(OFFSET($P21,0,AC$13),15-13*ORÇAMENTO!$AF$7)/$H21*OFFSET(ORÇAMENTO!$X$15,ROW(AC21)-ROW(AC$15),0),
              ROUND(ROUND(OFFSET($P21,0,AC$13),15-13*ORÇAMENTO!$AF$7)*OFFSET(ORÇAMENTO!$W$15,ROW(AC21)-ROW(AC$15),0),15-13*ORÇAMENTO!$AF$11)),
         0)</f>
        <v>0</v>
      </c>
      <c r="AD21" s="452">
        <f ca="1">IF(AND($D21="Serviço",AD$12&lt;&gt;0,$H21&gt;0,OR(AUTOEVENTO&lt;&gt;"manual",$M21&lt;&gt;$A$15)),
        IF(Import.TipoArredondamento&lt;&gt;"TransfereGOV",
              ROUND(OFFSET($P21,0,AD$13),15-13*ORÇAMENTO!$AF$7)/$H21*OFFSET(ORÇAMENTO!$X$15,ROW(AD21)-ROW(AD$15),0),
              ROUND(ROUND(OFFSET($P21,0,AD$13),15-13*ORÇAMENTO!$AF$7)*OFFSET(ORÇAMENTO!$W$15,ROW(AD21)-ROW(AD$15),0),15-13*ORÇAMENTO!$AF$11)),
         0)</f>
        <v>0</v>
      </c>
      <c r="AE21" s="452">
        <f ca="1">IF(AND($D21="Serviço",AE$12&lt;&gt;0,$H21&gt;0,OR(AUTOEVENTO&lt;&gt;"manual",$M21&lt;&gt;$A$15)),
        IF(Import.TipoArredondamento&lt;&gt;"TransfereGOV",
              ROUND(OFFSET($P21,0,AE$13),15-13*ORÇAMENTO!$AF$7)/$H21*OFFSET(ORÇAMENTO!$X$15,ROW(AE21)-ROW(AE$15),0),
              ROUND(ROUND(OFFSET($P21,0,AE$13),15-13*ORÇAMENTO!$AF$7)*OFFSET(ORÇAMENTO!$W$15,ROW(AE21)-ROW(AE$15),0),15-13*ORÇAMENTO!$AF$11)),
         0)</f>
        <v>0</v>
      </c>
      <c r="AF21" s="452">
        <f ca="1">IF(AND($D21="Serviço",AF$12&lt;&gt;0,$H21&gt;0,OR(AUTOEVENTO&lt;&gt;"manual",$M21&lt;&gt;$A$15)),
        IF(Import.TipoArredondamento&lt;&gt;"TransfereGOV",
              ROUND(OFFSET($P21,0,AF$13),15-13*ORÇAMENTO!$AF$7)/$H21*OFFSET(ORÇAMENTO!$X$15,ROW(AF21)-ROW(AF$15),0),
              ROUND(ROUND(OFFSET($P21,0,AF$13),15-13*ORÇAMENTO!$AF$7)*OFFSET(ORÇAMENTO!$W$15,ROW(AF21)-ROW(AF$15),0),15-13*ORÇAMENTO!$AF$11)),
         0)</f>
        <v>0</v>
      </c>
      <c r="AG21" s="452">
        <f ca="1">IF(AND($D21="Serviço",AG$12&lt;&gt;0,$H21&gt;0,OR(AUTOEVENTO&lt;&gt;"manual",$M21&lt;&gt;$A$15)),
        IF(Import.TipoArredondamento&lt;&gt;"TransfereGOV",
              ROUND(OFFSET($P21,0,AG$13),15-13*ORÇAMENTO!$AF$7)/$H21*OFFSET(ORÇAMENTO!$X$15,ROW(AG21)-ROW(AG$15),0),
              ROUND(ROUND(OFFSET($P21,0,AG$13),15-13*ORÇAMENTO!$AF$7)*OFFSET(ORÇAMENTO!$W$15,ROW(AG21)-ROW(AG$15),0),15-13*ORÇAMENTO!$AF$11)),
         0)</f>
        <v>0</v>
      </c>
      <c r="AH21" s="452">
        <f ca="1">IF(AND($D21="Serviço",AH$12&lt;&gt;0,$H21&gt;0,OR(AUTOEVENTO&lt;&gt;"manual",$M21&lt;&gt;$A$15)),
        IF(Import.TipoArredondamento&lt;&gt;"TransfereGOV",
              ROUND(OFFSET($P21,0,AH$13),15-13*ORÇAMENTO!$AF$7)/$H21*OFFSET(ORÇAMENTO!$X$15,ROW(AH21)-ROW(AH$15),0),
              ROUND(ROUND(OFFSET($P21,0,AH$13),15-13*ORÇAMENTO!$AF$7)*OFFSET(ORÇAMENTO!$W$15,ROW(AH21)-ROW(AH$15),0),15-13*ORÇAMENTO!$AF$11)),
         0)</f>
        <v>0</v>
      </c>
      <c r="AI21" s="452">
        <f ca="1">IF(AND($D21="Serviço",AI$12&lt;&gt;0,$H21&gt;0,OR(AUTOEVENTO&lt;&gt;"manual",$M21&lt;&gt;$A$15)),
        IF(Import.TipoArredondamento&lt;&gt;"TransfereGOV",
              ROUND(OFFSET($P21,0,AI$13),15-13*ORÇAMENTO!$AF$7)/$H21*OFFSET(ORÇAMENTO!$X$15,ROW(AI21)-ROW(AI$15),0),
              ROUND(ROUND(OFFSET($P21,0,AI$13),15-13*ORÇAMENTO!$AF$7)*OFFSET(ORÇAMENTO!$W$15,ROW(AI21)-ROW(AI$15),0),15-13*ORÇAMENTO!$AF$11)),
         0)</f>
        <v>0</v>
      </c>
      <c r="AJ21" s="452">
        <f ca="1">IF(AND($D21="Serviço",AJ$12&lt;&gt;0,$H21&gt;0,OR(AUTOEVENTO&lt;&gt;"manual",$M21&lt;&gt;$A$15)),
        IF(Import.TipoArredondamento&lt;&gt;"TransfereGOV",
              ROUND(OFFSET($P21,0,AJ$13),15-13*ORÇAMENTO!$AF$7)/$H21*OFFSET(ORÇAMENTO!$X$15,ROW(AJ21)-ROW(AJ$15),0),
              ROUND(ROUND(OFFSET($P21,0,AJ$13),15-13*ORÇAMENTO!$AF$7)*OFFSET(ORÇAMENTO!$W$15,ROW(AJ21)-ROW(AJ$15),0),15-13*ORÇAMENTO!$AF$11)),
         0)</f>
        <v>0</v>
      </c>
      <c r="AK21" s="452">
        <f ca="1">IF(AND($D21="Serviço",AK$12&lt;&gt;0,$H21&gt;0,OR(AUTOEVENTO&lt;&gt;"manual",$M21&lt;&gt;$A$15)),
        IF(Import.TipoArredondamento&lt;&gt;"TransfereGOV",
              ROUND(OFFSET($P21,0,AK$13),15-13*ORÇAMENTO!$AF$7)/$H21*OFFSET(ORÇAMENTO!$X$15,ROW(AK21)-ROW(AK$15),0),
              ROUND(ROUND(OFFSET($P21,0,AK$13),15-13*ORÇAMENTO!$AF$7)*OFFSET(ORÇAMENTO!$W$15,ROW(AK21)-ROW(AK$15),0),15-13*ORÇAMENTO!$AF$11)),
         0)</f>
        <v>0</v>
      </c>
      <c r="AM21" s="170">
        <f ca="1">IF(OR($D21&lt;&gt;"Serviço",AND(AUTOEVENTO="Manual",$M21=$A$15)),0,
         IF(OFFSET(CRONOPLE!$F$15,$M21-$A$15,AM$13)=0,10^12,OFFSET(CRONOPLE!$F$15,$M21-$A$15,AM$13)))</f>
        <v>1</v>
      </c>
      <c r="AN21" s="170">
        <f ca="1">IF(OR($D21&lt;&gt;"Serviço",AND(AUTOEVENTO="Manual",$M21=$A$15)),0,
         IF(OFFSET(CRONOPLE!$F$15,$M21-$A$15,AN$13)=0,10^12,OFFSET(CRONOPLE!$F$15,$M21-$A$15,AN$13)))</f>
        <v>2</v>
      </c>
      <c r="AO21" s="170">
        <f ca="1">IF(OR($D21&lt;&gt;"Serviço",AND(AUTOEVENTO="Manual",$M21=$A$15)),0,
         IF(OFFSET(CRONOPLE!$F$15,$M21-$A$15,AO$13)=0,10^12,OFFSET(CRONOPLE!$F$15,$M21-$A$15,AO$13)))</f>
        <v>3</v>
      </c>
      <c r="AP21" s="170">
        <f ca="1">IF(OR($D21&lt;&gt;"Serviço",AND(AUTOEVENTO="Manual",$M21=$A$15)),0,
         IF(OFFSET(CRONOPLE!$F$15,$M21-$A$15,AP$13)=0,10^12,OFFSET(CRONOPLE!$F$15,$M21-$A$15,AP$13)))</f>
        <v>4</v>
      </c>
      <c r="AQ21" s="170">
        <f ca="1">IF(OR($D21&lt;&gt;"Serviço",AND(AUTOEVENTO="Manual",$M21=$A$15)),0,
         IF(OFFSET(CRONOPLE!$F$15,$M21-$A$15,AQ$13)=0,10^12,OFFSET(CRONOPLE!$F$15,$M21-$A$15,AQ$13)))</f>
        <v>1000000000000</v>
      </c>
      <c r="AR21" s="170">
        <f ca="1">IF(OR($D21&lt;&gt;"Serviço",AND(AUTOEVENTO="Manual",$M21=$A$15)),0,
         IF(OFFSET(CRONOPLE!$F$15,$M21-$A$15,AR$13)=0,10^12,OFFSET(CRONOPLE!$F$15,$M21-$A$15,AR$13)))</f>
        <v>1000000000000</v>
      </c>
      <c r="AS21" s="170">
        <f ca="1">IF(OR($D21&lt;&gt;"Serviço",AND(AUTOEVENTO="Manual",$M21=$A$15)),0,
         IF(OFFSET(CRONOPLE!$F$15,$M21-$A$15,AS$13)=0,10^12,OFFSET(CRONOPLE!$F$15,$M21-$A$15,AS$13)))</f>
        <v>1000000000000</v>
      </c>
      <c r="AT21" s="170">
        <f ca="1">IF(OR($D21&lt;&gt;"Serviço",AND(AUTOEVENTO="Manual",$M21=$A$15)),0,
         IF(OFFSET(CRONOPLE!$F$15,$M21-$A$15,AT$13)=0,10^12,OFFSET(CRONOPLE!$F$15,$M21-$A$15,AT$13)))</f>
        <v>1000000000000</v>
      </c>
      <c r="AU21" s="170">
        <f ca="1">IF(OR($D21&lt;&gt;"Serviço",AND(AUTOEVENTO="Manual",$M21=$A$15)),0,
         IF(OFFSET(CRONOPLE!$F$15,$M21-$A$15,AU$13)=0,10^12,OFFSET(CRONOPLE!$F$15,$M21-$A$15,AU$13)))</f>
        <v>1000000000000</v>
      </c>
      <c r="AV21" s="170">
        <f ca="1">IF(OR($D21&lt;&gt;"Serviço",AND(AUTOEVENTO="Manual",$M21=$A$15)),0,
         IF(OFFSET(CRONOPLE!$F$15,$M21-$A$15,AV$13)=0,10^12,OFFSET(CRONOPLE!$F$15,$M21-$A$15,AV$13)))</f>
        <v>1000000000000</v>
      </c>
      <c r="AX21" s="171" cm="1">
        <f t="array" aca="1" ref="AX21" ca="1">IF(OR($D21&lt;&gt;"Serviço",AND(AUTOEVENTO="Manual",$M21=$A$15),$M21&gt;(ROW(PLE.lastrow)-ROW(PLE.firstrow))),0,
           IF(OFFSET(PLE!$G$15,$M21-$A$15,AX$13)="",10^12,OFFSET(PLE!$G$15,$M21-$A$15,AX$13)))</f>
        <v>1000000000000</v>
      </c>
      <c r="AY21" s="171" cm="1">
        <f t="array" aca="1" ref="AY21" ca="1">IF(OR($D21&lt;&gt;"Serviço",AND(AUTOEVENTO="Manual",$M21=$A$15),$M21&gt;(ROW(PLE.lastrow)-ROW(PLE.firstrow))),0,
           IF(OFFSET(PLE!$G$15,$M21-$A$15,AY$13)="",10^12,OFFSET(PLE!$G$15,$M21-$A$15,AY$13)))</f>
        <v>1000000000000</v>
      </c>
      <c r="AZ21" s="171" cm="1">
        <f t="array" aca="1" ref="AZ21" ca="1">IF(OR($D21&lt;&gt;"Serviço",AND(AUTOEVENTO="Manual",$M21=$A$15),$M21&gt;(ROW(PLE.lastrow)-ROW(PLE.firstrow))),0,
           IF(OFFSET(PLE!$G$15,$M21-$A$15,AZ$13)="",10^12,OFFSET(PLE!$G$15,$M21-$A$15,AZ$13)))</f>
        <v>1000000000000</v>
      </c>
      <c r="BA21" s="171" cm="1">
        <f t="array" aca="1" ref="BA21" ca="1">IF(OR($D21&lt;&gt;"Serviço",AND(AUTOEVENTO="Manual",$M21=$A$15),$M21&gt;(ROW(PLE.lastrow)-ROW(PLE.firstrow))),0,
           IF(OFFSET(PLE!$G$15,$M21-$A$15,BA$13)="",10^12,OFFSET(PLE!$G$15,$M21-$A$15,BA$13)))</f>
        <v>1000000000000</v>
      </c>
      <c r="BB21" s="171" cm="1">
        <f t="array" aca="1" ref="BB21" ca="1">IF(OR($D21&lt;&gt;"Serviço",AND(AUTOEVENTO="Manual",$M21=$A$15),$M21&gt;(ROW(PLE.lastrow)-ROW(PLE.firstrow))),0,
           IF(OFFSET(PLE!$G$15,$M21-$A$15,BB$13)="",10^12,OFFSET(PLE!$G$15,$M21-$A$15,BB$13)))</f>
        <v>1000000000000</v>
      </c>
      <c r="BC21" s="171" cm="1">
        <f t="array" aca="1" ref="BC21" ca="1">IF(OR($D21&lt;&gt;"Serviço",AND(AUTOEVENTO="Manual",$M21=$A$15),$M21&gt;(ROW(PLE.lastrow)-ROW(PLE.firstrow))),0,
           IF(OFFSET(PLE!$G$15,$M21-$A$15,BC$13)="",10^12,OFFSET(PLE!$G$15,$M21-$A$15,BC$13)))</f>
        <v>1000000000000</v>
      </c>
      <c r="BD21" s="171" cm="1">
        <f t="array" aca="1" ref="BD21" ca="1">IF(OR($D21&lt;&gt;"Serviço",AND(AUTOEVENTO="Manual",$M21=$A$15),$M21&gt;(ROW(PLE.lastrow)-ROW(PLE.firstrow))),0,
           IF(OFFSET(PLE!$G$15,$M21-$A$15,BD$13)="",10^12,OFFSET(PLE!$G$15,$M21-$A$15,BD$13)))</f>
        <v>1000000000000</v>
      </c>
      <c r="BE21" s="171" cm="1">
        <f t="array" aca="1" ref="BE21" ca="1">IF(OR($D21&lt;&gt;"Serviço",AND(AUTOEVENTO="Manual",$M21=$A$15),$M21&gt;(ROW(PLE.lastrow)-ROW(PLE.firstrow))),0,
           IF(OFFSET(PLE!$G$15,$M21-$A$15,BE$13)="",10^12,OFFSET(PLE!$G$15,$M21-$A$15,BE$13)))</f>
        <v>1000000000000</v>
      </c>
      <c r="BF21" s="171" cm="1">
        <f t="array" aca="1" ref="BF21" ca="1">IF(OR($D21&lt;&gt;"Serviço",AND(AUTOEVENTO="Manual",$M21=$A$15),$M21&gt;(ROW(PLE.lastrow)-ROW(PLE.firstrow))),0,
           IF(OFFSET(PLE!$G$15,$M21-$A$15,BF$13)="",10^12,OFFSET(PLE!$G$15,$M21-$A$15,BF$13)))</f>
        <v>1000000000000</v>
      </c>
      <c r="BG21" s="171" cm="1">
        <f t="array" aca="1" ref="BG21" ca="1">IF(OR($D21&lt;&gt;"Serviço",AND(AUTOEVENTO="Manual",$M21=$A$15),$M21&gt;(ROW(PLE.lastrow)-ROW(PLE.firstrow))),0,
           IF(OFFSET(PLE!$G$15,$M21-$A$15,BG$13)="",10^12,OFFSET(PLE!$G$15,$M21-$A$15,BG$13)))</f>
        <v>1000000000000</v>
      </c>
    </row>
    <row r="22" spans="1:59" ht="102" x14ac:dyDescent="0.2">
      <c r="A22" s="7" t="str">
        <f t="shared" ca="1" si="8"/>
        <v>5</v>
      </c>
      <c r="B22" s="7" t="str">
        <f ca="1">OFFSET(ORÇAMENTO!C$15,$L22,0)</f>
        <v>S</v>
      </c>
      <c r="C22" s="7" t="str">
        <f ca="1">OFFSET(ORÇAMENTO!L$15,$L22,0)</f>
        <v>F</v>
      </c>
      <c r="D22" s="115" t="str">
        <f ca="1">OFFSET(ORÇAMENTO!N$15,$L22,0)</f>
        <v>Serviço</v>
      </c>
      <c r="E22" s="116" t="str">
        <f ca="1">OFFSET(ORÇAMENTO!O$15,$L22,0)</f>
        <v>1.2.2.</v>
      </c>
      <c r="F22" s="162" t="str">
        <f ca="1">OFFSET(ORÇAMENTO!R$15,$L22,0)</f>
        <v>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v>
      </c>
      <c r="G22" s="163" t="str">
        <f ca="1">IF($D22&lt;&gt;"Serviço","",OFFSET(ORÇAMENTO!S$15,$L22,0))</f>
        <v>MÊS</v>
      </c>
      <c r="H22" s="121" cm="1">
        <f t="array" aca="1" ref="H22" ca="1">IF($D22&lt;&gt;"Serviço",0,IF(ACOMPANHAMENTO="BM",ROUND(OFFSET(ORÇAMENTO!AJ$15,$L22,0),15-13*ORÇAMENTO!$AF$7),IF(IFERROR(CÁLCULO.FrentesPreenchidas,0)=0,0,SUM(ROUND(OFFSET($P22,0,1,1,CÁLCULO.FrentesPreenchidas),15-13*ORÇAMENTO!$AF$7)))))</f>
        <v>4</v>
      </c>
      <c r="I22" s="467"/>
      <c r="J22" s="650" t="str" cm="1">
        <f t="array" aca="1" ref="J22" ca="1">IF(OR(B22&lt;&gt;"S",CÁLCULO.FrentesPreenchidas=0),"",IF(AND(ACOMPANHAMENTO="PLE",AUTOEVENTO="Manual",OR(H22&gt;0,ORÇAMENTO!AC22="QUANT."),OR(K22="",M22=0,N22="")),"►E",IF(AND(ACOMPANHAMENTO="PLE",ORÇAMENTO!AC22="QUANT."),"►Q",IF(AND(ACOMPANHAMENTO="PLE",H22&lt;&gt;SUMPRODUCT(($Q$1:$AA$1=1)*ROUND(Q22:AA22,15))),"►S",IF(AND(COUNTIF($P$11:$AA$11,"▼")=0,H22&gt;0,I22=""),"◄M","")))))</f>
        <v>◄M</v>
      </c>
      <c r="K22" s="651"/>
      <c r="L22" s="164">
        <f t="shared" ca="1" si="9"/>
        <v>7</v>
      </c>
      <c r="M22" s="165">
        <f ca="1">IF($D22&lt;&gt;"Serviço","",
          IF(AUTOEVENTO="manual",$A22,
                IF(ISERROR(MATCH($A22,$A$15:OFFSET($A22,-1,0),0)),MAX($M$15:OFFSET(M22,-1,0))+1,
                      INDEX($M$15:OFFSET(M22,-1,0),MATCH($A22,$A$15:OFFSET($A22,-1,0),0)))))</f>
        <v>2</v>
      </c>
      <c r="N22" s="166" t="str">
        <f ca="1">IF($D22&lt;&gt;"Serviço","",
         IF(AUTOEVENTO="Manual",
                IF($A22=0,"&lt;-- defina o número do agrupador",
                       OFFSET(EVENTOS!$D$15,$A22-$A$15,0)),
                OFFSET($F$15,$A22,0)))</f>
        <v>SERVIÇOS PLELIMINARES</v>
      </c>
      <c r="O22" s="167"/>
      <c r="Q22" s="167">
        <v>1</v>
      </c>
      <c r="R22" s="168">
        <v>1</v>
      </c>
      <c r="S22" s="168">
        <v>1</v>
      </c>
      <c r="T22" s="168">
        <v>1</v>
      </c>
      <c r="U22" s="168"/>
      <c r="V22" s="168"/>
      <c r="W22" s="168"/>
      <c r="X22" s="168"/>
      <c r="Y22" s="168"/>
      <c r="Z22" s="169"/>
      <c r="AB22" s="452">
        <f ca="1">IF(AND($D22="Serviço",AB$12&lt;&gt;0,$H22&gt;0,OR(AUTOEVENTO&lt;&gt;"manual",$M22&lt;&gt;$A$15)),
        IF(Import.TipoArredondamento&lt;&gt;"TransfereGOV",
              ROUND(OFFSET($P22,0,AB$13),15-13*ORÇAMENTO!$AF$7)/$H22*OFFSET(ORÇAMENTO!$X$15,ROW(AB22)-ROW(AB$15),0),
              ROUND(ROUND(OFFSET($P22,0,AB$13),15-13*ORÇAMENTO!$AF$7)*OFFSET(ORÇAMENTO!$W$15,ROW(AB22)-ROW(AB$15),0),15-13*ORÇAMENTO!$AF$11)),
         0)</f>
        <v>1689.15</v>
      </c>
      <c r="AC22" s="452">
        <f ca="1">IF(AND($D22="Serviço",AC$12&lt;&gt;0,$H22&gt;0,OR(AUTOEVENTO&lt;&gt;"manual",$M22&lt;&gt;$A$15)),
        IF(Import.TipoArredondamento&lt;&gt;"TransfereGOV",
              ROUND(OFFSET($P22,0,AC$13),15-13*ORÇAMENTO!$AF$7)/$H22*OFFSET(ORÇAMENTO!$X$15,ROW(AC22)-ROW(AC$15),0),
              ROUND(ROUND(OFFSET($P22,0,AC$13),15-13*ORÇAMENTO!$AF$7)*OFFSET(ORÇAMENTO!$W$15,ROW(AC22)-ROW(AC$15),0),15-13*ORÇAMENTO!$AF$11)),
         0)</f>
        <v>1689.15</v>
      </c>
      <c r="AD22" s="452">
        <f ca="1">IF(AND($D22="Serviço",AD$12&lt;&gt;0,$H22&gt;0,OR(AUTOEVENTO&lt;&gt;"manual",$M22&lt;&gt;$A$15)),
        IF(Import.TipoArredondamento&lt;&gt;"TransfereGOV",
              ROUND(OFFSET($P22,0,AD$13),15-13*ORÇAMENTO!$AF$7)/$H22*OFFSET(ORÇAMENTO!$X$15,ROW(AD22)-ROW(AD$15),0),
              ROUND(ROUND(OFFSET($P22,0,AD$13),15-13*ORÇAMENTO!$AF$7)*OFFSET(ORÇAMENTO!$W$15,ROW(AD22)-ROW(AD$15),0),15-13*ORÇAMENTO!$AF$11)),
         0)</f>
        <v>1689.15</v>
      </c>
      <c r="AE22" s="452">
        <f ca="1">IF(AND($D22="Serviço",AE$12&lt;&gt;0,$H22&gt;0,OR(AUTOEVENTO&lt;&gt;"manual",$M22&lt;&gt;$A$15)),
        IF(Import.TipoArredondamento&lt;&gt;"TransfereGOV",
              ROUND(OFFSET($P22,0,AE$13),15-13*ORÇAMENTO!$AF$7)/$H22*OFFSET(ORÇAMENTO!$X$15,ROW(AE22)-ROW(AE$15),0),
              ROUND(ROUND(OFFSET($P22,0,AE$13),15-13*ORÇAMENTO!$AF$7)*OFFSET(ORÇAMENTO!$W$15,ROW(AE22)-ROW(AE$15),0),15-13*ORÇAMENTO!$AF$11)),
         0)</f>
        <v>1689.15</v>
      </c>
      <c r="AF22" s="452">
        <f ca="1">IF(AND($D22="Serviço",AF$12&lt;&gt;0,$H22&gt;0,OR(AUTOEVENTO&lt;&gt;"manual",$M22&lt;&gt;$A$15)),
        IF(Import.TipoArredondamento&lt;&gt;"TransfereGOV",
              ROUND(OFFSET($P22,0,AF$13),15-13*ORÇAMENTO!$AF$7)/$H22*OFFSET(ORÇAMENTO!$X$15,ROW(AF22)-ROW(AF$15),0),
              ROUND(ROUND(OFFSET($P22,0,AF$13),15-13*ORÇAMENTO!$AF$7)*OFFSET(ORÇAMENTO!$W$15,ROW(AF22)-ROW(AF$15),0),15-13*ORÇAMENTO!$AF$11)),
         0)</f>
        <v>0</v>
      </c>
      <c r="AG22" s="452">
        <f ca="1">IF(AND($D22="Serviço",AG$12&lt;&gt;0,$H22&gt;0,OR(AUTOEVENTO&lt;&gt;"manual",$M22&lt;&gt;$A$15)),
        IF(Import.TipoArredondamento&lt;&gt;"TransfereGOV",
              ROUND(OFFSET($P22,0,AG$13),15-13*ORÇAMENTO!$AF$7)/$H22*OFFSET(ORÇAMENTO!$X$15,ROW(AG22)-ROW(AG$15),0),
              ROUND(ROUND(OFFSET($P22,0,AG$13),15-13*ORÇAMENTO!$AF$7)*OFFSET(ORÇAMENTO!$W$15,ROW(AG22)-ROW(AG$15),0),15-13*ORÇAMENTO!$AF$11)),
         0)</f>
        <v>0</v>
      </c>
      <c r="AH22" s="452">
        <f ca="1">IF(AND($D22="Serviço",AH$12&lt;&gt;0,$H22&gt;0,OR(AUTOEVENTO&lt;&gt;"manual",$M22&lt;&gt;$A$15)),
        IF(Import.TipoArredondamento&lt;&gt;"TransfereGOV",
              ROUND(OFFSET($P22,0,AH$13),15-13*ORÇAMENTO!$AF$7)/$H22*OFFSET(ORÇAMENTO!$X$15,ROW(AH22)-ROW(AH$15),0),
              ROUND(ROUND(OFFSET($P22,0,AH$13),15-13*ORÇAMENTO!$AF$7)*OFFSET(ORÇAMENTO!$W$15,ROW(AH22)-ROW(AH$15),0),15-13*ORÇAMENTO!$AF$11)),
         0)</f>
        <v>0</v>
      </c>
      <c r="AI22" s="452">
        <f ca="1">IF(AND($D22="Serviço",AI$12&lt;&gt;0,$H22&gt;0,OR(AUTOEVENTO&lt;&gt;"manual",$M22&lt;&gt;$A$15)),
        IF(Import.TipoArredondamento&lt;&gt;"TransfereGOV",
              ROUND(OFFSET($P22,0,AI$13),15-13*ORÇAMENTO!$AF$7)/$H22*OFFSET(ORÇAMENTO!$X$15,ROW(AI22)-ROW(AI$15),0),
              ROUND(ROUND(OFFSET($P22,0,AI$13),15-13*ORÇAMENTO!$AF$7)*OFFSET(ORÇAMENTO!$W$15,ROW(AI22)-ROW(AI$15),0),15-13*ORÇAMENTO!$AF$11)),
         0)</f>
        <v>0</v>
      </c>
      <c r="AJ22" s="452">
        <f ca="1">IF(AND($D22="Serviço",AJ$12&lt;&gt;0,$H22&gt;0,OR(AUTOEVENTO&lt;&gt;"manual",$M22&lt;&gt;$A$15)),
        IF(Import.TipoArredondamento&lt;&gt;"TransfereGOV",
              ROUND(OFFSET($P22,0,AJ$13),15-13*ORÇAMENTO!$AF$7)/$H22*OFFSET(ORÇAMENTO!$X$15,ROW(AJ22)-ROW(AJ$15),0),
              ROUND(ROUND(OFFSET($P22,0,AJ$13),15-13*ORÇAMENTO!$AF$7)*OFFSET(ORÇAMENTO!$W$15,ROW(AJ22)-ROW(AJ$15),0),15-13*ORÇAMENTO!$AF$11)),
         0)</f>
        <v>0</v>
      </c>
      <c r="AK22" s="452">
        <f ca="1">IF(AND($D22="Serviço",AK$12&lt;&gt;0,$H22&gt;0,OR(AUTOEVENTO&lt;&gt;"manual",$M22&lt;&gt;$A$15)),
        IF(Import.TipoArredondamento&lt;&gt;"TransfereGOV",
              ROUND(OFFSET($P22,0,AK$13),15-13*ORÇAMENTO!$AF$7)/$H22*OFFSET(ORÇAMENTO!$X$15,ROW(AK22)-ROW(AK$15),0),
              ROUND(ROUND(OFFSET($P22,0,AK$13),15-13*ORÇAMENTO!$AF$7)*OFFSET(ORÇAMENTO!$W$15,ROW(AK22)-ROW(AK$15),0),15-13*ORÇAMENTO!$AF$11)),
         0)</f>
        <v>0</v>
      </c>
      <c r="AM22" s="170">
        <f ca="1">IF(OR($D22&lt;&gt;"Serviço",AND(AUTOEVENTO="Manual",$M22=$A$15)),0,
         IF(OFFSET(CRONOPLE!$F$15,$M22-$A$15,AM$13)=0,10^12,OFFSET(CRONOPLE!$F$15,$M22-$A$15,AM$13)))</f>
        <v>1</v>
      </c>
      <c r="AN22" s="170">
        <f ca="1">IF(OR($D22&lt;&gt;"Serviço",AND(AUTOEVENTO="Manual",$M22=$A$15)),0,
         IF(OFFSET(CRONOPLE!$F$15,$M22-$A$15,AN$13)=0,10^12,OFFSET(CRONOPLE!$F$15,$M22-$A$15,AN$13)))</f>
        <v>2</v>
      </c>
      <c r="AO22" s="170">
        <f ca="1">IF(OR($D22&lt;&gt;"Serviço",AND(AUTOEVENTO="Manual",$M22=$A$15)),0,
         IF(OFFSET(CRONOPLE!$F$15,$M22-$A$15,AO$13)=0,10^12,OFFSET(CRONOPLE!$F$15,$M22-$A$15,AO$13)))</f>
        <v>3</v>
      </c>
      <c r="AP22" s="170">
        <f ca="1">IF(OR($D22&lt;&gt;"Serviço",AND(AUTOEVENTO="Manual",$M22=$A$15)),0,
         IF(OFFSET(CRONOPLE!$F$15,$M22-$A$15,AP$13)=0,10^12,OFFSET(CRONOPLE!$F$15,$M22-$A$15,AP$13)))</f>
        <v>4</v>
      </c>
      <c r="AQ22" s="170">
        <f ca="1">IF(OR($D22&lt;&gt;"Serviço",AND(AUTOEVENTO="Manual",$M22=$A$15)),0,
         IF(OFFSET(CRONOPLE!$F$15,$M22-$A$15,AQ$13)=0,10^12,OFFSET(CRONOPLE!$F$15,$M22-$A$15,AQ$13)))</f>
        <v>1000000000000</v>
      </c>
      <c r="AR22" s="170">
        <f ca="1">IF(OR($D22&lt;&gt;"Serviço",AND(AUTOEVENTO="Manual",$M22=$A$15)),0,
         IF(OFFSET(CRONOPLE!$F$15,$M22-$A$15,AR$13)=0,10^12,OFFSET(CRONOPLE!$F$15,$M22-$A$15,AR$13)))</f>
        <v>1000000000000</v>
      </c>
      <c r="AS22" s="170">
        <f ca="1">IF(OR($D22&lt;&gt;"Serviço",AND(AUTOEVENTO="Manual",$M22=$A$15)),0,
         IF(OFFSET(CRONOPLE!$F$15,$M22-$A$15,AS$13)=0,10^12,OFFSET(CRONOPLE!$F$15,$M22-$A$15,AS$13)))</f>
        <v>1000000000000</v>
      </c>
      <c r="AT22" s="170">
        <f ca="1">IF(OR($D22&lt;&gt;"Serviço",AND(AUTOEVENTO="Manual",$M22=$A$15)),0,
         IF(OFFSET(CRONOPLE!$F$15,$M22-$A$15,AT$13)=0,10^12,OFFSET(CRONOPLE!$F$15,$M22-$A$15,AT$13)))</f>
        <v>1000000000000</v>
      </c>
      <c r="AU22" s="170">
        <f ca="1">IF(OR($D22&lt;&gt;"Serviço",AND(AUTOEVENTO="Manual",$M22=$A$15)),0,
         IF(OFFSET(CRONOPLE!$F$15,$M22-$A$15,AU$13)=0,10^12,OFFSET(CRONOPLE!$F$15,$M22-$A$15,AU$13)))</f>
        <v>1000000000000</v>
      </c>
      <c r="AV22" s="170">
        <f ca="1">IF(OR($D22&lt;&gt;"Serviço",AND(AUTOEVENTO="Manual",$M22=$A$15)),0,
         IF(OFFSET(CRONOPLE!$F$15,$M22-$A$15,AV$13)=0,10^12,OFFSET(CRONOPLE!$F$15,$M22-$A$15,AV$13)))</f>
        <v>1000000000000</v>
      </c>
      <c r="AX22" s="171" cm="1">
        <f t="array" aca="1" ref="AX22" ca="1">IF(OR($D22&lt;&gt;"Serviço",AND(AUTOEVENTO="Manual",$M22=$A$15),$M22&gt;(ROW(PLE.lastrow)-ROW(PLE.firstrow))),0,
           IF(OFFSET(PLE!$G$15,$M22-$A$15,AX$13)="",10^12,OFFSET(PLE!$G$15,$M22-$A$15,AX$13)))</f>
        <v>1000000000000</v>
      </c>
      <c r="AY22" s="171" cm="1">
        <f t="array" aca="1" ref="AY22" ca="1">IF(OR($D22&lt;&gt;"Serviço",AND(AUTOEVENTO="Manual",$M22=$A$15),$M22&gt;(ROW(PLE.lastrow)-ROW(PLE.firstrow))),0,
           IF(OFFSET(PLE!$G$15,$M22-$A$15,AY$13)="",10^12,OFFSET(PLE!$G$15,$M22-$A$15,AY$13)))</f>
        <v>1000000000000</v>
      </c>
      <c r="AZ22" s="171" cm="1">
        <f t="array" aca="1" ref="AZ22" ca="1">IF(OR($D22&lt;&gt;"Serviço",AND(AUTOEVENTO="Manual",$M22=$A$15),$M22&gt;(ROW(PLE.lastrow)-ROW(PLE.firstrow))),0,
           IF(OFFSET(PLE!$G$15,$M22-$A$15,AZ$13)="",10^12,OFFSET(PLE!$G$15,$M22-$A$15,AZ$13)))</f>
        <v>1000000000000</v>
      </c>
      <c r="BA22" s="171" cm="1">
        <f t="array" aca="1" ref="BA22" ca="1">IF(OR($D22&lt;&gt;"Serviço",AND(AUTOEVENTO="Manual",$M22=$A$15),$M22&gt;(ROW(PLE.lastrow)-ROW(PLE.firstrow))),0,
           IF(OFFSET(PLE!$G$15,$M22-$A$15,BA$13)="",10^12,OFFSET(PLE!$G$15,$M22-$A$15,BA$13)))</f>
        <v>1000000000000</v>
      </c>
      <c r="BB22" s="171" cm="1">
        <f t="array" aca="1" ref="BB22" ca="1">IF(OR($D22&lt;&gt;"Serviço",AND(AUTOEVENTO="Manual",$M22=$A$15),$M22&gt;(ROW(PLE.lastrow)-ROW(PLE.firstrow))),0,
           IF(OFFSET(PLE!$G$15,$M22-$A$15,BB$13)="",10^12,OFFSET(PLE!$G$15,$M22-$A$15,BB$13)))</f>
        <v>1000000000000</v>
      </c>
      <c r="BC22" s="171" cm="1">
        <f t="array" aca="1" ref="BC22" ca="1">IF(OR($D22&lt;&gt;"Serviço",AND(AUTOEVENTO="Manual",$M22=$A$15),$M22&gt;(ROW(PLE.lastrow)-ROW(PLE.firstrow))),0,
           IF(OFFSET(PLE!$G$15,$M22-$A$15,BC$13)="",10^12,OFFSET(PLE!$G$15,$M22-$A$15,BC$13)))</f>
        <v>1000000000000</v>
      </c>
      <c r="BD22" s="171" cm="1">
        <f t="array" aca="1" ref="BD22" ca="1">IF(OR($D22&lt;&gt;"Serviço",AND(AUTOEVENTO="Manual",$M22=$A$15),$M22&gt;(ROW(PLE.lastrow)-ROW(PLE.firstrow))),0,
           IF(OFFSET(PLE!$G$15,$M22-$A$15,BD$13)="",10^12,OFFSET(PLE!$G$15,$M22-$A$15,BD$13)))</f>
        <v>1000000000000</v>
      </c>
      <c r="BE22" s="171" cm="1">
        <f t="array" aca="1" ref="BE22" ca="1">IF(OR($D22&lt;&gt;"Serviço",AND(AUTOEVENTO="Manual",$M22=$A$15),$M22&gt;(ROW(PLE.lastrow)-ROW(PLE.firstrow))),0,
           IF(OFFSET(PLE!$G$15,$M22-$A$15,BE$13)="",10^12,OFFSET(PLE!$G$15,$M22-$A$15,BE$13)))</f>
        <v>1000000000000</v>
      </c>
      <c r="BF22" s="171" cm="1">
        <f t="array" aca="1" ref="BF22" ca="1">IF(OR($D22&lt;&gt;"Serviço",AND(AUTOEVENTO="Manual",$M22=$A$15),$M22&gt;(ROW(PLE.lastrow)-ROW(PLE.firstrow))),0,
           IF(OFFSET(PLE!$G$15,$M22-$A$15,BF$13)="",10^12,OFFSET(PLE!$G$15,$M22-$A$15,BF$13)))</f>
        <v>1000000000000</v>
      </c>
      <c r="BG22" s="171" cm="1">
        <f t="array" aca="1" ref="BG22" ca="1">IF(OR($D22&lt;&gt;"Serviço",AND(AUTOEVENTO="Manual",$M22=$A$15),$M22&gt;(ROW(PLE.lastrow)-ROW(PLE.firstrow))),0,
           IF(OFFSET(PLE!$G$15,$M22-$A$15,BG$13)="",10^12,OFFSET(PLE!$G$15,$M22-$A$15,BG$13)))</f>
        <v>1000000000000</v>
      </c>
    </row>
    <row r="23" spans="1:59" ht="12.75" x14ac:dyDescent="0.2">
      <c r="A23" s="7" t="str">
        <f t="shared" ca="1" si="8"/>
        <v>5</v>
      </c>
      <c r="B23" s="7" t="str">
        <f ca="1">OFFSET(ORÇAMENTO!C$15,$L23,0)</f>
        <v>S</v>
      </c>
      <c r="C23" s="7" t="str">
        <f ca="1">OFFSET(ORÇAMENTO!L$15,$L23,0)</f>
        <v>F</v>
      </c>
      <c r="D23" s="115" t="str">
        <f ca="1">OFFSET(ORÇAMENTO!N$15,$L23,0)</f>
        <v>Serviço</v>
      </c>
      <c r="E23" s="116" t="str">
        <f ca="1">OFFSET(ORÇAMENTO!O$15,$L23,0)</f>
        <v>1.2.3.</v>
      </c>
      <c r="F23" s="162" t="str">
        <f ca="1">OFFSET(ORÇAMENTO!R$15,$L23,0)</f>
        <v>PROJETO EXECUTIVO DE ESTRUTURA METÁLICA</v>
      </c>
      <c r="G23" s="163" t="str">
        <f ca="1">IF($D23&lt;&gt;"Serviço","",OFFSET(ORÇAMENTO!S$15,$L23,0))</f>
        <v>PR A1</v>
      </c>
      <c r="H23" s="121" cm="1">
        <f t="array" aca="1" ref="H23" ca="1">IF($D23&lt;&gt;"Serviço",0,IF(ACOMPANHAMENTO="BM",ROUND(OFFSET(ORÇAMENTO!AJ$15,$L23,0),15-13*ORÇAMENTO!$AF$7),IF(IFERROR(CÁLCULO.FrentesPreenchidas,0)=0,0,SUM(ROUND(OFFSET($P23,0,1,1,CÁLCULO.FrentesPreenchidas),15-13*ORÇAMENTO!$AF$7)))))</f>
        <v>5</v>
      </c>
      <c r="I23" s="467"/>
      <c r="J23" s="650" t="str" cm="1">
        <f t="array" aca="1" ref="J23" ca="1">IF(OR(B23&lt;&gt;"S",CÁLCULO.FrentesPreenchidas=0),"",IF(AND(ACOMPANHAMENTO="PLE",AUTOEVENTO="Manual",OR(H23&gt;0,ORÇAMENTO!AC23="QUANT."),OR(K23="",M23=0,N23="")),"►E",IF(AND(ACOMPANHAMENTO="PLE",ORÇAMENTO!AC23="QUANT."),"►Q",IF(AND(ACOMPANHAMENTO="PLE",H23&lt;&gt;SUMPRODUCT(($Q$1:$AA$1=1)*ROUND(Q23:AA23,15))),"►S",IF(AND(COUNTIF($P$11:$AA$11,"▼")=0,H23&gt;0,I23=""),"◄M","")))))</f>
        <v>◄M</v>
      </c>
      <c r="K23" s="651"/>
      <c r="L23" s="164">
        <f t="shared" ca="1" si="9"/>
        <v>8</v>
      </c>
      <c r="M23" s="165">
        <f ca="1">IF($D23&lt;&gt;"Serviço","",
          IF(AUTOEVENTO="manual",$A23,
                IF(ISERROR(MATCH($A23,$A$15:OFFSET($A23,-1,0),0)),MAX($M$15:OFFSET(M23,-1,0))+1,
                      INDEX($M$15:OFFSET(M23,-1,0),MATCH($A23,$A$15:OFFSET($A23,-1,0),0)))))</f>
        <v>2</v>
      </c>
      <c r="N23" s="166" t="str">
        <f ca="1">IF($D23&lt;&gt;"Serviço","",
         IF(AUTOEVENTO="Manual",
                IF($A23=0,"&lt;-- defina o número do agrupador",
                       OFFSET(EVENTOS!$D$15,$A23-$A$15,0)),
                OFFSET($F$15,$A23,0)))</f>
        <v>SERVIÇOS PLELIMINARES</v>
      </c>
      <c r="O23" s="167"/>
      <c r="Q23" s="167">
        <v>5</v>
      </c>
      <c r="R23" s="168"/>
      <c r="S23" s="168"/>
      <c r="T23" s="168"/>
      <c r="U23" s="168"/>
      <c r="V23" s="168"/>
      <c r="W23" s="168"/>
      <c r="X23" s="168"/>
      <c r="Y23" s="168"/>
      <c r="Z23" s="169"/>
      <c r="AB23" s="452">
        <f ca="1">IF(AND($D23="Serviço",AB$12&lt;&gt;0,$H23&gt;0,OR(AUTOEVENTO&lt;&gt;"manual",$M23&lt;&gt;$A$15)),
        IF(Import.TipoArredondamento&lt;&gt;"TransfereGOV",
              ROUND(OFFSET($P23,0,AB$13),15-13*ORÇAMENTO!$AF$7)/$H23*OFFSET(ORÇAMENTO!$X$15,ROW(AB23)-ROW(AB$15),0),
              ROUND(ROUND(OFFSET($P23,0,AB$13),15-13*ORÇAMENTO!$AF$7)*OFFSET(ORÇAMENTO!$W$15,ROW(AB23)-ROW(AB$15),0),15-13*ORÇAMENTO!$AF$11)),
         0)</f>
        <v>11156.3</v>
      </c>
      <c r="AC23" s="452">
        <f ca="1">IF(AND($D23="Serviço",AC$12&lt;&gt;0,$H23&gt;0,OR(AUTOEVENTO&lt;&gt;"manual",$M23&lt;&gt;$A$15)),
        IF(Import.TipoArredondamento&lt;&gt;"TransfereGOV",
              ROUND(OFFSET($P23,0,AC$13),15-13*ORÇAMENTO!$AF$7)/$H23*OFFSET(ORÇAMENTO!$X$15,ROW(AC23)-ROW(AC$15),0),
              ROUND(ROUND(OFFSET($P23,0,AC$13),15-13*ORÇAMENTO!$AF$7)*OFFSET(ORÇAMENTO!$W$15,ROW(AC23)-ROW(AC$15),0),15-13*ORÇAMENTO!$AF$11)),
         0)</f>
        <v>0</v>
      </c>
      <c r="AD23" s="452">
        <f ca="1">IF(AND($D23="Serviço",AD$12&lt;&gt;0,$H23&gt;0,OR(AUTOEVENTO&lt;&gt;"manual",$M23&lt;&gt;$A$15)),
        IF(Import.TipoArredondamento&lt;&gt;"TransfereGOV",
              ROUND(OFFSET($P23,0,AD$13),15-13*ORÇAMENTO!$AF$7)/$H23*OFFSET(ORÇAMENTO!$X$15,ROW(AD23)-ROW(AD$15),0),
              ROUND(ROUND(OFFSET($P23,0,AD$13),15-13*ORÇAMENTO!$AF$7)*OFFSET(ORÇAMENTO!$W$15,ROW(AD23)-ROW(AD$15),0),15-13*ORÇAMENTO!$AF$11)),
         0)</f>
        <v>0</v>
      </c>
      <c r="AE23" s="452">
        <f ca="1">IF(AND($D23="Serviço",AE$12&lt;&gt;0,$H23&gt;0,OR(AUTOEVENTO&lt;&gt;"manual",$M23&lt;&gt;$A$15)),
        IF(Import.TipoArredondamento&lt;&gt;"TransfereGOV",
              ROUND(OFFSET($P23,0,AE$13),15-13*ORÇAMENTO!$AF$7)/$H23*OFFSET(ORÇAMENTO!$X$15,ROW(AE23)-ROW(AE$15),0),
              ROUND(ROUND(OFFSET($P23,0,AE$13),15-13*ORÇAMENTO!$AF$7)*OFFSET(ORÇAMENTO!$W$15,ROW(AE23)-ROW(AE$15),0),15-13*ORÇAMENTO!$AF$11)),
         0)</f>
        <v>0</v>
      </c>
      <c r="AF23" s="452">
        <f ca="1">IF(AND($D23="Serviço",AF$12&lt;&gt;0,$H23&gt;0,OR(AUTOEVENTO&lt;&gt;"manual",$M23&lt;&gt;$A$15)),
        IF(Import.TipoArredondamento&lt;&gt;"TransfereGOV",
              ROUND(OFFSET($P23,0,AF$13),15-13*ORÇAMENTO!$AF$7)/$H23*OFFSET(ORÇAMENTO!$X$15,ROW(AF23)-ROW(AF$15),0),
              ROUND(ROUND(OFFSET($P23,0,AF$13),15-13*ORÇAMENTO!$AF$7)*OFFSET(ORÇAMENTO!$W$15,ROW(AF23)-ROW(AF$15),0),15-13*ORÇAMENTO!$AF$11)),
         0)</f>
        <v>0</v>
      </c>
      <c r="AG23" s="452">
        <f ca="1">IF(AND($D23="Serviço",AG$12&lt;&gt;0,$H23&gt;0,OR(AUTOEVENTO&lt;&gt;"manual",$M23&lt;&gt;$A$15)),
        IF(Import.TipoArredondamento&lt;&gt;"TransfereGOV",
              ROUND(OFFSET($P23,0,AG$13),15-13*ORÇAMENTO!$AF$7)/$H23*OFFSET(ORÇAMENTO!$X$15,ROW(AG23)-ROW(AG$15),0),
              ROUND(ROUND(OFFSET($P23,0,AG$13),15-13*ORÇAMENTO!$AF$7)*OFFSET(ORÇAMENTO!$W$15,ROW(AG23)-ROW(AG$15),0),15-13*ORÇAMENTO!$AF$11)),
         0)</f>
        <v>0</v>
      </c>
      <c r="AH23" s="452">
        <f ca="1">IF(AND($D23="Serviço",AH$12&lt;&gt;0,$H23&gt;0,OR(AUTOEVENTO&lt;&gt;"manual",$M23&lt;&gt;$A$15)),
        IF(Import.TipoArredondamento&lt;&gt;"TransfereGOV",
              ROUND(OFFSET($P23,0,AH$13),15-13*ORÇAMENTO!$AF$7)/$H23*OFFSET(ORÇAMENTO!$X$15,ROW(AH23)-ROW(AH$15),0),
              ROUND(ROUND(OFFSET($P23,0,AH$13),15-13*ORÇAMENTO!$AF$7)*OFFSET(ORÇAMENTO!$W$15,ROW(AH23)-ROW(AH$15),0),15-13*ORÇAMENTO!$AF$11)),
         0)</f>
        <v>0</v>
      </c>
      <c r="AI23" s="452">
        <f ca="1">IF(AND($D23="Serviço",AI$12&lt;&gt;0,$H23&gt;0,OR(AUTOEVENTO&lt;&gt;"manual",$M23&lt;&gt;$A$15)),
        IF(Import.TipoArredondamento&lt;&gt;"TransfereGOV",
              ROUND(OFFSET($P23,0,AI$13),15-13*ORÇAMENTO!$AF$7)/$H23*OFFSET(ORÇAMENTO!$X$15,ROW(AI23)-ROW(AI$15),0),
              ROUND(ROUND(OFFSET($P23,0,AI$13),15-13*ORÇAMENTO!$AF$7)*OFFSET(ORÇAMENTO!$W$15,ROW(AI23)-ROW(AI$15),0),15-13*ORÇAMENTO!$AF$11)),
         0)</f>
        <v>0</v>
      </c>
      <c r="AJ23" s="452">
        <f ca="1">IF(AND($D23="Serviço",AJ$12&lt;&gt;0,$H23&gt;0,OR(AUTOEVENTO&lt;&gt;"manual",$M23&lt;&gt;$A$15)),
        IF(Import.TipoArredondamento&lt;&gt;"TransfereGOV",
              ROUND(OFFSET($P23,0,AJ$13),15-13*ORÇAMENTO!$AF$7)/$H23*OFFSET(ORÇAMENTO!$X$15,ROW(AJ23)-ROW(AJ$15),0),
              ROUND(ROUND(OFFSET($P23,0,AJ$13),15-13*ORÇAMENTO!$AF$7)*OFFSET(ORÇAMENTO!$W$15,ROW(AJ23)-ROW(AJ$15),0),15-13*ORÇAMENTO!$AF$11)),
         0)</f>
        <v>0</v>
      </c>
      <c r="AK23" s="452">
        <f ca="1">IF(AND($D23="Serviço",AK$12&lt;&gt;0,$H23&gt;0,OR(AUTOEVENTO&lt;&gt;"manual",$M23&lt;&gt;$A$15)),
        IF(Import.TipoArredondamento&lt;&gt;"TransfereGOV",
              ROUND(OFFSET($P23,0,AK$13),15-13*ORÇAMENTO!$AF$7)/$H23*OFFSET(ORÇAMENTO!$X$15,ROW(AK23)-ROW(AK$15),0),
              ROUND(ROUND(OFFSET($P23,0,AK$13),15-13*ORÇAMENTO!$AF$7)*OFFSET(ORÇAMENTO!$W$15,ROW(AK23)-ROW(AK$15),0),15-13*ORÇAMENTO!$AF$11)),
         0)</f>
        <v>0</v>
      </c>
      <c r="AM23" s="170">
        <f ca="1">IF(OR($D23&lt;&gt;"Serviço",AND(AUTOEVENTO="Manual",$M23=$A$15)),0,
         IF(OFFSET(CRONOPLE!$F$15,$M23-$A$15,AM$13)=0,10^12,OFFSET(CRONOPLE!$F$15,$M23-$A$15,AM$13)))</f>
        <v>1</v>
      </c>
      <c r="AN23" s="170">
        <f ca="1">IF(OR($D23&lt;&gt;"Serviço",AND(AUTOEVENTO="Manual",$M23=$A$15)),0,
         IF(OFFSET(CRONOPLE!$F$15,$M23-$A$15,AN$13)=0,10^12,OFFSET(CRONOPLE!$F$15,$M23-$A$15,AN$13)))</f>
        <v>2</v>
      </c>
      <c r="AO23" s="170">
        <f ca="1">IF(OR($D23&lt;&gt;"Serviço",AND(AUTOEVENTO="Manual",$M23=$A$15)),0,
         IF(OFFSET(CRONOPLE!$F$15,$M23-$A$15,AO$13)=0,10^12,OFFSET(CRONOPLE!$F$15,$M23-$A$15,AO$13)))</f>
        <v>3</v>
      </c>
      <c r="AP23" s="170">
        <f ca="1">IF(OR($D23&lt;&gt;"Serviço",AND(AUTOEVENTO="Manual",$M23=$A$15)),0,
         IF(OFFSET(CRONOPLE!$F$15,$M23-$A$15,AP$13)=0,10^12,OFFSET(CRONOPLE!$F$15,$M23-$A$15,AP$13)))</f>
        <v>4</v>
      </c>
      <c r="AQ23" s="170">
        <f ca="1">IF(OR($D23&lt;&gt;"Serviço",AND(AUTOEVENTO="Manual",$M23=$A$15)),0,
         IF(OFFSET(CRONOPLE!$F$15,$M23-$A$15,AQ$13)=0,10^12,OFFSET(CRONOPLE!$F$15,$M23-$A$15,AQ$13)))</f>
        <v>1000000000000</v>
      </c>
      <c r="AR23" s="170">
        <f ca="1">IF(OR($D23&lt;&gt;"Serviço",AND(AUTOEVENTO="Manual",$M23=$A$15)),0,
         IF(OFFSET(CRONOPLE!$F$15,$M23-$A$15,AR$13)=0,10^12,OFFSET(CRONOPLE!$F$15,$M23-$A$15,AR$13)))</f>
        <v>1000000000000</v>
      </c>
      <c r="AS23" s="170">
        <f ca="1">IF(OR($D23&lt;&gt;"Serviço",AND(AUTOEVENTO="Manual",$M23=$A$15)),0,
         IF(OFFSET(CRONOPLE!$F$15,$M23-$A$15,AS$13)=0,10^12,OFFSET(CRONOPLE!$F$15,$M23-$A$15,AS$13)))</f>
        <v>1000000000000</v>
      </c>
      <c r="AT23" s="170">
        <f ca="1">IF(OR($D23&lt;&gt;"Serviço",AND(AUTOEVENTO="Manual",$M23=$A$15)),0,
         IF(OFFSET(CRONOPLE!$F$15,$M23-$A$15,AT$13)=0,10^12,OFFSET(CRONOPLE!$F$15,$M23-$A$15,AT$13)))</f>
        <v>1000000000000</v>
      </c>
      <c r="AU23" s="170">
        <f ca="1">IF(OR($D23&lt;&gt;"Serviço",AND(AUTOEVENTO="Manual",$M23=$A$15)),0,
         IF(OFFSET(CRONOPLE!$F$15,$M23-$A$15,AU$13)=0,10^12,OFFSET(CRONOPLE!$F$15,$M23-$A$15,AU$13)))</f>
        <v>1000000000000</v>
      </c>
      <c r="AV23" s="170">
        <f ca="1">IF(OR($D23&lt;&gt;"Serviço",AND(AUTOEVENTO="Manual",$M23=$A$15)),0,
         IF(OFFSET(CRONOPLE!$F$15,$M23-$A$15,AV$13)=0,10^12,OFFSET(CRONOPLE!$F$15,$M23-$A$15,AV$13)))</f>
        <v>1000000000000</v>
      </c>
      <c r="AX23" s="171" cm="1">
        <f t="array" aca="1" ref="AX23" ca="1">IF(OR($D23&lt;&gt;"Serviço",AND(AUTOEVENTO="Manual",$M23=$A$15),$M23&gt;(ROW(PLE.lastrow)-ROW(PLE.firstrow))),0,
           IF(OFFSET(PLE!$G$15,$M23-$A$15,AX$13)="",10^12,OFFSET(PLE!$G$15,$M23-$A$15,AX$13)))</f>
        <v>1000000000000</v>
      </c>
      <c r="AY23" s="171" cm="1">
        <f t="array" aca="1" ref="AY23" ca="1">IF(OR($D23&lt;&gt;"Serviço",AND(AUTOEVENTO="Manual",$M23=$A$15),$M23&gt;(ROW(PLE.lastrow)-ROW(PLE.firstrow))),0,
           IF(OFFSET(PLE!$G$15,$M23-$A$15,AY$13)="",10^12,OFFSET(PLE!$G$15,$M23-$A$15,AY$13)))</f>
        <v>1000000000000</v>
      </c>
      <c r="AZ23" s="171" cm="1">
        <f t="array" aca="1" ref="AZ23" ca="1">IF(OR($D23&lt;&gt;"Serviço",AND(AUTOEVENTO="Manual",$M23=$A$15),$M23&gt;(ROW(PLE.lastrow)-ROW(PLE.firstrow))),0,
           IF(OFFSET(PLE!$G$15,$M23-$A$15,AZ$13)="",10^12,OFFSET(PLE!$G$15,$M23-$A$15,AZ$13)))</f>
        <v>1000000000000</v>
      </c>
      <c r="BA23" s="171" cm="1">
        <f t="array" aca="1" ref="BA23" ca="1">IF(OR($D23&lt;&gt;"Serviço",AND(AUTOEVENTO="Manual",$M23=$A$15),$M23&gt;(ROW(PLE.lastrow)-ROW(PLE.firstrow))),0,
           IF(OFFSET(PLE!$G$15,$M23-$A$15,BA$13)="",10^12,OFFSET(PLE!$G$15,$M23-$A$15,BA$13)))</f>
        <v>1000000000000</v>
      </c>
      <c r="BB23" s="171" cm="1">
        <f t="array" aca="1" ref="BB23" ca="1">IF(OR($D23&lt;&gt;"Serviço",AND(AUTOEVENTO="Manual",$M23=$A$15),$M23&gt;(ROW(PLE.lastrow)-ROW(PLE.firstrow))),0,
           IF(OFFSET(PLE!$G$15,$M23-$A$15,BB$13)="",10^12,OFFSET(PLE!$G$15,$M23-$A$15,BB$13)))</f>
        <v>1000000000000</v>
      </c>
      <c r="BC23" s="171" cm="1">
        <f t="array" aca="1" ref="BC23" ca="1">IF(OR($D23&lt;&gt;"Serviço",AND(AUTOEVENTO="Manual",$M23=$A$15),$M23&gt;(ROW(PLE.lastrow)-ROW(PLE.firstrow))),0,
           IF(OFFSET(PLE!$G$15,$M23-$A$15,BC$13)="",10^12,OFFSET(PLE!$G$15,$M23-$A$15,BC$13)))</f>
        <v>1000000000000</v>
      </c>
      <c r="BD23" s="171" cm="1">
        <f t="array" aca="1" ref="BD23" ca="1">IF(OR($D23&lt;&gt;"Serviço",AND(AUTOEVENTO="Manual",$M23=$A$15),$M23&gt;(ROW(PLE.lastrow)-ROW(PLE.firstrow))),0,
           IF(OFFSET(PLE!$G$15,$M23-$A$15,BD$13)="",10^12,OFFSET(PLE!$G$15,$M23-$A$15,BD$13)))</f>
        <v>1000000000000</v>
      </c>
      <c r="BE23" s="171" cm="1">
        <f t="array" aca="1" ref="BE23" ca="1">IF(OR($D23&lt;&gt;"Serviço",AND(AUTOEVENTO="Manual",$M23=$A$15),$M23&gt;(ROW(PLE.lastrow)-ROW(PLE.firstrow))),0,
           IF(OFFSET(PLE!$G$15,$M23-$A$15,BE$13)="",10^12,OFFSET(PLE!$G$15,$M23-$A$15,BE$13)))</f>
        <v>1000000000000</v>
      </c>
      <c r="BF23" s="171" cm="1">
        <f t="array" aca="1" ref="BF23" ca="1">IF(OR($D23&lt;&gt;"Serviço",AND(AUTOEVENTO="Manual",$M23=$A$15),$M23&gt;(ROW(PLE.lastrow)-ROW(PLE.firstrow))),0,
           IF(OFFSET(PLE!$G$15,$M23-$A$15,BF$13)="",10^12,OFFSET(PLE!$G$15,$M23-$A$15,BF$13)))</f>
        <v>1000000000000</v>
      </c>
      <c r="BG23" s="171" cm="1">
        <f t="array" aca="1" ref="BG23" ca="1">IF(OR($D23&lt;&gt;"Serviço",AND(AUTOEVENTO="Manual",$M23=$A$15),$M23&gt;(ROW(PLE.lastrow)-ROW(PLE.firstrow))),0,
           IF(OFFSET(PLE!$G$15,$M23-$A$15,BG$13)="",10^12,OFFSET(PLE!$G$15,$M23-$A$15,BG$13)))</f>
        <v>1000000000000</v>
      </c>
    </row>
    <row r="24" spans="1:59" ht="12.75" x14ac:dyDescent="0.2">
      <c r="A24" s="7" t="str">
        <f t="shared" ca="1" si="8"/>
        <v>5</v>
      </c>
      <c r="B24" s="7" t="str">
        <f ca="1">OFFSET(ORÇAMENTO!C$15,$L24,0)</f>
        <v>S</v>
      </c>
      <c r="C24" s="7" t="str">
        <f ca="1">OFFSET(ORÇAMENTO!L$15,$L24,0)</f>
        <v>F</v>
      </c>
      <c r="D24" s="115" t="str">
        <f ca="1">OFFSET(ORÇAMENTO!N$15,$L24,0)</f>
        <v>Serviço</v>
      </c>
      <c r="E24" s="116" t="str">
        <f ca="1">OFFSET(ORÇAMENTO!O$15,$L24,0)</f>
        <v>1.2.4.</v>
      </c>
      <c r="F24" s="162" t="str">
        <f ca="1">OFFSET(ORÇAMENTO!R$15,$L24,0)</f>
        <v>PROJETO EXECUTIVO DE GEOTECNIA</v>
      </c>
      <c r="G24" s="163" t="str">
        <f ca="1">IF($D24&lt;&gt;"Serviço","",OFFSET(ORÇAMENTO!S$15,$L24,0))</f>
        <v>PR A1</v>
      </c>
      <c r="H24" s="121" cm="1">
        <f t="array" aca="1" ref="H24" ca="1">IF($D24&lt;&gt;"Serviço",0,IF(ACOMPANHAMENTO="BM",ROUND(OFFSET(ORÇAMENTO!AJ$15,$L24,0),15-13*ORÇAMENTO!$AF$7),IF(IFERROR(CÁLCULO.FrentesPreenchidas,0)=0,0,SUM(ROUND(OFFSET($P24,0,1,1,CÁLCULO.FrentesPreenchidas),15-13*ORÇAMENTO!$AF$7)))))</f>
        <v>2</v>
      </c>
      <c r="I24" s="467"/>
      <c r="J24" s="650" t="str" cm="1">
        <f t="array" aca="1" ref="J24" ca="1">IF(OR(B24&lt;&gt;"S",CÁLCULO.FrentesPreenchidas=0),"",IF(AND(ACOMPANHAMENTO="PLE",AUTOEVENTO="Manual",OR(H24&gt;0,ORÇAMENTO!AC24="QUANT."),OR(K24="",M24=0,N24="")),"►E",IF(AND(ACOMPANHAMENTO="PLE",ORÇAMENTO!AC24="QUANT."),"►Q",IF(AND(ACOMPANHAMENTO="PLE",H24&lt;&gt;SUMPRODUCT(($Q$1:$AA$1=1)*ROUND(Q24:AA24,15))),"►S",IF(AND(COUNTIF($P$11:$AA$11,"▼")=0,H24&gt;0,I24=""),"◄M","")))))</f>
        <v>◄M</v>
      </c>
      <c r="K24" s="651"/>
      <c r="L24" s="164">
        <f t="shared" ca="1" si="9"/>
        <v>9</v>
      </c>
      <c r="M24" s="165">
        <f ca="1">IF($D24&lt;&gt;"Serviço","",
          IF(AUTOEVENTO="manual",$A24,
                IF(ISERROR(MATCH($A24,$A$15:OFFSET($A24,-1,0),0)),MAX($M$15:OFFSET(M24,-1,0))+1,
                      INDEX($M$15:OFFSET(M24,-1,0),MATCH($A24,$A$15:OFFSET($A24,-1,0),0)))))</f>
        <v>2</v>
      </c>
      <c r="N24" s="166" t="str">
        <f ca="1">IF($D24&lt;&gt;"Serviço","",
         IF(AUTOEVENTO="Manual",
                IF($A24=0,"&lt;-- defina o número do agrupador",
                       OFFSET(EVENTOS!$D$15,$A24-$A$15,0)),
                OFFSET($F$15,$A24,0)))</f>
        <v>SERVIÇOS PLELIMINARES</v>
      </c>
      <c r="O24" s="167"/>
      <c r="Q24" s="167">
        <v>2</v>
      </c>
      <c r="R24" s="168"/>
      <c r="S24" s="168"/>
      <c r="T24" s="168"/>
      <c r="U24" s="168"/>
      <c r="V24" s="168"/>
      <c r="W24" s="168"/>
      <c r="X24" s="168"/>
      <c r="Y24" s="168"/>
      <c r="Z24" s="169"/>
      <c r="AB24" s="452">
        <f ca="1">IF(AND($D24="Serviço",AB$12&lt;&gt;0,$H24&gt;0,OR(AUTOEVENTO&lt;&gt;"manual",$M24&lt;&gt;$A$15)),
        IF(Import.TipoArredondamento&lt;&gt;"TransfereGOV",
              ROUND(OFFSET($P24,0,AB$13),15-13*ORÇAMENTO!$AF$7)/$H24*OFFSET(ORÇAMENTO!$X$15,ROW(AB24)-ROW(AB$15),0),
              ROUND(ROUND(OFFSET($P24,0,AB$13),15-13*ORÇAMENTO!$AF$7)*OFFSET(ORÇAMENTO!$W$15,ROW(AB24)-ROW(AB$15),0),15-13*ORÇAMENTO!$AF$11)),
         0)</f>
        <v>2398.94</v>
      </c>
      <c r="AC24" s="452">
        <f ca="1">IF(AND($D24="Serviço",AC$12&lt;&gt;0,$H24&gt;0,OR(AUTOEVENTO&lt;&gt;"manual",$M24&lt;&gt;$A$15)),
        IF(Import.TipoArredondamento&lt;&gt;"TransfereGOV",
              ROUND(OFFSET($P24,0,AC$13),15-13*ORÇAMENTO!$AF$7)/$H24*OFFSET(ORÇAMENTO!$X$15,ROW(AC24)-ROW(AC$15),0),
              ROUND(ROUND(OFFSET($P24,0,AC$13),15-13*ORÇAMENTO!$AF$7)*OFFSET(ORÇAMENTO!$W$15,ROW(AC24)-ROW(AC$15),0),15-13*ORÇAMENTO!$AF$11)),
         0)</f>
        <v>0</v>
      </c>
      <c r="AD24" s="452">
        <f ca="1">IF(AND($D24="Serviço",AD$12&lt;&gt;0,$H24&gt;0,OR(AUTOEVENTO&lt;&gt;"manual",$M24&lt;&gt;$A$15)),
        IF(Import.TipoArredondamento&lt;&gt;"TransfereGOV",
              ROUND(OFFSET($P24,0,AD$13),15-13*ORÇAMENTO!$AF$7)/$H24*OFFSET(ORÇAMENTO!$X$15,ROW(AD24)-ROW(AD$15),0),
              ROUND(ROUND(OFFSET($P24,0,AD$13),15-13*ORÇAMENTO!$AF$7)*OFFSET(ORÇAMENTO!$W$15,ROW(AD24)-ROW(AD$15),0),15-13*ORÇAMENTO!$AF$11)),
         0)</f>
        <v>0</v>
      </c>
      <c r="AE24" s="452">
        <f ca="1">IF(AND($D24="Serviço",AE$12&lt;&gt;0,$H24&gt;0,OR(AUTOEVENTO&lt;&gt;"manual",$M24&lt;&gt;$A$15)),
        IF(Import.TipoArredondamento&lt;&gt;"TransfereGOV",
              ROUND(OFFSET($P24,0,AE$13),15-13*ORÇAMENTO!$AF$7)/$H24*OFFSET(ORÇAMENTO!$X$15,ROW(AE24)-ROW(AE$15),0),
              ROUND(ROUND(OFFSET($P24,0,AE$13),15-13*ORÇAMENTO!$AF$7)*OFFSET(ORÇAMENTO!$W$15,ROW(AE24)-ROW(AE$15),0),15-13*ORÇAMENTO!$AF$11)),
         0)</f>
        <v>0</v>
      </c>
      <c r="AF24" s="452">
        <f ca="1">IF(AND($D24="Serviço",AF$12&lt;&gt;0,$H24&gt;0,OR(AUTOEVENTO&lt;&gt;"manual",$M24&lt;&gt;$A$15)),
        IF(Import.TipoArredondamento&lt;&gt;"TransfereGOV",
              ROUND(OFFSET($P24,0,AF$13),15-13*ORÇAMENTO!$AF$7)/$H24*OFFSET(ORÇAMENTO!$X$15,ROW(AF24)-ROW(AF$15),0),
              ROUND(ROUND(OFFSET($P24,0,AF$13),15-13*ORÇAMENTO!$AF$7)*OFFSET(ORÇAMENTO!$W$15,ROW(AF24)-ROW(AF$15),0),15-13*ORÇAMENTO!$AF$11)),
         0)</f>
        <v>0</v>
      </c>
      <c r="AG24" s="452">
        <f ca="1">IF(AND($D24="Serviço",AG$12&lt;&gt;0,$H24&gt;0,OR(AUTOEVENTO&lt;&gt;"manual",$M24&lt;&gt;$A$15)),
        IF(Import.TipoArredondamento&lt;&gt;"TransfereGOV",
              ROUND(OFFSET($P24,0,AG$13),15-13*ORÇAMENTO!$AF$7)/$H24*OFFSET(ORÇAMENTO!$X$15,ROW(AG24)-ROW(AG$15),0),
              ROUND(ROUND(OFFSET($P24,0,AG$13),15-13*ORÇAMENTO!$AF$7)*OFFSET(ORÇAMENTO!$W$15,ROW(AG24)-ROW(AG$15),0),15-13*ORÇAMENTO!$AF$11)),
         0)</f>
        <v>0</v>
      </c>
      <c r="AH24" s="452">
        <f ca="1">IF(AND($D24="Serviço",AH$12&lt;&gt;0,$H24&gt;0,OR(AUTOEVENTO&lt;&gt;"manual",$M24&lt;&gt;$A$15)),
        IF(Import.TipoArredondamento&lt;&gt;"TransfereGOV",
              ROUND(OFFSET($P24,0,AH$13),15-13*ORÇAMENTO!$AF$7)/$H24*OFFSET(ORÇAMENTO!$X$15,ROW(AH24)-ROW(AH$15),0),
              ROUND(ROUND(OFFSET($P24,0,AH$13),15-13*ORÇAMENTO!$AF$7)*OFFSET(ORÇAMENTO!$W$15,ROW(AH24)-ROW(AH$15),0),15-13*ORÇAMENTO!$AF$11)),
         0)</f>
        <v>0</v>
      </c>
      <c r="AI24" s="452">
        <f ca="1">IF(AND($D24="Serviço",AI$12&lt;&gt;0,$H24&gt;0,OR(AUTOEVENTO&lt;&gt;"manual",$M24&lt;&gt;$A$15)),
        IF(Import.TipoArredondamento&lt;&gt;"TransfereGOV",
              ROUND(OFFSET($P24,0,AI$13),15-13*ORÇAMENTO!$AF$7)/$H24*OFFSET(ORÇAMENTO!$X$15,ROW(AI24)-ROW(AI$15),0),
              ROUND(ROUND(OFFSET($P24,0,AI$13),15-13*ORÇAMENTO!$AF$7)*OFFSET(ORÇAMENTO!$W$15,ROW(AI24)-ROW(AI$15),0),15-13*ORÇAMENTO!$AF$11)),
         0)</f>
        <v>0</v>
      </c>
      <c r="AJ24" s="452">
        <f ca="1">IF(AND($D24="Serviço",AJ$12&lt;&gt;0,$H24&gt;0,OR(AUTOEVENTO&lt;&gt;"manual",$M24&lt;&gt;$A$15)),
        IF(Import.TipoArredondamento&lt;&gt;"TransfereGOV",
              ROUND(OFFSET($P24,0,AJ$13),15-13*ORÇAMENTO!$AF$7)/$H24*OFFSET(ORÇAMENTO!$X$15,ROW(AJ24)-ROW(AJ$15),0),
              ROUND(ROUND(OFFSET($P24,0,AJ$13),15-13*ORÇAMENTO!$AF$7)*OFFSET(ORÇAMENTO!$W$15,ROW(AJ24)-ROW(AJ$15),0),15-13*ORÇAMENTO!$AF$11)),
         0)</f>
        <v>0</v>
      </c>
      <c r="AK24" s="452">
        <f ca="1">IF(AND($D24="Serviço",AK$12&lt;&gt;0,$H24&gt;0,OR(AUTOEVENTO&lt;&gt;"manual",$M24&lt;&gt;$A$15)),
        IF(Import.TipoArredondamento&lt;&gt;"TransfereGOV",
              ROUND(OFFSET($P24,0,AK$13),15-13*ORÇAMENTO!$AF$7)/$H24*OFFSET(ORÇAMENTO!$X$15,ROW(AK24)-ROW(AK$15),0),
              ROUND(ROUND(OFFSET($P24,0,AK$13),15-13*ORÇAMENTO!$AF$7)*OFFSET(ORÇAMENTO!$W$15,ROW(AK24)-ROW(AK$15),0),15-13*ORÇAMENTO!$AF$11)),
         0)</f>
        <v>0</v>
      </c>
      <c r="AM24" s="170">
        <f ca="1">IF(OR($D24&lt;&gt;"Serviço",AND(AUTOEVENTO="Manual",$M24=$A$15)),0,
         IF(OFFSET(CRONOPLE!$F$15,$M24-$A$15,AM$13)=0,10^12,OFFSET(CRONOPLE!$F$15,$M24-$A$15,AM$13)))</f>
        <v>1</v>
      </c>
      <c r="AN24" s="170">
        <f ca="1">IF(OR($D24&lt;&gt;"Serviço",AND(AUTOEVENTO="Manual",$M24=$A$15)),0,
         IF(OFFSET(CRONOPLE!$F$15,$M24-$A$15,AN$13)=0,10^12,OFFSET(CRONOPLE!$F$15,$M24-$A$15,AN$13)))</f>
        <v>2</v>
      </c>
      <c r="AO24" s="170">
        <f ca="1">IF(OR($D24&lt;&gt;"Serviço",AND(AUTOEVENTO="Manual",$M24=$A$15)),0,
         IF(OFFSET(CRONOPLE!$F$15,$M24-$A$15,AO$13)=0,10^12,OFFSET(CRONOPLE!$F$15,$M24-$A$15,AO$13)))</f>
        <v>3</v>
      </c>
      <c r="AP24" s="170">
        <f ca="1">IF(OR($D24&lt;&gt;"Serviço",AND(AUTOEVENTO="Manual",$M24=$A$15)),0,
         IF(OFFSET(CRONOPLE!$F$15,$M24-$A$15,AP$13)=0,10^12,OFFSET(CRONOPLE!$F$15,$M24-$A$15,AP$13)))</f>
        <v>4</v>
      </c>
      <c r="AQ24" s="170">
        <f ca="1">IF(OR($D24&lt;&gt;"Serviço",AND(AUTOEVENTO="Manual",$M24=$A$15)),0,
         IF(OFFSET(CRONOPLE!$F$15,$M24-$A$15,AQ$13)=0,10^12,OFFSET(CRONOPLE!$F$15,$M24-$A$15,AQ$13)))</f>
        <v>1000000000000</v>
      </c>
      <c r="AR24" s="170">
        <f ca="1">IF(OR($D24&lt;&gt;"Serviço",AND(AUTOEVENTO="Manual",$M24=$A$15)),0,
         IF(OFFSET(CRONOPLE!$F$15,$M24-$A$15,AR$13)=0,10^12,OFFSET(CRONOPLE!$F$15,$M24-$A$15,AR$13)))</f>
        <v>1000000000000</v>
      </c>
      <c r="AS24" s="170">
        <f ca="1">IF(OR($D24&lt;&gt;"Serviço",AND(AUTOEVENTO="Manual",$M24=$A$15)),0,
         IF(OFFSET(CRONOPLE!$F$15,$M24-$A$15,AS$13)=0,10^12,OFFSET(CRONOPLE!$F$15,$M24-$A$15,AS$13)))</f>
        <v>1000000000000</v>
      </c>
      <c r="AT24" s="170">
        <f ca="1">IF(OR($D24&lt;&gt;"Serviço",AND(AUTOEVENTO="Manual",$M24=$A$15)),0,
         IF(OFFSET(CRONOPLE!$F$15,$M24-$A$15,AT$13)=0,10^12,OFFSET(CRONOPLE!$F$15,$M24-$A$15,AT$13)))</f>
        <v>1000000000000</v>
      </c>
      <c r="AU24" s="170">
        <f ca="1">IF(OR($D24&lt;&gt;"Serviço",AND(AUTOEVENTO="Manual",$M24=$A$15)),0,
         IF(OFFSET(CRONOPLE!$F$15,$M24-$A$15,AU$13)=0,10^12,OFFSET(CRONOPLE!$F$15,$M24-$A$15,AU$13)))</f>
        <v>1000000000000</v>
      </c>
      <c r="AV24" s="170">
        <f ca="1">IF(OR($D24&lt;&gt;"Serviço",AND(AUTOEVENTO="Manual",$M24=$A$15)),0,
         IF(OFFSET(CRONOPLE!$F$15,$M24-$A$15,AV$13)=0,10^12,OFFSET(CRONOPLE!$F$15,$M24-$A$15,AV$13)))</f>
        <v>1000000000000</v>
      </c>
      <c r="AX24" s="171" cm="1">
        <f t="array" aca="1" ref="AX24" ca="1">IF(OR($D24&lt;&gt;"Serviço",AND(AUTOEVENTO="Manual",$M24=$A$15),$M24&gt;(ROW(PLE.lastrow)-ROW(PLE.firstrow))),0,
           IF(OFFSET(PLE!$G$15,$M24-$A$15,AX$13)="",10^12,OFFSET(PLE!$G$15,$M24-$A$15,AX$13)))</f>
        <v>1000000000000</v>
      </c>
      <c r="AY24" s="171" cm="1">
        <f t="array" aca="1" ref="AY24" ca="1">IF(OR($D24&lt;&gt;"Serviço",AND(AUTOEVENTO="Manual",$M24=$A$15),$M24&gt;(ROW(PLE.lastrow)-ROW(PLE.firstrow))),0,
           IF(OFFSET(PLE!$G$15,$M24-$A$15,AY$13)="",10^12,OFFSET(PLE!$G$15,$M24-$A$15,AY$13)))</f>
        <v>1000000000000</v>
      </c>
      <c r="AZ24" s="171" cm="1">
        <f t="array" aca="1" ref="AZ24" ca="1">IF(OR($D24&lt;&gt;"Serviço",AND(AUTOEVENTO="Manual",$M24=$A$15),$M24&gt;(ROW(PLE.lastrow)-ROW(PLE.firstrow))),0,
           IF(OFFSET(PLE!$G$15,$M24-$A$15,AZ$13)="",10^12,OFFSET(PLE!$G$15,$M24-$A$15,AZ$13)))</f>
        <v>1000000000000</v>
      </c>
      <c r="BA24" s="171" cm="1">
        <f t="array" aca="1" ref="BA24" ca="1">IF(OR($D24&lt;&gt;"Serviço",AND(AUTOEVENTO="Manual",$M24=$A$15),$M24&gt;(ROW(PLE.lastrow)-ROW(PLE.firstrow))),0,
           IF(OFFSET(PLE!$G$15,$M24-$A$15,BA$13)="",10^12,OFFSET(PLE!$G$15,$M24-$A$15,BA$13)))</f>
        <v>1000000000000</v>
      </c>
      <c r="BB24" s="171" cm="1">
        <f t="array" aca="1" ref="BB24" ca="1">IF(OR($D24&lt;&gt;"Serviço",AND(AUTOEVENTO="Manual",$M24=$A$15),$M24&gt;(ROW(PLE.lastrow)-ROW(PLE.firstrow))),0,
           IF(OFFSET(PLE!$G$15,$M24-$A$15,BB$13)="",10^12,OFFSET(PLE!$G$15,$M24-$A$15,BB$13)))</f>
        <v>1000000000000</v>
      </c>
      <c r="BC24" s="171" cm="1">
        <f t="array" aca="1" ref="BC24" ca="1">IF(OR($D24&lt;&gt;"Serviço",AND(AUTOEVENTO="Manual",$M24=$A$15),$M24&gt;(ROW(PLE.lastrow)-ROW(PLE.firstrow))),0,
           IF(OFFSET(PLE!$G$15,$M24-$A$15,BC$13)="",10^12,OFFSET(PLE!$G$15,$M24-$A$15,BC$13)))</f>
        <v>1000000000000</v>
      </c>
      <c r="BD24" s="171" cm="1">
        <f t="array" aca="1" ref="BD24" ca="1">IF(OR($D24&lt;&gt;"Serviço",AND(AUTOEVENTO="Manual",$M24=$A$15),$M24&gt;(ROW(PLE.lastrow)-ROW(PLE.firstrow))),0,
           IF(OFFSET(PLE!$G$15,$M24-$A$15,BD$13)="",10^12,OFFSET(PLE!$G$15,$M24-$A$15,BD$13)))</f>
        <v>1000000000000</v>
      </c>
      <c r="BE24" s="171" cm="1">
        <f t="array" aca="1" ref="BE24" ca="1">IF(OR($D24&lt;&gt;"Serviço",AND(AUTOEVENTO="Manual",$M24=$A$15),$M24&gt;(ROW(PLE.lastrow)-ROW(PLE.firstrow))),0,
           IF(OFFSET(PLE!$G$15,$M24-$A$15,BE$13)="",10^12,OFFSET(PLE!$G$15,$M24-$A$15,BE$13)))</f>
        <v>1000000000000</v>
      </c>
      <c r="BF24" s="171" cm="1">
        <f t="array" aca="1" ref="BF24" ca="1">IF(OR($D24&lt;&gt;"Serviço",AND(AUTOEVENTO="Manual",$M24=$A$15),$M24&gt;(ROW(PLE.lastrow)-ROW(PLE.firstrow))),0,
           IF(OFFSET(PLE!$G$15,$M24-$A$15,BF$13)="",10^12,OFFSET(PLE!$G$15,$M24-$A$15,BF$13)))</f>
        <v>1000000000000</v>
      </c>
      <c r="BG24" s="171" cm="1">
        <f t="array" aca="1" ref="BG24" ca="1">IF(OR($D24&lt;&gt;"Serviço",AND(AUTOEVENTO="Manual",$M24=$A$15),$M24&gt;(ROW(PLE.lastrow)-ROW(PLE.firstrow))),0,
           IF(OFFSET(PLE!$G$15,$M24-$A$15,BG$13)="",10^12,OFFSET(PLE!$G$15,$M24-$A$15,BG$13)))</f>
        <v>1000000000000</v>
      </c>
    </row>
    <row r="25" spans="1:59" ht="38.25" x14ac:dyDescent="0.2">
      <c r="A25" s="7" t="str">
        <f ca="1">IFERROR(IF(AUTOEVENTO="Manual",IF(K25&lt;&gt;"",MIN(VALUE(LEFT(K25,FIND(".",K25)-1)),COUNTA(EVENTOS.Lista)),0),IF(OR($B25&gt;AUTOEVENTO,$B25="S",$B25=0),SUBSTITUTE(OFFSET($A25,-1,0),IF($D25="Serviço",".",""),""),$L25&amp;".")),0)</f>
        <v>5</v>
      </c>
      <c r="B25" s="7" t="str">
        <f ca="1">OFFSET(ORÇAMENTO!C$15,$L25,0)</f>
        <v>S</v>
      </c>
      <c r="C25" s="7" t="str">
        <f ca="1">OFFSET(ORÇAMENTO!L$15,$L25,0)</f>
        <v>F</v>
      </c>
      <c r="D25" s="115" t="str">
        <f ca="1">OFFSET(ORÇAMENTO!N$15,$L25,0)</f>
        <v>Serviço</v>
      </c>
      <c r="E25" s="116" t="str">
        <f ca="1">OFFSET(ORÇAMENTO!O$15,$L25,0)</f>
        <v>1.2.5.</v>
      </c>
      <c r="F25" s="162" t="str">
        <f ca="1">OFFSET(ORÇAMENTO!R$15,$L25,0)</f>
        <v>GRUPO DE SOLDAGEM COM GERADOR A DIESEL 60 CV PARA SOLDA ELÉTRICA, SOBRE 04 RODAS, COM MOTOR 4
 CILINDROS 600 A - CHI DIURNO. AF_02/2016</v>
      </c>
      <c r="G25" s="163" t="str">
        <f ca="1">IF($D25&lt;&gt;"Serviço","",OFFSET(ORÇAMENTO!S$15,$L25,0))</f>
        <v>H</v>
      </c>
      <c r="H25" s="121" cm="1">
        <f t="array" aca="1" ref="H25" ca="1">IF($D25&lt;&gt;"Serviço",0,IF(ACOMPANHAMENTO="BM",ROUND(OFFSET(ORÇAMENTO!AJ$15,$L25,0),15-13*ORÇAMENTO!$AF$7),IF(IFERROR(CÁLCULO.FrentesPreenchidas,0)=0,0,SUM(ROUND(OFFSET($P25,0,1,1,CÁLCULO.FrentesPreenchidas),15-13*ORÇAMENTO!$AF$7)))))</f>
        <v>320</v>
      </c>
      <c r="I25" s="467"/>
      <c r="J25" s="650" t="str" cm="1">
        <f t="array" aca="1" ref="J25" ca="1">IF(OR(B25&lt;&gt;"S",CÁLCULO.FrentesPreenchidas=0),"",IF(AND(ACOMPANHAMENTO="PLE",AUTOEVENTO="Manual",OR(H25&gt;0,ORÇAMENTO!AC25="QUANT."),OR(K25="",M25=0,N25="")),"►E",IF(AND(ACOMPANHAMENTO="PLE",ORÇAMENTO!AC25="QUANT."),"►Q",IF(AND(ACOMPANHAMENTO="PLE",H25&lt;&gt;SUMPRODUCT(($Q$1:$AA$1=1)*ROUND(Q25:AA25,15))),"►S",IF(AND(COUNTIF($P$11:$AA$11,"▼")=0,H25&gt;0,I25=""),"◄M","")))))</f>
        <v>◄M</v>
      </c>
      <c r="K25" s="651"/>
      <c r="L25" s="164">
        <f ca="1">OFFSET(L25,-1,0)+1</f>
        <v>10</v>
      </c>
      <c r="M25" s="165">
        <f ca="1">IF($D25&lt;&gt;"Serviço","",
          IF(AUTOEVENTO="manual",$A25,
                IF(ISERROR(MATCH($A25,$A$15:OFFSET($A25,-1,0),0)),MAX($M$15:OFFSET(M25,-1,0))+1,
                      INDEX($M$15:OFFSET(M25,-1,0),MATCH($A25,$A$15:OFFSET($A25,-1,0),0)))))</f>
        <v>2</v>
      </c>
      <c r="N25" s="166" t="str">
        <f ca="1">IF($D25&lt;&gt;"Serviço","",
         IF(AUTOEVENTO="Manual",
                IF($A25=0,"&lt;-- defina o número do agrupador",
                       OFFSET(EVENTOS!$D$15,$A25-$A$15,0)),
                OFFSET($F$15,$A25,0)))</f>
        <v>SERVIÇOS PLELIMINARES</v>
      </c>
      <c r="O25" s="167"/>
      <c r="Q25" s="167"/>
      <c r="R25" s="168"/>
      <c r="S25" s="168">
        <v>160</v>
      </c>
      <c r="T25" s="168">
        <v>160</v>
      </c>
      <c r="U25" s="168"/>
      <c r="V25" s="168"/>
      <c r="W25" s="168"/>
      <c r="X25" s="168"/>
      <c r="Y25" s="168"/>
      <c r="Z25" s="169"/>
      <c r="AB25" s="452">
        <f ca="1">IF(AND($D25="Serviço",AB$12&lt;&gt;0,$H25&gt;0,OR(AUTOEVENTO&lt;&gt;"manual",$M25&lt;&gt;$A$15)),
        IF(Import.TipoArredondamento&lt;&gt;"TransfereGOV",
              ROUND(OFFSET($P25,0,AB$13),15-13*ORÇAMENTO!$AF$7)/$H25*OFFSET(ORÇAMENTO!$X$15,ROW(AB25)-ROW(AB$15),0),
              ROUND(ROUND(OFFSET($P25,0,AB$13),15-13*ORÇAMENTO!$AF$7)*OFFSET(ORÇAMENTO!$W$15,ROW(AB25)-ROW(AB$15),0),15-13*ORÇAMENTO!$AF$11)),
         0)</f>
        <v>0</v>
      </c>
      <c r="AC25" s="452">
        <f ca="1">IF(AND($D25="Serviço",AC$12&lt;&gt;0,$H25&gt;0,OR(AUTOEVENTO&lt;&gt;"manual",$M25&lt;&gt;$A$15)),
        IF(Import.TipoArredondamento&lt;&gt;"TransfereGOV",
              ROUND(OFFSET($P25,0,AC$13),15-13*ORÇAMENTO!$AF$7)/$H25*OFFSET(ORÇAMENTO!$X$15,ROW(AC25)-ROW(AC$15),0),
              ROUND(ROUND(OFFSET($P25,0,AC$13),15-13*ORÇAMENTO!$AF$7)*OFFSET(ORÇAMENTO!$W$15,ROW(AC25)-ROW(AC$15),0),15-13*ORÇAMENTO!$AF$11)),
         0)</f>
        <v>0</v>
      </c>
      <c r="AD25" s="452">
        <f ca="1">IF(AND($D25="Serviço",AD$12&lt;&gt;0,$H25&gt;0,OR(AUTOEVENTO&lt;&gt;"manual",$M25&lt;&gt;$A$15)),
        IF(Import.TipoArredondamento&lt;&gt;"TransfereGOV",
              ROUND(OFFSET($P25,0,AD$13),15-13*ORÇAMENTO!$AF$7)/$H25*OFFSET(ORÇAMENTO!$X$15,ROW(AD25)-ROW(AD$15),0),
              ROUND(ROUND(OFFSET($P25,0,AD$13),15-13*ORÇAMENTO!$AF$7)*OFFSET(ORÇAMENTO!$W$15,ROW(AD25)-ROW(AD$15),0),15-13*ORÇAMENTO!$AF$11)),
         0)</f>
        <v>8113.6</v>
      </c>
      <c r="AE25" s="452">
        <f ca="1">IF(AND($D25="Serviço",AE$12&lt;&gt;0,$H25&gt;0,OR(AUTOEVENTO&lt;&gt;"manual",$M25&lt;&gt;$A$15)),
        IF(Import.TipoArredondamento&lt;&gt;"TransfereGOV",
              ROUND(OFFSET($P25,0,AE$13),15-13*ORÇAMENTO!$AF$7)/$H25*OFFSET(ORÇAMENTO!$X$15,ROW(AE25)-ROW(AE$15),0),
              ROUND(ROUND(OFFSET($P25,0,AE$13),15-13*ORÇAMENTO!$AF$7)*OFFSET(ORÇAMENTO!$W$15,ROW(AE25)-ROW(AE$15),0),15-13*ORÇAMENTO!$AF$11)),
         0)</f>
        <v>8113.6</v>
      </c>
      <c r="AF25" s="452">
        <f ca="1">IF(AND($D25="Serviço",AF$12&lt;&gt;0,$H25&gt;0,OR(AUTOEVENTO&lt;&gt;"manual",$M25&lt;&gt;$A$15)),
        IF(Import.TipoArredondamento&lt;&gt;"TransfereGOV",
              ROUND(OFFSET($P25,0,AF$13),15-13*ORÇAMENTO!$AF$7)/$H25*OFFSET(ORÇAMENTO!$X$15,ROW(AF25)-ROW(AF$15),0),
              ROUND(ROUND(OFFSET($P25,0,AF$13),15-13*ORÇAMENTO!$AF$7)*OFFSET(ORÇAMENTO!$W$15,ROW(AF25)-ROW(AF$15),0),15-13*ORÇAMENTO!$AF$11)),
         0)</f>
        <v>0</v>
      </c>
      <c r="AG25" s="452">
        <f ca="1">IF(AND($D25="Serviço",AG$12&lt;&gt;0,$H25&gt;0,OR(AUTOEVENTO&lt;&gt;"manual",$M25&lt;&gt;$A$15)),
        IF(Import.TipoArredondamento&lt;&gt;"TransfereGOV",
              ROUND(OFFSET($P25,0,AG$13),15-13*ORÇAMENTO!$AF$7)/$H25*OFFSET(ORÇAMENTO!$X$15,ROW(AG25)-ROW(AG$15),0),
              ROUND(ROUND(OFFSET($P25,0,AG$13),15-13*ORÇAMENTO!$AF$7)*OFFSET(ORÇAMENTO!$W$15,ROW(AG25)-ROW(AG$15),0),15-13*ORÇAMENTO!$AF$11)),
         0)</f>
        <v>0</v>
      </c>
      <c r="AH25" s="452">
        <f ca="1">IF(AND($D25="Serviço",AH$12&lt;&gt;0,$H25&gt;0,OR(AUTOEVENTO&lt;&gt;"manual",$M25&lt;&gt;$A$15)),
        IF(Import.TipoArredondamento&lt;&gt;"TransfereGOV",
              ROUND(OFFSET($P25,0,AH$13),15-13*ORÇAMENTO!$AF$7)/$H25*OFFSET(ORÇAMENTO!$X$15,ROW(AH25)-ROW(AH$15),0),
              ROUND(ROUND(OFFSET($P25,0,AH$13),15-13*ORÇAMENTO!$AF$7)*OFFSET(ORÇAMENTO!$W$15,ROW(AH25)-ROW(AH$15),0),15-13*ORÇAMENTO!$AF$11)),
         0)</f>
        <v>0</v>
      </c>
      <c r="AI25" s="452">
        <f ca="1">IF(AND($D25="Serviço",AI$12&lt;&gt;0,$H25&gt;0,OR(AUTOEVENTO&lt;&gt;"manual",$M25&lt;&gt;$A$15)),
        IF(Import.TipoArredondamento&lt;&gt;"TransfereGOV",
              ROUND(OFFSET($P25,0,AI$13),15-13*ORÇAMENTO!$AF$7)/$H25*OFFSET(ORÇAMENTO!$X$15,ROW(AI25)-ROW(AI$15),0),
              ROUND(ROUND(OFFSET($P25,0,AI$13),15-13*ORÇAMENTO!$AF$7)*OFFSET(ORÇAMENTO!$W$15,ROW(AI25)-ROW(AI$15),0),15-13*ORÇAMENTO!$AF$11)),
         0)</f>
        <v>0</v>
      </c>
      <c r="AJ25" s="452">
        <f ca="1">IF(AND($D25="Serviço",AJ$12&lt;&gt;0,$H25&gt;0,OR(AUTOEVENTO&lt;&gt;"manual",$M25&lt;&gt;$A$15)),
        IF(Import.TipoArredondamento&lt;&gt;"TransfereGOV",
              ROUND(OFFSET($P25,0,AJ$13),15-13*ORÇAMENTO!$AF$7)/$H25*OFFSET(ORÇAMENTO!$X$15,ROW(AJ25)-ROW(AJ$15),0),
              ROUND(ROUND(OFFSET($P25,0,AJ$13),15-13*ORÇAMENTO!$AF$7)*OFFSET(ORÇAMENTO!$W$15,ROW(AJ25)-ROW(AJ$15),0),15-13*ORÇAMENTO!$AF$11)),
         0)</f>
        <v>0</v>
      </c>
      <c r="AK25" s="452">
        <f ca="1">IF(AND($D25="Serviço",AK$12&lt;&gt;0,$H25&gt;0,OR(AUTOEVENTO&lt;&gt;"manual",$M25&lt;&gt;$A$15)),
        IF(Import.TipoArredondamento&lt;&gt;"TransfereGOV",
              ROUND(OFFSET($P25,0,AK$13),15-13*ORÇAMENTO!$AF$7)/$H25*OFFSET(ORÇAMENTO!$X$15,ROW(AK25)-ROW(AK$15),0),
              ROUND(ROUND(OFFSET($P25,0,AK$13),15-13*ORÇAMENTO!$AF$7)*OFFSET(ORÇAMENTO!$W$15,ROW(AK25)-ROW(AK$15),0),15-13*ORÇAMENTO!$AF$11)),
         0)</f>
        <v>0</v>
      </c>
      <c r="AM25" s="170">
        <f ca="1">IF(OR($D25&lt;&gt;"Serviço",AND(AUTOEVENTO="Manual",$M25=$A$15)),0,
         IF(OFFSET(CRONOPLE!$F$15,$M25-$A$15,AM$13)=0,10^12,OFFSET(CRONOPLE!$F$15,$M25-$A$15,AM$13)))</f>
        <v>1</v>
      </c>
      <c r="AN25" s="170">
        <f ca="1">IF(OR($D25&lt;&gt;"Serviço",AND(AUTOEVENTO="Manual",$M25=$A$15)),0,
         IF(OFFSET(CRONOPLE!$F$15,$M25-$A$15,AN$13)=0,10^12,OFFSET(CRONOPLE!$F$15,$M25-$A$15,AN$13)))</f>
        <v>2</v>
      </c>
      <c r="AO25" s="170">
        <f ca="1">IF(OR($D25&lt;&gt;"Serviço",AND(AUTOEVENTO="Manual",$M25=$A$15)),0,
         IF(OFFSET(CRONOPLE!$F$15,$M25-$A$15,AO$13)=0,10^12,OFFSET(CRONOPLE!$F$15,$M25-$A$15,AO$13)))</f>
        <v>3</v>
      </c>
      <c r="AP25" s="170">
        <f ca="1">IF(OR($D25&lt;&gt;"Serviço",AND(AUTOEVENTO="Manual",$M25=$A$15)),0,
         IF(OFFSET(CRONOPLE!$F$15,$M25-$A$15,AP$13)=0,10^12,OFFSET(CRONOPLE!$F$15,$M25-$A$15,AP$13)))</f>
        <v>4</v>
      </c>
      <c r="AQ25" s="170">
        <f ca="1">IF(OR($D25&lt;&gt;"Serviço",AND(AUTOEVENTO="Manual",$M25=$A$15)),0,
         IF(OFFSET(CRONOPLE!$F$15,$M25-$A$15,AQ$13)=0,10^12,OFFSET(CRONOPLE!$F$15,$M25-$A$15,AQ$13)))</f>
        <v>1000000000000</v>
      </c>
      <c r="AR25" s="170">
        <f ca="1">IF(OR($D25&lt;&gt;"Serviço",AND(AUTOEVENTO="Manual",$M25=$A$15)),0,
         IF(OFFSET(CRONOPLE!$F$15,$M25-$A$15,AR$13)=0,10^12,OFFSET(CRONOPLE!$F$15,$M25-$A$15,AR$13)))</f>
        <v>1000000000000</v>
      </c>
      <c r="AS25" s="170">
        <f ca="1">IF(OR($D25&lt;&gt;"Serviço",AND(AUTOEVENTO="Manual",$M25=$A$15)),0,
         IF(OFFSET(CRONOPLE!$F$15,$M25-$A$15,AS$13)=0,10^12,OFFSET(CRONOPLE!$F$15,$M25-$A$15,AS$13)))</f>
        <v>1000000000000</v>
      </c>
      <c r="AT25" s="170">
        <f ca="1">IF(OR($D25&lt;&gt;"Serviço",AND(AUTOEVENTO="Manual",$M25=$A$15)),0,
         IF(OFFSET(CRONOPLE!$F$15,$M25-$A$15,AT$13)=0,10^12,OFFSET(CRONOPLE!$F$15,$M25-$A$15,AT$13)))</f>
        <v>1000000000000</v>
      </c>
      <c r="AU25" s="170">
        <f ca="1">IF(OR($D25&lt;&gt;"Serviço",AND(AUTOEVENTO="Manual",$M25=$A$15)),0,
         IF(OFFSET(CRONOPLE!$F$15,$M25-$A$15,AU$13)=0,10^12,OFFSET(CRONOPLE!$F$15,$M25-$A$15,AU$13)))</f>
        <v>1000000000000</v>
      </c>
      <c r="AV25" s="170">
        <f ca="1">IF(OR($D25&lt;&gt;"Serviço",AND(AUTOEVENTO="Manual",$M25=$A$15)),0,
         IF(OFFSET(CRONOPLE!$F$15,$M25-$A$15,AV$13)=0,10^12,OFFSET(CRONOPLE!$F$15,$M25-$A$15,AV$13)))</f>
        <v>1000000000000</v>
      </c>
      <c r="AX25" s="171" cm="1">
        <f t="array" aca="1" ref="AX25" ca="1">IF(OR($D25&lt;&gt;"Serviço",AND(AUTOEVENTO="Manual",$M25=$A$15),$M25&gt;(ROW(PLE.lastrow)-ROW(PLE.firstrow))),0,
           IF(OFFSET(PLE!$G$15,$M25-$A$15,AX$13)="",10^12,OFFSET(PLE!$G$15,$M25-$A$15,AX$13)))</f>
        <v>1000000000000</v>
      </c>
      <c r="AY25" s="171" cm="1">
        <f t="array" aca="1" ref="AY25" ca="1">IF(OR($D25&lt;&gt;"Serviço",AND(AUTOEVENTO="Manual",$M25=$A$15),$M25&gt;(ROW(PLE.lastrow)-ROW(PLE.firstrow))),0,
           IF(OFFSET(PLE!$G$15,$M25-$A$15,AY$13)="",10^12,OFFSET(PLE!$G$15,$M25-$A$15,AY$13)))</f>
        <v>1000000000000</v>
      </c>
      <c r="AZ25" s="171" cm="1">
        <f t="array" aca="1" ref="AZ25" ca="1">IF(OR($D25&lt;&gt;"Serviço",AND(AUTOEVENTO="Manual",$M25=$A$15),$M25&gt;(ROW(PLE.lastrow)-ROW(PLE.firstrow))),0,
           IF(OFFSET(PLE!$G$15,$M25-$A$15,AZ$13)="",10^12,OFFSET(PLE!$G$15,$M25-$A$15,AZ$13)))</f>
        <v>1000000000000</v>
      </c>
      <c r="BA25" s="171" cm="1">
        <f t="array" aca="1" ref="BA25" ca="1">IF(OR($D25&lt;&gt;"Serviço",AND(AUTOEVENTO="Manual",$M25=$A$15),$M25&gt;(ROW(PLE.lastrow)-ROW(PLE.firstrow))),0,
           IF(OFFSET(PLE!$G$15,$M25-$A$15,BA$13)="",10^12,OFFSET(PLE!$G$15,$M25-$A$15,BA$13)))</f>
        <v>1000000000000</v>
      </c>
      <c r="BB25" s="171" cm="1">
        <f t="array" aca="1" ref="BB25" ca="1">IF(OR($D25&lt;&gt;"Serviço",AND(AUTOEVENTO="Manual",$M25=$A$15),$M25&gt;(ROW(PLE.lastrow)-ROW(PLE.firstrow))),0,
           IF(OFFSET(PLE!$G$15,$M25-$A$15,BB$13)="",10^12,OFFSET(PLE!$G$15,$M25-$A$15,BB$13)))</f>
        <v>1000000000000</v>
      </c>
      <c r="BC25" s="171" cm="1">
        <f t="array" aca="1" ref="BC25" ca="1">IF(OR($D25&lt;&gt;"Serviço",AND(AUTOEVENTO="Manual",$M25=$A$15),$M25&gt;(ROW(PLE.lastrow)-ROW(PLE.firstrow))),0,
           IF(OFFSET(PLE!$G$15,$M25-$A$15,BC$13)="",10^12,OFFSET(PLE!$G$15,$M25-$A$15,BC$13)))</f>
        <v>1000000000000</v>
      </c>
      <c r="BD25" s="171" cm="1">
        <f t="array" aca="1" ref="BD25" ca="1">IF(OR($D25&lt;&gt;"Serviço",AND(AUTOEVENTO="Manual",$M25=$A$15),$M25&gt;(ROW(PLE.lastrow)-ROW(PLE.firstrow))),0,
           IF(OFFSET(PLE!$G$15,$M25-$A$15,BD$13)="",10^12,OFFSET(PLE!$G$15,$M25-$A$15,BD$13)))</f>
        <v>1000000000000</v>
      </c>
      <c r="BE25" s="171" cm="1">
        <f t="array" aca="1" ref="BE25" ca="1">IF(OR($D25&lt;&gt;"Serviço",AND(AUTOEVENTO="Manual",$M25=$A$15),$M25&gt;(ROW(PLE.lastrow)-ROW(PLE.firstrow))),0,
           IF(OFFSET(PLE!$G$15,$M25-$A$15,BE$13)="",10^12,OFFSET(PLE!$G$15,$M25-$A$15,BE$13)))</f>
        <v>1000000000000</v>
      </c>
      <c r="BF25" s="171" cm="1">
        <f t="array" aca="1" ref="BF25" ca="1">IF(OR($D25&lt;&gt;"Serviço",AND(AUTOEVENTO="Manual",$M25=$A$15),$M25&gt;(ROW(PLE.lastrow)-ROW(PLE.firstrow))),0,
           IF(OFFSET(PLE!$G$15,$M25-$A$15,BF$13)="",10^12,OFFSET(PLE!$G$15,$M25-$A$15,BF$13)))</f>
        <v>1000000000000</v>
      </c>
      <c r="BG25" s="171" cm="1">
        <f t="array" aca="1" ref="BG25" ca="1">IF(OR($D25&lt;&gt;"Serviço",AND(AUTOEVENTO="Manual",$M25=$A$15),$M25&gt;(ROW(PLE.lastrow)-ROW(PLE.firstrow))),0,
           IF(OFFSET(PLE!$G$15,$M25-$A$15,BG$13)="",10^12,OFFSET(PLE!$G$15,$M25-$A$15,BG$13)))</f>
        <v>1000000000000</v>
      </c>
    </row>
    <row r="26" spans="1:59" ht="38.25" x14ac:dyDescent="0.2">
      <c r="A26" s="7" t="str">
        <f ca="1">IFERROR(IF(AUTOEVENTO="Manual",IF(K26&lt;&gt;"",MIN(VALUE(LEFT(K26,FIND(".",K26)-1)),COUNTA(EVENTOS.Lista)),0),IF(OR($B26&gt;AUTOEVENTO,$B26="S",$B26=0),SUBSTITUTE(OFFSET($A26,-1,0),IF($D26="Serviço",".",""),""),$L26&amp;".")),0)</f>
        <v>5</v>
      </c>
      <c r="B26" s="7" t="str">
        <f ca="1">OFFSET(ORÇAMENTO!C$15,$L26,0)</f>
        <v>S</v>
      </c>
      <c r="C26" s="7" t="str">
        <f ca="1">OFFSET(ORÇAMENTO!L$15,$L26,0)</f>
        <v>F</v>
      </c>
      <c r="D26" s="115" t="str">
        <f ca="1">OFFSET(ORÇAMENTO!N$15,$L26,0)</f>
        <v>Serviço</v>
      </c>
      <c r="E26" s="116" t="str">
        <f ca="1">OFFSET(ORÇAMENTO!O$15,$L26,0)</f>
        <v>1.2.6.</v>
      </c>
      <c r="F26" s="162" t="str">
        <f ca="1">OFFSET(ORÇAMENTO!R$15,$L26,0)</f>
        <v>LOCAÇÃO TOPOGRÁFICA DE VINTE UM (21) ATÉ CINQUENTA (50)
 PONTOS REFERENCIAIS, INCLUSIVE ESTACA (PIQUETE) DE
 MARCAÇÃO</v>
      </c>
      <c r="G26" s="163" t="str">
        <f ca="1">IF($D26&lt;&gt;"Serviço","",OFFSET(ORÇAMENTO!S$15,$L26,0))</f>
        <v>UNIDADES</v>
      </c>
      <c r="H26" s="121" cm="1">
        <f t="array" aca="1" ref="H26" ca="1">IF($D26&lt;&gt;"Serviço",0,IF(ACOMPANHAMENTO="BM",ROUND(OFFSET(ORÇAMENTO!AJ$15,$L26,0),15-13*ORÇAMENTO!$AF$7),IF(IFERROR(CÁLCULO.FrentesPreenchidas,0)=0,0,SUM(ROUND(OFFSET($P26,0,1,1,CÁLCULO.FrentesPreenchidas),15-13*ORÇAMENTO!$AF$7)))))</f>
        <v>30</v>
      </c>
      <c r="I26" s="467"/>
      <c r="J26" s="650" t="str" cm="1">
        <f t="array" aca="1" ref="J26" ca="1">IF(OR(B26&lt;&gt;"S",CÁLCULO.FrentesPreenchidas=0),"",IF(AND(ACOMPANHAMENTO="PLE",AUTOEVENTO="Manual",OR(H26&gt;0,ORÇAMENTO!AC26="QUANT."),OR(K26="",M26=0,N26="")),"►E",IF(AND(ACOMPANHAMENTO="PLE",ORÇAMENTO!AC26="QUANT."),"►Q",IF(AND(ACOMPANHAMENTO="PLE",H26&lt;&gt;SUMPRODUCT(($Q$1:$AA$1=1)*ROUND(Q26:AA26,15))),"►S",IF(AND(COUNTIF($P$11:$AA$11,"▼")=0,H26&gt;0,I26=""),"◄M","")))))</f>
        <v>◄M</v>
      </c>
      <c r="K26" s="651"/>
      <c r="L26" s="164">
        <f ca="1">OFFSET(L26,-1,0)+1</f>
        <v>11</v>
      </c>
      <c r="M26" s="165">
        <f ca="1">IF($D26&lt;&gt;"Serviço","",
          IF(AUTOEVENTO="manual",$A26,
                IF(ISERROR(MATCH($A26,$A$15:OFFSET($A26,-1,0),0)),MAX($M$15:OFFSET(M26,-1,0))+1,
                      INDEX($M$15:OFFSET(M26,-1,0),MATCH($A26,$A$15:OFFSET($A26,-1,0),0)))))</f>
        <v>2</v>
      </c>
      <c r="N26" s="166" t="str">
        <f ca="1">IF($D26&lt;&gt;"Serviço","",
         IF(AUTOEVENTO="Manual",
                IF($A26=0,"&lt;-- defina o número do agrupador",
                       OFFSET(EVENTOS!$D$15,$A26-$A$15,0)),
                OFFSET($F$15,$A26,0)))</f>
        <v>SERVIÇOS PLELIMINARES</v>
      </c>
      <c r="O26" s="167"/>
      <c r="Q26" s="167">
        <v>30</v>
      </c>
      <c r="R26" s="168"/>
      <c r="S26" s="168"/>
      <c r="T26" s="168"/>
      <c r="U26" s="168"/>
      <c r="V26" s="168"/>
      <c r="W26" s="168"/>
      <c r="X26" s="168"/>
      <c r="Y26" s="168"/>
      <c r="Z26" s="169"/>
      <c r="AB26" s="452">
        <f ca="1">IF(AND($D26="Serviço",AB$12&lt;&gt;0,$H26&gt;0,OR(AUTOEVENTO&lt;&gt;"manual",$M26&lt;&gt;$A$15)),
        IF(Import.TipoArredondamento&lt;&gt;"TransfereGOV",
              ROUND(OFFSET($P26,0,AB$13),15-13*ORÇAMENTO!$AF$7)/$H26*OFFSET(ORÇAMENTO!$X$15,ROW(AB26)-ROW(AB$15),0),
              ROUND(ROUND(OFFSET($P26,0,AB$13),15-13*ORÇAMENTO!$AF$7)*OFFSET(ORÇAMENTO!$W$15,ROW(AB26)-ROW(AB$15),0),15-13*ORÇAMENTO!$AF$11)),
         0)</f>
        <v>2151</v>
      </c>
      <c r="AC26" s="452">
        <f ca="1">IF(AND($D26="Serviço",AC$12&lt;&gt;0,$H26&gt;0,OR(AUTOEVENTO&lt;&gt;"manual",$M26&lt;&gt;$A$15)),
        IF(Import.TipoArredondamento&lt;&gt;"TransfereGOV",
              ROUND(OFFSET($P26,0,AC$13),15-13*ORÇAMENTO!$AF$7)/$H26*OFFSET(ORÇAMENTO!$X$15,ROW(AC26)-ROW(AC$15),0),
              ROUND(ROUND(OFFSET($P26,0,AC$13),15-13*ORÇAMENTO!$AF$7)*OFFSET(ORÇAMENTO!$W$15,ROW(AC26)-ROW(AC$15),0),15-13*ORÇAMENTO!$AF$11)),
         0)</f>
        <v>0</v>
      </c>
      <c r="AD26" s="452">
        <f ca="1">IF(AND($D26="Serviço",AD$12&lt;&gt;0,$H26&gt;0,OR(AUTOEVENTO&lt;&gt;"manual",$M26&lt;&gt;$A$15)),
        IF(Import.TipoArredondamento&lt;&gt;"TransfereGOV",
              ROUND(OFFSET($P26,0,AD$13),15-13*ORÇAMENTO!$AF$7)/$H26*OFFSET(ORÇAMENTO!$X$15,ROW(AD26)-ROW(AD$15),0),
              ROUND(ROUND(OFFSET($P26,0,AD$13),15-13*ORÇAMENTO!$AF$7)*OFFSET(ORÇAMENTO!$W$15,ROW(AD26)-ROW(AD$15),0),15-13*ORÇAMENTO!$AF$11)),
         0)</f>
        <v>0</v>
      </c>
      <c r="AE26" s="452">
        <f ca="1">IF(AND($D26="Serviço",AE$12&lt;&gt;0,$H26&gt;0,OR(AUTOEVENTO&lt;&gt;"manual",$M26&lt;&gt;$A$15)),
        IF(Import.TipoArredondamento&lt;&gt;"TransfereGOV",
              ROUND(OFFSET($P26,0,AE$13),15-13*ORÇAMENTO!$AF$7)/$H26*OFFSET(ORÇAMENTO!$X$15,ROW(AE26)-ROW(AE$15),0),
              ROUND(ROUND(OFFSET($P26,0,AE$13),15-13*ORÇAMENTO!$AF$7)*OFFSET(ORÇAMENTO!$W$15,ROW(AE26)-ROW(AE$15),0),15-13*ORÇAMENTO!$AF$11)),
         0)</f>
        <v>0</v>
      </c>
      <c r="AF26" s="452">
        <f ca="1">IF(AND($D26="Serviço",AF$12&lt;&gt;0,$H26&gt;0,OR(AUTOEVENTO&lt;&gt;"manual",$M26&lt;&gt;$A$15)),
        IF(Import.TipoArredondamento&lt;&gt;"TransfereGOV",
              ROUND(OFFSET($P26,0,AF$13),15-13*ORÇAMENTO!$AF$7)/$H26*OFFSET(ORÇAMENTO!$X$15,ROW(AF26)-ROW(AF$15),0),
              ROUND(ROUND(OFFSET($P26,0,AF$13),15-13*ORÇAMENTO!$AF$7)*OFFSET(ORÇAMENTO!$W$15,ROW(AF26)-ROW(AF$15),0),15-13*ORÇAMENTO!$AF$11)),
         0)</f>
        <v>0</v>
      </c>
      <c r="AG26" s="452">
        <f ca="1">IF(AND($D26="Serviço",AG$12&lt;&gt;0,$H26&gt;0,OR(AUTOEVENTO&lt;&gt;"manual",$M26&lt;&gt;$A$15)),
        IF(Import.TipoArredondamento&lt;&gt;"TransfereGOV",
              ROUND(OFFSET($P26,0,AG$13),15-13*ORÇAMENTO!$AF$7)/$H26*OFFSET(ORÇAMENTO!$X$15,ROW(AG26)-ROW(AG$15),0),
              ROUND(ROUND(OFFSET($P26,0,AG$13),15-13*ORÇAMENTO!$AF$7)*OFFSET(ORÇAMENTO!$W$15,ROW(AG26)-ROW(AG$15),0),15-13*ORÇAMENTO!$AF$11)),
         0)</f>
        <v>0</v>
      </c>
      <c r="AH26" s="452">
        <f ca="1">IF(AND($D26="Serviço",AH$12&lt;&gt;0,$H26&gt;0,OR(AUTOEVENTO&lt;&gt;"manual",$M26&lt;&gt;$A$15)),
        IF(Import.TipoArredondamento&lt;&gt;"TransfereGOV",
              ROUND(OFFSET($P26,0,AH$13),15-13*ORÇAMENTO!$AF$7)/$H26*OFFSET(ORÇAMENTO!$X$15,ROW(AH26)-ROW(AH$15),0),
              ROUND(ROUND(OFFSET($P26,0,AH$13),15-13*ORÇAMENTO!$AF$7)*OFFSET(ORÇAMENTO!$W$15,ROW(AH26)-ROW(AH$15),0),15-13*ORÇAMENTO!$AF$11)),
         0)</f>
        <v>0</v>
      </c>
      <c r="AI26" s="452">
        <f ca="1">IF(AND($D26="Serviço",AI$12&lt;&gt;0,$H26&gt;0,OR(AUTOEVENTO&lt;&gt;"manual",$M26&lt;&gt;$A$15)),
        IF(Import.TipoArredondamento&lt;&gt;"TransfereGOV",
              ROUND(OFFSET($P26,0,AI$13),15-13*ORÇAMENTO!$AF$7)/$H26*OFFSET(ORÇAMENTO!$X$15,ROW(AI26)-ROW(AI$15),0),
              ROUND(ROUND(OFFSET($P26,0,AI$13),15-13*ORÇAMENTO!$AF$7)*OFFSET(ORÇAMENTO!$W$15,ROW(AI26)-ROW(AI$15),0),15-13*ORÇAMENTO!$AF$11)),
         0)</f>
        <v>0</v>
      </c>
      <c r="AJ26" s="452">
        <f ca="1">IF(AND($D26="Serviço",AJ$12&lt;&gt;0,$H26&gt;0,OR(AUTOEVENTO&lt;&gt;"manual",$M26&lt;&gt;$A$15)),
        IF(Import.TipoArredondamento&lt;&gt;"TransfereGOV",
              ROUND(OFFSET($P26,0,AJ$13),15-13*ORÇAMENTO!$AF$7)/$H26*OFFSET(ORÇAMENTO!$X$15,ROW(AJ26)-ROW(AJ$15),0),
              ROUND(ROUND(OFFSET($P26,0,AJ$13),15-13*ORÇAMENTO!$AF$7)*OFFSET(ORÇAMENTO!$W$15,ROW(AJ26)-ROW(AJ$15),0),15-13*ORÇAMENTO!$AF$11)),
         0)</f>
        <v>0</v>
      </c>
      <c r="AK26" s="452">
        <f ca="1">IF(AND($D26="Serviço",AK$12&lt;&gt;0,$H26&gt;0,OR(AUTOEVENTO&lt;&gt;"manual",$M26&lt;&gt;$A$15)),
        IF(Import.TipoArredondamento&lt;&gt;"TransfereGOV",
              ROUND(OFFSET($P26,0,AK$13),15-13*ORÇAMENTO!$AF$7)/$H26*OFFSET(ORÇAMENTO!$X$15,ROW(AK26)-ROW(AK$15),0),
              ROUND(ROUND(OFFSET($P26,0,AK$13),15-13*ORÇAMENTO!$AF$7)*OFFSET(ORÇAMENTO!$W$15,ROW(AK26)-ROW(AK$15),0),15-13*ORÇAMENTO!$AF$11)),
         0)</f>
        <v>0</v>
      </c>
      <c r="AM26" s="170">
        <f ca="1">IF(OR($D26&lt;&gt;"Serviço",AND(AUTOEVENTO="Manual",$M26=$A$15)),0,
         IF(OFFSET(CRONOPLE!$F$15,$M26-$A$15,AM$13)=0,10^12,OFFSET(CRONOPLE!$F$15,$M26-$A$15,AM$13)))</f>
        <v>1</v>
      </c>
      <c r="AN26" s="170">
        <f ca="1">IF(OR($D26&lt;&gt;"Serviço",AND(AUTOEVENTO="Manual",$M26=$A$15)),0,
         IF(OFFSET(CRONOPLE!$F$15,$M26-$A$15,AN$13)=0,10^12,OFFSET(CRONOPLE!$F$15,$M26-$A$15,AN$13)))</f>
        <v>2</v>
      </c>
      <c r="AO26" s="170">
        <f ca="1">IF(OR($D26&lt;&gt;"Serviço",AND(AUTOEVENTO="Manual",$M26=$A$15)),0,
         IF(OFFSET(CRONOPLE!$F$15,$M26-$A$15,AO$13)=0,10^12,OFFSET(CRONOPLE!$F$15,$M26-$A$15,AO$13)))</f>
        <v>3</v>
      </c>
      <c r="AP26" s="170">
        <f ca="1">IF(OR($D26&lt;&gt;"Serviço",AND(AUTOEVENTO="Manual",$M26=$A$15)),0,
         IF(OFFSET(CRONOPLE!$F$15,$M26-$A$15,AP$13)=0,10^12,OFFSET(CRONOPLE!$F$15,$M26-$A$15,AP$13)))</f>
        <v>4</v>
      </c>
      <c r="AQ26" s="170">
        <f ca="1">IF(OR($D26&lt;&gt;"Serviço",AND(AUTOEVENTO="Manual",$M26=$A$15)),0,
         IF(OFFSET(CRONOPLE!$F$15,$M26-$A$15,AQ$13)=0,10^12,OFFSET(CRONOPLE!$F$15,$M26-$A$15,AQ$13)))</f>
        <v>1000000000000</v>
      </c>
      <c r="AR26" s="170">
        <f ca="1">IF(OR($D26&lt;&gt;"Serviço",AND(AUTOEVENTO="Manual",$M26=$A$15)),0,
         IF(OFFSET(CRONOPLE!$F$15,$M26-$A$15,AR$13)=0,10^12,OFFSET(CRONOPLE!$F$15,$M26-$A$15,AR$13)))</f>
        <v>1000000000000</v>
      </c>
      <c r="AS26" s="170">
        <f ca="1">IF(OR($D26&lt;&gt;"Serviço",AND(AUTOEVENTO="Manual",$M26=$A$15)),0,
         IF(OFFSET(CRONOPLE!$F$15,$M26-$A$15,AS$13)=0,10^12,OFFSET(CRONOPLE!$F$15,$M26-$A$15,AS$13)))</f>
        <v>1000000000000</v>
      </c>
      <c r="AT26" s="170">
        <f ca="1">IF(OR($D26&lt;&gt;"Serviço",AND(AUTOEVENTO="Manual",$M26=$A$15)),0,
         IF(OFFSET(CRONOPLE!$F$15,$M26-$A$15,AT$13)=0,10^12,OFFSET(CRONOPLE!$F$15,$M26-$A$15,AT$13)))</f>
        <v>1000000000000</v>
      </c>
      <c r="AU26" s="170">
        <f ca="1">IF(OR($D26&lt;&gt;"Serviço",AND(AUTOEVENTO="Manual",$M26=$A$15)),0,
         IF(OFFSET(CRONOPLE!$F$15,$M26-$A$15,AU$13)=0,10^12,OFFSET(CRONOPLE!$F$15,$M26-$A$15,AU$13)))</f>
        <v>1000000000000</v>
      </c>
      <c r="AV26" s="170">
        <f ca="1">IF(OR($D26&lt;&gt;"Serviço",AND(AUTOEVENTO="Manual",$M26=$A$15)),0,
         IF(OFFSET(CRONOPLE!$F$15,$M26-$A$15,AV$13)=0,10^12,OFFSET(CRONOPLE!$F$15,$M26-$A$15,AV$13)))</f>
        <v>1000000000000</v>
      </c>
      <c r="AX26" s="171" cm="1">
        <f t="array" aca="1" ref="AX26" ca="1">IF(OR($D26&lt;&gt;"Serviço",AND(AUTOEVENTO="Manual",$M26=$A$15),$M26&gt;(ROW(PLE.lastrow)-ROW(PLE.firstrow))),0,
           IF(OFFSET(PLE!$G$15,$M26-$A$15,AX$13)="",10^12,OFFSET(PLE!$G$15,$M26-$A$15,AX$13)))</f>
        <v>1000000000000</v>
      </c>
      <c r="AY26" s="171" cm="1">
        <f t="array" aca="1" ref="AY26" ca="1">IF(OR($D26&lt;&gt;"Serviço",AND(AUTOEVENTO="Manual",$M26=$A$15),$M26&gt;(ROW(PLE.lastrow)-ROW(PLE.firstrow))),0,
           IF(OFFSET(PLE!$G$15,$M26-$A$15,AY$13)="",10^12,OFFSET(PLE!$G$15,$M26-$A$15,AY$13)))</f>
        <v>1000000000000</v>
      </c>
      <c r="AZ26" s="171" cm="1">
        <f t="array" aca="1" ref="AZ26" ca="1">IF(OR($D26&lt;&gt;"Serviço",AND(AUTOEVENTO="Manual",$M26=$A$15),$M26&gt;(ROW(PLE.lastrow)-ROW(PLE.firstrow))),0,
           IF(OFFSET(PLE!$G$15,$M26-$A$15,AZ$13)="",10^12,OFFSET(PLE!$G$15,$M26-$A$15,AZ$13)))</f>
        <v>1000000000000</v>
      </c>
      <c r="BA26" s="171" cm="1">
        <f t="array" aca="1" ref="BA26" ca="1">IF(OR($D26&lt;&gt;"Serviço",AND(AUTOEVENTO="Manual",$M26=$A$15),$M26&gt;(ROW(PLE.lastrow)-ROW(PLE.firstrow))),0,
           IF(OFFSET(PLE!$G$15,$M26-$A$15,BA$13)="",10^12,OFFSET(PLE!$G$15,$M26-$A$15,BA$13)))</f>
        <v>1000000000000</v>
      </c>
      <c r="BB26" s="171" cm="1">
        <f t="array" aca="1" ref="BB26" ca="1">IF(OR($D26&lt;&gt;"Serviço",AND(AUTOEVENTO="Manual",$M26=$A$15),$M26&gt;(ROW(PLE.lastrow)-ROW(PLE.firstrow))),0,
           IF(OFFSET(PLE!$G$15,$M26-$A$15,BB$13)="",10^12,OFFSET(PLE!$G$15,$M26-$A$15,BB$13)))</f>
        <v>1000000000000</v>
      </c>
      <c r="BC26" s="171" cm="1">
        <f t="array" aca="1" ref="BC26" ca="1">IF(OR($D26&lt;&gt;"Serviço",AND(AUTOEVENTO="Manual",$M26=$A$15),$M26&gt;(ROW(PLE.lastrow)-ROW(PLE.firstrow))),0,
           IF(OFFSET(PLE!$G$15,$M26-$A$15,BC$13)="",10^12,OFFSET(PLE!$G$15,$M26-$A$15,BC$13)))</f>
        <v>1000000000000</v>
      </c>
      <c r="BD26" s="171" cm="1">
        <f t="array" aca="1" ref="BD26" ca="1">IF(OR($D26&lt;&gt;"Serviço",AND(AUTOEVENTO="Manual",$M26=$A$15),$M26&gt;(ROW(PLE.lastrow)-ROW(PLE.firstrow))),0,
           IF(OFFSET(PLE!$G$15,$M26-$A$15,BD$13)="",10^12,OFFSET(PLE!$G$15,$M26-$A$15,BD$13)))</f>
        <v>1000000000000</v>
      </c>
      <c r="BE26" s="171" cm="1">
        <f t="array" aca="1" ref="BE26" ca="1">IF(OR($D26&lt;&gt;"Serviço",AND(AUTOEVENTO="Manual",$M26=$A$15),$M26&gt;(ROW(PLE.lastrow)-ROW(PLE.firstrow))),0,
           IF(OFFSET(PLE!$G$15,$M26-$A$15,BE$13)="",10^12,OFFSET(PLE!$G$15,$M26-$A$15,BE$13)))</f>
        <v>1000000000000</v>
      </c>
      <c r="BF26" s="171" cm="1">
        <f t="array" aca="1" ref="BF26" ca="1">IF(OR($D26&lt;&gt;"Serviço",AND(AUTOEVENTO="Manual",$M26=$A$15),$M26&gt;(ROW(PLE.lastrow)-ROW(PLE.firstrow))),0,
           IF(OFFSET(PLE!$G$15,$M26-$A$15,BF$13)="",10^12,OFFSET(PLE!$G$15,$M26-$A$15,BF$13)))</f>
        <v>1000000000000</v>
      </c>
      <c r="BG26" s="171" cm="1">
        <f t="array" aca="1" ref="BG26" ca="1">IF(OR($D26&lt;&gt;"Serviço",AND(AUTOEVENTO="Manual",$M26=$A$15),$M26&gt;(ROW(PLE.lastrow)-ROW(PLE.firstrow))),0,
           IF(OFFSET(PLE!$G$15,$M26-$A$15,BG$13)="",10^12,OFFSET(PLE!$G$15,$M26-$A$15,BG$13)))</f>
        <v>1000000000000</v>
      </c>
    </row>
    <row r="27" spans="1:59" ht="12.75" x14ac:dyDescent="0.2">
      <c r="A27" s="7" t="str">
        <f t="shared" ca="1" si="8"/>
        <v>12.</v>
      </c>
      <c r="B27" s="7">
        <f ca="1">OFFSET(ORÇAMENTO!C$15,$L27,0)</f>
        <v>2</v>
      </c>
      <c r="C27" s="7" t="str">
        <f ca="1">OFFSET(ORÇAMENTO!L$15,$L27,0)</f>
        <v>F</v>
      </c>
      <c r="D27" s="115" t="str">
        <f ca="1">OFFSET(ORÇAMENTO!N$15,$L27,0)</f>
        <v>Nível 2</v>
      </c>
      <c r="E27" s="116" t="str">
        <f ca="1">OFFSET(ORÇAMENTO!O$15,$L27,0)</f>
        <v>1.3.</v>
      </c>
      <c r="F27" s="162" t="str">
        <f ca="1">OFFSET(ORÇAMENTO!R$15,$L27,0)</f>
        <v>TERRAPLENAGEM</v>
      </c>
      <c r="G27" s="163" t="str">
        <f ca="1">IF($D27&lt;&gt;"Serviço","",OFFSET(ORÇAMENTO!S$15,$L27,0))</f>
        <v/>
      </c>
      <c r="H27" s="121" cm="1">
        <f t="array" aca="1" ref="H27" ca="1">IF($D27&lt;&gt;"Serviço",0,IF(ACOMPANHAMENTO="BM",ROUND(OFFSET(ORÇAMENTO!AJ$15,$L27,0),15-13*ORÇAMENTO!$AF$7),IF(IFERROR(CÁLCULO.FrentesPreenchidas,0)=0,0,SUM(ROUND(OFFSET($P27,0,1,1,CÁLCULO.FrentesPreenchidas),15-13*ORÇAMENTO!$AF$7)))))</f>
        <v>0</v>
      </c>
      <c r="I27" s="467"/>
      <c r="J27" s="650" t="str" cm="1">
        <f t="array" aca="1" ref="J27" ca="1">IF(OR(B27&lt;&gt;"S",CÁLCULO.FrentesPreenchidas=0),"",IF(AND(ACOMPANHAMENTO="PLE",AUTOEVENTO="Manual",OR(H27&gt;0,ORÇAMENTO!AC27="QUANT."),OR(K27="",M27=0,N27="")),"►E",IF(AND(ACOMPANHAMENTO="PLE",ORÇAMENTO!AC27="QUANT."),"►Q",IF(AND(ACOMPANHAMENTO="PLE",H27&lt;&gt;SUMPRODUCT(($Q$1:$AA$1=1)*ROUND(Q27:AA27,15))),"►S",IF(AND(COUNTIF($P$11:$AA$11,"▼")=0,H27&gt;0,I27=""),"◄M","")))))</f>
        <v/>
      </c>
      <c r="K27" s="651"/>
      <c r="L27" s="164">
        <f t="shared" ca="1" si="9"/>
        <v>12</v>
      </c>
      <c r="M27" s="165" t="str">
        <f ca="1">IF($D27&lt;&gt;"Serviço","",
          IF(AUTOEVENTO="manual",$A27,
                IF(ISERROR(MATCH($A27,$A$15:OFFSET($A27,-1,0),0)),MAX($M$15:OFFSET(M27,-1,0))+1,
                      INDEX($M$15:OFFSET(M27,-1,0),MATCH($A27,$A$15:OFFSET($A27,-1,0),0)))))</f>
        <v/>
      </c>
      <c r="N27" s="166" t="str">
        <f ca="1">IF($D27&lt;&gt;"Serviço","",
         IF(AUTOEVENTO="Manual",
                IF($A27=0,"&lt;-- defina o número do agrupador",
                       OFFSET(EVENTOS!$D$15,$A27-$A$15,0)),
                OFFSET($F$15,$A27,0)))</f>
        <v/>
      </c>
      <c r="O27" s="167"/>
      <c r="Q27" s="167"/>
      <c r="R27" s="168"/>
      <c r="S27" s="168"/>
      <c r="T27" s="168"/>
      <c r="U27" s="168"/>
      <c r="V27" s="168"/>
      <c r="W27" s="168"/>
      <c r="X27" s="168"/>
      <c r="Y27" s="168"/>
      <c r="Z27" s="169"/>
      <c r="AB27" s="452">
        <f ca="1">IF(AND($D27="Serviço",AB$12&lt;&gt;0,$H27&gt;0,OR(AUTOEVENTO&lt;&gt;"manual",$M27&lt;&gt;$A$15)),
        IF(Import.TipoArredondamento&lt;&gt;"TransfereGOV",
              ROUND(OFFSET($P27,0,AB$13),15-13*ORÇAMENTO!$AF$7)/$H27*OFFSET(ORÇAMENTO!$X$15,ROW(AB27)-ROW(AB$15),0),
              ROUND(ROUND(OFFSET($P27,0,AB$13),15-13*ORÇAMENTO!$AF$7)*OFFSET(ORÇAMENTO!$W$15,ROW(AB27)-ROW(AB$15),0),15-13*ORÇAMENTO!$AF$11)),
         0)</f>
        <v>0</v>
      </c>
      <c r="AC27" s="452">
        <f ca="1">IF(AND($D27="Serviço",AC$12&lt;&gt;0,$H27&gt;0,OR(AUTOEVENTO&lt;&gt;"manual",$M27&lt;&gt;$A$15)),
        IF(Import.TipoArredondamento&lt;&gt;"TransfereGOV",
              ROUND(OFFSET($P27,0,AC$13),15-13*ORÇAMENTO!$AF$7)/$H27*OFFSET(ORÇAMENTO!$X$15,ROW(AC27)-ROW(AC$15),0),
              ROUND(ROUND(OFFSET($P27,0,AC$13),15-13*ORÇAMENTO!$AF$7)*OFFSET(ORÇAMENTO!$W$15,ROW(AC27)-ROW(AC$15),0),15-13*ORÇAMENTO!$AF$11)),
         0)</f>
        <v>0</v>
      </c>
      <c r="AD27" s="452">
        <f ca="1">IF(AND($D27="Serviço",AD$12&lt;&gt;0,$H27&gt;0,OR(AUTOEVENTO&lt;&gt;"manual",$M27&lt;&gt;$A$15)),
        IF(Import.TipoArredondamento&lt;&gt;"TransfereGOV",
              ROUND(OFFSET($P27,0,AD$13),15-13*ORÇAMENTO!$AF$7)/$H27*OFFSET(ORÇAMENTO!$X$15,ROW(AD27)-ROW(AD$15),0),
              ROUND(ROUND(OFFSET($P27,0,AD$13),15-13*ORÇAMENTO!$AF$7)*OFFSET(ORÇAMENTO!$W$15,ROW(AD27)-ROW(AD$15),0),15-13*ORÇAMENTO!$AF$11)),
         0)</f>
        <v>0</v>
      </c>
      <c r="AE27" s="452">
        <f ca="1">IF(AND($D27="Serviço",AE$12&lt;&gt;0,$H27&gt;0,OR(AUTOEVENTO&lt;&gt;"manual",$M27&lt;&gt;$A$15)),
        IF(Import.TipoArredondamento&lt;&gt;"TransfereGOV",
              ROUND(OFFSET($P27,0,AE$13),15-13*ORÇAMENTO!$AF$7)/$H27*OFFSET(ORÇAMENTO!$X$15,ROW(AE27)-ROW(AE$15),0),
              ROUND(ROUND(OFFSET($P27,0,AE$13),15-13*ORÇAMENTO!$AF$7)*OFFSET(ORÇAMENTO!$W$15,ROW(AE27)-ROW(AE$15),0),15-13*ORÇAMENTO!$AF$11)),
         0)</f>
        <v>0</v>
      </c>
      <c r="AF27" s="452">
        <f ca="1">IF(AND($D27="Serviço",AF$12&lt;&gt;0,$H27&gt;0,OR(AUTOEVENTO&lt;&gt;"manual",$M27&lt;&gt;$A$15)),
        IF(Import.TipoArredondamento&lt;&gt;"TransfereGOV",
              ROUND(OFFSET($P27,0,AF$13),15-13*ORÇAMENTO!$AF$7)/$H27*OFFSET(ORÇAMENTO!$X$15,ROW(AF27)-ROW(AF$15),0),
              ROUND(ROUND(OFFSET($P27,0,AF$13),15-13*ORÇAMENTO!$AF$7)*OFFSET(ORÇAMENTO!$W$15,ROW(AF27)-ROW(AF$15),0),15-13*ORÇAMENTO!$AF$11)),
         0)</f>
        <v>0</v>
      </c>
      <c r="AG27" s="452">
        <f ca="1">IF(AND($D27="Serviço",AG$12&lt;&gt;0,$H27&gt;0,OR(AUTOEVENTO&lt;&gt;"manual",$M27&lt;&gt;$A$15)),
        IF(Import.TipoArredondamento&lt;&gt;"TransfereGOV",
              ROUND(OFFSET($P27,0,AG$13),15-13*ORÇAMENTO!$AF$7)/$H27*OFFSET(ORÇAMENTO!$X$15,ROW(AG27)-ROW(AG$15),0),
              ROUND(ROUND(OFFSET($P27,0,AG$13),15-13*ORÇAMENTO!$AF$7)*OFFSET(ORÇAMENTO!$W$15,ROW(AG27)-ROW(AG$15),0),15-13*ORÇAMENTO!$AF$11)),
         0)</f>
        <v>0</v>
      </c>
      <c r="AH27" s="452">
        <f ca="1">IF(AND($D27="Serviço",AH$12&lt;&gt;0,$H27&gt;0,OR(AUTOEVENTO&lt;&gt;"manual",$M27&lt;&gt;$A$15)),
        IF(Import.TipoArredondamento&lt;&gt;"TransfereGOV",
              ROUND(OFFSET($P27,0,AH$13),15-13*ORÇAMENTO!$AF$7)/$H27*OFFSET(ORÇAMENTO!$X$15,ROW(AH27)-ROW(AH$15),0),
              ROUND(ROUND(OFFSET($P27,0,AH$13),15-13*ORÇAMENTO!$AF$7)*OFFSET(ORÇAMENTO!$W$15,ROW(AH27)-ROW(AH$15),0),15-13*ORÇAMENTO!$AF$11)),
         0)</f>
        <v>0</v>
      </c>
      <c r="AI27" s="452">
        <f ca="1">IF(AND($D27="Serviço",AI$12&lt;&gt;0,$H27&gt;0,OR(AUTOEVENTO&lt;&gt;"manual",$M27&lt;&gt;$A$15)),
        IF(Import.TipoArredondamento&lt;&gt;"TransfereGOV",
              ROUND(OFFSET($P27,0,AI$13),15-13*ORÇAMENTO!$AF$7)/$H27*OFFSET(ORÇAMENTO!$X$15,ROW(AI27)-ROW(AI$15),0),
              ROUND(ROUND(OFFSET($P27,0,AI$13),15-13*ORÇAMENTO!$AF$7)*OFFSET(ORÇAMENTO!$W$15,ROW(AI27)-ROW(AI$15),0),15-13*ORÇAMENTO!$AF$11)),
         0)</f>
        <v>0</v>
      </c>
      <c r="AJ27" s="452">
        <f ca="1">IF(AND($D27="Serviço",AJ$12&lt;&gt;0,$H27&gt;0,OR(AUTOEVENTO&lt;&gt;"manual",$M27&lt;&gt;$A$15)),
        IF(Import.TipoArredondamento&lt;&gt;"TransfereGOV",
              ROUND(OFFSET($P27,0,AJ$13),15-13*ORÇAMENTO!$AF$7)/$H27*OFFSET(ORÇAMENTO!$X$15,ROW(AJ27)-ROW(AJ$15),0),
              ROUND(ROUND(OFFSET($P27,0,AJ$13),15-13*ORÇAMENTO!$AF$7)*OFFSET(ORÇAMENTO!$W$15,ROW(AJ27)-ROW(AJ$15),0),15-13*ORÇAMENTO!$AF$11)),
         0)</f>
        <v>0</v>
      </c>
      <c r="AK27" s="452">
        <f ca="1">IF(AND($D27="Serviço",AK$12&lt;&gt;0,$H27&gt;0,OR(AUTOEVENTO&lt;&gt;"manual",$M27&lt;&gt;$A$15)),
        IF(Import.TipoArredondamento&lt;&gt;"TransfereGOV",
              ROUND(OFFSET($P27,0,AK$13),15-13*ORÇAMENTO!$AF$7)/$H27*OFFSET(ORÇAMENTO!$X$15,ROW(AK27)-ROW(AK$15),0),
              ROUND(ROUND(OFFSET($P27,0,AK$13),15-13*ORÇAMENTO!$AF$7)*OFFSET(ORÇAMENTO!$W$15,ROW(AK27)-ROW(AK$15),0),15-13*ORÇAMENTO!$AF$11)),
         0)</f>
        <v>0</v>
      </c>
      <c r="AM27" s="170">
        <f ca="1">IF(OR($D27&lt;&gt;"Serviço",AND(AUTOEVENTO="Manual",$M27=$A$15)),0,
         IF(OFFSET(CRONOPLE!$F$15,$M27-$A$15,AM$13)=0,10^12,OFFSET(CRONOPLE!$F$15,$M27-$A$15,AM$13)))</f>
        <v>0</v>
      </c>
      <c r="AN27" s="170">
        <f ca="1">IF(OR($D27&lt;&gt;"Serviço",AND(AUTOEVENTO="Manual",$M27=$A$15)),0,
         IF(OFFSET(CRONOPLE!$F$15,$M27-$A$15,AN$13)=0,10^12,OFFSET(CRONOPLE!$F$15,$M27-$A$15,AN$13)))</f>
        <v>0</v>
      </c>
      <c r="AO27" s="170">
        <f ca="1">IF(OR($D27&lt;&gt;"Serviço",AND(AUTOEVENTO="Manual",$M27=$A$15)),0,
         IF(OFFSET(CRONOPLE!$F$15,$M27-$A$15,AO$13)=0,10^12,OFFSET(CRONOPLE!$F$15,$M27-$A$15,AO$13)))</f>
        <v>0</v>
      </c>
      <c r="AP27" s="170">
        <f ca="1">IF(OR($D27&lt;&gt;"Serviço",AND(AUTOEVENTO="Manual",$M27=$A$15)),0,
         IF(OFFSET(CRONOPLE!$F$15,$M27-$A$15,AP$13)=0,10^12,OFFSET(CRONOPLE!$F$15,$M27-$A$15,AP$13)))</f>
        <v>0</v>
      </c>
      <c r="AQ27" s="170">
        <f ca="1">IF(OR($D27&lt;&gt;"Serviço",AND(AUTOEVENTO="Manual",$M27=$A$15)),0,
         IF(OFFSET(CRONOPLE!$F$15,$M27-$A$15,AQ$13)=0,10^12,OFFSET(CRONOPLE!$F$15,$M27-$A$15,AQ$13)))</f>
        <v>0</v>
      </c>
      <c r="AR27" s="170">
        <f ca="1">IF(OR($D27&lt;&gt;"Serviço",AND(AUTOEVENTO="Manual",$M27=$A$15)),0,
         IF(OFFSET(CRONOPLE!$F$15,$M27-$A$15,AR$13)=0,10^12,OFFSET(CRONOPLE!$F$15,$M27-$A$15,AR$13)))</f>
        <v>0</v>
      </c>
      <c r="AS27" s="170">
        <f ca="1">IF(OR($D27&lt;&gt;"Serviço",AND(AUTOEVENTO="Manual",$M27=$A$15)),0,
         IF(OFFSET(CRONOPLE!$F$15,$M27-$A$15,AS$13)=0,10^12,OFFSET(CRONOPLE!$F$15,$M27-$A$15,AS$13)))</f>
        <v>0</v>
      </c>
      <c r="AT27" s="170">
        <f ca="1">IF(OR($D27&lt;&gt;"Serviço",AND(AUTOEVENTO="Manual",$M27=$A$15)),0,
         IF(OFFSET(CRONOPLE!$F$15,$M27-$A$15,AT$13)=0,10^12,OFFSET(CRONOPLE!$F$15,$M27-$A$15,AT$13)))</f>
        <v>0</v>
      </c>
      <c r="AU27" s="170">
        <f ca="1">IF(OR($D27&lt;&gt;"Serviço",AND(AUTOEVENTO="Manual",$M27=$A$15)),0,
         IF(OFFSET(CRONOPLE!$F$15,$M27-$A$15,AU$13)=0,10^12,OFFSET(CRONOPLE!$F$15,$M27-$A$15,AU$13)))</f>
        <v>0</v>
      </c>
      <c r="AV27" s="170">
        <f ca="1">IF(OR($D27&lt;&gt;"Serviço",AND(AUTOEVENTO="Manual",$M27=$A$15)),0,
         IF(OFFSET(CRONOPLE!$F$15,$M27-$A$15,AV$13)=0,10^12,OFFSET(CRONOPLE!$F$15,$M27-$A$15,AV$13)))</f>
        <v>0</v>
      </c>
      <c r="AX27" s="171" cm="1">
        <f t="array" aca="1" ref="AX27" ca="1">IF(OR($D27&lt;&gt;"Serviço",AND(AUTOEVENTO="Manual",$M27=$A$15),$M27&gt;(ROW(PLE.lastrow)-ROW(PLE.firstrow))),0,
           IF(OFFSET(PLE!$G$15,$M27-$A$15,AX$13)="",10^12,OFFSET(PLE!$G$15,$M27-$A$15,AX$13)))</f>
        <v>0</v>
      </c>
      <c r="AY27" s="171" cm="1">
        <f t="array" aca="1" ref="AY27" ca="1">IF(OR($D27&lt;&gt;"Serviço",AND(AUTOEVENTO="Manual",$M27=$A$15),$M27&gt;(ROW(PLE.lastrow)-ROW(PLE.firstrow))),0,
           IF(OFFSET(PLE!$G$15,$M27-$A$15,AY$13)="",10^12,OFFSET(PLE!$G$15,$M27-$A$15,AY$13)))</f>
        <v>0</v>
      </c>
      <c r="AZ27" s="171" cm="1">
        <f t="array" aca="1" ref="AZ27" ca="1">IF(OR($D27&lt;&gt;"Serviço",AND(AUTOEVENTO="Manual",$M27=$A$15),$M27&gt;(ROW(PLE.lastrow)-ROW(PLE.firstrow))),0,
           IF(OFFSET(PLE!$G$15,$M27-$A$15,AZ$13)="",10^12,OFFSET(PLE!$G$15,$M27-$A$15,AZ$13)))</f>
        <v>0</v>
      </c>
      <c r="BA27" s="171" cm="1">
        <f t="array" aca="1" ref="BA27" ca="1">IF(OR($D27&lt;&gt;"Serviço",AND(AUTOEVENTO="Manual",$M27=$A$15),$M27&gt;(ROW(PLE.lastrow)-ROW(PLE.firstrow))),0,
           IF(OFFSET(PLE!$G$15,$M27-$A$15,BA$13)="",10^12,OFFSET(PLE!$G$15,$M27-$A$15,BA$13)))</f>
        <v>0</v>
      </c>
      <c r="BB27" s="171" cm="1">
        <f t="array" aca="1" ref="BB27" ca="1">IF(OR($D27&lt;&gt;"Serviço",AND(AUTOEVENTO="Manual",$M27=$A$15),$M27&gt;(ROW(PLE.lastrow)-ROW(PLE.firstrow))),0,
           IF(OFFSET(PLE!$G$15,$M27-$A$15,BB$13)="",10^12,OFFSET(PLE!$G$15,$M27-$A$15,BB$13)))</f>
        <v>0</v>
      </c>
      <c r="BC27" s="171" cm="1">
        <f t="array" aca="1" ref="BC27" ca="1">IF(OR($D27&lt;&gt;"Serviço",AND(AUTOEVENTO="Manual",$M27=$A$15),$M27&gt;(ROW(PLE.lastrow)-ROW(PLE.firstrow))),0,
           IF(OFFSET(PLE!$G$15,$M27-$A$15,BC$13)="",10^12,OFFSET(PLE!$G$15,$M27-$A$15,BC$13)))</f>
        <v>0</v>
      </c>
      <c r="BD27" s="171" cm="1">
        <f t="array" aca="1" ref="BD27" ca="1">IF(OR($D27&lt;&gt;"Serviço",AND(AUTOEVENTO="Manual",$M27=$A$15),$M27&gt;(ROW(PLE.lastrow)-ROW(PLE.firstrow))),0,
           IF(OFFSET(PLE!$G$15,$M27-$A$15,BD$13)="",10^12,OFFSET(PLE!$G$15,$M27-$A$15,BD$13)))</f>
        <v>0</v>
      </c>
      <c r="BE27" s="171" cm="1">
        <f t="array" aca="1" ref="BE27" ca="1">IF(OR($D27&lt;&gt;"Serviço",AND(AUTOEVENTO="Manual",$M27=$A$15),$M27&gt;(ROW(PLE.lastrow)-ROW(PLE.firstrow))),0,
           IF(OFFSET(PLE!$G$15,$M27-$A$15,BE$13)="",10^12,OFFSET(PLE!$G$15,$M27-$A$15,BE$13)))</f>
        <v>0</v>
      </c>
      <c r="BF27" s="171" cm="1">
        <f t="array" aca="1" ref="BF27" ca="1">IF(OR($D27&lt;&gt;"Serviço",AND(AUTOEVENTO="Manual",$M27=$A$15),$M27&gt;(ROW(PLE.lastrow)-ROW(PLE.firstrow))),0,
           IF(OFFSET(PLE!$G$15,$M27-$A$15,BF$13)="",10^12,OFFSET(PLE!$G$15,$M27-$A$15,BF$13)))</f>
        <v>0</v>
      </c>
      <c r="BG27" s="171" cm="1">
        <f t="array" aca="1" ref="BG27" ca="1">IF(OR($D27&lt;&gt;"Serviço",AND(AUTOEVENTO="Manual",$M27=$A$15),$M27&gt;(ROW(PLE.lastrow)-ROW(PLE.firstrow))),0,
           IF(OFFSET(PLE!$G$15,$M27-$A$15,BG$13)="",10^12,OFFSET(PLE!$G$15,$M27-$A$15,BG$13)))</f>
        <v>0</v>
      </c>
    </row>
    <row r="28" spans="1:59" ht="25.5" x14ac:dyDescent="0.2">
      <c r="A28" s="7" t="str">
        <f t="shared" ca="1" si="8"/>
        <v>12</v>
      </c>
      <c r="B28" s="7" t="str">
        <f ca="1">OFFSET(ORÇAMENTO!C$15,$L28,0)</f>
        <v>S</v>
      </c>
      <c r="C28" s="7" t="str">
        <f ca="1">OFFSET(ORÇAMENTO!L$15,$L28,0)</f>
        <v>F</v>
      </c>
      <c r="D28" s="115" t="str">
        <f ca="1">OFFSET(ORÇAMENTO!N$15,$L28,0)</f>
        <v>Serviço</v>
      </c>
      <c r="E28" s="116" t="str">
        <f ca="1">OFFSET(ORÇAMENTO!O$15,$L28,0)</f>
        <v>1.3.1.</v>
      </c>
      <c r="F28" s="162" t="str">
        <f ca="1">OFFSET(ORÇAMENTO!R$15,$L28,0)</f>
        <v>TRANSPORTE COM CAMINHÃO BASCULANTE DE 10 M³, EM VIA URBANA EM LEITO NATURAL (UNIDADE: M3XKM). AF_07/2020</v>
      </c>
      <c r="G28" s="163" t="str">
        <f ca="1">IF($D28&lt;&gt;"Serviço","",OFFSET(ORÇAMENTO!S$15,$L28,0))</f>
        <v>M3XKM</v>
      </c>
      <c r="H28" s="121" cm="1">
        <f t="array" aca="1" ref="H28" ca="1">IF($D28&lt;&gt;"Serviço",0,IF(ACOMPANHAMENTO="BM",ROUND(OFFSET(ORÇAMENTO!AJ$15,$L28,0),15-13*ORÇAMENTO!$AF$7),IF(IFERROR(CÁLCULO.FrentesPreenchidas,0)=0,0,SUM(ROUND(OFFSET($P28,0,1,1,CÁLCULO.FrentesPreenchidas),15-13*ORÇAMENTO!$AF$7)))))</f>
        <v>1238.95</v>
      </c>
      <c r="I28" s="467"/>
      <c r="J28" s="650" t="str" cm="1">
        <f t="array" aca="1" ref="J28" ca="1">IF(OR(B28&lt;&gt;"S",CÁLCULO.FrentesPreenchidas=0),"",IF(AND(ACOMPANHAMENTO="PLE",AUTOEVENTO="Manual",OR(H28&gt;0,ORÇAMENTO!AC28="QUANT."),OR(K28="",M28=0,N28="")),"►E",IF(AND(ACOMPANHAMENTO="PLE",ORÇAMENTO!AC28="QUANT."),"►Q",IF(AND(ACOMPANHAMENTO="PLE",H28&lt;&gt;SUMPRODUCT(($Q$1:$AA$1=1)*ROUND(Q28:AA28,15))),"►S",IF(AND(COUNTIF($P$11:$AA$11,"▼")=0,H28&gt;0,I28=""),"◄M","")))))</f>
        <v>◄M</v>
      </c>
      <c r="K28" s="651"/>
      <c r="L28" s="164">
        <f t="shared" ca="1" si="9"/>
        <v>13</v>
      </c>
      <c r="M28" s="165">
        <f ca="1">IF($D28&lt;&gt;"Serviço","",
          IF(AUTOEVENTO="manual",$A28,
                IF(ISERROR(MATCH($A28,$A$15:OFFSET($A28,-1,0),0)),MAX($M$15:OFFSET(M28,-1,0))+1,
                      INDEX($M$15:OFFSET(M28,-1,0),MATCH($A28,$A$15:OFFSET($A28,-1,0),0)))))</f>
        <v>3</v>
      </c>
      <c r="N28" s="166" t="str">
        <f ca="1">IF($D28&lt;&gt;"Serviço","",
         IF(AUTOEVENTO="Manual",
                IF($A28=0,"&lt;-- defina o número do agrupador",
                       OFFSET(EVENTOS!$D$15,$A28-$A$15,0)),
                OFFSET($F$15,$A28,0)))</f>
        <v>TERRAPLENAGEM</v>
      </c>
      <c r="O28" s="167"/>
      <c r="Q28" s="167"/>
      <c r="R28" s="168"/>
      <c r="S28" s="168">
        <v>1238.95</v>
      </c>
      <c r="T28" s="168"/>
      <c r="U28" s="168"/>
      <c r="V28" s="168"/>
      <c r="W28" s="168"/>
      <c r="X28" s="168"/>
      <c r="Y28" s="168"/>
      <c r="Z28" s="169"/>
      <c r="AB28" s="452">
        <f ca="1">IF(AND($D28="Serviço",AB$12&lt;&gt;0,$H28&gt;0,OR(AUTOEVENTO&lt;&gt;"manual",$M28&lt;&gt;$A$15)),
        IF(Import.TipoArredondamento&lt;&gt;"TransfereGOV",
              ROUND(OFFSET($P28,0,AB$13),15-13*ORÇAMENTO!$AF$7)/$H28*OFFSET(ORÇAMENTO!$X$15,ROW(AB28)-ROW(AB$15),0),
              ROUND(ROUND(OFFSET($P28,0,AB$13),15-13*ORÇAMENTO!$AF$7)*OFFSET(ORÇAMENTO!$W$15,ROW(AB28)-ROW(AB$15),0),15-13*ORÇAMENTO!$AF$11)),
         0)</f>
        <v>0</v>
      </c>
      <c r="AC28" s="452">
        <f ca="1">IF(AND($D28="Serviço",AC$12&lt;&gt;0,$H28&gt;0,OR(AUTOEVENTO&lt;&gt;"manual",$M28&lt;&gt;$A$15)),
        IF(Import.TipoArredondamento&lt;&gt;"TransfereGOV",
              ROUND(OFFSET($P28,0,AC$13),15-13*ORÇAMENTO!$AF$7)/$H28*OFFSET(ORÇAMENTO!$X$15,ROW(AC28)-ROW(AC$15),0),
              ROUND(ROUND(OFFSET($P28,0,AC$13),15-13*ORÇAMENTO!$AF$7)*OFFSET(ORÇAMENTO!$W$15,ROW(AC28)-ROW(AC$15),0),15-13*ORÇAMENTO!$AF$11)),
         0)</f>
        <v>0</v>
      </c>
      <c r="AD28" s="452">
        <f ca="1">IF(AND($D28="Serviço",AD$12&lt;&gt;0,$H28&gt;0,OR(AUTOEVENTO&lt;&gt;"manual",$M28&lt;&gt;$A$15)),
        IF(Import.TipoArredondamento&lt;&gt;"TransfereGOV",
              ROUND(OFFSET($P28,0,AD$13),15-13*ORÇAMENTO!$AF$7)/$H28*OFFSET(ORÇAMENTO!$X$15,ROW(AD28)-ROW(AD$15),0),
              ROUND(ROUND(OFFSET($P28,0,AD$13),15-13*ORÇAMENTO!$AF$7)*OFFSET(ORÇAMENTO!$W$15,ROW(AD28)-ROW(AD$15),0),15-13*ORÇAMENTO!$AF$11)),
         0)</f>
        <v>4051.37</v>
      </c>
      <c r="AE28" s="452">
        <f ca="1">IF(AND($D28="Serviço",AE$12&lt;&gt;0,$H28&gt;0,OR(AUTOEVENTO&lt;&gt;"manual",$M28&lt;&gt;$A$15)),
        IF(Import.TipoArredondamento&lt;&gt;"TransfereGOV",
              ROUND(OFFSET($P28,0,AE$13),15-13*ORÇAMENTO!$AF$7)/$H28*OFFSET(ORÇAMENTO!$X$15,ROW(AE28)-ROW(AE$15),0),
              ROUND(ROUND(OFFSET($P28,0,AE$13),15-13*ORÇAMENTO!$AF$7)*OFFSET(ORÇAMENTO!$W$15,ROW(AE28)-ROW(AE$15),0),15-13*ORÇAMENTO!$AF$11)),
         0)</f>
        <v>0</v>
      </c>
      <c r="AF28" s="452">
        <f ca="1">IF(AND($D28="Serviço",AF$12&lt;&gt;0,$H28&gt;0,OR(AUTOEVENTO&lt;&gt;"manual",$M28&lt;&gt;$A$15)),
        IF(Import.TipoArredondamento&lt;&gt;"TransfereGOV",
              ROUND(OFFSET($P28,0,AF$13),15-13*ORÇAMENTO!$AF$7)/$H28*OFFSET(ORÇAMENTO!$X$15,ROW(AF28)-ROW(AF$15),0),
              ROUND(ROUND(OFFSET($P28,0,AF$13),15-13*ORÇAMENTO!$AF$7)*OFFSET(ORÇAMENTO!$W$15,ROW(AF28)-ROW(AF$15),0),15-13*ORÇAMENTO!$AF$11)),
         0)</f>
        <v>0</v>
      </c>
      <c r="AG28" s="452">
        <f ca="1">IF(AND($D28="Serviço",AG$12&lt;&gt;0,$H28&gt;0,OR(AUTOEVENTO&lt;&gt;"manual",$M28&lt;&gt;$A$15)),
        IF(Import.TipoArredondamento&lt;&gt;"TransfereGOV",
              ROUND(OFFSET($P28,0,AG$13),15-13*ORÇAMENTO!$AF$7)/$H28*OFFSET(ORÇAMENTO!$X$15,ROW(AG28)-ROW(AG$15),0),
              ROUND(ROUND(OFFSET($P28,0,AG$13),15-13*ORÇAMENTO!$AF$7)*OFFSET(ORÇAMENTO!$W$15,ROW(AG28)-ROW(AG$15),0),15-13*ORÇAMENTO!$AF$11)),
         0)</f>
        <v>0</v>
      </c>
      <c r="AH28" s="452">
        <f ca="1">IF(AND($D28="Serviço",AH$12&lt;&gt;0,$H28&gt;0,OR(AUTOEVENTO&lt;&gt;"manual",$M28&lt;&gt;$A$15)),
        IF(Import.TipoArredondamento&lt;&gt;"TransfereGOV",
              ROUND(OFFSET($P28,0,AH$13),15-13*ORÇAMENTO!$AF$7)/$H28*OFFSET(ORÇAMENTO!$X$15,ROW(AH28)-ROW(AH$15),0),
              ROUND(ROUND(OFFSET($P28,0,AH$13),15-13*ORÇAMENTO!$AF$7)*OFFSET(ORÇAMENTO!$W$15,ROW(AH28)-ROW(AH$15),0),15-13*ORÇAMENTO!$AF$11)),
         0)</f>
        <v>0</v>
      </c>
      <c r="AI28" s="452">
        <f ca="1">IF(AND($D28="Serviço",AI$12&lt;&gt;0,$H28&gt;0,OR(AUTOEVENTO&lt;&gt;"manual",$M28&lt;&gt;$A$15)),
        IF(Import.TipoArredondamento&lt;&gt;"TransfereGOV",
              ROUND(OFFSET($P28,0,AI$13),15-13*ORÇAMENTO!$AF$7)/$H28*OFFSET(ORÇAMENTO!$X$15,ROW(AI28)-ROW(AI$15),0),
              ROUND(ROUND(OFFSET($P28,0,AI$13),15-13*ORÇAMENTO!$AF$7)*OFFSET(ORÇAMENTO!$W$15,ROW(AI28)-ROW(AI$15),0),15-13*ORÇAMENTO!$AF$11)),
         0)</f>
        <v>0</v>
      </c>
      <c r="AJ28" s="452">
        <f ca="1">IF(AND($D28="Serviço",AJ$12&lt;&gt;0,$H28&gt;0,OR(AUTOEVENTO&lt;&gt;"manual",$M28&lt;&gt;$A$15)),
        IF(Import.TipoArredondamento&lt;&gt;"TransfereGOV",
              ROUND(OFFSET($P28,0,AJ$13),15-13*ORÇAMENTO!$AF$7)/$H28*OFFSET(ORÇAMENTO!$X$15,ROW(AJ28)-ROW(AJ$15),0),
              ROUND(ROUND(OFFSET($P28,0,AJ$13),15-13*ORÇAMENTO!$AF$7)*OFFSET(ORÇAMENTO!$W$15,ROW(AJ28)-ROW(AJ$15),0),15-13*ORÇAMENTO!$AF$11)),
         0)</f>
        <v>0</v>
      </c>
      <c r="AK28" s="452">
        <f ca="1">IF(AND($D28="Serviço",AK$12&lt;&gt;0,$H28&gt;0,OR(AUTOEVENTO&lt;&gt;"manual",$M28&lt;&gt;$A$15)),
        IF(Import.TipoArredondamento&lt;&gt;"TransfereGOV",
              ROUND(OFFSET($P28,0,AK$13),15-13*ORÇAMENTO!$AF$7)/$H28*OFFSET(ORÇAMENTO!$X$15,ROW(AK28)-ROW(AK$15),0),
              ROUND(ROUND(OFFSET($P28,0,AK$13),15-13*ORÇAMENTO!$AF$7)*OFFSET(ORÇAMENTO!$W$15,ROW(AK28)-ROW(AK$15),0),15-13*ORÇAMENTO!$AF$11)),
         0)</f>
        <v>0</v>
      </c>
      <c r="AM28" s="170">
        <f ca="1">IF(OR($D28&lt;&gt;"Serviço",AND(AUTOEVENTO="Manual",$M28=$A$15)),0,
         IF(OFFSET(CRONOPLE!$F$15,$M28-$A$15,AM$13)=0,10^12,OFFSET(CRONOPLE!$F$15,$M28-$A$15,AM$13)))</f>
        <v>1</v>
      </c>
      <c r="AN28" s="170">
        <f ca="1">IF(OR($D28&lt;&gt;"Serviço",AND(AUTOEVENTO="Manual",$M28=$A$15)),0,
         IF(OFFSET(CRONOPLE!$F$15,$M28-$A$15,AN$13)=0,10^12,OFFSET(CRONOPLE!$F$15,$M28-$A$15,AN$13)))</f>
        <v>1000000000000</v>
      </c>
      <c r="AO28" s="170">
        <f ca="1">IF(OR($D28&lt;&gt;"Serviço",AND(AUTOEVENTO="Manual",$M28=$A$15)),0,
         IF(OFFSET(CRONOPLE!$F$15,$M28-$A$15,AO$13)=0,10^12,OFFSET(CRONOPLE!$F$15,$M28-$A$15,AO$13)))</f>
        <v>3</v>
      </c>
      <c r="AP28" s="170">
        <f ca="1">IF(OR($D28&lt;&gt;"Serviço",AND(AUTOEVENTO="Manual",$M28=$A$15)),0,
         IF(OFFSET(CRONOPLE!$F$15,$M28-$A$15,AP$13)=0,10^12,OFFSET(CRONOPLE!$F$15,$M28-$A$15,AP$13)))</f>
        <v>1000000000000</v>
      </c>
      <c r="AQ28" s="170">
        <f ca="1">IF(OR($D28&lt;&gt;"Serviço",AND(AUTOEVENTO="Manual",$M28=$A$15)),0,
         IF(OFFSET(CRONOPLE!$F$15,$M28-$A$15,AQ$13)=0,10^12,OFFSET(CRONOPLE!$F$15,$M28-$A$15,AQ$13)))</f>
        <v>1000000000000</v>
      </c>
      <c r="AR28" s="170">
        <f ca="1">IF(OR($D28&lt;&gt;"Serviço",AND(AUTOEVENTO="Manual",$M28=$A$15)),0,
         IF(OFFSET(CRONOPLE!$F$15,$M28-$A$15,AR$13)=0,10^12,OFFSET(CRONOPLE!$F$15,$M28-$A$15,AR$13)))</f>
        <v>1000000000000</v>
      </c>
      <c r="AS28" s="170">
        <f ca="1">IF(OR($D28&lt;&gt;"Serviço",AND(AUTOEVENTO="Manual",$M28=$A$15)),0,
         IF(OFFSET(CRONOPLE!$F$15,$M28-$A$15,AS$13)=0,10^12,OFFSET(CRONOPLE!$F$15,$M28-$A$15,AS$13)))</f>
        <v>1000000000000</v>
      </c>
      <c r="AT28" s="170">
        <f ca="1">IF(OR($D28&lt;&gt;"Serviço",AND(AUTOEVENTO="Manual",$M28=$A$15)),0,
         IF(OFFSET(CRONOPLE!$F$15,$M28-$A$15,AT$13)=0,10^12,OFFSET(CRONOPLE!$F$15,$M28-$A$15,AT$13)))</f>
        <v>1000000000000</v>
      </c>
      <c r="AU28" s="170">
        <f ca="1">IF(OR($D28&lt;&gt;"Serviço",AND(AUTOEVENTO="Manual",$M28=$A$15)),0,
         IF(OFFSET(CRONOPLE!$F$15,$M28-$A$15,AU$13)=0,10^12,OFFSET(CRONOPLE!$F$15,$M28-$A$15,AU$13)))</f>
        <v>1000000000000</v>
      </c>
      <c r="AV28" s="170">
        <f ca="1">IF(OR($D28&lt;&gt;"Serviço",AND(AUTOEVENTO="Manual",$M28=$A$15)),0,
         IF(OFFSET(CRONOPLE!$F$15,$M28-$A$15,AV$13)=0,10^12,OFFSET(CRONOPLE!$F$15,$M28-$A$15,AV$13)))</f>
        <v>1000000000000</v>
      </c>
      <c r="AX28" s="171" cm="1">
        <f t="array" aca="1" ref="AX28" ca="1">IF(OR($D28&lt;&gt;"Serviço",AND(AUTOEVENTO="Manual",$M28=$A$15),$M28&gt;(ROW(PLE.lastrow)-ROW(PLE.firstrow))),0,
           IF(OFFSET(PLE!$G$15,$M28-$A$15,AX$13)="",10^12,OFFSET(PLE!$G$15,$M28-$A$15,AX$13)))</f>
        <v>1000000000000</v>
      </c>
      <c r="AY28" s="171" cm="1">
        <f t="array" aca="1" ref="AY28" ca="1">IF(OR($D28&lt;&gt;"Serviço",AND(AUTOEVENTO="Manual",$M28=$A$15),$M28&gt;(ROW(PLE.lastrow)-ROW(PLE.firstrow))),0,
           IF(OFFSET(PLE!$G$15,$M28-$A$15,AY$13)="",10^12,OFFSET(PLE!$G$15,$M28-$A$15,AY$13)))</f>
        <v>1000000000000</v>
      </c>
      <c r="AZ28" s="171" cm="1">
        <f t="array" aca="1" ref="AZ28" ca="1">IF(OR($D28&lt;&gt;"Serviço",AND(AUTOEVENTO="Manual",$M28=$A$15),$M28&gt;(ROW(PLE.lastrow)-ROW(PLE.firstrow))),0,
           IF(OFFSET(PLE!$G$15,$M28-$A$15,AZ$13)="",10^12,OFFSET(PLE!$G$15,$M28-$A$15,AZ$13)))</f>
        <v>1000000000000</v>
      </c>
      <c r="BA28" s="171" cm="1">
        <f t="array" aca="1" ref="BA28" ca="1">IF(OR($D28&lt;&gt;"Serviço",AND(AUTOEVENTO="Manual",$M28=$A$15),$M28&gt;(ROW(PLE.lastrow)-ROW(PLE.firstrow))),0,
           IF(OFFSET(PLE!$G$15,$M28-$A$15,BA$13)="",10^12,OFFSET(PLE!$G$15,$M28-$A$15,BA$13)))</f>
        <v>1000000000000</v>
      </c>
      <c r="BB28" s="171" cm="1">
        <f t="array" aca="1" ref="BB28" ca="1">IF(OR($D28&lt;&gt;"Serviço",AND(AUTOEVENTO="Manual",$M28=$A$15),$M28&gt;(ROW(PLE.lastrow)-ROW(PLE.firstrow))),0,
           IF(OFFSET(PLE!$G$15,$M28-$A$15,BB$13)="",10^12,OFFSET(PLE!$G$15,$M28-$A$15,BB$13)))</f>
        <v>1000000000000</v>
      </c>
      <c r="BC28" s="171" cm="1">
        <f t="array" aca="1" ref="BC28" ca="1">IF(OR($D28&lt;&gt;"Serviço",AND(AUTOEVENTO="Manual",$M28=$A$15),$M28&gt;(ROW(PLE.lastrow)-ROW(PLE.firstrow))),0,
           IF(OFFSET(PLE!$G$15,$M28-$A$15,BC$13)="",10^12,OFFSET(PLE!$G$15,$M28-$A$15,BC$13)))</f>
        <v>1000000000000</v>
      </c>
      <c r="BD28" s="171" cm="1">
        <f t="array" aca="1" ref="BD28" ca="1">IF(OR($D28&lt;&gt;"Serviço",AND(AUTOEVENTO="Manual",$M28=$A$15),$M28&gt;(ROW(PLE.lastrow)-ROW(PLE.firstrow))),0,
           IF(OFFSET(PLE!$G$15,$M28-$A$15,BD$13)="",10^12,OFFSET(PLE!$G$15,$M28-$A$15,BD$13)))</f>
        <v>1000000000000</v>
      </c>
      <c r="BE28" s="171" cm="1">
        <f t="array" aca="1" ref="BE28" ca="1">IF(OR($D28&lt;&gt;"Serviço",AND(AUTOEVENTO="Manual",$M28=$A$15),$M28&gt;(ROW(PLE.lastrow)-ROW(PLE.firstrow))),0,
           IF(OFFSET(PLE!$G$15,$M28-$A$15,BE$13)="",10^12,OFFSET(PLE!$G$15,$M28-$A$15,BE$13)))</f>
        <v>1000000000000</v>
      </c>
      <c r="BF28" s="171" cm="1">
        <f t="array" aca="1" ref="BF28" ca="1">IF(OR($D28&lt;&gt;"Serviço",AND(AUTOEVENTO="Manual",$M28=$A$15),$M28&gt;(ROW(PLE.lastrow)-ROW(PLE.firstrow))),0,
           IF(OFFSET(PLE!$G$15,$M28-$A$15,BF$13)="",10^12,OFFSET(PLE!$G$15,$M28-$A$15,BF$13)))</f>
        <v>1000000000000</v>
      </c>
      <c r="BG28" s="171" cm="1">
        <f t="array" aca="1" ref="BG28" ca="1">IF(OR($D28&lt;&gt;"Serviço",AND(AUTOEVENTO="Manual",$M28=$A$15),$M28&gt;(ROW(PLE.lastrow)-ROW(PLE.firstrow))),0,
           IF(OFFSET(PLE!$G$15,$M28-$A$15,BG$13)="",10^12,OFFSET(PLE!$G$15,$M28-$A$15,BG$13)))</f>
        <v>1000000000000</v>
      </c>
    </row>
    <row r="29" spans="1:59" ht="38.25" x14ac:dyDescent="0.2">
      <c r="A29" s="7" t="str">
        <f t="shared" ca="1" si="8"/>
        <v>12</v>
      </c>
      <c r="B29" s="7" t="str">
        <f ca="1">OFFSET(ORÇAMENTO!C$15,$L29,0)</f>
        <v>S</v>
      </c>
      <c r="C29" s="7" t="str">
        <f ca="1">OFFSET(ORÇAMENTO!L$15,$L29,0)</f>
        <v>F</v>
      </c>
      <c r="D29" s="115" t="str">
        <f ca="1">OFFSET(ORÇAMENTO!N$15,$L29,0)</f>
        <v>Serviço</v>
      </c>
      <c r="E29" s="116" t="str">
        <f ca="1">OFFSET(ORÇAMENTO!O$15,$L29,0)</f>
        <v>1.3.2.</v>
      </c>
      <c r="F29" s="162" t="str">
        <f ca="1">OFFSET(ORÇAMENTO!R$15,$L29,0)</f>
        <v>Escavação, carga e transporte de material de 2ª categoria-DMT de 1.200 a 1.400m - caminho de serviço em leito natural com escavadeira e caminhão basculante de 14m³</v>
      </c>
      <c r="G29" s="163" t="str">
        <f ca="1">IF($D29&lt;&gt;"Serviço","",OFFSET(ORÇAMENTO!S$15,$L29,0))</f>
        <v>M3</v>
      </c>
      <c r="H29" s="121" cm="1">
        <f t="array" aca="1" ref="H29" ca="1">IF($D29&lt;&gt;"Serviço",0,IF(ACOMPANHAMENTO="BM",ROUND(OFFSET(ORÇAMENTO!AJ$15,$L29,0),15-13*ORÇAMENTO!$AF$7),IF(IFERROR(CÁLCULO.FrentesPreenchidas,0)=0,0,SUM(ROUND(OFFSET($P29,0,1,1,CÁLCULO.FrentesPreenchidas),15-13*ORÇAMENTO!$AF$7)))))</f>
        <v>309.74</v>
      </c>
      <c r="I29" s="467"/>
      <c r="J29" s="650" t="str" cm="1">
        <f t="array" aca="1" ref="J29" ca="1">IF(OR(B29&lt;&gt;"S",CÁLCULO.FrentesPreenchidas=0),"",IF(AND(ACOMPANHAMENTO="PLE",AUTOEVENTO="Manual",OR(H29&gt;0,ORÇAMENTO!AC29="QUANT."),OR(K29="",M29=0,N29="")),"►E",IF(AND(ACOMPANHAMENTO="PLE",ORÇAMENTO!AC29="QUANT."),"►Q",IF(AND(ACOMPANHAMENTO="PLE",H29&lt;&gt;SUMPRODUCT(($Q$1:$AA$1=1)*ROUND(Q29:AA29,15))),"►S",IF(AND(COUNTIF($P$11:$AA$11,"▼")=0,H29&gt;0,I29=""),"◄M","")))))</f>
        <v>◄M</v>
      </c>
      <c r="K29" s="651"/>
      <c r="L29" s="164">
        <f t="shared" ca="1" si="9"/>
        <v>14</v>
      </c>
      <c r="M29" s="165">
        <f ca="1">IF($D29&lt;&gt;"Serviço","",
          IF(AUTOEVENTO="manual",$A29,
                IF(ISERROR(MATCH($A29,$A$15:OFFSET($A29,-1,0),0)),MAX($M$15:OFFSET(M29,-1,0))+1,
                      INDEX($M$15:OFFSET(M29,-1,0),MATCH($A29,$A$15:OFFSET($A29,-1,0),0)))))</f>
        <v>3</v>
      </c>
      <c r="N29" s="166" t="str">
        <f ca="1">IF($D29&lt;&gt;"Serviço","",
         IF(AUTOEVENTO="Manual",
                IF($A29=0,"&lt;-- defina o número do agrupador",
                       OFFSET(EVENTOS!$D$15,$A29-$A$15,0)),
                OFFSET($F$15,$A29,0)))</f>
        <v>TERRAPLENAGEM</v>
      </c>
      <c r="O29" s="167"/>
      <c r="Q29" s="167">
        <v>309.74</v>
      </c>
      <c r="R29" s="168"/>
      <c r="S29" s="168"/>
      <c r="T29" s="168"/>
      <c r="U29" s="168"/>
      <c r="V29" s="168"/>
      <c r="W29" s="168"/>
      <c r="X29" s="168"/>
      <c r="Y29" s="168"/>
      <c r="Z29" s="169"/>
      <c r="AB29" s="452">
        <f ca="1">IF(AND($D29="Serviço",AB$12&lt;&gt;0,$H29&gt;0,OR(AUTOEVENTO&lt;&gt;"manual",$M29&lt;&gt;$A$15)),
        IF(Import.TipoArredondamento&lt;&gt;"TransfereGOV",
              ROUND(OFFSET($P29,0,AB$13),15-13*ORÇAMENTO!$AF$7)/$H29*OFFSET(ORÇAMENTO!$X$15,ROW(AB29)-ROW(AB$15),0),
              ROUND(ROUND(OFFSET($P29,0,AB$13),15-13*ORÇAMENTO!$AF$7)*OFFSET(ORÇAMENTO!$W$15,ROW(AB29)-ROW(AB$15),0),15-13*ORÇAMENTO!$AF$11)),
         0)</f>
        <v>3645.64</v>
      </c>
      <c r="AC29" s="452">
        <f ca="1">IF(AND($D29="Serviço",AC$12&lt;&gt;0,$H29&gt;0,OR(AUTOEVENTO&lt;&gt;"manual",$M29&lt;&gt;$A$15)),
        IF(Import.TipoArredondamento&lt;&gt;"TransfereGOV",
              ROUND(OFFSET($P29,0,AC$13),15-13*ORÇAMENTO!$AF$7)/$H29*OFFSET(ORÇAMENTO!$X$15,ROW(AC29)-ROW(AC$15),0),
              ROUND(ROUND(OFFSET($P29,0,AC$13),15-13*ORÇAMENTO!$AF$7)*OFFSET(ORÇAMENTO!$W$15,ROW(AC29)-ROW(AC$15),0),15-13*ORÇAMENTO!$AF$11)),
         0)</f>
        <v>0</v>
      </c>
      <c r="AD29" s="452">
        <f ca="1">IF(AND($D29="Serviço",AD$12&lt;&gt;0,$H29&gt;0,OR(AUTOEVENTO&lt;&gt;"manual",$M29&lt;&gt;$A$15)),
        IF(Import.TipoArredondamento&lt;&gt;"TransfereGOV",
              ROUND(OFFSET($P29,0,AD$13),15-13*ORÇAMENTO!$AF$7)/$H29*OFFSET(ORÇAMENTO!$X$15,ROW(AD29)-ROW(AD$15),0),
              ROUND(ROUND(OFFSET($P29,0,AD$13),15-13*ORÇAMENTO!$AF$7)*OFFSET(ORÇAMENTO!$W$15,ROW(AD29)-ROW(AD$15),0),15-13*ORÇAMENTO!$AF$11)),
         0)</f>
        <v>0</v>
      </c>
      <c r="AE29" s="452">
        <f ca="1">IF(AND($D29="Serviço",AE$12&lt;&gt;0,$H29&gt;0,OR(AUTOEVENTO&lt;&gt;"manual",$M29&lt;&gt;$A$15)),
        IF(Import.TipoArredondamento&lt;&gt;"TransfereGOV",
              ROUND(OFFSET($P29,0,AE$13),15-13*ORÇAMENTO!$AF$7)/$H29*OFFSET(ORÇAMENTO!$X$15,ROW(AE29)-ROW(AE$15),0),
              ROUND(ROUND(OFFSET($P29,0,AE$13),15-13*ORÇAMENTO!$AF$7)*OFFSET(ORÇAMENTO!$W$15,ROW(AE29)-ROW(AE$15),0),15-13*ORÇAMENTO!$AF$11)),
         0)</f>
        <v>0</v>
      </c>
      <c r="AF29" s="452">
        <f ca="1">IF(AND($D29="Serviço",AF$12&lt;&gt;0,$H29&gt;0,OR(AUTOEVENTO&lt;&gt;"manual",$M29&lt;&gt;$A$15)),
        IF(Import.TipoArredondamento&lt;&gt;"TransfereGOV",
              ROUND(OFFSET($P29,0,AF$13),15-13*ORÇAMENTO!$AF$7)/$H29*OFFSET(ORÇAMENTO!$X$15,ROW(AF29)-ROW(AF$15),0),
              ROUND(ROUND(OFFSET($P29,0,AF$13),15-13*ORÇAMENTO!$AF$7)*OFFSET(ORÇAMENTO!$W$15,ROW(AF29)-ROW(AF$15),0),15-13*ORÇAMENTO!$AF$11)),
         0)</f>
        <v>0</v>
      </c>
      <c r="AG29" s="452">
        <f ca="1">IF(AND($D29="Serviço",AG$12&lt;&gt;0,$H29&gt;0,OR(AUTOEVENTO&lt;&gt;"manual",$M29&lt;&gt;$A$15)),
        IF(Import.TipoArredondamento&lt;&gt;"TransfereGOV",
              ROUND(OFFSET($P29,0,AG$13),15-13*ORÇAMENTO!$AF$7)/$H29*OFFSET(ORÇAMENTO!$X$15,ROW(AG29)-ROW(AG$15),0),
              ROUND(ROUND(OFFSET($P29,0,AG$13),15-13*ORÇAMENTO!$AF$7)*OFFSET(ORÇAMENTO!$W$15,ROW(AG29)-ROW(AG$15),0),15-13*ORÇAMENTO!$AF$11)),
         0)</f>
        <v>0</v>
      </c>
      <c r="AH29" s="452">
        <f ca="1">IF(AND($D29="Serviço",AH$12&lt;&gt;0,$H29&gt;0,OR(AUTOEVENTO&lt;&gt;"manual",$M29&lt;&gt;$A$15)),
        IF(Import.TipoArredondamento&lt;&gt;"TransfereGOV",
              ROUND(OFFSET($P29,0,AH$13),15-13*ORÇAMENTO!$AF$7)/$H29*OFFSET(ORÇAMENTO!$X$15,ROW(AH29)-ROW(AH$15),0),
              ROUND(ROUND(OFFSET($P29,0,AH$13),15-13*ORÇAMENTO!$AF$7)*OFFSET(ORÇAMENTO!$W$15,ROW(AH29)-ROW(AH$15),0),15-13*ORÇAMENTO!$AF$11)),
         0)</f>
        <v>0</v>
      </c>
      <c r="AI29" s="452">
        <f ca="1">IF(AND($D29="Serviço",AI$12&lt;&gt;0,$H29&gt;0,OR(AUTOEVENTO&lt;&gt;"manual",$M29&lt;&gt;$A$15)),
        IF(Import.TipoArredondamento&lt;&gt;"TransfereGOV",
              ROUND(OFFSET($P29,0,AI$13),15-13*ORÇAMENTO!$AF$7)/$H29*OFFSET(ORÇAMENTO!$X$15,ROW(AI29)-ROW(AI$15),0),
              ROUND(ROUND(OFFSET($P29,0,AI$13),15-13*ORÇAMENTO!$AF$7)*OFFSET(ORÇAMENTO!$W$15,ROW(AI29)-ROW(AI$15),0),15-13*ORÇAMENTO!$AF$11)),
         0)</f>
        <v>0</v>
      </c>
      <c r="AJ29" s="452">
        <f ca="1">IF(AND($D29="Serviço",AJ$12&lt;&gt;0,$H29&gt;0,OR(AUTOEVENTO&lt;&gt;"manual",$M29&lt;&gt;$A$15)),
        IF(Import.TipoArredondamento&lt;&gt;"TransfereGOV",
              ROUND(OFFSET($P29,0,AJ$13),15-13*ORÇAMENTO!$AF$7)/$H29*OFFSET(ORÇAMENTO!$X$15,ROW(AJ29)-ROW(AJ$15),0),
              ROUND(ROUND(OFFSET($P29,0,AJ$13),15-13*ORÇAMENTO!$AF$7)*OFFSET(ORÇAMENTO!$W$15,ROW(AJ29)-ROW(AJ$15),0),15-13*ORÇAMENTO!$AF$11)),
         0)</f>
        <v>0</v>
      </c>
      <c r="AK29" s="452">
        <f ca="1">IF(AND($D29="Serviço",AK$12&lt;&gt;0,$H29&gt;0,OR(AUTOEVENTO&lt;&gt;"manual",$M29&lt;&gt;$A$15)),
        IF(Import.TipoArredondamento&lt;&gt;"TransfereGOV",
              ROUND(OFFSET($P29,0,AK$13),15-13*ORÇAMENTO!$AF$7)/$H29*OFFSET(ORÇAMENTO!$X$15,ROW(AK29)-ROW(AK$15),0),
              ROUND(ROUND(OFFSET($P29,0,AK$13),15-13*ORÇAMENTO!$AF$7)*OFFSET(ORÇAMENTO!$W$15,ROW(AK29)-ROW(AK$15),0),15-13*ORÇAMENTO!$AF$11)),
         0)</f>
        <v>0</v>
      </c>
      <c r="AM29" s="170">
        <f ca="1">IF(OR($D29&lt;&gt;"Serviço",AND(AUTOEVENTO="Manual",$M29=$A$15)),0,
         IF(OFFSET(CRONOPLE!$F$15,$M29-$A$15,AM$13)=0,10^12,OFFSET(CRONOPLE!$F$15,$M29-$A$15,AM$13)))</f>
        <v>1</v>
      </c>
      <c r="AN29" s="170">
        <f ca="1">IF(OR($D29&lt;&gt;"Serviço",AND(AUTOEVENTO="Manual",$M29=$A$15)),0,
         IF(OFFSET(CRONOPLE!$F$15,$M29-$A$15,AN$13)=0,10^12,OFFSET(CRONOPLE!$F$15,$M29-$A$15,AN$13)))</f>
        <v>1000000000000</v>
      </c>
      <c r="AO29" s="170">
        <f ca="1">IF(OR($D29&lt;&gt;"Serviço",AND(AUTOEVENTO="Manual",$M29=$A$15)),0,
         IF(OFFSET(CRONOPLE!$F$15,$M29-$A$15,AO$13)=0,10^12,OFFSET(CRONOPLE!$F$15,$M29-$A$15,AO$13)))</f>
        <v>3</v>
      </c>
      <c r="AP29" s="170">
        <f ca="1">IF(OR($D29&lt;&gt;"Serviço",AND(AUTOEVENTO="Manual",$M29=$A$15)),0,
         IF(OFFSET(CRONOPLE!$F$15,$M29-$A$15,AP$13)=0,10^12,OFFSET(CRONOPLE!$F$15,$M29-$A$15,AP$13)))</f>
        <v>1000000000000</v>
      </c>
      <c r="AQ29" s="170">
        <f ca="1">IF(OR($D29&lt;&gt;"Serviço",AND(AUTOEVENTO="Manual",$M29=$A$15)),0,
         IF(OFFSET(CRONOPLE!$F$15,$M29-$A$15,AQ$13)=0,10^12,OFFSET(CRONOPLE!$F$15,$M29-$A$15,AQ$13)))</f>
        <v>1000000000000</v>
      </c>
      <c r="AR29" s="170">
        <f ca="1">IF(OR($D29&lt;&gt;"Serviço",AND(AUTOEVENTO="Manual",$M29=$A$15)),0,
         IF(OFFSET(CRONOPLE!$F$15,$M29-$A$15,AR$13)=0,10^12,OFFSET(CRONOPLE!$F$15,$M29-$A$15,AR$13)))</f>
        <v>1000000000000</v>
      </c>
      <c r="AS29" s="170">
        <f ca="1">IF(OR($D29&lt;&gt;"Serviço",AND(AUTOEVENTO="Manual",$M29=$A$15)),0,
         IF(OFFSET(CRONOPLE!$F$15,$M29-$A$15,AS$13)=0,10^12,OFFSET(CRONOPLE!$F$15,$M29-$A$15,AS$13)))</f>
        <v>1000000000000</v>
      </c>
      <c r="AT29" s="170">
        <f ca="1">IF(OR($D29&lt;&gt;"Serviço",AND(AUTOEVENTO="Manual",$M29=$A$15)),0,
         IF(OFFSET(CRONOPLE!$F$15,$M29-$A$15,AT$13)=0,10^12,OFFSET(CRONOPLE!$F$15,$M29-$A$15,AT$13)))</f>
        <v>1000000000000</v>
      </c>
      <c r="AU29" s="170">
        <f ca="1">IF(OR($D29&lt;&gt;"Serviço",AND(AUTOEVENTO="Manual",$M29=$A$15)),0,
         IF(OFFSET(CRONOPLE!$F$15,$M29-$A$15,AU$13)=0,10^12,OFFSET(CRONOPLE!$F$15,$M29-$A$15,AU$13)))</f>
        <v>1000000000000</v>
      </c>
      <c r="AV29" s="170">
        <f ca="1">IF(OR($D29&lt;&gt;"Serviço",AND(AUTOEVENTO="Manual",$M29=$A$15)),0,
         IF(OFFSET(CRONOPLE!$F$15,$M29-$A$15,AV$13)=0,10^12,OFFSET(CRONOPLE!$F$15,$M29-$A$15,AV$13)))</f>
        <v>1000000000000</v>
      </c>
      <c r="AX29" s="171" cm="1">
        <f t="array" aca="1" ref="AX29" ca="1">IF(OR($D29&lt;&gt;"Serviço",AND(AUTOEVENTO="Manual",$M29=$A$15),$M29&gt;(ROW(PLE.lastrow)-ROW(PLE.firstrow))),0,
           IF(OFFSET(PLE!$G$15,$M29-$A$15,AX$13)="",10^12,OFFSET(PLE!$G$15,$M29-$A$15,AX$13)))</f>
        <v>1000000000000</v>
      </c>
      <c r="AY29" s="171" cm="1">
        <f t="array" aca="1" ref="AY29" ca="1">IF(OR($D29&lt;&gt;"Serviço",AND(AUTOEVENTO="Manual",$M29=$A$15),$M29&gt;(ROW(PLE.lastrow)-ROW(PLE.firstrow))),0,
           IF(OFFSET(PLE!$G$15,$M29-$A$15,AY$13)="",10^12,OFFSET(PLE!$G$15,$M29-$A$15,AY$13)))</f>
        <v>1000000000000</v>
      </c>
      <c r="AZ29" s="171" cm="1">
        <f t="array" aca="1" ref="AZ29" ca="1">IF(OR($D29&lt;&gt;"Serviço",AND(AUTOEVENTO="Manual",$M29=$A$15),$M29&gt;(ROW(PLE.lastrow)-ROW(PLE.firstrow))),0,
           IF(OFFSET(PLE!$G$15,$M29-$A$15,AZ$13)="",10^12,OFFSET(PLE!$G$15,$M29-$A$15,AZ$13)))</f>
        <v>1000000000000</v>
      </c>
      <c r="BA29" s="171" cm="1">
        <f t="array" aca="1" ref="BA29" ca="1">IF(OR($D29&lt;&gt;"Serviço",AND(AUTOEVENTO="Manual",$M29=$A$15),$M29&gt;(ROW(PLE.lastrow)-ROW(PLE.firstrow))),0,
           IF(OFFSET(PLE!$G$15,$M29-$A$15,BA$13)="",10^12,OFFSET(PLE!$G$15,$M29-$A$15,BA$13)))</f>
        <v>1000000000000</v>
      </c>
      <c r="BB29" s="171" cm="1">
        <f t="array" aca="1" ref="BB29" ca="1">IF(OR($D29&lt;&gt;"Serviço",AND(AUTOEVENTO="Manual",$M29=$A$15),$M29&gt;(ROW(PLE.lastrow)-ROW(PLE.firstrow))),0,
           IF(OFFSET(PLE!$G$15,$M29-$A$15,BB$13)="",10^12,OFFSET(PLE!$G$15,$M29-$A$15,BB$13)))</f>
        <v>1000000000000</v>
      </c>
      <c r="BC29" s="171" cm="1">
        <f t="array" aca="1" ref="BC29" ca="1">IF(OR($D29&lt;&gt;"Serviço",AND(AUTOEVENTO="Manual",$M29=$A$15),$M29&gt;(ROW(PLE.lastrow)-ROW(PLE.firstrow))),0,
           IF(OFFSET(PLE!$G$15,$M29-$A$15,BC$13)="",10^12,OFFSET(PLE!$G$15,$M29-$A$15,BC$13)))</f>
        <v>1000000000000</v>
      </c>
      <c r="BD29" s="171" cm="1">
        <f t="array" aca="1" ref="BD29" ca="1">IF(OR($D29&lt;&gt;"Serviço",AND(AUTOEVENTO="Manual",$M29=$A$15),$M29&gt;(ROW(PLE.lastrow)-ROW(PLE.firstrow))),0,
           IF(OFFSET(PLE!$G$15,$M29-$A$15,BD$13)="",10^12,OFFSET(PLE!$G$15,$M29-$A$15,BD$13)))</f>
        <v>1000000000000</v>
      </c>
      <c r="BE29" s="171" cm="1">
        <f t="array" aca="1" ref="BE29" ca="1">IF(OR($D29&lt;&gt;"Serviço",AND(AUTOEVENTO="Manual",$M29=$A$15),$M29&gt;(ROW(PLE.lastrow)-ROW(PLE.firstrow))),0,
           IF(OFFSET(PLE!$G$15,$M29-$A$15,BE$13)="",10^12,OFFSET(PLE!$G$15,$M29-$A$15,BE$13)))</f>
        <v>1000000000000</v>
      </c>
      <c r="BF29" s="171" cm="1">
        <f t="array" aca="1" ref="BF29" ca="1">IF(OR($D29&lt;&gt;"Serviço",AND(AUTOEVENTO="Manual",$M29=$A$15),$M29&gt;(ROW(PLE.lastrow)-ROW(PLE.firstrow))),0,
           IF(OFFSET(PLE!$G$15,$M29-$A$15,BF$13)="",10^12,OFFSET(PLE!$G$15,$M29-$A$15,BF$13)))</f>
        <v>1000000000000</v>
      </c>
      <c r="BG29" s="171" cm="1">
        <f t="array" aca="1" ref="BG29" ca="1">IF(OR($D29&lt;&gt;"Serviço",AND(AUTOEVENTO="Manual",$M29=$A$15),$M29&gt;(ROW(PLE.lastrow)-ROW(PLE.firstrow))),0,
           IF(OFFSET(PLE!$G$15,$M29-$A$15,BG$13)="",10^12,OFFSET(PLE!$G$15,$M29-$A$15,BG$13)))</f>
        <v>1000000000000</v>
      </c>
    </row>
    <row r="30" spans="1:59" ht="12.75" x14ac:dyDescent="0.2">
      <c r="A30" s="7" t="str">
        <f t="shared" ca="1" si="8"/>
        <v>15.</v>
      </c>
      <c r="B30" s="7">
        <f ca="1">OFFSET(ORÇAMENTO!C$15,$L30,0)</f>
        <v>2</v>
      </c>
      <c r="C30" s="7" t="str">
        <f ca="1">OFFSET(ORÇAMENTO!L$15,$L30,0)</f>
        <v>F</v>
      </c>
      <c r="D30" s="115" t="str">
        <f ca="1">OFFSET(ORÇAMENTO!N$15,$L30,0)</f>
        <v>Nível 2</v>
      </c>
      <c r="E30" s="116" t="str">
        <f ca="1">OFFSET(ORÇAMENTO!O$15,$L30,0)</f>
        <v>1.4.</v>
      </c>
      <c r="F30" s="162" t="str">
        <f ca="1">OFFSET(ORÇAMENTO!R$15,$L30,0)</f>
        <v>INFRAESTRUTURA</v>
      </c>
      <c r="G30" s="163" t="str">
        <f ca="1">IF($D30&lt;&gt;"Serviço","",OFFSET(ORÇAMENTO!S$15,$L30,0))</f>
        <v/>
      </c>
      <c r="H30" s="121" cm="1">
        <f t="array" aca="1" ref="H30" ca="1">IF($D30&lt;&gt;"Serviço",0,IF(ACOMPANHAMENTO="BM",ROUND(OFFSET(ORÇAMENTO!AJ$15,$L30,0),15-13*ORÇAMENTO!$AF$7),IF(IFERROR(CÁLCULO.FrentesPreenchidas,0)=0,0,SUM(ROUND(OFFSET($P30,0,1,1,CÁLCULO.FrentesPreenchidas),15-13*ORÇAMENTO!$AF$7)))))</f>
        <v>0</v>
      </c>
      <c r="I30" s="467"/>
      <c r="J30" s="650" t="str" cm="1">
        <f t="array" aca="1" ref="J30" ca="1">IF(OR(B30&lt;&gt;"S",CÁLCULO.FrentesPreenchidas=0),"",IF(AND(ACOMPANHAMENTO="PLE",AUTOEVENTO="Manual",OR(H30&gt;0,ORÇAMENTO!AC30="QUANT."),OR(K30="",M30=0,N30="")),"►E",IF(AND(ACOMPANHAMENTO="PLE",ORÇAMENTO!AC30="QUANT."),"►Q",IF(AND(ACOMPANHAMENTO="PLE",H30&lt;&gt;SUMPRODUCT(($Q$1:$AA$1=1)*ROUND(Q30:AA30,15))),"►S",IF(AND(COUNTIF($P$11:$AA$11,"▼")=0,H30&gt;0,I30=""),"◄M","")))))</f>
        <v/>
      </c>
      <c r="K30" s="651"/>
      <c r="L30" s="164">
        <f t="shared" ca="1" si="9"/>
        <v>15</v>
      </c>
      <c r="M30" s="165" t="str">
        <f ca="1">IF($D30&lt;&gt;"Serviço","",
          IF(AUTOEVENTO="manual",$A30,
                IF(ISERROR(MATCH($A30,$A$15:OFFSET($A30,-1,0),0)),MAX($M$15:OFFSET(M30,-1,0))+1,
                      INDEX($M$15:OFFSET(M30,-1,0),MATCH($A30,$A$15:OFFSET($A30,-1,0),0)))))</f>
        <v/>
      </c>
      <c r="N30" s="166" t="str">
        <f ca="1">IF($D30&lt;&gt;"Serviço","",
         IF(AUTOEVENTO="Manual",
                IF($A30=0,"&lt;-- defina o número do agrupador",
                       OFFSET(EVENTOS!$D$15,$A30-$A$15,0)),
                OFFSET($F$15,$A30,0)))</f>
        <v/>
      </c>
      <c r="O30" s="167"/>
      <c r="Q30" s="167"/>
      <c r="R30" s="168"/>
      <c r="S30" s="168"/>
      <c r="T30" s="168"/>
      <c r="U30" s="168"/>
      <c r="V30" s="168"/>
      <c r="W30" s="168"/>
      <c r="X30" s="168"/>
      <c r="Y30" s="168"/>
      <c r="Z30" s="169"/>
      <c r="AB30" s="452">
        <f ca="1">IF(AND($D30="Serviço",AB$12&lt;&gt;0,$H30&gt;0,OR(AUTOEVENTO&lt;&gt;"manual",$M30&lt;&gt;$A$15)),
        IF(Import.TipoArredondamento&lt;&gt;"TransfereGOV",
              ROUND(OFFSET($P30,0,AB$13),15-13*ORÇAMENTO!$AF$7)/$H30*OFFSET(ORÇAMENTO!$X$15,ROW(AB30)-ROW(AB$15),0),
              ROUND(ROUND(OFFSET($P30,0,AB$13),15-13*ORÇAMENTO!$AF$7)*OFFSET(ORÇAMENTO!$W$15,ROW(AB30)-ROW(AB$15),0),15-13*ORÇAMENTO!$AF$11)),
         0)</f>
        <v>0</v>
      </c>
      <c r="AC30" s="452">
        <f ca="1">IF(AND($D30="Serviço",AC$12&lt;&gt;0,$H30&gt;0,OR(AUTOEVENTO&lt;&gt;"manual",$M30&lt;&gt;$A$15)),
        IF(Import.TipoArredondamento&lt;&gt;"TransfereGOV",
              ROUND(OFFSET($P30,0,AC$13),15-13*ORÇAMENTO!$AF$7)/$H30*OFFSET(ORÇAMENTO!$X$15,ROW(AC30)-ROW(AC$15),0),
              ROUND(ROUND(OFFSET($P30,0,AC$13),15-13*ORÇAMENTO!$AF$7)*OFFSET(ORÇAMENTO!$W$15,ROW(AC30)-ROW(AC$15),0),15-13*ORÇAMENTO!$AF$11)),
         0)</f>
        <v>0</v>
      </c>
      <c r="AD30" s="452">
        <f ca="1">IF(AND($D30="Serviço",AD$12&lt;&gt;0,$H30&gt;0,OR(AUTOEVENTO&lt;&gt;"manual",$M30&lt;&gt;$A$15)),
        IF(Import.TipoArredondamento&lt;&gt;"TransfereGOV",
              ROUND(OFFSET($P30,0,AD$13),15-13*ORÇAMENTO!$AF$7)/$H30*OFFSET(ORÇAMENTO!$X$15,ROW(AD30)-ROW(AD$15),0),
              ROUND(ROUND(OFFSET($P30,0,AD$13),15-13*ORÇAMENTO!$AF$7)*OFFSET(ORÇAMENTO!$W$15,ROW(AD30)-ROW(AD$15),0),15-13*ORÇAMENTO!$AF$11)),
         0)</f>
        <v>0</v>
      </c>
      <c r="AE30" s="452">
        <f ca="1">IF(AND($D30="Serviço",AE$12&lt;&gt;0,$H30&gt;0,OR(AUTOEVENTO&lt;&gt;"manual",$M30&lt;&gt;$A$15)),
        IF(Import.TipoArredondamento&lt;&gt;"TransfereGOV",
              ROUND(OFFSET($P30,0,AE$13),15-13*ORÇAMENTO!$AF$7)/$H30*OFFSET(ORÇAMENTO!$X$15,ROW(AE30)-ROW(AE$15),0),
              ROUND(ROUND(OFFSET($P30,0,AE$13),15-13*ORÇAMENTO!$AF$7)*OFFSET(ORÇAMENTO!$W$15,ROW(AE30)-ROW(AE$15),0),15-13*ORÇAMENTO!$AF$11)),
         0)</f>
        <v>0</v>
      </c>
      <c r="AF30" s="452">
        <f ca="1">IF(AND($D30="Serviço",AF$12&lt;&gt;0,$H30&gt;0,OR(AUTOEVENTO&lt;&gt;"manual",$M30&lt;&gt;$A$15)),
        IF(Import.TipoArredondamento&lt;&gt;"TransfereGOV",
              ROUND(OFFSET($P30,0,AF$13),15-13*ORÇAMENTO!$AF$7)/$H30*OFFSET(ORÇAMENTO!$X$15,ROW(AF30)-ROW(AF$15),0),
              ROUND(ROUND(OFFSET($P30,0,AF$13),15-13*ORÇAMENTO!$AF$7)*OFFSET(ORÇAMENTO!$W$15,ROW(AF30)-ROW(AF$15),0),15-13*ORÇAMENTO!$AF$11)),
         0)</f>
        <v>0</v>
      </c>
      <c r="AG30" s="452">
        <f ca="1">IF(AND($D30="Serviço",AG$12&lt;&gt;0,$H30&gt;0,OR(AUTOEVENTO&lt;&gt;"manual",$M30&lt;&gt;$A$15)),
        IF(Import.TipoArredondamento&lt;&gt;"TransfereGOV",
              ROUND(OFFSET($P30,0,AG$13),15-13*ORÇAMENTO!$AF$7)/$H30*OFFSET(ORÇAMENTO!$X$15,ROW(AG30)-ROW(AG$15),0),
              ROUND(ROUND(OFFSET($P30,0,AG$13),15-13*ORÇAMENTO!$AF$7)*OFFSET(ORÇAMENTO!$W$15,ROW(AG30)-ROW(AG$15),0),15-13*ORÇAMENTO!$AF$11)),
         0)</f>
        <v>0</v>
      </c>
      <c r="AH30" s="452">
        <f ca="1">IF(AND($D30="Serviço",AH$12&lt;&gt;0,$H30&gt;0,OR(AUTOEVENTO&lt;&gt;"manual",$M30&lt;&gt;$A$15)),
        IF(Import.TipoArredondamento&lt;&gt;"TransfereGOV",
              ROUND(OFFSET($P30,0,AH$13),15-13*ORÇAMENTO!$AF$7)/$H30*OFFSET(ORÇAMENTO!$X$15,ROW(AH30)-ROW(AH$15),0),
              ROUND(ROUND(OFFSET($P30,0,AH$13),15-13*ORÇAMENTO!$AF$7)*OFFSET(ORÇAMENTO!$W$15,ROW(AH30)-ROW(AH$15),0),15-13*ORÇAMENTO!$AF$11)),
         0)</f>
        <v>0</v>
      </c>
      <c r="AI30" s="452">
        <f ca="1">IF(AND($D30="Serviço",AI$12&lt;&gt;0,$H30&gt;0,OR(AUTOEVENTO&lt;&gt;"manual",$M30&lt;&gt;$A$15)),
        IF(Import.TipoArredondamento&lt;&gt;"TransfereGOV",
              ROUND(OFFSET($P30,0,AI$13),15-13*ORÇAMENTO!$AF$7)/$H30*OFFSET(ORÇAMENTO!$X$15,ROW(AI30)-ROW(AI$15),0),
              ROUND(ROUND(OFFSET($P30,0,AI$13),15-13*ORÇAMENTO!$AF$7)*OFFSET(ORÇAMENTO!$W$15,ROW(AI30)-ROW(AI$15),0),15-13*ORÇAMENTO!$AF$11)),
         0)</f>
        <v>0</v>
      </c>
      <c r="AJ30" s="452">
        <f ca="1">IF(AND($D30="Serviço",AJ$12&lt;&gt;0,$H30&gt;0,OR(AUTOEVENTO&lt;&gt;"manual",$M30&lt;&gt;$A$15)),
        IF(Import.TipoArredondamento&lt;&gt;"TransfereGOV",
              ROUND(OFFSET($P30,0,AJ$13),15-13*ORÇAMENTO!$AF$7)/$H30*OFFSET(ORÇAMENTO!$X$15,ROW(AJ30)-ROW(AJ$15),0),
              ROUND(ROUND(OFFSET($P30,0,AJ$13),15-13*ORÇAMENTO!$AF$7)*OFFSET(ORÇAMENTO!$W$15,ROW(AJ30)-ROW(AJ$15),0),15-13*ORÇAMENTO!$AF$11)),
         0)</f>
        <v>0</v>
      </c>
      <c r="AK30" s="452">
        <f ca="1">IF(AND($D30="Serviço",AK$12&lt;&gt;0,$H30&gt;0,OR(AUTOEVENTO&lt;&gt;"manual",$M30&lt;&gt;$A$15)),
        IF(Import.TipoArredondamento&lt;&gt;"TransfereGOV",
              ROUND(OFFSET($P30,0,AK$13),15-13*ORÇAMENTO!$AF$7)/$H30*OFFSET(ORÇAMENTO!$X$15,ROW(AK30)-ROW(AK$15),0),
              ROUND(ROUND(OFFSET($P30,0,AK$13),15-13*ORÇAMENTO!$AF$7)*OFFSET(ORÇAMENTO!$W$15,ROW(AK30)-ROW(AK$15),0),15-13*ORÇAMENTO!$AF$11)),
         0)</f>
        <v>0</v>
      </c>
      <c r="AM30" s="170">
        <f ca="1">IF(OR($D30&lt;&gt;"Serviço",AND(AUTOEVENTO="Manual",$M30=$A$15)),0,
         IF(OFFSET(CRONOPLE!$F$15,$M30-$A$15,AM$13)=0,10^12,OFFSET(CRONOPLE!$F$15,$M30-$A$15,AM$13)))</f>
        <v>0</v>
      </c>
      <c r="AN30" s="170">
        <f ca="1">IF(OR($D30&lt;&gt;"Serviço",AND(AUTOEVENTO="Manual",$M30=$A$15)),0,
         IF(OFFSET(CRONOPLE!$F$15,$M30-$A$15,AN$13)=0,10^12,OFFSET(CRONOPLE!$F$15,$M30-$A$15,AN$13)))</f>
        <v>0</v>
      </c>
      <c r="AO30" s="170">
        <f ca="1">IF(OR($D30&lt;&gt;"Serviço",AND(AUTOEVENTO="Manual",$M30=$A$15)),0,
         IF(OFFSET(CRONOPLE!$F$15,$M30-$A$15,AO$13)=0,10^12,OFFSET(CRONOPLE!$F$15,$M30-$A$15,AO$13)))</f>
        <v>0</v>
      </c>
      <c r="AP30" s="170">
        <f ca="1">IF(OR($D30&lt;&gt;"Serviço",AND(AUTOEVENTO="Manual",$M30=$A$15)),0,
         IF(OFFSET(CRONOPLE!$F$15,$M30-$A$15,AP$13)=0,10^12,OFFSET(CRONOPLE!$F$15,$M30-$A$15,AP$13)))</f>
        <v>0</v>
      </c>
      <c r="AQ30" s="170">
        <f ca="1">IF(OR($D30&lt;&gt;"Serviço",AND(AUTOEVENTO="Manual",$M30=$A$15)),0,
         IF(OFFSET(CRONOPLE!$F$15,$M30-$A$15,AQ$13)=0,10^12,OFFSET(CRONOPLE!$F$15,$M30-$A$15,AQ$13)))</f>
        <v>0</v>
      </c>
      <c r="AR30" s="170">
        <f ca="1">IF(OR($D30&lt;&gt;"Serviço",AND(AUTOEVENTO="Manual",$M30=$A$15)),0,
         IF(OFFSET(CRONOPLE!$F$15,$M30-$A$15,AR$13)=0,10^12,OFFSET(CRONOPLE!$F$15,$M30-$A$15,AR$13)))</f>
        <v>0</v>
      </c>
      <c r="AS30" s="170">
        <f ca="1">IF(OR($D30&lt;&gt;"Serviço",AND(AUTOEVENTO="Manual",$M30=$A$15)),0,
         IF(OFFSET(CRONOPLE!$F$15,$M30-$A$15,AS$13)=0,10^12,OFFSET(CRONOPLE!$F$15,$M30-$A$15,AS$13)))</f>
        <v>0</v>
      </c>
      <c r="AT30" s="170">
        <f ca="1">IF(OR($D30&lt;&gt;"Serviço",AND(AUTOEVENTO="Manual",$M30=$A$15)),0,
         IF(OFFSET(CRONOPLE!$F$15,$M30-$A$15,AT$13)=0,10^12,OFFSET(CRONOPLE!$F$15,$M30-$A$15,AT$13)))</f>
        <v>0</v>
      </c>
      <c r="AU30" s="170">
        <f ca="1">IF(OR($D30&lt;&gt;"Serviço",AND(AUTOEVENTO="Manual",$M30=$A$15)),0,
         IF(OFFSET(CRONOPLE!$F$15,$M30-$A$15,AU$13)=0,10^12,OFFSET(CRONOPLE!$F$15,$M30-$A$15,AU$13)))</f>
        <v>0</v>
      </c>
      <c r="AV30" s="170">
        <f ca="1">IF(OR($D30&lt;&gt;"Serviço",AND(AUTOEVENTO="Manual",$M30=$A$15)),0,
         IF(OFFSET(CRONOPLE!$F$15,$M30-$A$15,AV$13)=0,10^12,OFFSET(CRONOPLE!$F$15,$M30-$A$15,AV$13)))</f>
        <v>0</v>
      </c>
      <c r="AX30" s="171" cm="1">
        <f t="array" aca="1" ref="AX30" ca="1">IF(OR($D30&lt;&gt;"Serviço",AND(AUTOEVENTO="Manual",$M30=$A$15),$M30&gt;(ROW(PLE.lastrow)-ROW(PLE.firstrow))),0,
           IF(OFFSET(PLE!$G$15,$M30-$A$15,AX$13)="",10^12,OFFSET(PLE!$G$15,$M30-$A$15,AX$13)))</f>
        <v>0</v>
      </c>
      <c r="AY30" s="171" cm="1">
        <f t="array" aca="1" ref="AY30" ca="1">IF(OR($D30&lt;&gt;"Serviço",AND(AUTOEVENTO="Manual",$M30=$A$15),$M30&gt;(ROW(PLE.lastrow)-ROW(PLE.firstrow))),0,
           IF(OFFSET(PLE!$G$15,$M30-$A$15,AY$13)="",10^12,OFFSET(PLE!$G$15,$M30-$A$15,AY$13)))</f>
        <v>0</v>
      </c>
      <c r="AZ30" s="171" cm="1">
        <f t="array" aca="1" ref="AZ30" ca="1">IF(OR($D30&lt;&gt;"Serviço",AND(AUTOEVENTO="Manual",$M30=$A$15),$M30&gt;(ROW(PLE.lastrow)-ROW(PLE.firstrow))),0,
           IF(OFFSET(PLE!$G$15,$M30-$A$15,AZ$13)="",10^12,OFFSET(PLE!$G$15,$M30-$A$15,AZ$13)))</f>
        <v>0</v>
      </c>
      <c r="BA30" s="171" cm="1">
        <f t="array" aca="1" ref="BA30" ca="1">IF(OR($D30&lt;&gt;"Serviço",AND(AUTOEVENTO="Manual",$M30=$A$15),$M30&gt;(ROW(PLE.lastrow)-ROW(PLE.firstrow))),0,
           IF(OFFSET(PLE!$G$15,$M30-$A$15,BA$13)="",10^12,OFFSET(PLE!$G$15,$M30-$A$15,BA$13)))</f>
        <v>0</v>
      </c>
      <c r="BB30" s="171" cm="1">
        <f t="array" aca="1" ref="BB30" ca="1">IF(OR($D30&lt;&gt;"Serviço",AND(AUTOEVENTO="Manual",$M30=$A$15),$M30&gt;(ROW(PLE.lastrow)-ROW(PLE.firstrow))),0,
           IF(OFFSET(PLE!$G$15,$M30-$A$15,BB$13)="",10^12,OFFSET(PLE!$G$15,$M30-$A$15,BB$13)))</f>
        <v>0</v>
      </c>
      <c r="BC30" s="171" cm="1">
        <f t="array" aca="1" ref="BC30" ca="1">IF(OR($D30&lt;&gt;"Serviço",AND(AUTOEVENTO="Manual",$M30=$A$15),$M30&gt;(ROW(PLE.lastrow)-ROW(PLE.firstrow))),0,
           IF(OFFSET(PLE!$G$15,$M30-$A$15,BC$13)="",10^12,OFFSET(PLE!$G$15,$M30-$A$15,BC$13)))</f>
        <v>0</v>
      </c>
      <c r="BD30" s="171" cm="1">
        <f t="array" aca="1" ref="BD30" ca="1">IF(OR($D30&lt;&gt;"Serviço",AND(AUTOEVENTO="Manual",$M30=$A$15),$M30&gt;(ROW(PLE.lastrow)-ROW(PLE.firstrow))),0,
           IF(OFFSET(PLE!$G$15,$M30-$A$15,BD$13)="",10^12,OFFSET(PLE!$G$15,$M30-$A$15,BD$13)))</f>
        <v>0</v>
      </c>
      <c r="BE30" s="171" cm="1">
        <f t="array" aca="1" ref="BE30" ca="1">IF(OR($D30&lt;&gt;"Serviço",AND(AUTOEVENTO="Manual",$M30=$A$15),$M30&gt;(ROW(PLE.lastrow)-ROW(PLE.firstrow))),0,
           IF(OFFSET(PLE!$G$15,$M30-$A$15,BE$13)="",10^12,OFFSET(PLE!$G$15,$M30-$A$15,BE$13)))</f>
        <v>0</v>
      </c>
      <c r="BF30" s="171" cm="1">
        <f t="array" aca="1" ref="BF30" ca="1">IF(OR($D30&lt;&gt;"Serviço",AND(AUTOEVENTO="Manual",$M30=$A$15),$M30&gt;(ROW(PLE.lastrow)-ROW(PLE.firstrow))),0,
           IF(OFFSET(PLE!$G$15,$M30-$A$15,BF$13)="",10^12,OFFSET(PLE!$G$15,$M30-$A$15,BF$13)))</f>
        <v>0</v>
      </c>
      <c r="BG30" s="171" cm="1">
        <f t="array" aca="1" ref="BG30" ca="1">IF(OR($D30&lt;&gt;"Serviço",AND(AUTOEVENTO="Manual",$M30=$A$15),$M30&gt;(ROW(PLE.lastrow)-ROW(PLE.firstrow))),0,
           IF(OFFSET(PLE!$G$15,$M30-$A$15,BG$13)="",10^12,OFFSET(PLE!$G$15,$M30-$A$15,BG$13)))</f>
        <v>0</v>
      </c>
    </row>
    <row r="31" spans="1:59" ht="38.25" x14ac:dyDescent="0.2">
      <c r="A31" s="7" t="str">
        <f t="shared" ca="1" si="8"/>
        <v>15</v>
      </c>
      <c r="B31" s="7" t="str">
        <f ca="1">OFFSET(ORÇAMENTO!C$15,$L31,0)</f>
        <v>S</v>
      </c>
      <c r="C31" s="7" t="str">
        <f ca="1">OFFSET(ORÇAMENTO!L$15,$L31,0)</f>
        <v>F</v>
      </c>
      <c r="D31" s="115" t="str">
        <f ca="1">OFFSET(ORÇAMENTO!N$15,$L31,0)</f>
        <v>Serviço</v>
      </c>
      <c r="E31" s="116" t="str">
        <f ca="1">OFFSET(ORÇAMENTO!O$15,$L31,0)</f>
        <v>1.4.1.</v>
      </c>
      <c r="F31" s="162" t="str">
        <f ca="1">OFFSET(ORÇAMENTO!R$15,$L31,0)</f>
        <v>ESTACA HÉLICE CONTÍNUA, DIÂMETRO DE 50 CM, INCLUSO CONCRETO FCK=30MPA E ARMADURA MÍNIMA (EXCLUSIVE BOMBEAMENTO, MOBILIZAÇÃO E DESMOBILIZAÇÃO). AF_12/2019</v>
      </c>
      <c r="G31" s="163" t="str">
        <f ca="1">IF($D31&lt;&gt;"Serviço","",OFFSET(ORÇAMENTO!S$15,$L31,0))</f>
        <v>M</v>
      </c>
      <c r="H31" s="121" cm="1">
        <f t="array" aca="1" ref="H31" ca="1">IF($D31&lt;&gt;"Serviço",0,IF(ACOMPANHAMENTO="BM",ROUND(OFFSET(ORÇAMENTO!AJ$15,$L31,0),15-13*ORÇAMENTO!$AF$7),IF(IFERROR(CÁLCULO.FrentesPreenchidas,0)=0,0,SUM(ROUND(OFFSET($P31,0,1,1,CÁLCULO.FrentesPreenchidas),15-13*ORÇAMENTO!$AF$7)))))</f>
        <v>180</v>
      </c>
      <c r="I31" s="467"/>
      <c r="J31" s="650" t="str" cm="1">
        <f t="array" aca="1" ref="J31" ca="1">IF(OR(B31&lt;&gt;"S",CÁLCULO.FrentesPreenchidas=0),"",IF(AND(ACOMPANHAMENTO="PLE",AUTOEVENTO="Manual",OR(H31&gt;0,ORÇAMENTO!AC31="QUANT."),OR(K31="",M31=0,N31="")),"►E",IF(AND(ACOMPANHAMENTO="PLE",ORÇAMENTO!AC31="QUANT."),"►Q",IF(AND(ACOMPANHAMENTO="PLE",H31&lt;&gt;SUMPRODUCT(($Q$1:$AA$1=1)*ROUND(Q31:AA31,15))),"►S",IF(AND(COUNTIF($P$11:$AA$11,"▼")=0,H31&gt;0,I31=""),"◄M","")))))</f>
        <v>◄M</v>
      </c>
      <c r="K31" s="651"/>
      <c r="L31" s="164">
        <f t="shared" ca="1" si="9"/>
        <v>16</v>
      </c>
      <c r="M31" s="165">
        <f ca="1">IF($D31&lt;&gt;"Serviço","",
          IF(AUTOEVENTO="manual",$A31,
                IF(ISERROR(MATCH($A31,$A$15:OFFSET($A31,-1,0),0)),MAX($M$15:OFFSET(M31,-1,0))+1,
                      INDEX($M$15:OFFSET(M31,-1,0),MATCH($A31,$A$15:OFFSET($A31,-1,0),0)))))</f>
        <v>4</v>
      </c>
      <c r="N31" s="166" t="str">
        <f ca="1">IF($D31&lt;&gt;"Serviço","",
         IF(AUTOEVENTO="Manual",
                IF($A31=0,"&lt;-- defina o número do agrupador",
                       OFFSET(EVENTOS!$D$15,$A31-$A$15,0)),
                OFFSET($F$15,$A31,0)))</f>
        <v>INFRAESTRUTURA</v>
      </c>
      <c r="O31" s="167"/>
      <c r="Q31" s="167">
        <v>180</v>
      </c>
      <c r="R31" s="168"/>
      <c r="S31" s="168"/>
      <c r="T31" s="168"/>
      <c r="U31" s="168"/>
      <c r="V31" s="168"/>
      <c r="W31" s="168"/>
      <c r="X31" s="168"/>
      <c r="Y31" s="168"/>
      <c r="Z31" s="169"/>
      <c r="AB31" s="452">
        <f ca="1">IF(AND($D31="Serviço",AB$12&lt;&gt;0,$H31&gt;0,OR(AUTOEVENTO&lt;&gt;"manual",$M31&lt;&gt;$A$15)),
        IF(Import.TipoArredondamento&lt;&gt;"TransfereGOV",
              ROUND(OFFSET($P31,0,AB$13),15-13*ORÇAMENTO!$AF$7)/$H31*OFFSET(ORÇAMENTO!$X$15,ROW(AB31)-ROW(AB$15),0),
              ROUND(ROUND(OFFSET($P31,0,AB$13),15-13*ORÇAMENTO!$AF$7)*OFFSET(ORÇAMENTO!$W$15,ROW(AB31)-ROW(AB$15),0),15-13*ORÇAMENTO!$AF$11)),
         0)</f>
        <v>51980.4</v>
      </c>
      <c r="AC31" s="452">
        <f ca="1">IF(AND($D31="Serviço",AC$12&lt;&gt;0,$H31&gt;0,OR(AUTOEVENTO&lt;&gt;"manual",$M31&lt;&gt;$A$15)),
        IF(Import.TipoArredondamento&lt;&gt;"TransfereGOV",
              ROUND(OFFSET($P31,0,AC$13),15-13*ORÇAMENTO!$AF$7)/$H31*OFFSET(ORÇAMENTO!$X$15,ROW(AC31)-ROW(AC$15),0),
              ROUND(ROUND(OFFSET($P31,0,AC$13),15-13*ORÇAMENTO!$AF$7)*OFFSET(ORÇAMENTO!$W$15,ROW(AC31)-ROW(AC$15),0),15-13*ORÇAMENTO!$AF$11)),
         0)</f>
        <v>0</v>
      </c>
      <c r="AD31" s="452">
        <f ca="1">IF(AND($D31="Serviço",AD$12&lt;&gt;0,$H31&gt;0,OR(AUTOEVENTO&lt;&gt;"manual",$M31&lt;&gt;$A$15)),
        IF(Import.TipoArredondamento&lt;&gt;"TransfereGOV",
              ROUND(OFFSET($P31,0,AD$13),15-13*ORÇAMENTO!$AF$7)/$H31*OFFSET(ORÇAMENTO!$X$15,ROW(AD31)-ROW(AD$15),0),
              ROUND(ROUND(OFFSET($P31,0,AD$13),15-13*ORÇAMENTO!$AF$7)*OFFSET(ORÇAMENTO!$W$15,ROW(AD31)-ROW(AD$15),0),15-13*ORÇAMENTO!$AF$11)),
         0)</f>
        <v>0</v>
      </c>
      <c r="AE31" s="452">
        <f ca="1">IF(AND($D31="Serviço",AE$12&lt;&gt;0,$H31&gt;0,OR(AUTOEVENTO&lt;&gt;"manual",$M31&lt;&gt;$A$15)),
        IF(Import.TipoArredondamento&lt;&gt;"TransfereGOV",
              ROUND(OFFSET($P31,0,AE$13),15-13*ORÇAMENTO!$AF$7)/$H31*OFFSET(ORÇAMENTO!$X$15,ROW(AE31)-ROW(AE$15),0),
              ROUND(ROUND(OFFSET($P31,0,AE$13),15-13*ORÇAMENTO!$AF$7)*OFFSET(ORÇAMENTO!$W$15,ROW(AE31)-ROW(AE$15),0),15-13*ORÇAMENTO!$AF$11)),
         0)</f>
        <v>0</v>
      </c>
      <c r="AF31" s="452">
        <f ca="1">IF(AND($D31="Serviço",AF$12&lt;&gt;0,$H31&gt;0,OR(AUTOEVENTO&lt;&gt;"manual",$M31&lt;&gt;$A$15)),
        IF(Import.TipoArredondamento&lt;&gt;"TransfereGOV",
              ROUND(OFFSET($P31,0,AF$13),15-13*ORÇAMENTO!$AF$7)/$H31*OFFSET(ORÇAMENTO!$X$15,ROW(AF31)-ROW(AF$15),0),
              ROUND(ROUND(OFFSET($P31,0,AF$13),15-13*ORÇAMENTO!$AF$7)*OFFSET(ORÇAMENTO!$W$15,ROW(AF31)-ROW(AF$15),0),15-13*ORÇAMENTO!$AF$11)),
         0)</f>
        <v>0</v>
      </c>
      <c r="AG31" s="452">
        <f ca="1">IF(AND($D31="Serviço",AG$12&lt;&gt;0,$H31&gt;0,OR(AUTOEVENTO&lt;&gt;"manual",$M31&lt;&gt;$A$15)),
        IF(Import.TipoArredondamento&lt;&gt;"TransfereGOV",
              ROUND(OFFSET($P31,0,AG$13),15-13*ORÇAMENTO!$AF$7)/$H31*OFFSET(ORÇAMENTO!$X$15,ROW(AG31)-ROW(AG$15),0),
              ROUND(ROUND(OFFSET($P31,0,AG$13),15-13*ORÇAMENTO!$AF$7)*OFFSET(ORÇAMENTO!$W$15,ROW(AG31)-ROW(AG$15),0),15-13*ORÇAMENTO!$AF$11)),
         0)</f>
        <v>0</v>
      </c>
      <c r="AH31" s="452">
        <f ca="1">IF(AND($D31="Serviço",AH$12&lt;&gt;0,$H31&gt;0,OR(AUTOEVENTO&lt;&gt;"manual",$M31&lt;&gt;$A$15)),
        IF(Import.TipoArredondamento&lt;&gt;"TransfereGOV",
              ROUND(OFFSET($P31,0,AH$13),15-13*ORÇAMENTO!$AF$7)/$H31*OFFSET(ORÇAMENTO!$X$15,ROW(AH31)-ROW(AH$15),0),
              ROUND(ROUND(OFFSET($P31,0,AH$13),15-13*ORÇAMENTO!$AF$7)*OFFSET(ORÇAMENTO!$W$15,ROW(AH31)-ROW(AH$15),0),15-13*ORÇAMENTO!$AF$11)),
         0)</f>
        <v>0</v>
      </c>
      <c r="AI31" s="452">
        <f ca="1">IF(AND($D31="Serviço",AI$12&lt;&gt;0,$H31&gt;0,OR(AUTOEVENTO&lt;&gt;"manual",$M31&lt;&gt;$A$15)),
        IF(Import.TipoArredondamento&lt;&gt;"TransfereGOV",
              ROUND(OFFSET($P31,0,AI$13),15-13*ORÇAMENTO!$AF$7)/$H31*OFFSET(ORÇAMENTO!$X$15,ROW(AI31)-ROW(AI$15),0),
              ROUND(ROUND(OFFSET($P31,0,AI$13),15-13*ORÇAMENTO!$AF$7)*OFFSET(ORÇAMENTO!$W$15,ROW(AI31)-ROW(AI$15),0),15-13*ORÇAMENTO!$AF$11)),
         0)</f>
        <v>0</v>
      </c>
      <c r="AJ31" s="452">
        <f ca="1">IF(AND($D31="Serviço",AJ$12&lt;&gt;0,$H31&gt;0,OR(AUTOEVENTO&lt;&gt;"manual",$M31&lt;&gt;$A$15)),
        IF(Import.TipoArredondamento&lt;&gt;"TransfereGOV",
              ROUND(OFFSET($P31,0,AJ$13),15-13*ORÇAMENTO!$AF$7)/$H31*OFFSET(ORÇAMENTO!$X$15,ROW(AJ31)-ROW(AJ$15),0),
              ROUND(ROUND(OFFSET($P31,0,AJ$13),15-13*ORÇAMENTO!$AF$7)*OFFSET(ORÇAMENTO!$W$15,ROW(AJ31)-ROW(AJ$15),0),15-13*ORÇAMENTO!$AF$11)),
         0)</f>
        <v>0</v>
      </c>
      <c r="AK31" s="452">
        <f ca="1">IF(AND($D31="Serviço",AK$12&lt;&gt;0,$H31&gt;0,OR(AUTOEVENTO&lt;&gt;"manual",$M31&lt;&gt;$A$15)),
        IF(Import.TipoArredondamento&lt;&gt;"TransfereGOV",
              ROUND(OFFSET($P31,0,AK$13),15-13*ORÇAMENTO!$AF$7)/$H31*OFFSET(ORÇAMENTO!$X$15,ROW(AK31)-ROW(AK$15),0),
              ROUND(ROUND(OFFSET($P31,0,AK$13),15-13*ORÇAMENTO!$AF$7)*OFFSET(ORÇAMENTO!$W$15,ROW(AK31)-ROW(AK$15),0),15-13*ORÇAMENTO!$AF$11)),
         0)</f>
        <v>0</v>
      </c>
      <c r="AM31" s="170">
        <f ca="1">IF(OR($D31&lt;&gt;"Serviço",AND(AUTOEVENTO="Manual",$M31=$A$15)),0,
         IF(OFFSET(CRONOPLE!$F$15,$M31-$A$15,AM$13)=0,10^12,OFFSET(CRONOPLE!$F$15,$M31-$A$15,AM$13)))</f>
        <v>1</v>
      </c>
      <c r="AN31" s="170">
        <f ca="1">IF(OR($D31&lt;&gt;"Serviço",AND(AUTOEVENTO="Manual",$M31=$A$15)),0,
         IF(OFFSET(CRONOPLE!$F$15,$M31-$A$15,AN$13)=0,10^12,OFFSET(CRONOPLE!$F$15,$M31-$A$15,AN$13)))</f>
        <v>1000000000000</v>
      </c>
      <c r="AO31" s="170">
        <f ca="1">IF(OR($D31&lt;&gt;"Serviço",AND(AUTOEVENTO="Manual",$M31=$A$15)),0,
         IF(OFFSET(CRONOPLE!$F$15,$M31-$A$15,AO$13)=0,10^12,OFFSET(CRONOPLE!$F$15,$M31-$A$15,AO$13)))</f>
        <v>1000000000000</v>
      </c>
      <c r="AP31" s="170">
        <f ca="1">IF(OR($D31&lt;&gt;"Serviço",AND(AUTOEVENTO="Manual",$M31=$A$15)),0,
         IF(OFFSET(CRONOPLE!$F$15,$M31-$A$15,AP$13)=0,10^12,OFFSET(CRONOPLE!$F$15,$M31-$A$15,AP$13)))</f>
        <v>1000000000000</v>
      </c>
      <c r="AQ31" s="170">
        <f ca="1">IF(OR($D31&lt;&gt;"Serviço",AND(AUTOEVENTO="Manual",$M31=$A$15)),0,
         IF(OFFSET(CRONOPLE!$F$15,$M31-$A$15,AQ$13)=0,10^12,OFFSET(CRONOPLE!$F$15,$M31-$A$15,AQ$13)))</f>
        <v>1000000000000</v>
      </c>
      <c r="AR31" s="170">
        <f ca="1">IF(OR($D31&lt;&gt;"Serviço",AND(AUTOEVENTO="Manual",$M31=$A$15)),0,
         IF(OFFSET(CRONOPLE!$F$15,$M31-$A$15,AR$13)=0,10^12,OFFSET(CRONOPLE!$F$15,$M31-$A$15,AR$13)))</f>
        <v>1000000000000</v>
      </c>
      <c r="AS31" s="170">
        <f ca="1">IF(OR($D31&lt;&gt;"Serviço",AND(AUTOEVENTO="Manual",$M31=$A$15)),0,
         IF(OFFSET(CRONOPLE!$F$15,$M31-$A$15,AS$13)=0,10^12,OFFSET(CRONOPLE!$F$15,$M31-$A$15,AS$13)))</f>
        <v>1000000000000</v>
      </c>
      <c r="AT31" s="170">
        <f ca="1">IF(OR($D31&lt;&gt;"Serviço",AND(AUTOEVENTO="Manual",$M31=$A$15)),0,
         IF(OFFSET(CRONOPLE!$F$15,$M31-$A$15,AT$13)=0,10^12,OFFSET(CRONOPLE!$F$15,$M31-$A$15,AT$13)))</f>
        <v>1000000000000</v>
      </c>
      <c r="AU31" s="170">
        <f ca="1">IF(OR($D31&lt;&gt;"Serviço",AND(AUTOEVENTO="Manual",$M31=$A$15)),0,
         IF(OFFSET(CRONOPLE!$F$15,$M31-$A$15,AU$13)=0,10^12,OFFSET(CRONOPLE!$F$15,$M31-$A$15,AU$13)))</f>
        <v>1000000000000</v>
      </c>
      <c r="AV31" s="170">
        <f ca="1">IF(OR($D31&lt;&gt;"Serviço",AND(AUTOEVENTO="Manual",$M31=$A$15)),0,
         IF(OFFSET(CRONOPLE!$F$15,$M31-$A$15,AV$13)=0,10^12,OFFSET(CRONOPLE!$F$15,$M31-$A$15,AV$13)))</f>
        <v>1000000000000</v>
      </c>
      <c r="AX31" s="171" cm="1">
        <f t="array" aca="1" ref="AX31" ca="1">IF(OR($D31&lt;&gt;"Serviço",AND(AUTOEVENTO="Manual",$M31=$A$15),$M31&gt;(ROW(PLE.lastrow)-ROW(PLE.firstrow))),0,
           IF(OFFSET(PLE!$G$15,$M31-$A$15,AX$13)="",10^12,OFFSET(PLE!$G$15,$M31-$A$15,AX$13)))</f>
        <v>1000000000000</v>
      </c>
      <c r="AY31" s="171" cm="1">
        <f t="array" aca="1" ref="AY31" ca="1">IF(OR($D31&lt;&gt;"Serviço",AND(AUTOEVENTO="Manual",$M31=$A$15),$M31&gt;(ROW(PLE.lastrow)-ROW(PLE.firstrow))),0,
           IF(OFFSET(PLE!$G$15,$M31-$A$15,AY$13)="",10^12,OFFSET(PLE!$G$15,$M31-$A$15,AY$13)))</f>
        <v>1000000000000</v>
      </c>
      <c r="AZ31" s="171" cm="1">
        <f t="array" aca="1" ref="AZ31" ca="1">IF(OR($D31&lt;&gt;"Serviço",AND(AUTOEVENTO="Manual",$M31=$A$15),$M31&gt;(ROW(PLE.lastrow)-ROW(PLE.firstrow))),0,
           IF(OFFSET(PLE!$G$15,$M31-$A$15,AZ$13)="",10^12,OFFSET(PLE!$G$15,$M31-$A$15,AZ$13)))</f>
        <v>1000000000000</v>
      </c>
      <c r="BA31" s="171" cm="1">
        <f t="array" aca="1" ref="BA31" ca="1">IF(OR($D31&lt;&gt;"Serviço",AND(AUTOEVENTO="Manual",$M31=$A$15),$M31&gt;(ROW(PLE.lastrow)-ROW(PLE.firstrow))),0,
           IF(OFFSET(PLE!$G$15,$M31-$A$15,BA$13)="",10^12,OFFSET(PLE!$G$15,$M31-$A$15,BA$13)))</f>
        <v>1000000000000</v>
      </c>
      <c r="BB31" s="171" cm="1">
        <f t="array" aca="1" ref="BB31" ca="1">IF(OR($D31&lt;&gt;"Serviço",AND(AUTOEVENTO="Manual",$M31=$A$15),$M31&gt;(ROW(PLE.lastrow)-ROW(PLE.firstrow))),0,
           IF(OFFSET(PLE!$G$15,$M31-$A$15,BB$13)="",10^12,OFFSET(PLE!$G$15,$M31-$A$15,BB$13)))</f>
        <v>1000000000000</v>
      </c>
      <c r="BC31" s="171" cm="1">
        <f t="array" aca="1" ref="BC31" ca="1">IF(OR($D31&lt;&gt;"Serviço",AND(AUTOEVENTO="Manual",$M31=$A$15),$M31&gt;(ROW(PLE.lastrow)-ROW(PLE.firstrow))),0,
           IF(OFFSET(PLE!$G$15,$M31-$A$15,BC$13)="",10^12,OFFSET(PLE!$G$15,$M31-$A$15,BC$13)))</f>
        <v>1000000000000</v>
      </c>
      <c r="BD31" s="171" cm="1">
        <f t="array" aca="1" ref="BD31" ca="1">IF(OR($D31&lt;&gt;"Serviço",AND(AUTOEVENTO="Manual",$M31=$A$15),$M31&gt;(ROW(PLE.lastrow)-ROW(PLE.firstrow))),0,
           IF(OFFSET(PLE!$G$15,$M31-$A$15,BD$13)="",10^12,OFFSET(PLE!$G$15,$M31-$A$15,BD$13)))</f>
        <v>1000000000000</v>
      </c>
      <c r="BE31" s="171" cm="1">
        <f t="array" aca="1" ref="BE31" ca="1">IF(OR($D31&lt;&gt;"Serviço",AND(AUTOEVENTO="Manual",$M31=$A$15),$M31&gt;(ROW(PLE.lastrow)-ROW(PLE.firstrow))),0,
           IF(OFFSET(PLE!$G$15,$M31-$A$15,BE$13)="",10^12,OFFSET(PLE!$G$15,$M31-$A$15,BE$13)))</f>
        <v>1000000000000</v>
      </c>
      <c r="BF31" s="171" cm="1">
        <f t="array" aca="1" ref="BF31" ca="1">IF(OR($D31&lt;&gt;"Serviço",AND(AUTOEVENTO="Manual",$M31=$A$15),$M31&gt;(ROW(PLE.lastrow)-ROW(PLE.firstrow))),0,
           IF(OFFSET(PLE!$G$15,$M31-$A$15,BF$13)="",10^12,OFFSET(PLE!$G$15,$M31-$A$15,BF$13)))</f>
        <v>1000000000000</v>
      </c>
      <c r="BG31" s="171" cm="1">
        <f t="array" aca="1" ref="BG31" ca="1">IF(OR($D31&lt;&gt;"Serviço",AND(AUTOEVENTO="Manual",$M31=$A$15),$M31&gt;(ROW(PLE.lastrow)-ROW(PLE.firstrow))),0,
           IF(OFFSET(PLE!$G$15,$M31-$A$15,BG$13)="",10^12,OFFSET(PLE!$G$15,$M31-$A$15,BG$13)))</f>
        <v>1000000000000</v>
      </c>
    </row>
    <row r="32" spans="1:59" ht="38.25" x14ac:dyDescent="0.2">
      <c r="A32" s="7" t="str">
        <f t="shared" ca="1" si="8"/>
        <v>15</v>
      </c>
      <c r="B32" s="7" t="str">
        <f ca="1">OFFSET(ORÇAMENTO!C$15,$L32,0)</f>
        <v>S</v>
      </c>
      <c r="C32" s="7" t="str">
        <f ca="1">OFFSET(ORÇAMENTO!L$15,$L32,0)</f>
        <v>F</v>
      </c>
      <c r="D32" s="115" t="str">
        <f ca="1">OFFSET(ORÇAMENTO!N$15,$L32,0)</f>
        <v>Serviço</v>
      </c>
      <c r="E32" s="116" t="str">
        <f ca="1">OFFSET(ORÇAMENTO!O$15,$L32,0)</f>
        <v>1.4.2.</v>
      </c>
      <c r="F32" s="162" t="str">
        <f ca="1">OFFSET(ORÇAMENTO!R$15,$L32,0)</f>
        <v>LANÇAMENTO DE CONCRETO EM FUNDAÇÃO OU LASTRO,
 INCLUSIVE TRANSPORTE ATÉ O LOCAL DE APLICAÇÃO,
 EXCLUSIVE APLICAÇÃO</v>
      </c>
      <c r="G32" s="163" t="str">
        <f ca="1">IF($D32&lt;&gt;"Serviço","",OFFSET(ORÇAMENTO!S$15,$L32,0))</f>
        <v>M3</v>
      </c>
      <c r="H32" s="121" cm="1">
        <f t="array" aca="1" ref="H32" ca="1">IF($D32&lt;&gt;"Serviço",0,IF(ACOMPANHAMENTO="BM",ROUND(OFFSET(ORÇAMENTO!AJ$15,$L32,0),15-13*ORÇAMENTO!$AF$7),IF(IFERROR(CÁLCULO.FrentesPreenchidas,0)=0,0,SUM(ROUND(OFFSET($P32,0,1,1,CÁLCULO.FrentesPreenchidas),15-13*ORÇAMENTO!$AF$7)))))</f>
        <v>31.42</v>
      </c>
      <c r="I32" s="467"/>
      <c r="J32" s="650" t="str" cm="1">
        <f t="array" aca="1" ref="J32" ca="1">IF(OR(B32&lt;&gt;"S",CÁLCULO.FrentesPreenchidas=0),"",IF(AND(ACOMPANHAMENTO="PLE",AUTOEVENTO="Manual",OR(H32&gt;0,ORÇAMENTO!AC32="QUANT."),OR(K32="",M32=0,N32="")),"►E",IF(AND(ACOMPANHAMENTO="PLE",ORÇAMENTO!AC32="QUANT."),"►Q",IF(AND(ACOMPANHAMENTO="PLE",H32&lt;&gt;SUMPRODUCT(($Q$1:$AA$1=1)*ROUND(Q32:AA32,15))),"►S",IF(AND(COUNTIF($P$11:$AA$11,"▼")=0,H32&gt;0,I32=""),"◄M","")))))</f>
        <v>◄M</v>
      </c>
      <c r="K32" s="651"/>
      <c r="L32" s="164">
        <f t="shared" ca="1" si="9"/>
        <v>17</v>
      </c>
      <c r="M32" s="165">
        <f ca="1">IF($D32&lt;&gt;"Serviço","",
          IF(AUTOEVENTO="manual",$A32,
                IF(ISERROR(MATCH($A32,$A$15:OFFSET($A32,-1,0),0)),MAX($M$15:OFFSET(M32,-1,0))+1,
                      INDEX($M$15:OFFSET(M32,-1,0),MATCH($A32,$A$15:OFFSET($A32,-1,0),0)))))</f>
        <v>4</v>
      </c>
      <c r="N32" s="166" t="str">
        <f ca="1">IF($D32&lt;&gt;"Serviço","",
         IF(AUTOEVENTO="Manual",
                IF($A32=0,"&lt;-- defina o número do agrupador",
                       OFFSET(EVENTOS!$D$15,$A32-$A$15,0)),
                OFFSET($F$15,$A32,0)))</f>
        <v>INFRAESTRUTURA</v>
      </c>
      <c r="O32" s="167"/>
      <c r="Q32" s="167">
        <v>31.42</v>
      </c>
      <c r="R32" s="168"/>
      <c r="S32" s="168"/>
      <c r="T32" s="168"/>
      <c r="U32" s="168"/>
      <c r="V32" s="168"/>
      <c r="W32" s="168"/>
      <c r="X32" s="168"/>
      <c r="Y32" s="168"/>
      <c r="Z32" s="169"/>
      <c r="AB32" s="452">
        <f ca="1">IF(AND($D32="Serviço",AB$12&lt;&gt;0,$H32&gt;0,OR(AUTOEVENTO&lt;&gt;"manual",$M32&lt;&gt;$A$15)),
        IF(Import.TipoArredondamento&lt;&gt;"TransfereGOV",
              ROUND(OFFSET($P32,0,AB$13),15-13*ORÇAMENTO!$AF$7)/$H32*OFFSET(ORÇAMENTO!$X$15,ROW(AB32)-ROW(AB$15),0),
              ROUND(ROUND(OFFSET($P32,0,AB$13),15-13*ORÇAMENTO!$AF$7)*OFFSET(ORÇAMENTO!$W$15,ROW(AB32)-ROW(AB$15),0),15-13*ORÇAMENTO!$AF$11)),
         0)</f>
        <v>2597.1799999999998</v>
      </c>
      <c r="AC32" s="452">
        <f ca="1">IF(AND($D32="Serviço",AC$12&lt;&gt;0,$H32&gt;0,OR(AUTOEVENTO&lt;&gt;"manual",$M32&lt;&gt;$A$15)),
        IF(Import.TipoArredondamento&lt;&gt;"TransfereGOV",
              ROUND(OFFSET($P32,0,AC$13),15-13*ORÇAMENTO!$AF$7)/$H32*OFFSET(ORÇAMENTO!$X$15,ROW(AC32)-ROW(AC$15),0),
              ROUND(ROUND(OFFSET($P32,0,AC$13),15-13*ORÇAMENTO!$AF$7)*OFFSET(ORÇAMENTO!$W$15,ROW(AC32)-ROW(AC$15),0),15-13*ORÇAMENTO!$AF$11)),
         0)</f>
        <v>0</v>
      </c>
      <c r="AD32" s="452">
        <f ca="1">IF(AND($D32="Serviço",AD$12&lt;&gt;0,$H32&gt;0,OR(AUTOEVENTO&lt;&gt;"manual",$M32&lt;&gt;$A$15)),
        IF(Import.TipoArredondamento&lt;&gt;"TransfereGOV",
              ROUND(OFFSET($P32,0,AD$13),15-13*ORÇAMENTO!$AF$7)/$H32*OFFSET(ORÇAMENTO!$X$15,ROW(AD32)-ROW(AD$15),0),
              ROUND(ROUND(OFFSET($P32,0,AD$13),15-13*ORÇAMENTO!$AF$7)*OFFSET(ORÇAMENTO!$W$15,ROW(AD32)-ROW(AD$15),0),15-13*ORÇAMENTO!$AF$11)),
         0)</f>
        <v>0</v>
      </c>
      <c r="AE32" s="452">
        <f ca="1">IF(AND($D32="Serviço",AE$12&lt;&gt;0,$H32&gt;0,OR(AUTOEVENTO&lt;&gt;"manual",$M32&lt;&gt;$A$15)),
        IF(Import.TipoArredondamento&lt;&gt;"TransfereGOV",
              ROUND(OFFSET($P32,0,AE$13),15-13*ORÇAMENTO!$AF$7)/$H32*OFFSET(ORÇAMENTO!$X$15,ROW(AE32)-ROW(AE$15),0),
              ROUND(ROUND(OFFSET($P32,0,AE$13),15-13*ORÇAMENTO!$AF$7)*OFFSET(ORÇAMENTO!$W$15,ROW(AE32)-ROW(AE$15),0),15-13*ORÇAMENTO!$AF$11)),
         0)</f>
        <v>0</v>
      </c>
      <c r="AF32" s="452">
        <f ca="1">IF(AND($D32="Serviço",AF$12&lt;&gt;0,$H32&gt;0,OR(AUTOEVENTO&lt;&gt;"manual",$M32&lt;&gt;$A$15)),
        IF(Import.TipoArredondamento&lt;&gt;"TransfereGOV",
              ROUND(OFFSET($P32,0,AF$13),15-13*ORÇAMENTO!$AF$7)/$H32*OFFSET(ORÇAMENTO!$X$15,ROW(AF32)-ROW(AF$15),0),
              ROUND(ROUND(OFFSET($P32,0,AF$13),15-13*ORÇAMENTO!$AF$7)*OFFSET(ORÇAMENTO!$W$15,ROW(AF32)-ROW(AF$15),0),15-13*ORÇAMENTO!$AF$11)),
         0)</f>
        <v>0</v>
      </c>
      <c r="AG32" s="452">
        <f ca="1">IF(AND($D32="Serviço",AG$12&lt;&gt;0,$H32&gt;0,OR(AUTOEVENTO&lt;&gt;"manual",$M32&lt;&gt;$A$15)),
        IF(Import.TipoArredondamento&lt;&gt;"TransfereGOV",
              ROUND(OFFSET($P32,0,AG$13),15-13*ORÇAMENTO!$AF$7)/$H32*OFFSET(ORÇAMENTO!$X$15,ROW(AG32)-ROW(AG$15),0),
              ROUND(ROUND(OFFSET($P32,0,AG$13),15-13*ORÇAMENTO!$AF$7)*OFFSET(ORÇAMENTO!$W$15,ROW(AG32)-ROW(AG$15),0),15-13*ORÇAMENTO!$AF$11)),
         0)</f>
        <v>0</v>
      </c>
      <c r="AH32" s="452">
        <f ca="1">IF(AND($D32="Serviço",AH$12&lt;&gt;0,$H32&gt;0,OR(AUTOEVENTO&lt;&gt;"manual",$M32&lt;&gt;$A$15)),
        IF(Import.TipoArredondamento&lt;&gt;"TransfereGOV",
              ROUND(OFFSET($P32,0,AH$13),15-13*ORÇAMENTO!$AF$7)/$H32*OFFSET(ORÇAMENTO!$X$15,ROW(AH32)-ROW(AH$15),0),
              ROUND(ROUND(OFFSET($P32,0,AH$13),15-13*ORÇAMENTO!$AF$7)*OFFSET(ORÇAMENTO!$W$15,ROW(AH32)-ROW(AH$15),0),15-13*ORÇAMENTO!$AF$11)),
         0)</f>
        <v>0</v>
      </c>
      <c r="AI32" s="452">
        <f ca="1">IF(AND($D32="Serviço",AI$12&lt;&gt;0,$H32&gt;0,OR(AUTOEVENTO&lt;&gt;"manual",$M32&lt;&gt;$A$15)),
        IF(Import.TipoArredondamento&lt;&gt;"TransfereGOV",
              ROUND(OFFSET($P32,0,AI$13),15-13*ORÇAMENTO!$AF$7)/$H32*OFFSET(ORÇAMENTO!$X$15,ROW(AI32)-ROW(AI$15),0),
              ROUND(ROUND(OFFSET($P32,0,AI$13),15-13*ORÇAMENTO!$AF$7)*OFFSET(ORÇAMENTO!$W$15,ROW(AI32)-ROW(AI$15),0),15-13*ORÇAMENTO!$AF$11)),
         0)</f>
        <v>0</v>
      </c>
      <c r="AJ32" s="452">
        <f ca="1">IF(AND($D32="Serviço",AJ$12&lt;&gt;0,$H32&gt;0,OR(AUTOEVENTO&lt;&gt;"manual",$M32&lt;&gt;$A$15)),
        IF(Import.TipoArredondamento&lt;&gt;"TransfereGOV",
              ROUND(OFFSET($P32,0,AJ$13),15-13*ORÇAMENTO!$AF$7)/$H32*OFFSET(ORÇAMENTO!$X$15,ROW(AJ32)-ROW(AJ$15),0),
              ROUND(ROUND(OFFSET($P32,0,AJ$13),15-13*ORÇAMENTO!$AF$7)*OFFSET(ORÇAMENTO!$W$15,ROW(AJ32)-ROW(AJ$15),0),15-13*ORÇAMENTO!$AF$11)),
         0)</f>
        <v>0</v>
      </c>
      <c r="AK32" s="452">
        <f ca="1">IF(AND($D32="Serviço",AK$12&lt;&gt;0,$H32&gt;0,OR(AUTOEVENTO&lt;&gt;"manual",$M32&lt;&gt;$A$15)),
        IF(Import.TipoArredondamento&lt;&gt;"TransfereGOV",
              ROUND(OFFSET($P32,0,AK$13),15-13*ORÇAMENTO!$AF$7)/$H32*OFFSET(ORÇAMENTO!$X$15,ROW(AK32)-ROW(AK$15),0),
              ROUND(ROUND(OFFSET($P32,0,AK$13),15-13*ORÇAMENTO!$AF$7)*OFFSET(ORÇAMENTO!$W$15,ROW(AK32)-ROW(AK$15),0),15-13*ORÇAMENTO!$AF$11)),
         0)</f>
        <v>0</v>
      </c>
      <c r="AM32" s="170">
        <f ca="1">IF(OR($D32&lt;&gt;"Serviço",AND(AUTOEVENTO="Manual",$M32=$A$15)),0,
         IF(OFFSET(CRONOPLE!$F$15,$M32-$A$15,AM$13)=0,10^12,OFFSET(CRONOPLE!$F$15,$M32-$A$15,AM$13)))</f>
        <v>1</v>
      </c>
      <c r="AN32" s="170">
        <f ca="1">IF(OR($D32&lt;&gt;"Serviço",AND(AUTOEVENTO="Manual",$M32=$A$15)),0,
         IF(OFFSET(CRONOPLE!$F$15,$M32-$A$15,AN$13)=0,10^12,OFFSET(CRONOPLE!$F$15,$M32-$A$15,AN$13)))</f>
        <v>1000000000000</v>
      </c>
      <c r="AO32" s="170">
        <f ca="1">IF(OR($D32&lt;&gt;"Serviço",AND(AUTOEVENTO="Manual",$M32=$A$15)),0,
         IF(OFFSET(CRONOPLE!$F$15,$M32-$A$15,AO$13)=0,10^12,OFFSET(CRONOPLE!$F$15,$M32-$A$15,AO$13)))</f>
        <v>1000000000000</v>
      </c>
      <c r="AP32" s="170">
        <f ca="1">IF(OR($D32&lt;&gt;"Serviço",AND(AUTOEVENTO="Manual",$M32=$A$15)),0,
         IF(OFFSET(CRONOPLE!$F$15,$M32-$A$15,AP$13)=0,10^12,OFFSET(CRONOPLE!$F$15,$M32-$A$15,AP$13)))</f>
        <v>1000000000000</v>
      </c>
      <c r="AQ32" s="170">
        <f ca="1">IF(OR($D32&lt;&gt;"Serviço",AND(AUTOEVENTO="Manual",$M32=$A$15)),0,
         IF(OFFSET(CRONOPLE!$F$15,$M32-$A$15,AQ$13)=0,10^12,OFFSET(CRONOPLE!$F$15,$M32-$A$15,AQ$13)))</f>
        <v>1000000000000</v>
      </c>
      <c r="AR32" s="170">
        <f ca="1">IF(OR($D32&lt;&gt;"Serviço",AND(AUTOEVENTO="Manual",$M32=$A$15)),0,
         IF(OFFSET(CRONOPLE!$F$15,$M32-$A$15,AR$13)=0,10^12,OFFSET(CRONOPLE!$F$15,$M32-$A$15,AR$13)))</f>
        <v>1000000000000</v>
      </c>
      <c r="AS32" s="170">
        <f ca="1">IF(OR($D32&lt;&gt;"Serviço",AND(AUTOEVENTO="Manual",$M32=$A$15)),0,
         IF(OFFSET(CRONOPLE!$F$15,$M32-$A$15,AS$13)=0,10^12,OFFSET(CRONOPLE!$F$15,$M32-$A$15,AS$13)))</f>
        <v>1000000000000</v>
      </c>
      <c r="AT32" s="170">
        <f ca="1">IF(OR($D32&lt;&gt;"Serviço",AND(AUTOEVENTO="Manual",$M32=$A$15)),0,
         IF(OFFSET(CRONOPLE!$F$15,$M32-$A$15,AT$13)=0,10^12,OFFSET(CRONOPLE!$F$15,$M32-$A$15,AT$13)))</f>
        <v>1000000000000</v>
      </c>
      <c r="AU32" s="170">
        <f ca="1">IF(OR($D32&lt;&gt;"Serviço",AND(AUTOEVENTO="Manual",$M32=$A$15)),0,
         IF(OFFSET(CRONOPLE!$F$15,$M32-$A$15,AU$13)=0,10^12,OFFSET(CRONOPLE!$F$15,$M32-$A$15,AU$13)))</f>
        <v>1000000000000</v>
      </c>
      <c r="AV32" s="170">
        <f ca="1">IF(OR($D32&lt;&gt;"Serviço",AND(AUTOEVENTO="Manual",$M32=$A$15)),0,
         IF(OFFSET(CRONOPLE!$F$15,$M32-$A$15,AV$13)=0,10^12,OFFSET(CRONOPLE!$F$15,$M32-$A$15,AV$13)))</f>
        <v>1000000000000</v>
      </c>
      <c r="AX32" s="171" cm="1">
        <f t="array" aca="1" ref="AX32" ca="1">IF(OR($D32&lt;&gt;"Serviço",AND(AUTOEVENTO="Manual",$M32=$A$15),$M32&gt;(ROW(PLE.lastrow)-ROW(PLE.firstrow))),0,
           IF(OFFSET(PLE!$G$15,$M32-$A$15,AX$13)="",10^12,OFFSET(PLE!$G$15,$M32-$A$15,AX$13)))</f>
        <v>1000000000000</v>
      </c>
      <c r="AY32" s="171" cm="1">
        <f t="array" aca="1" ref="AY32" ca="1">IF(OR($D32&lt;&gt;"Serviço",AND(AUTOEVENTO="Manual",$M32=$A$15),$M32&gt;(ROW(PLE.lastrow)-ROW(PLE.firstrow))),0,
           IF(OFFSET(PLE!$G$15,$M32-$A$15,AY$13)="",10^12,OFFSET(PLE!$G$15,$M32-$A$15,AY$13)))</f>
        <v>1000000000000</v>
      </c>
      <c r="AZ32" s="171" cm="1">
        <f t="array" aca="1" ref="AZ32" ca="1">IF(OR($D32&lt;&gt;"Serviço",AND(AUTOEVENTO="Manual",$M32=$A$15),$M32&gt;(ROW(PLE.lastrow)-ROW(PLE.firstrow))),0,
           IF(OFFSET(PLE!$G$15,$M32-$A$15,AZ$13)="",10^12,OFFSET(PLE!$G$15,$M32-$A$15,AZ$13)))</f>
        <v>1000000000000</v>
      </c>
      <c r="BA32" s="171" cm="1">
        <f t="array" aca="1" ref="BA32" ca="1">IF(OR($D32&lt;&gt;"Serviço",AND(AUTOEVENTO="Manual",$M32=$A$15),$M32&gt;(ROW(PLE.lastrow)-ROW(PLE.firstrow))),0,
           IF(OFFSET(PLE!$G$15,$M32-$A$15,BA$13)="",10^12,OFFSET(PLE!$G$15,$M32-$A$15,BA$13)))</f>
        <v>1000000000000</v>
      </c>
      <c r="BB32" s="171" cm="1">
        <f t="array" aca="1" ref="BB32" ca="1">IF(OR($D32&lt;&gt;"Serviço",AND(AUTOEVENTO="Manual",$M32=$A$15),$M32&gt;(ROW(PLE.lastrow)-ROW(PLE.firstrow))),0,
           IF(OFFSET(PLE!$G$15,$M32-$A$15,BB$13)="",10^12,OFFSET(PLE!$G$15,$M32-$A$15,BB$13)))</f>
        <v>1000000000000</v>
      </c>
      <c r="BC32" s="171" cm="1">
        <f t="array" aca="1" ref="BC32" ca="1">IF(OR($D32&lt;&gt;"Serviço",AND(AUTOEVENTO="Manual",$M32=$A$15),$M32&gt;(ROW(PLE.lastrow)-ROW(PLE.firstrow))),0,
           IF(OFFSET(PLE!$G$15,$M32-$A$15,BC$13)="",10^12,OFFSET(PLE!$G$15,$M32-$A$15,BC$13)))</f>
        <v>1000000000000</v>
      </c>
      <c r="BD32" s="171" cm="1">
        <f t="array" aca="1" ref="BD32" ca="1">IF(OR($D32&lt;&gt;"Serviço",AND(AUTOEVENTO="Manual",$M32=$A$15),$M32&gt;(ROW(PLE.lastrow)-ROW(PLE.firstrow))),0,
           IF(OFFSET(PLE!$G$15,$M32-$A$15,BD$13)="",10^12,OFFSET(PLE!$G$15,$M32-$A$15,BD$13)))</f>
        <v>1000000000000</v>
      </c>
      <c r="BE32" s="171" cm="1">
        <f t="array" aca="1" ref="BE32" ca="1">IF(OR($D32&lt;&gt;"Serviço",AND(AUTOEVENTO="Manual",$M32=$A$15),$M32&gt;(ROW(PLE.lastrow)-ROW(PLE.firstrow))),0,
           IF(OFFSET(PLE!$G$15,$M32-$A$15,BE$13)="",10^12,OFFSET(PLE!$G$15,$M32-$A$15,BE$13)))</f>
        <v>1000000000000</v>
      </c>
      <c r="BF32" s="171" cm="1">
        <f t="array" aca="1" ref="BF32" ca="1">IF(OR($D32&lt;&gt;"Serviço",AND(AUTOEVENTO="Manual",$M32=$A$15),$M32&gt;(ROW(PLE.lastrow)-ROW(PLE.firstrow))),0,
           IF(OFFSET(PLE!$G$15,$M32-$A$15,BF$13)="",10^12,OFFSET(PLE!$G$15,$M32-$A$15,BF$13)))</f>
        <v>1000000000000</v>
      </c>
      <c r="BG32" s="171" cm="1">
        <f t="array" aca="1" ref="BG32" ca="1">IF(OR($D32&lt;&gt;"Serviço",AND(AUTOEVENTO="Manual",$M32=$A$15),$M32&gt;(ROW(PLE.lastrow)-ROW(PLE.firstrow))),0,
           IF(OFFSET(PLE!$G$15,$M32-$A$15,BG$13)="",10^12,OFFSET(PLE!$G$15,$M32-$A$15,BG$13)))</f>
        <v>1000000000000</v>
      </c>
    </row>
    <row r="33" spans="1:59" ht="12.75" x14ac:dyDescent="0.2">
      <c r="A33" s="7" t="str">
        <f t="shared" ca="1" si="8"/>
        <v>18.</v>
      </c>
      <c r="B33" s="7">
        <f ca="1">OFFSET(ORÇAMENTO!C$15,$L33,0)</f>
        <v>2</v>
      </c>
      <c r="C33" s="7" t="str">
        <f ca="1">OFFSET(ORÇAMENTO!L$15,$L33,0)</f>
        <v>F</v>
      </c>
      <c r="D33" s="115" t="str">
        <f ca="1">OFFSET(ORÇAMENTO!N$15,$L33,0)</f>
        <v>Nível 2</v>
      </c>
      <c r="E33" s="116" t="str">
        <f ca="1">OFFSET(ORÇAMENTO!O$15,$L33,0)</f>
        <v>1.5.</v>
      </c>
      <c r="F33" s="162" t="str">
        <f ca="1">OFFSET(ORÇAMENTO!R$15,$L33,0)</f>
        <v>MESOESTRUTURA</v>
      </c>
      <c r="G33" s="163" t="str">
        <f ca="1">IF($D33&lt;&gt;"Serviço","",OFFSET(ORÇAMENTO!S$15,$L33,0))</f>
        <v/>
      </c>
      <c r="H33" s="121" cm="1">
        <f t="array" aca="1" ref="H33" ca="1">IF($D33&lt;&gt;"Serviço",0,IF(ACOMPANHAMENTO="BM",ROUND(OFFSET(ORÇAMENTO!AJ$15,$L33,0),15-13*ORÇAMENTO!$AF$7),IF(IFERROR(CÁLCULO.FrentesPreenchidas,0)=0,0,SUM(ROUND(OFFSET($P33,0,1,1,CÁLCULO.FrentesPreenchidas),15-13*ORÇAMENTO!$AF$7)))))</f>
        <v>0</v>
      </c>
      <c r="I33" s="467"/>
      <c r="J33" s="650" t="str" cm="1">
        <f t="array" aca="1" ref="J33" ca="1">IF(OR(B33&lt;&gt;"S",CÁLCULO.FrentesPreenchidas=0),"",IF(AND(ACOMPANHAMENTO="PLE",AUTOEVENTO="Manual",OR(H33&gt;0,ORÇAMENTO!AC33="QUANT."),OR(K33="",M33=0,N33="")),"►E",IF(AND(ACOMPANHAMENTO="PLE",ORÇAMENTO!AC33="QUANT."),"►Q",IF(AND(ACOMPANHAMENTO="PLE",H33&lt;&gt;SUMPRODUCT(($Q$1:$AA$1=1)*ROUND(Q33:AA33,15))),"►S",IF(AND(COUNTIF($P$11:$AA$11,"▼")=0,H33&gt;0,I33=""),"◄M","")))))</f>
        <v/>
      </c>
      <c r="K33" s="651"/>
      <c r="L33" s="164">
        <f t="shared" ca="1" si="9"/>
        <v>18</v>
      </c>
      <c r="M33" s="165" t="str">
        <f ca="1">IF($D33&lt;&gt;"Serviço","",
          IF(AUTOEVENTO="manual",$A33,
                IF(ISERROR(MATCH($A33,$A$15:OFFSET($A33,-1,0),0)),MAX($M$15:OFFSET(M33,-1,0))+1,
                      INDEX($M$15:OFFSET(M33,-1,0),MATCH($A33,$A$15:OFFSET($A33,-1,0),0)))))</f>
        <v/>
      </c>
      <c r="N33" s="166" t="str">
        <f ca="1">IF($D33&lt;&gt;"Serviço","",
         IF(AUTOEVENTO="Manual",
                IF($A33=0,"&lt;-- defina o número do agrupador",
                       OFFSET(EVENTOS!$D$15,$A33-$A$15,0)),
                OFFSET($F$15,$A33,0)))</f>
        <v/>
      </c>
      <c r="O33" s="167"/>
      <c r="Q33" s="167"/>
      <c r="R33" s="168"/>
      <c r="S33" s="168"/>
      <c r="T33" s="168"/>
      <c r="U33" s="168"/>
      <c r="V33" s="168"/>
      <c r="W33" s="168"/>
      <c r="X33" s="168"/>
      <c r="Y33" s="168"/>
      <c r="Z33" s="169"/>
      <c r="AB33" s="452">
        <f ca="1">IF(AND($D33="Serviço",AB$12&lt;&gt;0,$H33&gt;0,OR(AUTOEVENTO&lt;&gt;"manual",$M33&lt;&gt;$A$15)),
        IF(Import.TipoArredondamento&lt;&gt;"TransfereGOV",
              ROUND(OFFSET($P33,0,AB$13),15-13*ORÇAMENTO!$AF$7)/$H33*OFFSET(ORÇAMENTO!$X$15,ROW(AB33)-ROW(AB$15),0),
              ROUND(ROUND(OFFSET($P33,0,AB$13),15-13*ORÇAMENTO!$AF$7)*OFFSET(ORÇAMENTO!$W$15,ROW(AB33)-ROW(AB$15),0),15-13*ORÇAMENTO!$AF$11)),
         0)</f>
        <v>0</v>
      </c>
      <c r="AC33" s="452">
        <f ca="1">IF(AND($D33="Serviço",AC$12&lt;&gt;0,$H33&gt;0,OR(AUTOEVENTO&lt;&gt;"manual",$M33&lt;&gt;$A$15)),
        IF(Import.TipoArredondamento&lt;&gt;"TransfereGOV",
              ROUND(OFFSET($P33,0,AC$13),15-13*ORÇAMENTO!$AF$7)/$H33*OFFSET(ORÇAMENTO!$X$15,ROW(AC33)-ROW(AC$15),0),
              ROUND(ROUND(OFFSET($P33,0,AC$13),15-13*ORÇAMENTO!$AF$7)*OFFSET(ORÇAMENTO!$W$15,ROW(AC33)-ROW(AC$15),0),15-13*ORÇAMENTO!$AF$11)),
         0)</f>
        <v>0</v>
      </c>
      <c r="AD33" s="452">
        <f ca="1">IF(AND($D33="Serviço",AD$12&lt;&gt;0,$H33&gt;0,OR(AUTOEVENTO&lt;&gt;"manual",$M33&lt;&gt;$A$15)),
        IF(Import.TipoArredondamento&lt;&gt;"TransfereGOV",
              ROUND(OFFSET($P33,0,AD$13),15-13*ORÇAMENTO!$AF$7)/$H33*OFFSET(ORÇAMENTO!$X$15,ROW(AD33)-ROW(AD$15),0),
              ROUND(ROUND(OFFSET($P33,0,AD$13),15-13*ORÇAMENTO!$AF$7)*OFFSET(ORÇAMENTO!$W$15,ROW(AD33)-ROW(AD$15),0),15-13*ORÇAMENTO!$AF$11)),
         0)</f>
        <v>0</v>
      </c>
      <c r="AE33" s="452">
        <f ca="1">IF(AND($D33="Serviço",AE$12&lt;&gt;0,$H33&gt;0,OR(AUTOEVENTO&lt;&gt;"manual",$M33&lt;&gt;$A$15)),
        IF(Import.TipoArredondamento&lt;&gt;"TransfereGOV",
              ROUND(OFFSET($P33,0,AE$13),15-13*ORÇAMENTO!$AF$7)/$H33*OFFSET(ORÇAMENTO!$X$15,ROW(AE33)-ROW(AE$15),0),
              ROUND(ROUND(OFFSET($P33,0,AE$13),15-13*ORÇAMENTO!$AF$7)*OFFSET(ORÇAMENTO!$W$15,ROW(AE33)-ROW(AE$15),0),15-13*ORÇAMENTO!$AF$11)),
         0)</f>
        <v>0</v>
      </c>
      <c r="AF33" s="452">
        <f ca="1">IF(AND($D33="Serviço",AF$12&lt;&gt;0,$H33&gt;0,OR(AUTOEVENTO&lt;&gt;"manual",$M33&lt;&gt;$A$15)),
        IF(Import.TipoArredondamento&lt;&gt;"TransfereGOV",
              ROUND(OFFSET($P33,0,AF$13),15-13*ORÇAMENTO!$AF$7)/$H33*OFFSET(ORÇAMENTO!$X$15,ROW(AF33)-ROW(AF$15),0),
              ROUND(ROUND(OFFSET($P33,0,AF$13),15-13*ORÇAMENTO!$AF$7)*OFFSET(ORÇAMENTO!$W$15,ROW(AF33)-ROW(AF$15),0),15-13*ORÇAMENTO!$AF$11)),
         0)</f>
        <v>0</v>
      </c>
      <c r="AG33" s="452">
        <f ca="1">IF(AND($D33="Serviço",AG$12&lt;&gt;0,$H33&gt;0,OR(AUTOEVENTO&lt;&gt;"manual",$M33&lt;&gt;$A$15)),
        IF(Import.TipoArredondamento&lt;&gt;"TransfereGOV",
              ROUND(OFFSET($P33,0,AG$13),15-13*ORÇAMENTO!$AF$7)/$H33*OFFSET(ORÇAMENTO!$X$15,ROW(AG33)-ROW(AG$15),0),
              ROUND(ROUND(OFFSET($P33,0,AG$13),15-13*ORÇAMENTO!$AF$7)*OFFSET(ORÇAMENTO!$W$15,ROW(AG33)-ROW(AG$15),0),15-13*ORÇAMENTO!$AF$11)),
         0)</f>
        <v>0</v>
      </c>
      <c r="AH33" s="452">
        <f ca="1">IF(AND($D33="Serviço",AH$12&lt;&gt;0,$H33&gt;0,OR(AUTOEVENTO&lt;&gt;"manual",$M33&lt;&gt;$A$15)),
        IF(Import.TipoArredondamento&lt;&gt;"TransfereGOV",
              ROUND(OFFSET($P33,0,AH$13),15-13*ORÇAMENTO!$AF$7)/$H33*OFFSET(ORÇAMENTO!$X$15,ROW(AH33)-ROW(AH$15),0),
              ROUND(ROUND(OFFSET($P33,0,AH$13),15-13*ORÇAMENTO!$AF$7)*OFFSET(ORÇAMENTO!$W$15,ROW(AH33)-ROW(AH$15),0),15-13*ORÇAMENTO!$AF$11)),
         0)</f>
        <v>0</v>
      </c>
      <c r="AI33" s="452">
        <f ca="1">IF(AND($D33="Serviço",AI$12&lt;&gt;0,$H33&gt;0,OR(AUTOEVENTO&lt;&gt;"manual",$M33&lt;&gt;$A$15)),
        IF(Import.TipoArredondamento&lt;&gt;"TransfereGOV",
              ROUND(OFFSET($P33,0,AI$13),15-13*ORÇAMENTO!$AF$7)/$H33*OFFSET(ORÇAMENTO!$X$15,ROW(AI33)-ROW(AI$15),0),
              ROUND(ROUND(OFFSET($P33,0,AI$13),15-13*ORÇAMENTO!$AF$7)*OFFSET(ORÇAMENTO!$W$15,ROW(AI33)-ROW(AI$15),0),15-13*ORÇAMENTO!$AF$11)),
         0)</f>
        <v>0</v>
      </c>
      <c r="AJ33" s="452">
        <f ca="1">IF(AND($D33="Serviço",AJ$12&lt;&gt;0,$H33&gt;0,OR(AUTOEVENTO&lt;&gt;"manual",$M33&lt;&gt;$A$15)),
        IF(Import.TipoArredondamento&lt;&gt;"TransfereGOV",
              ROUND(OFFSET($P33,0,AJ$13),15-13*ORÇAMENTO!$AF$7)/$H33*OFFSET(ORÇAMENTO!$X$15,ROW(AJ33)-ROW(AJ$15),0),
              ROUND(ROUND(OFFSET($P33,0,AJ$13),15-13*ORÇAMENTO!$AF$7)*OFFSET(ORÇAMENTO!$W$15,ROW(AJ33)-ROW(AJ$15),0),15-13*ORÇAMENTO!$AF$11)),
         0)</f>
        <v>0</v>
      </c>
      <c r="AK33" s="452">
        <f ca="1">IF(AND($D33="Serviço",AK$12&lt;&gt;0,$H33&gt;0,OR(AUTOEVENTO&lt;&gt;"manual",$M33&lt;&gt;$A$15)),
        IF(Import.TipoArredondamento&lt;&gt;"TransfereGOV",
              ROUND(OFFSET($P33,0,AK$13),15-13*ORÇAMENTO!$AF$7)/$H33*OFFSET(ORÇAMENTO!$X$15,ROW(AK33)-ROW(AK$15),0),
              ROUND(ROUND(OFFSET($P33,0,AK$13),15-13*ORÇAMENTO!$AF$7)*OFFSET(ORÇAMENTO!$W$15,ROW(AK33)-ROW(AK$15),0),15-13*ORÇAMENTO!$AF$11)),
         0)</f>
        <v>0</v>
      </c>
      <c r="AM33" s="170">
        <f ca="1">IF(OR($D33&lt;&gt;"Serviço",AND(AUTOEVENTO="Manual",$M33=$A$15)),0,
         IF(OFFSET(CRONOPLE!$F$15,$M33-$A$15,AM$13)=0,10^12,OFFSET(CRONOPLE!$F$15,$M33-$A$15,AM$13)))</f>
        <v>0</v>
      </c>
      <c r="AN33" s="170">
        <f ca="1">IF(OR($D33&lt;&gt;"Serviço",AND(AUTOEVENTO="Manual",$M33=$A$15)),0,
         IF(OFFSET(CRONOPLE!$F$15,$M33-$A$15,AN$13)=0,10^12,OFFSET(CRONOPLE!$F$15,$M33-$A$15,AN$13)))</f>
        <v>0</v>
      </c>
      <c r="AO33" s="170">
        <f ca="1">IF(OR($D33&lt;&gt;"Serviço",AND(AUTOEVENTO="Manual",$M33=$A$15)),0,
         IF(OFFSET(CRONOPLE!$F$15,$M33-$A$15,AO$13)=0,10^12,OFFSET(CRONOPLE!$F$15,$M33-$A$15,AO$13)))</f>
        <v>0</v>
      </c>
      <c r="AP33" s="170">
        <f ca="1">IF(OR($D33&lt;&gt;"Serviço",AND(AUTOEVENTO="Manual",$M33=$A$15)),0,
         IF(OFFSET(CRONOPLE!$F$15,$M33-$A$15,AP$13)=0,10^12,OFFSET(CRONOPLE!$F$15,$M33-$A$15,AP$13)))</f>
        <v>0</v>
      </c>
      <c r="AQ33" s="170">
        <f ca="1">IF(OR($D33&lt;&gt;"Serviço",AND(AUTOEVENTO="Manual",$M33=$A$15)),0,
         IF(OFFSET(CRONOPLE!$F$15,$M33-$A$15,AQ$13)=0,10^12,OFFSET(CRONOPLE!$F$15,$M33-$A$15,AQ$13)))</f>
        <v>0</v>
      </c>
      <c r="AR33" s="170">
        <f ca="1">IF(OR($D33&lt;&gt;"Serviço",AND(AUTOEVENTO="Manual",$M33=$A$15)),0,
         IF(OFFSET(CRONOPLE!$F$15,$M33-$A$15,AR$13)=0,10^12,OFFSET(CRONOPLE!$F$15,$M33-$A$15,AR$13)))</f>
        <v>0</v>
      </c>
      <c r="AS33" s="170">
        <f ca="1">IF(OR($D33&lt;&gt;"Serviço",AND(AUTOEVENTO="Manual",$M33=$A$15)),0,
         IF(OFFSET(CRONOPLE!$F$15,$M33-$A$15,AS$13)=0,10^12,OFFSET(CRONOPLE!$F$15,$M33-$A$15,AS$13)))</f>
        <v>0</v>
      </c>
      <c r="AT33" s="170">
        <f ca="1">IF(OR($D33&lt;&gt;"Serviço",AND(AUTOEVENTO="Manual",$M33=$A$15)),0,
         IF(OFFSET(CRONOPLE!$F$15,$M33-$A$15,AT$13)=0,10^12,OFFSET(CRONOPLE!$F$15,$M33-$A$15,AT$13)))</f>
        <v>0</v>
      </c>
      <c r="AU33" s="170">
        <f ca="1">IF(OR($D33&lt;&gt;"Serviço",AND(AUTOEVENTO="Manual",$M33=$A$15)),0,
         IF(OFFSET(CRONOPLE!$F$15,$M33-$A$15,AU$13)=0,10^12,OFFSET(CRONOPLE!$F$15,$M33-$A$15,AU$13)))</f>
        <v>0</v>
      </c>
      <c r="AV33" s="170">
        <f ca="1">IF(OR($D33&lt;&gt;"Serviço",AND(AUTOEVENTO="Manual",$M33=$A$15)),0,
         IF(OFFSET(CRONOPLE!$F$15,$M33-$A$15,AV$13)=0,10^12,OFFSET(CRONOPLE!$F$15,$M33-$A$15,AV$13)))</f>
        <v>0</v>
      </c>
      <c r="AX33" s="171" cm="1">
        <f t="array" aca="1" ref="AX33" ca="1">IF(OR($D33&lt;&gt;"Serviço",AND(AUTOEVENTO="Manual",$M33=$A$15),$M33&gt;(ROW(PLE.lastrow)-ROW(PLE.firstrow))),0,
           IF(OFFSET(PLE!$G$15,$M33-$A$15,AX$13)="",10^12,OFFSET(PLE!$G$15,$M33-$A$15,AX$13)))</f>
        <v>0</v>
      </c>
      <c r="AY33" s="171" cm="1">
        <f t="array" aca="1" ref="AY33" ca="1">IF(OR($D33&lt;&gt;"Serviço",AND(AUTOEVENTO="Manual",$M33=$A$15),$M33&gt;(ROW(PLE.lastrow)-ROW(PLE.firstrow))),0,
           IF(OFFSET(PLE!$G$15,$M33-$A$15,AY$13)="",10^12,OFFSET(PLE!$G$15,$M33-$A$15,AY$13)))</f>
        <v>0</v>
      </c>
      <c r="AZ33" s="171" cm="1">
        <f t="array" aca="1" ref="AZ33" ca="1">IF(OR($D33&lt;&gt;"Serviço",AND(AUTOEVENTO="Manual",$M33=$A$15),$M33&gt;(ROW(PLE.lastrow)-ROW(PLE.firstrow))),0,
           IF(OFFSET(PLE!$G$15,$M33-$A$15,AZ$13)="",10^12,OFFSET(PLE!$G$15,$M33-$A$15,AZ$13)))</f>
        <v>0</v>
      </c>
      <c r="BA33" s="171" cm="1">
        <f t="array" aca="1" ref="BA33" ca="1">IF(OR($D33&lt;&gt;"Serviço",AND(AUTOEVENTO="Manual",$M33=$A$15),$M33&gt;(ROW(PLE.lastrow)-ROW(PLE.firstrow))),0,
           IF(OFFSET(PLE!$G$15,$M33-$A$15,BA$13)="",10^12,OFFSET(PLE!$G$15,$M33-$A$15,BA$13)))</f>
        <v>0</v>
      </c>
      <c r="BB33" s="171" cm="1">
        <f t="array" aca="1" ref="BB33" ca="1">IF(OR($D33&lt;&gt;"Serviço",AND(AUTOEVENTO="Manual",$M33=$A$15),$M33&gt;(ROW(PLE.lastrow)-ROW(PLE.firstrow))),0,
           IF(OFFSET(PLE!$G$15,$M33-$A$15,BB$13)="",10^12,OFFSET(PLE!$G$15,$M33-$A$15,BB$13)))</f>
        <v>0</v>
      </c>
      <c r="BC33" s="171" cm="1">
        <f t="array" aca="1" ref="BC33" ca="1">IF(OR($D33&lt;&gt;"Serviço",AND(AUTOEVENTO="Manual",$M33=$A$15),$M33&gt;(ROW(PLE.lastrow)-ROW(PLE.firstrow))),0,
           IF(OFFSET(PLE!$G$15,$M33-$A$15,BC$13)="",10^12,OFFSET(PLE!$G$15,$M33-$A$15,BC$13)))</f>
        <v>0</v>
      </c>
      <c r="BD33" s="171" cm="1">
        <f t="array" aca="1" ref="BD33" ca="1">IF(OR($D33&lt;&gt;"Serviço",AND(AUTOEVENTO="Manual",$M33=$A$15),$M33&gt;(ROW(PLE.lastrow)-ROW(PLE.firstrow))),0,
           IF(OFFSET(PLE!$G$15,$M33-$A$15,BD$13)="",10^12,OFFSET(PLE!$G$15,$M33-$A$15,BD$13)))</f>
        <v>0</v>
      </c>
      <c r="BE33" s="171" cm="1">
        <f t="array" aca="1" ref="BE33" ca="1">IF(OR($D33&lt;&gt;"Serviço",AND(AUTOEVENTO="Manual",$M33=$A$15),$M33&gt;(ROW(PLE.lastrow)-ROW(PLE.firstrow))),0,
           IF(OFFSET(PLE!$G$15,$M33-$A$15,BE$13)="",10^12,OFFSET(PLE!$G$15,$M33-$A$15,BE$13)))</f>
        <v>0</v>
      </c>
      <c r="BF33" s="171" cm="1">
        <f t="array" aca="1" ref="BF33" ca="1">IF(OR($D33&lt;&gt;"Serviço",AND(AUTOEVENTO="Manual",$M33=$A$15),$M33&gt;(ROW(PLE.lastrow)-ROW(PLE.firstrow))),0,
           IF(OFFSET(PLE!$G$15,$M33-$A$15,BF$13)="",10^12,OFFSET(PLE!$G$15,$M33-$A$15,BF$13)))</f>
        <v>0</v>
      </c>
      <c r="BG33" s="171" cm="1">
        <f t="array" aca="1" ref="BG33" ca="1">IF(OR($D33&lt;&gt;"Serviço",AND(AUTOEVENTO="Manual",$M33=$A$15),$M33&gt;(ROW(PLE.lastrow)-ROW(PLE.firstrow))),0,
           IF(OFFSET(PLE!$G$15,$M33-$A$15,BG$13)="",10^12,OFFSET(PLE!$G$15,$M33-$A$15,BG$13)))</f>
        <v>0</v>
      </c>
    </row>
    <row r="34" spans="1:59" ht="38.25" x14ac:dyDescent="0.2">
      <c r="A34" s="7" t="str">
        <f t="shared" ca="1" si="8"/>
        <v>18</v>
      </c>
      <c r="B34" s="7" t="str">
        <f ca="1">OFFSET(ORÇAMENTO!C$15,$L34,0)</f>
        <v>S</v>
      </c>
      <c r="C34" s="7" t="str">
        <f ca="1">OFFSET(ORÇAMENTO!L$15,$L34,0)</f>
        <v>F</v>
      </c>
      <c r="D34" s="115" t="str">
        <f ca="1">OFFSET(ORÇAMENTO!N$15,$L34,0)</f>
        <v>Serviço</v>
      </c>
      <c r="E34" s="116" t="str">
        <f ca="1">OFFSET(ORÇAMENTO!O$15,$L34,0)</f>
        <v>1.5.1.</v>
      </c>
      <c r="F34" s="162" t="str">
        <f ca="1">OFFSET(ORÇAMENTO!R$15,$L34,0)</f>
        <v>FABRICAÇÃO, MONTAGEM E DESMONTAGEM DE FÔRMA PARA BLOCO DE COROAMENTO, EM MADEIRA SERRADA,
 E=25 MM, 2 UTILIZAÇÕES. AF_01/2024</v>
      </c>
      <c r="G34" s="163" t="str">
        <f ca="1">IF($D34&lt;&gt;"Serviço","",OFFSET(ORÇAMENTO!S$15,$L34,0))</f>
        <v>M2</v>
      </c>
      <c r="H34" s="121" cm="1">
        <f t="array" aca="1" ref="H34" ca="1">IF($D34&lt;&gt;"Serviço",0,IF(ACOMPANHAMENTO="BM",ROUND(OFFSET(ORÇAMENTO!AJ$15,$L34,0),15-13*ORÇAMENTO!$AF$7),IF(IFERROR(CÁLCULO.FrentesPreenchidas,0)=0,0,SUM(ROUND(OFFSET($P34,0,1,1,CÁLCULO.FrentesPreenchidas),15-13*ORÇAMENTO!$AF$7)))))</f>
        <v>146.32</v>
      </c>
      <c r="I34" s="467"/>
      <c r="J34" s="650" t="str" cm="1">
        <f t="array" aca="1" ref="J34" ca="1">IF(OR(B34&lt;&gt;"S",CÁLCULO.FrentesPreenchidas=0),"",IF(AND(ACOMPANHAMENTO="PLE",AUTOEVENTO="Manual",OR(H34&gt;0,ORÇAMENTO!AC34="QUANT."),OR(K34="",M34=0,N34="")),"►E",IF(AND(ACOMPANHAMENTO="PLE",ORÇAMENTO!AC34="QUANT."),"►Q",IF(AND(ACOMPANHAMENTO="PLE",H34&lt;&gt;SUMPRODUCT(($Q$1:$AA$1=1)*ROUND(Q34:AA34,15))),"►S",IF(AND(COUNTIF($P$11:$AA$11,"▼")=0,H34&gt;0,I34=""),"◄M","")))))</f>
        <v>◄M</v>
      </c>
      <c r="K34" s="651"/>
      <c r="L34" s="164">
        <f t="shared" ca="1" si="9"/>
        <v>19</v>
      </c>
      <c r="M34" s="165">
        <f ca="1">IF($D34&lt;&gt;"Serviço","",
          IF(AUTOEVENTO="manual",$A34,
                IF(ISERROR(MATCH($A34,$A$15:OFFSET($A34,-1,0),0)),MAX($M$15:OFFSET(M34,-1,0))+1,
                      INDEX($M$15:OFFSET(M34,-1,0),MATCH($A34,$A$15:OFFSET($A34,-1,0),0)))))</f>
        <v>5</v>
      </c>
      <c r="N34" s="166" t="str">
        <f ca="1">IF($D34&lt;&gt;"Serviço","",
         IF(AUTOEVENTO="Manual",
                IF($A34=0,"&lt;-- defina o número do agrupador",
                       OFFSET(EVENTOS!$D$15,$A34-$A$15,0)),
                OFFSET($F$15,$A34,0)))</f>
        <v>MESOESTRUTURA</v>
      </c>
      <c r="O34" s="167"/>
      <c r="Q34" s="167"/>
      <c r="R34" s="168">
        <v>146.32</v>
      </c>
      <c r="S34" s="168"/>
      <c r="T34" s="168"/>
      <c r="U34" s="168"/>
      <c r="V34" s="168"/>
      <c r="W34" s="168"/>
      <c r="X34" s="168"/>
      <c r="Y34" s="168"/>
      <c r="Z34" s="169"/>
      <c r="AB34" s="452">
        <f ca="1">IF(AND($D34="Serviço",AB$12&lt;&gt;0,$H34&gt;0,OR(AUTOEVENTO&lt;&gt;"manual",$M34&lt;&gt;$A$15)),
        IF(Import.TipoArredondamento&lt;&gt;"TransfereGOV",
              ROUND(OFFSET($P34,0,AB$13),15-13*ORÇAMENTO!$AF$7)/$H34*OFFSET(ORÇAMENTO!$X$15,ROW(AB34)-ROW(AB$15),0),
              ROUND(ROUND(OFFSET($P34,0,AB$13),15-13*ORÇAMENTO!$AF$7)*OFFSET(ORÇAMENTO!$W$15,ROW(AB34)-ROW(AB$15),0),15-13*ORÇAMENTO!$AF$11)),
         0)</f>
        <v>0</v>
      </c>
      <c r="AC34" s="452">
        <f ca="1">IF(AND($D34="Serviço",AC$12&lt;&gt;0,$H34&gt;0,OR(AUTOEVENTO&lt;&gt;"manual",$M34&lt;&gt;$A$15)),
        IF(Import.TipoArredondamento&lt;&gt;"TransfereGOV",
              ROUND(OFFSET($P34,0,AC$13),15-13*ORÇAMENTO!$AF$7)/$H34*OFFSET(ORÇAMENTO!$X$15,ROW(AC34)-ROW(AC$15),0),
              ROUND(ROUND(OFFSET($P34,0,AC$13),15-13*ORÇAMENTO!$AF$7)*OFFSET(ORÇAMENTO!$W$15,ROW(AC34)-ROW(AC$15),0),15-13*ORÇAMENTO!$AF$11)),
         0)</f>
        <v>17192.599999999999</v>
      </c>
      <c r="AD34" s="452">
        <f ca="1">IF(AND($D34="Serviço",AD$12&lt;&gt;0,$H34&gt;0,OR(AUTOEVENTO&lt;&gt;"manual",$M34&lt;&gt;$A$15)),
        IF(Import.TipoArredondamento&lt;&gt;"TransfereGOV",
              ROUND(OFFSET($P34,0,AD$13),15-13*ORÇAMENTO!$AF$7)/$H34*OFFSET(ORÇAMENTO!$X$15,ROW(AD34)-ROW(AD$15),0),
              ROUND(ROUND(OFFSET($P34,0,AD$13),15-13*ORÇAMENTO!$AF$7)*OFFSET(ORÇAMENTO!$W$15,ROW(AD34)-ROW(AD$15),0),15-13*ORÇAMENTO!$AF$11)),
         0)</f>
        <v>0</v>
      </c>
      <c r="AE34" s="452">
        <f ca="1">IF(AND($D34="Serviço",AE$12&lt;&gt;0,$H34&gt;0,OR(AUTOEVENTO&lt;&gt;"manual",$M34&lt;&gt;$A$15)),
        IF(Import.TipoArredondamento&lt;&gt;"TransfereGOV",
              ROUND(OFFSET($P34,0,AE$13),15-13*ORÇAMENTO!$AF$7)/$H34*OFFSET(ORÇAMENTO!$X$15,ROW(AE34)-ROW(AE$15),0),
              ROUND(ROUND(OFFSET($P34,0,AE$13),15-13*ORÇAMENTO!$AF$7)*OFFSET(ORÇAMENTO!$W$15,ROW(AE34)-ROW(AE$15),0),15-13*ORÇAMENTO!$AF$11)),
         0)</f>
        <v>0</v>
      </c>
      <c r="AF34" s="452">
        <f ca="1">IF(AND($D34="Serviço",AF$12&lt;&gt;0,$H34&gt;0,OR(AUTOEVENTO&lt;&gt;"manual",$M34&lt;&gt;$A$15)),
        IF(Import.TipoArredondamento&lt;&gt;"TransfereGOV",
              ROUND(OFFSET($P34,0,AF$13),15-13*ORÇAMENTO!$AF$7)/$H34*OFFSET(ORÇAMENTO!$X$15,ROW(AF34)-ROW(AF$15),0),
              ROUND(ROUND(OFFSET($P34,0,AF$13),15-13*ORÇAMENTO!$AF$7)*OFFSET(ORÇAMENTO!$W$15,ROW(AF34)-ROW(AF$15),0),15-13*ORÇAMENTO!$AF$11)),
         0)</f>
        <v>0</v>
      </c>
      <c r="AG34" s="452">
        <f ca="1">IF(AND($D34="Serviço",AG$12&lt;&gt;0,$H34&gt;0,OR(AUTOEVENTO&lt;&gt;"manual",$M34&lt;&gt;$A$15)),
        IF(Import.TipoArredondamento&lt;&gt;"TransfereGOV",
              ROUND(OFFSET($P34,0,AG$13),15-13*ORÇAMENTO!$AF$7)/$H34*OFFSET(ORÇAMENTO!$X$15,ROW(AG34)-ROW(AG$15),0),
              ROUND(ROUND(OFFSET($P34,0,AG$13),15-13*ORÇAMENTO!$AF$7)*OFFSET(ORÇAMENTO!$W$15,ROW(AG34)-ROW(AG$15),0),15-13*ORÇAMENTO!$AF$11)),
         0)</f>
        <v>0</v>
      </c>
      <c r="AH34" s="452">
        <f ca="1">IF(AND($D34="Serviço",AH$12&lt;&gt;0,$H34&gt;0,OR(AUTOEVENTO&lt;&gt;"manual",$M34&lt;&gt;$A$15)),
        IF(Import.TipoArredondamento&lt;&gt;"TransfereGOV",
              ROUND(OFFSET($P34,0,AH$13),15-13*ORÇAMENTO!$AF$7)/$H34*OFFSET(ORÇAMENTO!$X$15,ROW(AH34)-ROW(AH$15),0),
              ROUND(ROUND(OFFSET($P34,0,AH$13),15-13*ORÇAMENTO!$AF$7)*OFFSET(ORÇAMENTO!$W$15,ROW(AH34)-ROW(AH$15),0),15-13*ORÇAMENTO!$AF$11)),
         0)</f>
        <v>0</v>
      </c>
      <c r="AI34" s="452">
        <f ca="1">IF(AND($D34="Serviço",AI$12&lt;&gt;0,$H34&gt;0,OR(AUTOEVENTO&lt;&gt;"manual",$M34&lt;&gt;$A$15)),
        IF(Import.TipoArredondamento&lt;&gt;"TransfereGOV",
              ROUND(OFFSET($P34,0,AI$13),15-13*ORÇAMENTO!$AF$7)/$H34*OFFSET(ORÇAMENTO!$X$15,ROW(AI34)-ROW(AI$15),0),
              ROUND(ROUND(OFFSET($P34,0,AI$13),15-13*ORÇAMENTO!$AF$7)*OFFSET(ORÇAMENTO!$W$15,ROW(AI34)-ROW(AI$15),0),15-13*ORÇAMENTO!$AF$11)),
         0)</f>
        <v>0</v>
      </c>
      <c r="AJ34" s="452">
        <f ca="1">IF(AND($D34="Serviço",AJ$12&lt;&gt;0,$H34&gt;0,OR(AUTOEVENTO&lt;&gt;"manual",$M34&lt;&gt;$A$15)),
        IF(Import.TipoArredondamento&lt;&gt;"TransfereGOV",
              ROUND(OFFSET($P34,0,AJ$13),15-13*ORÇAMENTO!$AF$7)/$H34*OFFSET(ORÇAMENTO!$X$15,ROW(AJ34)-ROW(AJ$15),0),
              ROUND(ROUND(OFFSET($P34,0,AJ$13),15-13*ORÇAMENTO!$AF$7)*OFFSET(ORÇAMENTO!$W$15,ROW(AJ34)-ROW(AJ$15),0),15-13*ORÇAMENTO!$AF$11)),
         0)</f>
        <v>0</v>
      </c>
      <c r="AK34" s="452">
        <f ca="1">IF(AND($D34="Serviço",AK$12&lt;&gt;0,$H34&gt;0,OR(AUTOEVENTO&lt;&gt;"manual",$M34&lt;&gt;$A$15)),
        IF(Import.TipoArredondamento&lt;&gt;"TransfereGOV",
              ROUND(OFFSET($P34,0,AK$13),15-13*ORÇAMENTO!$AF$7)/$H34*OFFSET(ORÇAMENTO!$X$15,ROW(AK34)-ROW(AK$15),0),
              ROUND(ROUND(OFFSET($P34,0,AK$13),15-13*ORÇAMENTO!$AF$7)*OFFSET(ORÇAMENTO!$W$15,ROW(AK34)-ROW(AK$15),0),15-13*ORÇAMENTO!$AF$11)),
         0)</f>
        <v>0</v>
      </c>
      <c r="AM34" s="170">
        <f ca="1">IF(OR($D34&lt;&gt;"Serviço",AND(AUTOEVENTO="Manual",$M34=$A$15)),0,
         IF(OFFSET(CRONOPLE!$F$15,$M34-$A$15,AM$13)=0,10^12,OFFSET(CRONOPLE!$F$15,$M34-$A$15,AM$13)))</f>
        <v>1</v>
      </c>
      <c r="AN34" s="170">
        <f ca="1">IF(OR($D34&lt;&gt;"Serviço",AND(AUTOEVENTO="Manual",$M34=$A$15)),0,
         IF(OFFSET(CRONOPLE!$F$15,$M34-$A$15,AN$13)=0,10^12,OFFSET(CRONOPLE!$F$15,$M34-$A$15,AN$13)))</f>
        <v>2</v>
      </c>
      <c r="AO34" s="170">
        <f ca="1">IF(OR($D34&lt;&gt;"Serviço",AND(AUTOEVENTO="Manual",$M34=$A$15)),0,
         IF(OFFSET(CRONOPLE!$F$15,$M34-$A$15,AO$13)=0,10^12,OFFSET(CRONOPLE!$F$15,$M34-$A$15,AO$13)))</f>
        <v>1000000000000</v>
      </c>
      <c r="AP34" s="170">
        <f ca="1">IF(OR($D34&lt;&gt;"Serviço",AND(AUTOEVENTO="Manual",$M34=$A$15)),0,
         IF(OFFSET(CRONOPLE!$F$15,$M34-$A$15,AP$13)=0,10^12,OFFSET(CRONOPLE!$F$15,$M34-$A$15,AP$13)))</f>
        <v>1000000000000</v>
      </c>
      <c r="AQ34" s="170">
        <f ca="1">IF(OR($D34&lt;&gt;"Serviço",AND(AUTOEVENTO="Manual",$M34=$A$15)),0,
         IF(OFFSET(CRONOPLE!$F$15,$M34-$A$15,AQ$13)=0,10^12,OFFSET(CRONOPLE!$F$15,$M34-$A$15,AQ$13)))</f>
        <v>1000000000000</v>
      </c>
      <c r="AR34" s="170">
        <f ca="1">IF(OR($D34&lt;&gt;"Serviço",AND(AUTOEVENTO="Manual",$M34=$A$15)),0,
         IF(OFFSET(CRONOPLE!$F$15,$M34-$A$15,AR$13)=0,10^12,OFFSET(CRONOPLE!$F$15,$M34-$A$15,AR$13)))</f>
        <v>1000000000000</v>
      </c>
      <c r="AS34" s="170">
        <f ca="1">IF(OR($D34&lt;&gt;"Serviço",AND(AUTOEVENTO="Manual",$M34=$A$15)),0,
         IF(OFFSET(CRONOPLE!$F$15,$M34-$A$15,AS$13)=0,10^12,OFFSET(CRONOPLE!$F$15,$M34-$A$15,AS$13)))</f>
        <v>1000000000000</v>
      </c>
      <c r="AT34" s="170">
        <f ca="1">IF(OR($D34&lt;&gt;"Serviço",AND(AUTOEVENTO="Manual",$M34=$A$15)),0,
         IF(OFFSET(CRONOPLE!$F$15,$M34-$A$15,AT$13)=0,10^12,OFFSET(CRONOPLE!$F$15,$M34-$A$15,AT$13)))</f>
        <v>1000000000000</v>
      </c>
      <c r="AU34" s="170">
        <f ca="1">IF(OR($D34&lt;&gt;"Serviço",AND(AUTOEVENTO="Manual",$M34=$A$15)),0,
         IF(OFFSET(CRONOPLE!$F$15,$M34-$A$15,AU$13)=0,10^12,OFFSET(CRONOPLE!$F$15,$M34-$A$15,AU$13)))</f>
        <v>1000000000000</v>
      </c>
      <c r="AV34" s="170">
        <f ca="1">IF(OR($D34&lt;&gt;"Serviço",AND(AUTOEVENTO="Manual",$M34=$A$15)),0,
         IF(OFFSET(CRONOPLE!$F$15,$M34-$A$15,AV$13)=0,10^12,OFFSET(CRONOPLE!$F$15,$M34-$A$15,AV$13)))</f>
        <v>1000000000000</v>
      </c>
      <c r="AX34" s="171" cm="1">
        <f t="array" aca="1" ref="AX34" ca="1">IF(OR($D34&lt;&gt;"Serviço",AND(AUTOEVENTO="Manual",$M34=$A$15),$M34&gt;(ROW(PLE.lastrow)-ROW(PLE.firstrow))),0,
           IF(OFFSET(PLE!$G$15,$M34-$A$15,AX$13)="",10^12,OFFSET(PLE!$G$15,$M34-$A$15,AX$13)))</f>
        <v>1000000000000</v>
      </c>
      <c r="AY34" s="171" cm="1">
        <f t="array" aca="1" ref="AY34" ca="1">IF(OR($D34&lt;&gt;"Serviço",AND(AUTOEVENTO="Manual",$M34=$A$15),$M34&gt;(ROW(PLE.lastrow)-ROW(PLE.firstrow))),0,
           IF(OFFSET(PLE!$G$15,$M34-$A$15,AY$13)="",10^12,OFFSET(PLE!$G$15,$M34-$A$15,AY$13)))</f>
        <v>1000000000000</v>
      </c>
      <c r="AZ34" s="171" cm="1">
        <f t="array" aca="1" ref="AZ34" ca="1">IF(OR($D34&lt;&gt;"Serviço",AND(AUTOEVENTO="Manual",$M34=$A$15),$M34&gt;(ROW(PLE.lastrow)-ROW(PLE.firstrow))),0,
           IF(OFFSET(PLE!$G$15,$M34-$A$15,AZ$13)="",10^12,OFFSET(PLE!$G$15,$M34-$A$15,AZ$13)))</f>
        <v>1000000000000</v>
      </c>
      <c r="BA34" s="171" cm="1">
        <f t="array" aca="1" ref="BA34" ca="1">IF(OR($D34&lt;&gt;"Serviço",AND(AUTOEVENTO="Manual",$M34=$A$15),$M34&gt;(ROW(PLE.lastrow)-ROW(PLE.firstrow))),0,
           IF(OFFSET(PLE!$G$15,$M34-$A$15,BA$13)="",10^12,OFFSET(PLE!$G$15,$M34-$A$15,BA$13)))</f>
        <v>1000000000000</v>
      </c>
      <c r="BB34" s="171" cm="1">
        <f t="array" aca="1" ref="BB34" ca="1">IF(OR($D34&lt;&gt;"Serviço",AND(AUTOEVENTO="Manual",$M34=$A$15),$M34&gt;(ROW(PLE.lastrow)-ROW(PLE.firstrow))),0,
           IF(OFFSET(PLE!$G$15,$M34-$A$15,BB$13)="",10^12,OFFSET(PLE!$G$15,$M34-$A$15,BB$13)))</f>
        <v>1000000000000</v>
      </c>
      <c r="BC34" s="171" cm="1">
        <f t="array" aca="1" ref="BC34" ca="1">IF(OR($D34&lt;&gt;"Serviço",AND(AUTOEVENTO="Manual",$M34=$A$15),$M34&gt;(ROW(PLE.lastrow)-ROW(PLE.firstrow))),0,
           IF(OFFSET(PLE!$G$15,$M34-$A$15,BC$13)="",10^12,OFFSET(PLE!$G$15,$M34-$A$15,BC$13)))</f>
        <v>1000000000000</v>
      </c>
      <c r="BD34" s="171" cm="1">
        <f t="array" aca="1" ref="BD34" ca="1">IF(OR($D34&lt;&gt;"Serviço",AND(AUTOEVENTO="Manual",$M34=$A$15),$M34&gt;(ROW(PLE.lastrow)-ROW(PLE.firstrow))),0,
           IF(OFFSET(PLE!$G$15,$M34-$A$15,BD$13)="",10^12,OFFSET(PLE!$G$15,$M34-$A$15,BD$13)))</f>
        <v>1000000000000</v>
      </c>
      <c r="BE34" s="171" cm="1">
        <f t="array" aca="1" ref="BE34" ca="1">IF(OR($D34&lt;&gt;"Serviço",AND(AUTOEVENTO="Manual",$M34=$A$15),$M34&gt;(ROW(PLE.lastrow)-ROW(PLE.firstrow))),0,
           IF(OFFSET(PLE!$G$15,$M34-$A$15,BE$13)="",10^12,OFFSET(PLE!$G$15,$M34-$A$15,BE$13)))</f>
        <v>1000000000000</v>
      </c>
      <c r="BF34" s="171" cm="1">
        <f t="array" aca="1" ref="BF34" ca="1">IF(OR($D34&lt;&gt;"Serviço",AND(AUTOEVENTO="Manual",$M34=$A$15),$M34&gt;(ROW(PLE.lastrow)-ROW(PLE.firstrow))),0,
           IF(OFFSET(PLE!$G$15,$M34-$A$15,BF$13)="",10^12,OFFSET(PLE!$G$15,$M34-$A$15,BF$13)))</f>
        <v>1000000000000</v>
      </c>
      <c r="BG34" s="171" cm="1">
        <f t="array" aca="1" ref="BG34" ca="1">IF(OR($D34&lt;&gt;"Serviço",AND(AUTOEVENTO="Manual",$M34=$A$15),$M34&gt;(ROW(PLE.lastrow)-ROW(PLE.firstrow))),0,
           IF(OFFSET(PLE!$G$15,$M34-$A$15,BG$13)="",10^12,OFFSET(PLE!$G$15,$M34-$A$15,BG$13)))</f>
        <v>1000000000000</v>
      </c>
    </row>
    <row r="35" spans="1:59" ht="38.25" x14ac:dyDescent="0.2">
      <c r="A35" s="7" t="str">
        <f t="shared" ca="1" si="8"/>
        <v>18</v>
      </c>
      <c r="B35" s="7" t="str">
        <f ca="1">OFFSET(ORÇAMENTO!C$15,$L35,0)</f>
        <v>S</v>
      </c>
      <c r="C35" s="7" t="str">
        <f ca="1">OFFSET(ORÇAMENTO!L$15,$L35,0)</f>
        <v>F</v>
      </c>
      <c r="D35" s="115" t="str">
        <f ca="1">OFFSET(ORÇAMENTO!N$15,$L35,0)</f>
        <v>Serviço</v>
      </c>
      <c r="E35" s="116" t="str">
        <f ca="1">OFFSET(ORÇAMENTO!O$15,$L35,0)</f>
        <v>1.5.2.</v>
      </c>
      <c r="F35" s="162" t="str">
        <f ca="1">OFFSET(ORÇAMENTO!R$15,$L35,0)</f>
        <v>FORNECIMENTO DE CONCRETO ESTRUTURAL, USINADO
 BOMBEADO, COM FCK 25MPA, INCLUSIVE LANÇAMENTO,
 ADENSAMENTO E ACABAMENTO (FUNDAÇÃO)</v>
      </c>
      <c r="G35" s="163" t="str">
        <f ca="1">IF($D35&lt;&gt;"Serviço","",OFFSET(ORÇAMENTO!S$15,$L35,0))</f>
        <v>M3</v>
      </c>
      <c r="H35" s="121" cm="1">
        <f t="array" aca="1" ref="H35" ca="1">IF($D35&lt;&gt;"Serviço",0,IF(ACOMPANHAMENTO="BM",ROUND(OFFSET(ORÇAMENTO!AJ$15,$L35,0),15-13*ORÇAMENTO!$AF$7),IF(IFERROR(CÁLCULO.FrentesPreenchidas,0)=0,0,SUM(ROUND(OFFSET($P35,0,1,1,CÁLCULO.FrentesPreenchidas),15-13*ORÇAMENTO!$AF$7)))))</f>
        <v>40.99</v>
      </c>
      <c r="I35" s="467"/>
      <c r="J35" s="650" t="str" cm="1">
        <f t="array" aca="1" ref="J35" ca="1">IF(OR(B35&lt;&gt;"S",CÁLCULO.FrentesPreenchidas=0),"",IF(AND(ACOMPANHAMENTO="PLE",AUTOEVENTO="Manual",OR(H35&gt;0,ORÇAMENTO!AC35="QUANT."),OR(K35="",M35=0,N35="")),"►E",IF(AND(ACOMPANHAMENTO="PLE",ORÇAMENTO!AC35="QUANT."),"►Q",IF(AND(ACOMPANHAMENTO="PLE",H35&lt;&gt;SUMPRODUCT(($Q$1:$AA$1=1)*ROUND(Q35:AA35,15))),"►S",IF(AND(COUNTIF($P$11:$AA$11,"▼")=0,H35&gt;0,I35=""),"◄M","")))))</f>
        <v>◄M</v>
      </c>
      <c r="K35" s="651"/>
      <c r="L35" s="164">
        <f t="shared" ca="1" si="9"/>
        <v>20</v>
      </c>
      <c r="M35" s="165">
        <f ca="1">IF($D35&lt;&gt;"Serviço","",
          IF(AUTOEVENTO="manual",$A35,
                IF(ISERROR(MATCH($A35,$A$15:OFFSET($A35,-1,0),0)),MAX($M$15:OFFSET(M35,-1,0))+1,
                      INDEX($M$15:OFFSET(M35,-1,0),MATCH($A35,$A$15:OFFSET($A35,-1,0),0)))))</f>
        <v>5</v>
      </c>
      <c r="N35" s="166" t="str">
        <f ca="1">IF($D35&lt;&gt;"Serviço","",
         IF(AUTOEVENTO="Manual",
                IF($A35=0,"&lt;-- defina o número do agrupador",
                       OFFSET(EVENTOS!$D$15,$A35-$A$15,0)),
                OFFSET($F$15,$A35,0)))</f>
        <v>MESOESTRUTURA</v>
      </c>
      <c r="O35" s="167"/>
      <c r="Q35" s="167"/>
      <c r="R35" s="168">
        <v>40.99</v>
      </c>
      <c r="S35" s="168"/>
      <c r="T35" s="168"/>
      <c r="U35" s="168"/>
      <c r="V35" s="168"/>
      <c r="W35" s="168"/>
      <c r="X35" s="168"/>
      <c r="Y35" s="168"/>
      <c r="Z35" s="169"/>
      <c r="AB35" s="452">
        <f ca="1">IF(AND($D35="Serviço",AB$12&lt;&gt;0,$H35&gt;0,OR(AUTOEVENTO&lt;&gt;"manual",$M35&lt;&gt;$A$15)),
        IF(Import.TipoArredondamento&lt;&gt;"TransfereGOV",
              ROUND(OFFSET($P35,0,AB$13),15-13*ORÇAMENTO!$AF$7)/$H35*OFFSET(ORÇAMENTO!$X$15,ROW(AB35)-ROW(AB$15),0),
              ROUND(ROUND(OFFSET($P35,0,AB$13),15-13*ORÇAMENTO!$AF$7)*OFFSET(ORÇAMENTO!$W$15,ROW(AB35)-ROW(AB$15),0),15-13*ORÇAMENTO!$AF$11)),
         0)</f>
        <v>0</v>
      </c>
      <c r="AC35" s="452">
        <f ca="1">IF(AND($D35="Serviço",AC$12&lt;&gt;0,$H35&gt;0,OR(AUTOEVENTO&lt;&gt;"manual",$M35&lt;&gt;$A$15)),
        IF(Import.TipoArredondamento&lt;&gt;"TransfereGOV",
              ROUND(OFFSET($P35,0,AC$13),15-13*ORÇAMENTO!$AF$7)/$H35*OFFSET(ORÇAMENTO!$X$15,ROW(AC35)-ROW(AC$15),0),
              ROUND(ROUND(OFFSET($P35,0,AC$13),15-13*ORÇAMENTO!$AF$7)*OFFSET(ORÇAMENTO!$W$15,ROW(AC35)-ROW(AC$15),0),15-13*ORÇAMENTO!$AF$11)),
         0)</f>
        <v>30271.119999999999</v>
      </c>
      <c r="AD35" s="452">
        <f ca="1">IF(AND($D35="Serviço",AD$12&lt;&gt;0,$H35&gt;0,OR(AUTOEVENTO&lt;&gt;"manual",$M35&lt;&gt;$A$15)),
        IF(Import.TipoArredondamento&lt;&gt;"TransfereGOV",
              ROUND(OFFSET($P35,0,AD$13),15-13*ORÇAMENTO!$AF$7)/$H35*OFFSET(ORÇAMENTO!$X$15,ROW(AD35)-ROW(AD$15),0),
              ROUND(ROUND(OFFSET($P35,0,AD$13),15-13*ORÇAMENTO!$AF$7)*OFFSET(ORÇAMENTO!$W$15,ROW(AD35)-ROW(AD$15),0),15-13*ORÇAMENTO!$AF$11)),
         0)</f>
        <v>0</v>
      </c>
      <c r="AE35" s="452">
        <f ca="1">IF(AND($D35="Serviço",AE$12&lt;&gt;0,$H35&gt;0,OR(AUTOEVENTO&lt;&gt;"manual",$M35&lt;&gt;$A$15)),
        IF(Import.TipoArredondamento&lt;&gt;"TransfereGOV",
              ROUND(OFFSET($P35,0,AE$13),15-13*ORÇAMENTO!$AF$7)/$H35*OFFSET(ORÇAMENTO!$X$15,ROW(AE35)-ROW(AE$15),0),
              ROUND(ROUND(OFFSET($P35,0,AE$13),15-13*ORÇAMENTO!$AF$7)*OFFSET(ORÇAMENTO!$W$15,ROW(AE35)-ROW(AE$15),0),15-13*ORÇAMENTO!$AF$11)),
         0)</f>
        <v>0</v>
      </c>
      <c r="AF35" s="452">
        <f ca="1">IF(AND($D35="Serviço",AF$12&lt;&gt;0,$H35&gt;0,OR(AUTOEVENTO&lt;&gt;"manual",$M35&lt;&gt;$A$15)),
        IF(Import.TipoArredondamento&lt;&gt;"TransfereGOV",
              ROUND(OFFSET($P35,0,AF$13),15-13*ORÇAMENTO!$AF$7)/$H35*OFFSET(ORÇAMENTO!$X$15,ROW(AF35)-ROW(AF$15),0),
              ROUND(ROUND(OFFSET($P35,0,AF$13),15-13*ORÇAMENTO!$AF$7)*OFFSET(ORÇAMENTO!$W$15,ROW(AF35)-ROW(AF$15),0),15-13*ORÇAMENTO!$AF$11)),
         0)</f>
        <v>0</v>
      </c>
      <c r="AG35" s="452">
        <f ca="1">IF(AND($D35="Serviço",AG$12&lt;&gt;0,$H35&gt;0,OR(AUTOEVENTO&lt;&gt;"manual",$M35&lt;&gt;$A$15)),
        IF(Import.TipoArredondamento&lt;&gt;"TransfereGOV",
              ROUND(OFFSET($P35,0,AG$13),15-13*ORÇAMENTO!$AF$7)/$H35*OFFSET(ORÇAMENTO!$X$15,ROW(AG35)-ROW(AG$15),0),
              ROUND(ROUND(OFFSET($P35,0,AG$13),15-13*ORÇAMENTO!$AF$7)*OFFSET(ORÇAMENTO!$W$15,ROW(AG35)-ROW(AG$15),0),15-13*ORÇAMENTO!$AF$11)),
         0)</f>
        <v>0</v>
      </c>
      <c r="AH35" s="452">
        <f ca="1">IF(AND($D35="Serviço",AH$12&lt;&gt;0,$H35&gt;0,OR(AUTOEVENTO&lt;&gt;"manual",$M35&lt;&gt;$A$15)),
        IF(Import.TipoArredondamento&lt;&gt;"TransfereGOV",
              ROUND(OFFSET($P35,0,AH$13),15-13*ORÇAMENTO!$AF$7)/$H35*OFFSET(ORÇAMENTO!$X$15,ROW(AH35)-ROW(AH$15),0),
              ROUND(ROUND(OFFSET($P35,0,AH$13),15-13*ORÇAMENTO!$AF$7)*OFFSET(ORÇAMENTO!$W$15,ROW(AH35)-ROW(AH$15),0),15-13*ORÇAMENTO!$AF$11)),
         0)</f>
        <v>0</v>
      </c>
      <c r="AI35" s="452">
        <f ca="1">IF(AND($D35="Serviço",AI$12&lt;&gt;0,$H35&gt;0,OR(AUTOEVENTO&lt;&gt;"manual",$M35&lt;&gt;$A$15)),
        IF(Import.TipoArredondamento&lt;&gt;"TransfereGOV",
              ROUND(OFFSET($P35,0,AI$13),15-13*ORÇAMENTO!$AF$7)/$H35*OFFSET(ORÇAMENTO!$X$15,ROW(AI35)-ROW(AI$15),0),
              ROUND(ROUND(OFFSET($P35,0,AI$13),15-13*ORÇAMENTO!$AF$7)*OFFSET(ORÇAMENTO!$W$15,ROW(AI35)-ROW(AI$15),0),15-13*ORÇAMENTO!$AF$11)),
         0)</f>
        <v>0</v>
      </c>
      <c r="AJ35" s="452">
        <f ca="1">IF(AND($D35="Serviço",AJ$12&lt;&gt;0,$H35&gt;0,OR(AUTOEVENTO&lt;&gt;"manual",$M35&lt;&gt;$A$15)),
        IF(Import.TipoArredondamento&lt;&gt;"TransfereGOV",
              ROUND(OFFSET($P35,0,AJ$13),15-13*ORÇAMENTO!$AF$7)/$H35*OFFSET(ORÇAMENTO!$X$15,ROW(AJ35)-ROW(AJ$15),0),
              ROUND(ROUND(OFFSET($P35,0,AJ$13),15-13*ORÇAMENTO!$AF$7)*OFFSET(ORÇAMENTO!$W$15,ROW(AJ35)-ROW(AJ$15),0),15-13*ORÇAMENTO!$AF$11)),
         0)</f>
        <v>0</v>
      </c>
      <c r="AK35" s="452">
        <f ca="1">IF(AND($D35="Serviço",AK$12&lt;&gt;0,$H35&gt;0,OR(AUTOEVENTO&lt;&gt;"manual",$M35&lt;&gt;$A$15)),
        IF(Import.TipoArredondamento&lt;&gt;"TransfereGOV",
              ROUND(OFFSET($P35,0,AK$13),15-13*ORÇAMENTO!$AF$7)/$H35*OFFSET(ORÇAMENTO!$X$15,ROW(AK35)-ROW(AK$15),0),
              ROUND(ROUND(OFFSET($P35,0,AK$13),15-13*ORÇAMENTO!$AF$7)*OFFSET(ORÇAMENTO!$W$15,ROW(AK35)-ROW(AK$15),0),15-13*ORÇAMENTO!$AF$11)),
         0)</f>
        <v>0</v>
      </c>
      <c r="AM35" s="170">
        <f ca="1">IF(OR($D35&lt;&gt;"Serviço",AND(AUTOEVENTO="Manual",$M35=$A$15)),0,
         IF(OFFSET(CRONOPLE!$F$15,$M35-$A$15,AM$13)=0,10^12,OFFSET(CRONOPLE!$F$15,$M35-$A$15,AM$13)))</f>
        <v>1</v>
      </c>
      <c r="AN35" s="170">
        <f ca="1">IF(OR($D35&lt;&gt;"Serviço",AND(AUTOEVENTO="Manual",$M35=$A$15)),0,
         IF(OFFSET(CRONOPLE!$F$15,$M35-$A$15,AN$13)=0,10^12,OFFSET(CRONOPLE!$F$15,$M35-$A$15,AN$13)))</f>
        <v>2</v>
      </c>
      <c r="AO35" s="170">
        <f ca="1">IF(OR($D35&lt;&gt;"Serviço",AND(AUTOEVENTO="Manual",$M35=$A$15)),0,
         IF(OFFSET(CRONOPLE!$F$15,$M35-$A$15,AO$13)=0,10^12,OFFSET(CRONOPLE!$F$15,$M35-$A$15,AO$13)))</f>
        <v>1000000000000</v>
      </c>
      <c r="AP35" s="170">
        <f ca="1">IF(OR($D35&lt;&gt;"Serviço",AND(AUTOEVENTO="Manual",$M35=$A$15)),0,
         IF(OFFSET(CRONOPLE!$F$15,$M35-$A$15,AP$13)=0,10^12,OFFSET(CRONOPLE!$F$15,$M35-$A$15,AP$13)))</f>
        <v>1000000000000</v>
      </c>
      <c r="AQ35" s="170">
        <f ca="1">IF(OR($D35&lt;&gt;"Serviço",AND(AUTOEVENTO="Manual",$M35=$A$15)),0,
         IF(OFFSET(CRONOPLE!$F$15,$M35-$A$15,AQ$13)=0,10^12,OFFSET(CRONOPLE!$F$15,$M35-$A$15,AQ$13)))</f>
        <v>1000000000000</v>
      </c>
      <c r="AR35" s="170">
        <f ca="1">IF(OR($D35&lt;&gt;"Serviço",AND(AUTOEVENTO="Manual",$M35=$A$15)),0,
         IF(OFFSET(CRONOPLE!$F$15,$M35-$A$15,AR$13)=0,10^12,OFFSET(CRONOPLE!$F$15,$M35-$A$15,AR$13)))</f>
        <v>1000000000000</v>
      </c>
      <c r="AS35" s="170">
        <f ca="1">IF(OR($D35&lt;&gt;"Serviço",AND(AUTOEVENTO="Manual",$M35=$A$15)),0,
         IF(OFFSET(CRONOPLE!$F$15,$M35-$A$15,AS$13)=0,10^12,OFFSET(CRONOPLE!$F$15,$M35-$A$15,AS$13)))</f>
        <v>1000000000000</v>
      </c>
      <c r="AT35" s="170">
        <f ca="1">IF(OR($D35&lt;&gt;"Serviço",AND(AUTOEVENTO="Manual",$M35=$A$15)),0,
         IF(OFFSET(CRONOPLE!$F$15,$M35-$A$15,AT$13)=0,10^12,OFFSET(CRONOPLE!$F$15,$M35-$A$15,AT$13)))</f>
        <v>1000000000000</v>
      </c>
      <c r="AU35" s="170">
        <f ca="1">IF(OR($D35&lt;&gt;"Serviço",AND(AUTOEVENTO="Manual",$M35=$A$15)),0,
         IF(OFFSET(CRONOPLE!$F$15,$M35-$A$15,AU$13)=0,10^12,OFFSET(CRONOPLE!$F$15,$M35-$A$15,AU$13)))</f>
        <v>1000000000000</v>
      </c>
      <c r="AV35" s="170">
        <f ca="1">IF(OR($D35&lt;&gt;"Serviço",AND(AUTOEVENTO="Manual",$M35=$A$15)),0,
         IF(OFFSET(CRONOPLE!$F$15,$M35-$A$15,AV$13)=0,10^12,OFFSET(CRONOPLE!$F$15,$M35-$A$15,AV$13)))</f>
        <v>1000000000000</v>
      </c>
      <c r="AX35" s="171" cm="1">
        <f t="array" aca="1" ref="AX35" ca="1">IF(OR($D35&lt;&gt;"Serviço",AND(AUTOEVENTO="Manual",$M35=$A$15),$M35&gt;(ROW(PLE.lastrow)-ROW(PLE.firstrow))),0,
           IF(OFFSET(PLE!$G$15,$M35-$A$15,AX$13)="",10^12,OFFSET(PLE!$G$15,$M35-$A$15,AX$13)))</f>
        <v>1000000000000</v>
      </c>
      <c r="AY35" s="171" cm="1">
        <f t="array" aca="1" ref="AY35" ca="1">IF(OR($D35&lt;&gt;"Serviço",AND(AUTOEVENTO="Manual",$M35=$A$15),$M35&gt;(ROW(PLE.lastrow)-ROW(PLE.firstrow))),0,
           IF(OFFSET(PLE!$G$15,$M35-$A$15,AY$13)="",10^12,OFFSET(PLE!$G$15,$M35-$A$15,AY$13)))</f>
        <v>1000000000000</v>
      </c>
      <c r="AZ35" s="171" cm="1">
        <f t="array" aca="1" ref="AZ35" ca="1">IF(OR($D35&lt;&gt;"Serviço",AND(AUTOEVENTO="Manual",$M35=$A$15),$M35&gt;(ROW(PLE.lastrow)-ROW(PLE.firstrow))),0,
           IF(OFFSET(PLE!$G$15,$M35-$A$15,AZ$13)="",10^12,OFFSET(PLE!$G$15,$M35-$A$15,AZ$13)))</f>
        <v>1000000000000</v>
      </c>
      <c r="BA35" s="171" cm="1">
        <f t="array" aca="1" ref="BA35" ca="1">IF(OR($D35&lt;&gt;"Serviço",AND(AUTOEVENTO="Manual",$M35=$A$15),$M35&gt;(ROW(PLE.lastrow)-ROW(PLE.firstrow))),0,
           IF(OFFSET(PLE!$G$15,$M35-$A$15,BA$13)="",10^12,OFFSET(PLE!$G$15,$M35-$A$15,BA$13)))</f>
        <v>1000000000000</v>
      </c>
      <c r="BB35" s="171" cm="1">
        <f t="array" aca="1" ref="BB35" ca="1">IF(OR($D35&lt;&gt;"Serviço",AND(AUTOEVENTO="Manual",$M35=$A$15),$M35&gt;(ROW(PLE.lastrow)-ROW(PLE.firstrow))),0,
           IF(OFFSET(PLE!$G$15,$M35-$A$15,BB$13)="",10^12,OFFSET(PLE!$G$15,$M35-$A$15,BB$13)))</f>
        <v>1000000000000</v>
      </c>
      <c r="BC35" s="171" cm="1">
        <f t="array" aca="1" ref="BC35" ca="1">IF(OR($D35&lt;&gt;"Serviço",AND(AUTOEVENTO="Manual",$M35=$A$15),$M35&gt;(ROW(PLE.lastrow)-ROW(PLE.firstrow))),0,
           IF(OFFSET(PLE!$G$15,$M35-$A$15,BC$13)="",10^12,OFFSET(PLE!$G$15,$M35-$A$15,BC$13)))</f>
        <v>1000000000000</v>
      </c>
      <c r="BD35" s="171" cm="1">
        <f t="array" aca="1" ref="BD35" ca="1">IF(OR($D35&lt;&gt;"Serviço",AND(AUTOEVENTO="Manual",$M35=$A$15),$M35&gt;(ROW(PLE.lastrow)-ROW(PLE.firstrow))),0,
           IF(OFFSET(PLE!$G$15,$M35-$A$15,BD$13)="",10^12,OFFSET(PLE!$G$15,$M35-$A$15,BD$13)))</f>
        <v>1000000000000</v>
      </c>
      <c r="BE35" s="171" cm="1">
        <f t="array" aca="1" ref="BE35" ca="1">IF(OR($D35&lt;&gt;"Serviço",AND(AUTOEVENTO="Manual",$M35=$A$15),$M35&gt;(ROW(PLE.lastrow)-ROW(PLE.firstrow))),0,
           IF(OFFSET(PLE!$G$15,$M35-$A$15,BE$13)="",10^12,OFFSET(PLE!$G$15,$M35-$A$15,BE$13)))</f>
        <v>1000000000000</v>
      </c>
      <c r="BF35" s="171" cm="1">
        <f t="array" aca="1" ref="BF35" ca="1">IF(OR($D35&lt;&gt;"Serviço",AND(AUTOEVENTO="Manual",$M35=$A$15),$M35&gt;(ROW(PLE.lastrow)-ROW(PLE.firstrow))),0,
           IF(OFFSET(PLE!$G$15,$M35-$A$15,BF$13)="",10^12,OFFSET(PLE!$G$15,$M35-$A$15,BF$13)))</f>
        <v>1000000000000</v>
      </c>
      <c r="BG35" s="171" cm="1">
        <f t="array" aca="1" ref="BG35" ca="1">IF(OR($D35&lt;&gt;"Serviço",AND(AUTOEVENTO="Manual",$M35=$A$15),$M35&gt;(ROW(PLE.lastrow)-ROW(PLE.firstrow))),0,
           IF(OFFSET(PLE!$G$15,$M35-$A$15,BG$13)="",10^12,OFFSET(PLE!$G$15,$M35-$A$15,BG$13)))</f>
        <v>1000000000000</v>
      </c>
    </row>
    <row r="36" spans="1:59" ht="25.5" x14ac:dyDescent="0.2">
      <c r="A36" s="7" t="str">
        <f t="shared" ca="1" si="8"/>
        <v>18</v>
      </c>
      <c r="B36" s="7" t="str">
        <f ca="1">OFFSET(ORÇAMENTO!C$15,$L36,0)</f>
        <v>S</v>
      </c>
      <c r="C36" s="7" t="str">
        <f ca="1">OFFSET(ORÇAMENTO!L$15,$L36,0)</f>
        <v>F</v>
      </c>
      <c r="D36" s="115" t="str">
        <f ca="1">OFFSET(ORÇAMENTO!N$15,$L36,0)</f>
        <v>Serviço</v>
      </c>
      <c r="E36" s="116" t="str">
        <f ca="1">OFFSET(ORÇAMENTO!O$15,$L36,0)</f>
        <v>1.5.3.</v>
      </c>
      <c r="F36" s="162" t="str">
        <f ca="1">OFFSET(ORÇAMENTO!R$15,$L36,0)</f>
        <v>CORTE, DOBRA E MONTAGEM DE AÇO CA-50, DIÂMETRO (6,3MM A
 12,5MM), INCLUSIVE ESPAÇADOR</v>
      </c>
      <c r="G36" s="163" t="str">
        <f ca="1">IF($D36&lt;&gt;"Serviço","",OFFSET(ORÇAMENTO!S$15,$L36,0))</f>
        <v>kg</v>
      </c>
      <c r="H36" s="121" cm="1">
        <f t="array" aca="1" ref="H36" ca="1">IF($D36&lt;&gt;"Serviço",0,IF(ACOMPANHAMENTO="BM",ROUND(OFFSET(ORÇAMENTO!AJ$15,$L36,0),15-13*ORÇAMENTO!$AF$7),IF(IFERROR(CÁLCULO.FrentesPreenchidas,0)=0,0,SUM(ROUND(OFFSET($P36,0,1,1,CÁLCULO.FrentesPreenchidas),15-13*ORÇAMENTO!$AF$7)))))</f>
        <v>3689.1</v>
      </c>
      <c r="I36" s="467"/>
      <c r="J36" s="650" t="str" cm="1">
        <f t="array" aca="1" ref="J36" ca="1">IF(OR(B36&lt;&gt;"S",CÁLCULO.FrentesPreenchidas=0),"",IF(AND(ACOMPANHAMENTO="PLE",AUTOEVENTO="Manual",OR(H36&gt;0,ORÇAMENTO!AC36="QUANT."),OR(K36="",M36=0,N36="")),"►E",IF(AND(ACOMPANHAMENTO="PLE",ORÇAMENTO!AC36="QUANT."),"►Q",IF(AND(ACOMPANHAMENTO="PLE",H36&lt;&gt;SUMPRODUCT(($Q$1:$AA$1=1)*ROUND(Q36:AA36,15))),"►S",IF(AND(COUNTIF($P$11:$AA$11,"▼")=0,H36&gt;0,I36=""),"◄M","")))))</f>
        <v>◄M</v>
      </c>
      <c r="K36" s="651"/>
      <c r="L36" s="164">
        <f t="shared" ca="1" si="9"/>
        <v>21</v>
      </c>
      <c r="M36" s="165">
        <f ca="1">IF($D36&lt;&gt;"Serviço","",
          IF(AUTOEVENTO="manual",$A36,
                IF(ISERROR(MATCH($A36,$A$15:OFFSET($A36,-1,0),0)),MAX($M$15:OFFSET(M36,-1,0))+1,
                      INDEX($M$15:OFFSET(M36,-1,0),MATCH($A36,$A$15:OFFSET($A36,-1,0),0)))))</f>
        <v>5</v>
      </c>
      <c r="N36" s="166" t="str">
        <f ca="1">IF($D36&lt;&gt;"Serviço","",
         IF(AUTOEVENTO="Manual",
                IF($A36=0,"&lt;-- defina o número do agrupador",
                       OFFSET(EVENTOS!$D$15,$A36-$A$15,0)),
                OFFSET($F$15,$A36,0)))</f>
        <v>MESOESTRUTURA</v>
      </c>
      <c r="O36" s="167"/>
      <c r="Q36" s="167"/>
      <c r="R36" s="168">
        <v>3689.1</v>
      </c>
      <c r="S36" s="168"/>
      <c r="T36" s="168"/>
      <c r="U36" s="168"/>
      <c r="V36" s="168"/>
      <c r="W36" s="168"/>
      <c r="X36" s="168"/>
      <c r="Y36" s="168"/>
      <c r="Z36" s="169"/>
      <c r="AB36" s="452">
        <f ca="1">IF(AND($D36="Serviço",AB$12&lt;&gt;0,$H36&gt;0,OR(AUTOEVENTO&lt;&gt;"manual",$M36&lt;&gt;$A$15)),
        IF(Import.TipoArredondamento&lt;&gt;"TransfereGOV",
              ROUND(OFFSET($P36,0,AB$13),15-13*ORÇAMENTO!$AF$7)/$H36*OFFSET(ORÇAMENTO!$X$15,ROW(AB36)-ROW(AB$15),0),
              ROUND(ROUND(OFFSET($P36,0,AB$13),15-13*ORÇAMENTO!$AF$7)*OFFSET(ORÇAMENTO!$W$15,ROW(AB36)-ROW(AB$15),0),15-13*ORÇAMENTO!$AF$11)),
         0)</f>
        <v>0</v>
      </c>
      <c r="AC36" s="452">
        <f ca="1">IF(AND($D36="Serviço",AC$12&lt;&gt;0,$H36&gt;0,OR(AUTOEVENTO&lt;&gt;"manual",$M36&lt;&gt;$A$15)),
        IF(Import.TipoArredondamento&lt;&gt;"TransfereGOV",
              ROUND(OFFSET($P36,0,AC$13),15-13*ORÇAMENTO!$AF$7)/$H36*OFFSET(ORÇAMENTO!$X$15,ROW(AC36)-ROW(AC$15),0),
              ROUND(ROUND(OFFSET($P36,0,AC$13),15-13*ORÇAMENTO!$AF$7)*OFFSET(ORÇAMENTO!$W$15,ROW(AC36)-ROW(AC$15),0),15-13*ORÇAMENTO!$AF$11)),
         0)</f>
        <v>54229.77</v>
      </c>
      <c r="AD36" s="452">
        <f ca="1">IF(AND($D36="Serviço",AD$12&lt;&gt;0,$H36&gt;0,OR(AUTOEVENTO&lt;&gt;"manual",$M36&lt;&gt;$A$15)),
        IF(Import.TipoArredondamento&lt;&gt;"TransfereGOV",
              ROUND(OFFSET($P36,0,AD$13),15-13*ORÇAMENTO!$AF$7)/$H36*OFFSET(ORÇAMENTO!$X$15,ROW(AD36)-ROW(AD$15),0),
              ROUND(ROUND(OFFSET($P36,0,AD$13),15-13*ORÇAMENTO!$AF$7)*OFFSET(ORÇAMENTO!$W$15,ROW(AD36)-ROW(AD$15),0),15-13*ORÇAMENTO!$AF$11)),
         0)</f>
        <v>0</v>
      </c>
      <c r="AE36" s="452">
        <f ca="1">IF(AND($D36="Serviço",AE$12&lt;&gt;0,$H36&gt;0,OR(AUTOEVENTO&lt;&gt;"manual",$M36&lt;&gt;$A$15)),
        IF(Import.TipoArredondamento&lt;&gt;"TransfereGOV",
              ROUND(OFFSET($P36,0,AE$13),15-13*ORÇAMENTO!$AF$7)/$H36*OFFSET(ORÇAMENTO!$X$15,ROW(AE36)-ROW(AE$15),0),
              ROUND(ROUND(OFFSET($P36,0,AE$13),15-13*ORÇAMENTO!$AF$7)*OFFSET(ORÇAMENTO!$W$15,ROW(AE36)-ROW(AE$15),0),15-13*ORÇAMENTO!$AF$11)),
         0)</f>
        <v>0</v>
      </c>
      <c r="AF36" s="452">
        <f ca="1">IF(AND($D36="Serviço",AF$12&lt;&gt;0,$H36&gt;0,OR(AUTOEVENTO&lt;&gt;"manual",$M36&lt;&gt;$A$15)),
        IF(Import.TipoArredondamento&lt;&gt;"TransfereGOV",
              ROUND(OFFSET($P36,0,AF$13),15-13*ORÇAMENTO!$AF$7)/$H36*OFFSET(ORÇAMENTO!$X$15,ROW(AF36)-ROW(AF$15),0),
              ROUND(ROUND(OFFSET($P36,0,AF$13),15-13*ORÇAMENTO!$AF$7)*OFFSET(ORÇAMENTO!$W$15,ROW(AF36)-ROW(AF$15),0),15-13*ORÇAMENTO!$AF$11)),
         0)</f>
        <v>0</v>
      </c>
      <c r="AG36" s="452">
        <f ca="1">IF(AND($D36="Serviço",AG$12&lt;&gt;0,$H36&gt;0,OR(AUTOEVENTO&lt;&gt;"manual",$M36&lt;&gt;$A$15)),
        IF(Import.TipoArredondamento&lt;&gt;"TransfereGOV",
              ROUND(OFFSET($P36,0,AG$13),15-13*ORÇAMENTO!$AF$7)/$H36*OFFSET(ORÇAMENTO!$X$15,ROW(AG36)-ROW(AG$15),0),
              ROUND(ROUND(OFFSET($P36,0,AG$13),15-13*ORÇAMENTO!$AF$7)*OFFSET(ORÇAMENTO!$W$15,ROW(AG36)-ROW(AG$15),0),15-13*ORÇAMENTO!$AF$11)),
         0)</f>
        <v>0</v>
      </c>
      <c r="AH36" s="452">
        <f ca="1">IF(AND($D36="Serviço",AH$12&lt;&gt;0,$H36&gt;0,OR(AUTOEVENTO&lt;&gt;"manual",$M36&lt;&gt;$A$15)),
        IF(Import.TipoArredondamento&lt;&gt;"TransfereGOV",
              ROUND(OFFSET($P36,0,AH$13),15-13*ORÇAMENTO!$AF$7)/$H36*OFFSET(ORÇAMENTO!$X$15,ROW(AH36)-ROW(AH$15),0),
              ROUND(ROUND(OFFSET($P36,0,AH$13),15-13*ORÇAMENTO!$AF$7)*OFFSET(ORÇAMENTO!$W$15,ROW(AH36)-ROW(AH$15),0),15-13*ORÇAMENTO!$AF$11)),
         0)</f>
        <v>0</v>
      </c>
      <c r="AI36" s="452">
        <f ca="1">IF(AND($D36="Serviço",AI$12&lt;&gt;0,$H36&gt;0,OR(AUTOEVENTO&lt;&gt;"manual",$M36&lt;&gt;$A$15)),
        IF(Import.TipoArredondamento&lt;&gt;"TransfereGOV",
              ROUND(OFFSET($P36,0,AI$13),15-13*ORÇAMENTO!$AF$7)/$H36*OFFSET(ORÇAMENTO!$X$15,ROW(AI36)-ROW(AI$15),0),
              ROUND(ROUND(OFFSET($P36,0,AI$13),15-13*ORÇAMENTO!$AF$7)*OFFSET(ORÇAMENTO!$W$15,ROW(AI36)-ROW(AI$15),0),15-13*ORÇAMENTO!$AF$11)),
         0)</f>
        <v>0</v>
      </c>
      <c r="AJ36" s="452">
        <f ca="1">IF(AND($D36="Serviço",AJ$12&lt;&gt;0,$H36&gt;0,OR(AUTOEVENTO&lt;&gt;"manual",$M36&lt;&gt;$A$15)),
        IF(Import.TipoArredondamento&lt;&gt;"TransfereGOV",
              ROUND(OFFSET($P36,0,AJ$13),15-13*ORÇAMENTO!$AF$7)/$H36*OFFSET(ORÇAMENTO!$X$15,ROW(AJ36)-ROW(AJ$15),0),
              ROUND(ROUND(OFFSET($P36,0,AJ$13),15-13*ORÇAMENTO!$AF$7)*OFFSET(ORÇAMENTO!$W$15,ROW(AJ36)-ROW(AJ$15),0),15-13*ORÇAMENTO!$AF$11)),
         0)</f>
        <v>0</v>
      </c>
      <c r="AK36" s="452">
        <f ca="1">IF(AND($D36="Serviço",AK$12&lt;&gt;0,$H36&gt;0,OR(AUTOEVENTO&lt;&gt;"manual",$M36&lt;&gt;$A$15)),
        IF(Import.TipoArredondamento&lt;&gt;"TransfereGOV",
              ROUND(OFFSET($P36,0,AK$13),15-13*ORÇAMENTO!$AF$7)/$H36*OFFSET(ORÇAMENTO!$X$15,ROW(AK36)-ROW(AK$15),0),
              ROUND(ROUND(OFFSET($P36,0,AK$13),15-13*ORÇAMENTO!$AF$7)*OFFSET(ORÇAMENTO!$W$15,ROW(AK36)-ROW(AK$15),0),15-13*ORÇAMENTO!$AF$11)),
         0)</f>
        <v>0</v>
      </c>
      <c r="AM36" s="170">
        <f ca="1">IF(OR($D36&lt;&gt;"Serviço",AND(AUTOEVENTO="Manual",$M36=$A$15)),0,
         IF(OFFSET(CRONOPLE!$F$15,$M36-$A$15,AM$13)=0,10^12,OFFSET(CRONOPLE!$F$15,$M36-$A$15,AM$13)))</f>
        <v>1</v>
      </c>
      <c r="AN36" s="170">
        <f ca="1">IF(OR($D36&lt;&gt;"Serviço",AND(AUTOEVENTO="Manual",$M36=$A$15)),0,
         IF(OFFSET(CRONOPLE!$F$15,$M36-$A$15,AN$13)=0,10^12,OFFSET(CRONOPLE!$F$15,$M36-$A$15,AN$13)))</f>
        <v>2</v>
      </c>
      <c r="AO36" s="170">
        <f ca="1">IF(OR($D36&lt;&gt;"Serviço",AND(AUTOEVENTO="Manual",$M36=$A$15)),0,
         IF(OFFSET(CRONOPLE!$F$15,$M36-$A$15,AO$13)=0,10^12,OFFSET(CRONOPLE!$F$15,$M36-$A$15,AO$13)))</f>
        <v>1000000000000</v>
      </c>
      <c r="AP36" s="170">
        <f ca="1">IF(OR($D36&lt;&gt;"Serviço",AND(AUTOEVENTO="Manual",$M36=$A$15)),0,
         IF(OFFSET(CRONOPLE!$F$15,$M36-$A$15,AP$13)=0,10^12,OFFSET(CRONOPLE!$F$15,$M36-$A$15,AP$13)))</f>
        <v>1000000000000</v>
      </c>
      <c r="AQ36" s="170">
        <f ca="1">IF(OR($D36&lt;&gt;"Serviço",AND(AUTOEVENTO="Manual",$M36=$A$15)),0,
         IF(OFFSET(CRONOPLE!$F$15,$M36-$A$15,AQ$13)=0,10^12,OFFSET(CRONOPLE!$F$15,$M36-$A$15,AQ$13)))</f>
        <v>1000000000000</v>
      </c>
      <c r="AR36" s="170">
        <f ca="1">IF(OR($D36&lt;&gt;"Serviço",AND(AUTOEVENTO="Manual",$M36=$A$15)),0,
         IF(OFFSET(CRONOPLE!$F$15,$M36-$A$15,AR$13)=0,10^12,OFFSET(CRONOPLE!$F$15,$M36-$A$15,AR$13)))</f>
        <v>1000000000000</v>
      </c>
      <c r="AS36" s="170">
        <f ca="1">IF(OR($D36&lt;&gt;"Serviço",AND(AUTOEVENTO="Manual",$M36=$A$15)),0,
         IF(OFFSET(CRONOPLE!$F$15,$M36-$A$15,AS$13)=0,10^12,OFFSET(CRONOPLE!$F$15,$M36-$A$15,AS$13)))</f>
        <v>1000000000000</v>
      </c>
      <c r="AT36" s="170">
        <f ca="1">IF(OR($D36&lt;&gt;"Serviço",AND(AUTOEVENTO="Manual",$M36=$A$15)),0,
         IF(OFFSET(CRONOPLE!$F$15,$M36-$A$15,AT$13)=0,10^12,OFFSET(CRONOPLE!$F$15,$M36-$A$15,AT$13)))</f>
        <v>1000000000000</v>
      </c>
      <c r="AU36" s="170">
        <f ca="1">IF(OR($D36&lt;&gt;"Serviço",AND(AUTOEVENTO="Manual",$M36=$A$15)),0,
         IF(OFFSET(CRONOPLE!$F$15,$M36-$A$15,AU$13)=0,10^12,OFFSET(CRONOPLE!$F$15,$M36-$A$15,AU$13)))</f>
        <v>1000000000000</v>
      </c>
      <c r="AV36" s="170">
        <f ca="1">IF(OR($D36&lt;&gt;"Serviço",AND(AUTOEVENTO="Manual",$M36=$A$15)),0,
         IF(OFFSET(CRONOPLE!$F$15,$M36-$A$15,AV$13)=0,10^12,OFFSET(CRONOPLE!$F$15,$M36-$A$15,AV$13)))</f>
        <v>1000000000000</v>
      </c>
      <c r="AX36" s="171" cm="1">
        <f t="array" aca="1" ref="AX36" ca="1">IF(OR($D36&lt;&gt;"Serviço",AND(AUTOEVENTO="Manual",$M36=$A$15),$M36&gt;(ROW(PLE.lastrow)-ROW(PLE.firstrow))),0,
           IF(OFFSET(PLE!$G$15,$M36-$A$15,AX$13)="",10^12,OFFSET(PLE!$G$15,$M36-$A$15,AX$13)))</f>
        <v>1000000000000</v>
      </c>
      <c r="AY36" s="171" cm="1">
        <f t="array" aca="1" ref="AY36" ca="1">IF(OR($D36&lt;&gt;"Serviço",AND(AUTOEVENTO="Manual",$M36=$A$15),$M36&gt;(ROW(PLE.lastrow)-ROW(PLE.firstrow))),0,
           IF(OFFSET(PLE!$G$15,$M36-$A$15,AY$13)="",10^12,OFFSET(PLE!$G$15,$M36-$A$15,AY$13)))</f>
        <v>1000000000000</v>
      </c>
      <c r="AZ36" s="171" cm="1">
        <f t="array" aca="1" ref="AZ36" ca="1">IF(OR($D36&lt;&gt;"Serviço",AND(AUTOEVENTO="Manual",$M36=$A$15),$M36&gt;(ROW(PLE.lastrow)-ROW(PLE.firstrow))),0,
           IF(OFFSET(PLE!$G$15,$M36-$A$15,AZ$13)="",10^12,OFFSET(PLE!$G$15,$M36-$A$15,AZ$13)))</f>
        <v>1000000000000</v>
      </c>
      <c r="BA36" s="171" cm="1">
        <f t="array" aca="1" ref="BA36" ca="1">IF(OR($D36&lt;&gt;"Serviço",AND(AUTOEVENTO="Manual",$M36=$A$15),$M36&gt;(ROW(PLE.lastrow)-ROW(PLE.firstrow))),0,
           IF(OFFSET(PLE!$G$15,$M36-$A$15,BA$13)="",10^12,OFFSET(PLE!$G$15,$M36-$A$15,BA$13)))</f>
        <v>1000000000000</v>
      </c>
      <c r="BB36" s="171" cm="1">
        <f t="array" aca="1" ref="BB36" ca="1">IF(OR($D36&lt;&gt;"Serviço",AND(AUTOEVENTO="Manual",$M36=$A$15),$M36&gt;(ROW(PLE.lastrow)-ROW(PLE.firstrow))),0,
           IF(OFFSET(PLE!$G$15,$M36-$A$15,BB$13)="",10^12,OFFSET(PLE!$G$15,$M36-$A$15,BB$13)))</f>
        <v>1000000000000</v>
      </c>
      <c r="BC36" s="171" cm="1">
        <f t="array" aca="1" ref="BC36" ca="1">IF(OR($D36&lt;&gt;"Serviço",AND(AUTOEVENTO="Manual",$M36=$A$15),$M36&gt;(ROW(PLE.lastrow)-ROW(PLE.firstrow))),0,
           IF(OFFSET(PLE!$G$15,$M36-$A$15,BC$13)="",10^12,OFFSET(PLE!$G$15,$M36-$A$15,BC$13)))</f>
        <v>1000000000000</v>
      </c>
      <c r="BD36" s="171" cm="1">
        <f t="array" aca="1" ref="BD36" ca="1">IF(OR($D36&lt;&gt;"Serviço",AND(AUTOEVENTO="Manual",$M36=$A$15),$M36&gt;(ROW(PLE.lastrow)-ROW(PLE.firstrow))),0,
           IF(OFFSET(PLE!$G$15,$M36-$A$15,BD$13)="",10^12,OFFSET(PLE!$G$15,$M36-$A$15,BD$13)))</f>
        <v>1000000000000</v>
      </c>
      <c r="BE36" s="171" cm="1">
        <f t="array" aca="1" ref="BE36" ca="1">IF(OR($D36&lt;&gt;"Serviço",AND(AUTOEVENTO="Manual",$M36=$A$15),$M36&gt;(ROW(PLE.lastrow)-ROW(PLE.firstrow))),0,
           IF(OFFSET(PLE!$G$15,$M36-$A$15,BE$13)="",10^12,OFFSET(PLE!$G$15,$M36-$A$15,BE$13)))</f>
        <v>1000000000000</v>
      </c>
      <c r="BF36" s="171" cm="1">
        <f t="array" aca="1" ref="BF36" ca="1">IF(OR($D36&lt;&gt;"Serviço",AND(AUTOEVENTO="Manual",$M36=$A$15),$M36&gt;(ROW(PLE.lastrow)-ROW(PLE.firstrow))),0,
           IF(OFFSET(PLE!$G$15,$M36-$A$15,BF$13)="",10^12,OFFSET(PLE!$G$15,$M36-$A$15,BF$13)))</f>
        <v>1000000000000</v>
      </c>
      <c r="BG36" s="171" cm="1">
        <f t="array" aca="1" ref="BG36" ca="1">IF(OR($D36&lt;&gt;"Serviço",AND(AUTOEVENTO="Manual",$M36=$A$15),$M36&gt;(ROW(PLE.lastrow)-ROW(PLE.firstrow))),0,
           IF(OFFSET(PLE!$G$15,$M36-$A$15,BG$13)="",10^12,OFFSET(PLE!$G$15,$M36-$A$15,BG$13)))</f>
        <v>1000000000000</v>
      </c>
    </row>
    <row r="37" spans="1:59" ht="25.5" x14ac:dyDescent="0.2">
      <c r="A37" s="7" t="str">
        <f t="shared" ca="1" si="8"/>
        <v>18</v>
      </c>
      <c r="B37" s="7" t="str">
        <f ca="1">OFFSET(ORÇAMENTO!C$15,$L37,0)</f>
        <v>S</v>
      </c>
      <c r="C37" s="7" t="str">
        <f ca="1">OFFSET(ORÇAMENTO!L$15,$L37,0)</f>
        <v>F</v>
      </c>
      <c r="D37" s="115" t="str">
        <f ca="1">OFFSET(ORÇAMENTO!N$15,$L37,0)</f>
        <v>Serviço</v>
      </c>
      <c r="E37" s="116" t="str">
        <f ca="1">OFFSET(ORÇAMENTO!O$15,$L37,0)</f>
        <v>1.5.4.</v>
      </c>
      <c r="F37" s="162" t="str">
        <f ca="1">OFFSET(ORÇAMENTO!R$15,$L37,0)</f>
        <v>Contenção em areia-cimento ensacada com mistura de areia com 8% de cimento, confecção e assentamento</v>
      </c>
      <c r="G37" s="163" t="str">
        <f ca="1">IF($D37&lt;&gt;"Serviço","",OFFSET(ORÇAMENTO!S$15,$L37,0))</f>
        <v>M3</v>
      </c>
      <c r="H37" s="121" cm="1">
        <f t="array" aca="1" ref="H37" ca="1">IF($D37&lt;&gt;"Serviço",0,IF(ACOMPANHAMENTO="BM",ROUND(OFFSET(ORÇAMENTO!AJ$15,$L37,0),15-13*ORÇAMENTO!$AF$7),IF(IFERROR(CÁLCULO.FrentesPreenchidas,0)=0,0,SUM(ROUND(OFFSET($P37,0,1,1,CÁLCULO.FrentesPreenchidas),15-13*ORÇAMENTO!$AF$7)))))</f>
        <v>78</v>
      </c>
      <c r="I37" s="467"/>
      <c r="J37" s="650" t="str" cm="1">
        <f t="array" aca="1" ref="J37" ca="1">IF(OR(B37&lt;&gt;"S",CÁLCULO.FrentesPreenchidas=0),"",IF(AND(ACOMPANHAMENTO="PLE",AUTOEVENTO="Manual",OR(H37&gt;0,ORÇAMENTO!AC37="QUANT."),OR(K37="",M37=0,N37="")),"►E",IF(AND(ACOMPANHAMENTO="PLE",ORÇAMENTO!AC37="QUANT."),"►Q",IF(AND(ACOMPANHAMENTO="PLE",H37&lt;&gt;SUMPRODUCT(($Q$1:$AA$1=1)*ROUND(Q37:AA37,15))),"►S",IF(AND(COUNTIF($P$11:$AA$11,"▼")=0,H37&gt;0,I37=""),"◄M","")))))</f>
        <v>◄M</v>
      </c>
      <c r="K37" s="651"/>
      <c r="L37" s="164">
        <f t="shared" ca="1" si="9"/>
        <v>22</v>
      </c>
      <c r="M37" s="165">
        <f ca="1">IF($D37&lt;&gt;"Serviço","",
          IF(AUTOEVENTO="manual",$A37,
                IF(ISERROR(MATCH($A37,$A$15:OFFSET($A37,-1,0),0)),MAX($M$15:OFFSET(M37,-1,0))+1,
                      INDEX($M$15:OFFSET(M37,-1,0),MATCH($A37,$A$15:OFFSET($A37,-1,0),0)))))</f>
        <v>5</v>
      </c>
      <c r="N37" s="166" t="str">
        <f ca="1">IF($D37&lt;&gt;"Serviço","",
         IF(AUTOEVENTO="Manual",
                IF($A37=0,"&lt;-- defina o número do agrupador",
                       OFFSET(EVENTOS!$D$15,$A37-$A$15,0)),
                OFFSET($F$15,$A37,0)))</f>
        <v>MESOESTRUTURA</v>
      </c>
      <c r="O37" s="167"/>
      <c r="Q37" s="167">
        <v>78</v>
      </c>
      <c r="R37" s="168"/>
      <c r="S37" s="168"/>
      <c r="T37" s="168"/>
      <c r="U37" s="168"/>
      <c r="V37" s="168"/>
      <c r="W37" s="168"/>
      <c r="X37" s="168"/>
      <c r="Y37" s="168"/>
      <c r="Z37" s="169"/>
      <c r="AB37" s="452">
        <f ca="1">IF(AND($D37="Serviço",AB$12&lt;&gt;0,$H37&gt;0,OR(AUTOEVENTO&lt;&gt;"manual",$M37&lt;&gt;$A$15)),
        IF(Import.TipoArredondamento&lt;&gt;"TransfereGOV",
              ROUND(OFFSET($P37,0,AB$13),15-13*ORÇAMENTO!$AF$7)/$H37*OFFSET(ORÇAMENTO!$X$15,ROW(AB37)-ROW(AB$15),0),
              ROUND(ROUND(OFFSET($P37,0,AB$13),15-13*ORÇAMENTO!$AF$7)*OFFSET(ORÇAMENTO!$W$15,ROW(AB37)-ROW(AB$15),0),15-13*ORÇAMENTO!$AF$11)),
         0)</f>
        <v>40709.760000000002</v>
      </c>
      <c r="AC37" s="452">
        <f ca="1">IF(AND($D37="Serviço",AC$12&lt;&gt;0,$H37&gt;0,OR(AUTOEVENTO&lt;&gt;"manual",$M37&lt;&gt;$A$15)),
        IF(Import.TipoArredondamento&lt;&gt;"TransfereGOV",
              ROUND(OFFSET($P37,0,AC$13),15-13*ORÇAMENTO!$AF$7)/$H37*OFFSET(ORÇAMENTO!$X$15,ROW(AC37)-ROW(AC$15),0),
              ROUND(ROUND(OFFSET($P37,0,AC$13),15-13*ORÇAMENTO!$AF$7)*OFFSET(ORÇAMENTO!$W$15,ROW(AC37)-ROW(AC$15),0),15-13*ORÇAMENTO!$AF$11)),
         0)</f>
        <v>0</v>
      </c>
      <c r="AD37" s="452">
        <f ca="1">IF(AND($D37="Serviço",AD$12&lt;&gt;0,$H37&gt;0,OR(AUTOEVENTO&lt;&gt;"manual",$M37&lt;&gt;$A$15)),
        IF(Import.TipoArredondamento&lt;&gt;"TransfereGOV",
              ROUND(OFFSET($P37,0,AD$13),15-13*ORÇAMENTO!$AF$7)/$H37*OFFSET(ORÇAMENTO!$X$15,ROW(AD37)-ROW(AD$15),0),
              ROUND(ROUND(OFFSET($P37,0,AD$13),15-13*ORÇAMENTO!$AF$7)*OFFSET(ORÇAMENTO!$W$15,ROW(AD37)-ROW(AD$15),0),15-13*ORÇAMENTO!$AF$11)),
         0)</f>
        <v>0</v>
      </c>
      <c r="AE37" s="452">
        <f ca="1">IF(AND($D37="Serviço",AE$12&lt;&gt;0,$H37&gt;0,OR(AUTOEVENTO&lt;&gt;"manual",$M37&lt;&gt;$A$15)),
        IF(Import.TipoArredondamento&lt;&gt;"TransfereGOV",
              ROUND(OFFSET($P37,0,AE$13),15-13*ORÇAMENTO!$AF$7)/$H37*OFFSET(ORÇAMENTO!$X$15,ROW(AE37)-ROW(AE$15),0),
              ROUND(ROUND(OFFSET($P37,0,AE$13),15-13*ORÇAMENTO!$AF$7)*OFFSET(ORÇAMENTO!$W$15,ROW(AE37)-ROW(AE$15),0),15-13*ORÇAMENTO!$AF$11)),
         0)</f>
        <v>0</v>
      </c>
      <c r="AF37" s="452">
        <f ca="1">IF(AND($D37="Serviço",AF$12&lt;&gt;0,$H37&gt;0,OR(AUTOEVENTO&lt;&gt;"manual",$M37&lt;&gt;$A$15)),
        IF(Import.TipoArredondamento&lt;&gt;"TransfereGOV",
              ROUND(OFFSET($P37,0,AF$13),15-13*ORÇAMENTO!$AF$7)/$H37*OFFSET(ORÇAMENTO!$X$15,ROW(AF37)-ROW(AF$15),0),
              ROUND(ROUND(OFFSET($P37,0,AF$13),15-13*ORÇAMENTO!$AF$7)*OFFSET(ORÇAMENTO!$W$15,ROW(AF37)-ROW(AF$15),0),15-13*ORÇAMENTO!$AF$11)),
         0)</f>
        <v>0</v>
      </c>
      <c r="AG37" s="452">
        <f ca="1">IF(AND($D37="Serviço",AG$12&lt;&gt;0,$H37&gt;0,OR(AUTOEVENTO&lt;&gt;"manual",$M37&lt;&gt;$A$15)),
        IF(Import.TipoArredondamento&lt;&gt;"TransfereGOV",
              ROUND(OFFSET($P37,0,AG$13),15-13*ORÇAMENTO!$AF$7)/$H37*OFFSET(ORÇAMENTO!$X$15,ROW(AG37)-ROW(AG$15),0),
              ROUND(ROUND(OFFSET($P37,0,AG$13),15-13*ORÇAMENTO!$AF$7)*OFFSET(ORÇAMENTO!$W$15,ROW(AG37)-ROW(AG$15),0),15-13*ORÇAMENTO!$AF$11)),
         0)</f>
        <v>0</v>
      </c>
      <c r="AH37" s="452">
        <f ca="1">IF(AND($D37="Serviço",AH$12&lt;&gt;0,$H37&gt;0,OR(AUTOEVENTO&lt;&gt;"manual",$M37&lt;&gt;$A$15)),
        IF(Import.TipoArredondamento&lt;&gt;"TransfereGOV",
              ROUND(OFFSET($P37,0,AH$13),15-13*ORÇAMENTO!$AF$7)/$H37*OFFSET(ORÇAMENTO!$X$15,ROW(AH37)-ROW(AH$15),0),
              ROUND(ROUND(OFFSET($P37,0,AH$13),15-13*ORÇAMENTO!$AF$7)*OFFSET(ORÇAMENTO!$W$15,ROW(AH37)-ROW(AH$15),0),15-13*ORÇAMENTO!$AF$11)),
         0)</f>
        <v>0</v>
      </c>
      <c r="AI37" s="452">
        <f ca="1">IF(AND($D37="Serviço",AI$12&lt;&gt;0,$H37&gt;0,OR(AUTOEVENTO&lt;&gt;"manual",$M37&lt;&gt;$A$15)),
        IF(Import.TipoArredondamento&lt;&gt;"TransfereGOV",
              ROUND(OFFSET($P37,0,AI$13),15-13*ORÇAMENTO!$AF$7)/$H37*OFFSET(ORÇAMENTO!$X$15,ROW(AI37)-ROW(AI$15),0),
              ROUND(ROUND(OFFSET($P37,0,AI$13),15-13*ORÇAMENTO!$AF$7)*OFFSET(ORÇAMENTO!$W$15,ROW(AI37)-ROW(AI$15),0),15-13*ORÇAMENTO!$AF$11)),
         0)</f>
        <v>0</v>
      </c>
      <c r="AJ37" s="452">
        <f ca="1">IF(AND($D37="Serviço",AJ$12&lt;&gt;0,$H37&gt;0,OR(AUTOEVENTO&lt;&gt;"manual",$M37&lt;&gt;$A$15)),
        IF(Import.TipoArredondamento&lt;&gt;"TransfereGOV",
              ROUND(OFFSET($P37,0,AJ$13),15-13*ORÇAMENTO!$AF$7)/$H37*OFFSET(ORÇAMENTO!$X$15,ROW(AJ37)-ROW(AJ$15),0),
              ROUND(ROUND(OFFSET($P37,0,AJ$13),15-13*ORÇAMENTO!$AF$7)*OFFSET(ORÇAMENTO!$W$15,ROW(AJ37)-ROW(AJ$15),0),15-13*ORÇAMENTO!$AF$11)),
         0)</f>
        <v>0</v>
      </c>
      <c r="AK37" s="452">
        <f ca="1">IF(AND($D37="Serviço",AK$12&lt;&gt;0,$H37&gt;0,OR(AUTOEVENTO&lt;&gt;"manual",$M37&lt;&gt;$A$15)),
        IF(Import.TipoArredondamento&lt;&gt;"TransfereGOV",
              ROUND(OFFSET($P37,0,AK$13),15-13*ORÇAMENTO!$AF$7)/$H37*OFFSET(ORÇAMENTO!$X$15,ROW(AK37)-ROW(AK$15),0),
              ROUND(ROUND(OFFSET($P37,0,AK$13),15-13*ORÇAMENTO!$AF$7)*OFFSET(ORÇAMENTO!$W$15,ROW(AK37)-ROW(AK$15),0),15-13*ORÇAMENTO!$AF$11)),
         0)</f>
        <v>0</v>
      </c>
      <c r="AM37" s="170">
        <f ca="1">IF(OR($D37&lt;&gt;"Serviço",AND(AUTOEVENTO="Manual",$M37=$A$15)),0,
         IF(OFFSET(CRONOPLE!$F$15,$M37-$A$15,AM$13)=0,10^12,OFFSET(CRONOPLE!$F$15,$M37-$A$15,AM$13)))</f>
        <v>1</v>
      </c>
      <c r="AN37" s="170">
        <f ca="1">IF(OR($D37&lt;&gt;"Serviço",AND(AUTOEVENTO="Manual",$M37=$A$15)),0,
         IF(OFFSET(CRONOPLE!$F$15,$M37-$A$15,AN$13)=0,10^12,OFFSET(CRONOPLE!$F$15,$M37-$A$15,AN$13)))</f>
        <v>2</v>
      </c>
      <c r="AO37" s="170">
        <f ca="1">IF(OR($D37&lt;&gt;"Serviço",AND(AUTOEVENTO="Manual",$M37=$A$15)),0,
         IF(OFFSET(CRONOPLE!$F$15,$M37-$A$15,AO$13)=0,10^12,OFFSET(CRONOPLE!$F$15,$M37-$A$15,AO$13)))</f>
        <v>1000000000000</v>
      </c>
      <c r="AP37" s="170">
        <f ca="1">IF(OR($D37&lt;&gt;"Serviço",AND(AUTOEVENTO="Manual",$M37=$A$15)),0,
         IF(OFFSET(CRONOPLE!$F$15,$M37-$A$15,AP$13)=0,10^12,OFFSET(CRONOPLE!$F$15,$M37-$A$15,AP$13)))</f>
        <v>1000000000000</v>
      </c>
      <c r="AQ37" s="170">
        <f ca="1">IF(OR($D37&lt;&gt;"Serviço",AND(AUTOEVENTO="Manual",$M37=$A$15)),0,
         IF(OFFSET(CRONOPLE!$F$15,$M37-$A$15,AQ$13)=0,10^12,OFFSET(CRONOPLE!$F$15,$M37-$A$15,AQ$13)))</f>
        <v>1000000000000</v>
      </c>
      <c r="AR37" s="170">
        <f ca="1">IF(OR($D37&lt;&gt;"Serviço",AND(AUTOEVENTO="Manual",$M37=$A$15)),0,
         IF(OFFSET(CRONOPLE!$F$15,$M37-$A$15,AR$13)=0,10^12,OFFSET(CRONOPLE!$F$15,$M37-$A$15,AR$13)))</f>
        <v>1000000000000</v>
      </c>
      <c r="AS37" s="170">
        <f ca="1">IF(OR($D37&lt;&gt;"Serviço",AND(AUTOEVENTO="Manual",$M37=$A$15)),0,
         IF(OFFSET(CRONOPLE!$F$15,$M37-$A$15,AS$13)=0,10^12,OFFSET(CRONOPLE!$F$15,$M37-$A$15,AS$13)))</f>
        <v>1000000000000</v>
      </c>
      <c r="AT37" s="170">
        <f ca="1">IF(OR($D37&lt;&gt;"Serviço",AND(AUTOEVENTO="Manual",$M37=$A$15)),0,
         IF(OFFSET(CRONOPLE!$F$15,$M37-$A$15,AT$13)=0,10^12,OFFSET(CRONOPLE!$F$15,$M37-$A$15,AT$13)))</f>
        <v>1000000000000</v>
      </c>
      <c r="AU37" s="170">
        <f ca="1">IF(OR($D37&lt;&gt;"Serviço",AND(AUTOEVENTO="Manual",$M37=$A$15)),0,
         IF(OFFSET(CRONOPLE!$F$15,$M37-$A$15,AU$13)=0,10^12,OFFSET(CRONOPLE!$F$15,$M37-$A$15,AU$13)))</f>
        <v>1000000000000</v>
      </c>
      <c r="AV37" s="170">
        <f ca="1">IF(OR($D37&lt;&gt;"Serviço",AND(AUTOEVENTO="Manual",$M37=$A$15)),0,
         IF(OFFSET(CRONOPLE!$F$15,$M37-$A$15,AV$13)=0,10^12,OFFSET(CRONOPLE!$F$15,$M37-$A$15,AV$13)))</f>
        <v>1000000000000</v>
      </c>
      <c r="AX37" s="171" cm="1">
        <f t="array" aca="1" ref="AX37" ca="1">IF(OR($D37&lt;&gt;"Serviço",AND(AUTOEVENTO="Manual",$M37=$A$15),$M37&gt;(ROW(PLE.lastrow)-ROW(PLE.firstrow))),0,
           IF(OFFSET(PLE!$G$15,$M37-$A$15,AX$13)="",10^12,OFFSET(PLE!$G$15,$M37-$A$15,AX$13)))</f>
        <v>1000000000000</v>
      </c>
      <c r="AY37" s="171" cm="1">
        <f t="array" aca="1" ref="AY37" ca="1">IF(OR($D37&lt;&gt;"Serviço",AND(AUTOEVENTO="Manual",$M37=$A$15),$M37&gt;(ROW(PLE.lastrow)-ROW(PLE.firstrow))),0,
           IF(OFFSET(PLE!$G$15,$M37-$A$15,AY$13)="",10^12,OFFSET(PLE!$G$15,$M37-$A$15,AY$13)))</f>
        <v>1000000000000</v>
      </c>
      <c r="AZ37" s="171" cm="1">
        <f t="array" aca="1" ref="AZ37" ca="1">IF(OR($D37&lt;&gt;"Serviço",AND(AUTOEVENTO="Manual",$M37=$A$15),$M37&gt;(ROW(PLE.lastrow)-ROW(PLE.firstrow))),0,
           IF(OFFSET(PLE!$G$15,$M37-$A$15,AZ$13)="",10^12,OFFSET(PLE!$G$15,$M37-$A$15,AZ$13)))</f>
        <v>1000000000000</v>
      </c>
      <c r="BA37" s="171" cm="1">
        <f t="array" aca="1" ref="BA37" ca="1">IF(OR($D37&lt;&gt;"Serviço",AND(AUTOEVENTO="Manual",$M37=$A$15),$M37&gt;(ROW(PLE.lastrow)-ROW(PLE.firstrow))),0,
           IF(OFFSET(PLE!$G$15,$M37-$A$15,BA$13)="",10^12,OFFSET(PLE!$G$15,$M37-$A$15,BA$13)))</f>
        <v>1000000000000</v>
      </c>
      <c r="BB37" s="171" cm="1">
        <f t="array" aca="1" ref="BB37" ca="1">IF(OR($D37&lt;&gt;"Serviço",AND(AUTOEVENTO="Manual",$M37=$A$15),$M37&gt;(ROW(PLE.lastrow)-ROW(PLE.firstrow))),0,
           IF(OFFSET(PLE!$G$15,$M37-$A$15,BB$13)="",10^12,OFFSET(PLE!$G$15,$M37-$A$15,BB$13)))</f>
        <v>1000000000000</v>
      </c>
      <c r="BC37" s="171" cm="1">
        <f t="array" aca="1" ref="BC37" ca="1">IF(OR($D37&lt;&gt;"Serviço",AND(AUTOEVENTO="Manual",$M37=$A$15),$M37&gt;(ROW(PLE.lastrow)-ROW(PLE.firstrow))),0,
           IF(OFFSET(PLE!$G$15,$M37-$A$15,BC$13)="",10^12,OFFSET(PLE!$G$15,$M37-$A$15,BC$13)))</f>
        <v>1000000000000</v>
      </c>
      <c r="BD37" s="171" cm="1">
        <f t="array" aca="1" ref="BD37" ca="1">IF(OR($D37&lt;&gt;"Serviço",AND(AUTOEVENTO="Manual",$M37=$A$15),$M37&gt;(ROW(PLE.lastrow)-ROW(PLE.firstrow))),0,
           IF(OFFSET(PLE!$G$15,$M37-$A$15,BD$13)="",10^12,OFFSET(PLE!$G$15,$M37-$A$15,BD$13)))</f>
        <v>1000000000000</v>
      </c>
      <c r="BE37" s="171" cm="1">
        <f t="array" aca="1" ref="BE37" ca="1">IF(OR($D37&lt;&gt;"Serviço",AND(AUTOEVENTO="Manual",$M37=$A$15),$M37&gt;(ROW(PLE.lastrow)-ROW(PLE.firstrow))),0,
           IF(OFFSET(PLE!$G$15,$M37-$A$15,BE$13)="",10^12,OFFSET(PLE!$G$15,$M37-$A$15,BE$13)))</f>
        <v>1000000000000</v>
      </c>
      <c r="BF37" s="171" cm="1">
        <f t="array" aca="1" ref="BF37" ca="1">IF(OR($D37&lt;&gt;"Serviço",AND(AUTOEVENTO="Manual",$M37=$A$15),$M37&gt;(ROW(PLE.lastrow)-ROW(PLE.firstrow))),0,
           IF(OFFSET(PLE!$G$15,$M37-$A$15,BF$13)="",10^12,OFFSET(PLE!$G$15,$M37-$A$15,BF$13)))</f>
        <v>1000000000000</v>
      </c>
      <c r="BG37" s="171" cm="1">
        <f t="array" aca="1" ref="BG37" ca="1">IF(OR($D37&lt;&gt;"Serviço",AND(AUTOEVENTO="Manual",$M37=$A$15),$M37&gt;(ROW(PLE.lastrow)-ROW(PLE.firstrow))),0,
           IF(OFFSET(PLE!$G$15,$M37-$A$15,BG$13)="",10^12,OFFSET(PLE!$G$15,$M37-$A$15,BG$13)))</f>
        <v>1000000000000</v>
      </c>
    </row>
    <row r="38" spans="1:59" ht="12.75" x14ac:dyDescent="0.2">
      <c r="A38" s="7" t="str">
        <f t="shared" ca="1" si="8"/>
        <v>23.</v>
      </c>
      <c r="B38" s="7">
        <f ca="1">OFFSET(ORÇAMENTO!C$15,$L38,0)</f>
        <v>2</v>
      </c>
      <c r="C38" s="7" t="str">
        <f ca="1">OFFSET(ORÇAMENTO!L$15,$L38,0)</f>
        <v>F</v>
      </c>
      <c r="D38" s="115" t="str">
        <f ca="1">OFFSET(ORÇAMENTO!N$15,$L38,0)</f>
        <v>Nível 2</v>
      </c>
      <c r="E38" s="116" t="str">
        <f ca="1">OFFSET(ORÇAMENTO!O$15,$L38,0)</f>
        <v>1.6.</v>
      </c>
      <c r="F38" s="162" t="str">
        <f ca="1">OFFSET(ORÇAMENTO!R$15,$L38,0)</f>
        <v>SUPERESTRUTURA</v>
      </c>
      <c r="G38" s="163" t="str">
        <f ca="1">IF($D38&lt;&gt;"Serviço","",OFFSET(ORÇAMENTO!S$15,$L38,0))</f>
        <v/>
      </c>
      <c r="H38" s="121" cm="1">
        <f t="array" aca="1" ref="H38" ca="1">IF($D38&lt;&gt;"Serviço",0,IF(ACOMPANHAMENTO="BM",ROUND(OFFSET(ORÇAMENTO!AJ$15,$L38,0),15-13*ORÇAMENTO!$AF$7),IF(IFERROR(CÁLCULO.FrentesPreenchidas,0)=0,0,SUM(ROUND(OFFSET($P38,0,1,1,CÁLCULO.FrentesPreenchidas),15-13*ORÇAMENTO!$AF$7)))))</f>
        <v>0</v>
      </c>
      <c r="I38" s="467"/>
      <c r="J38" s="650" t="str" cm="1">
        <f t="array" aca="1" ref="J38" ca="1">IF(OR(B38&lt;&gt;"S",CÁLCULO.FrentesPreenchidas=0),"",IF(AND(ACOMPANHAMENTO="PLE",AUTOEVENTO="Manual",OR(H38&gt;0,ORÇAMENTO!AC38="QUANT."),OR(K38="",M38=0,N38="")),"►E",IF(AND(ACOMPANHAMENTO="PLE",ORÇAMENTO!AC38="QUANT."),"►Q",IF(AND(ACOMPANHAMENTO="PLE",H38&lt;&gt;SUMPRODUCT(($Q$1:$AA$1=1)*ROUND(Q38:AA38,15))),"►S",IF(AND(COUNTIF($P$11:$AA$11,"▼")=0,H38&gt;0,I38=""),"◄M","")))))</f>
        <v/>
      </c>
      <c r="K38" s="651"/>
      <c r="L38" s="164">
        <f t="shared" ca="1" si="9"/>
        <v>23</v>
      </c>
      <c r="M38" s="165" t="str">
        <f ca="1">IF($D38&lt;&gt;"Serviço","",
          IF(AUTOEVENTO="manual",$A38,
                IF(ISERROR(MATCH($A38,$A$15:OFFSET($A38,-1,0),0)),MAX($M$15:OFFSET(M38,-1,0))+1,
                      INDEX($M$15:OFFSET(M38,-1,0),MATCH($A38,$A$15:OFFSET($A38,-1,0),0)))))</f>
        <v/>
      </c>
      <c r="N38" s="166" t="str">
        <f ca="1">IF($D38&lt;&gt;"Serviço","",
         IF(AUTOEVENTO="Manual",
                IF($A38=0,"&lt;-- defina o número do agrupador",
                       OFFSET(EVENTOS!$D$15,$A38-$A$15,0)),
                OFFSET($F$15,$A38,0)))</f>
        <v/>
      </c>
      <c r="O38" s="167"/>
      <c r="Q38" s="167"/>
      <c r="R38" s="168"/>
      <c r="S38" s="168"/>
      <c r="T38" s="168"/>
      <c r="U38" s="168"/>
      <c r="V38" s="168"/>
      <c r="W38" s="168"/>
      <c r="X38" s="168"/>
      <c r="Y38" s="168"/>
      <c r="Z38" s="169"/>
      <c r="AB38" s="452">
        <f ca="1">IF(AND($D38="Serviço",AB$12&lt;&gt;0,$H38&gt;0,OR(AUTOEVENTO&lt;&gt;"manual",$M38&lt;&gt;$A$15)),
        IF(Import.TipoArredondamento&lt;&gt;"TransfereGOV",
              ROUND(OFFSET($P38,0,AB$13),15-13*ORÇAMENTO!$AF$7)/$H38*OFFSET(ORÇAMENTO!$X$15,ROW(AB38)-ROW(AB$15),0),
              ROUND(ROUND(OFFSET($P38,0,AB$13),15-13*ORÇAMENTO!$AF$7)*OFFSET(ORÇAMENTO!$W$15,ROW(AB38)-ROW(AB$15),0),15-13*ORÇAMENTO!$AF$11)),
         0)</f>
        <v>0</v>
      </c>
      <c r="AC38" s="452">
        <f ca="1">IF(AND($D38="Serviço",AC$12&lt;&gt;0,$H38&gt;0,OR(AUTOEVENTO&lt;&gt;"manual",$M38&lt;&gt;$A$15)),
        IF(Import.TipoArredondamento&lt;&gt;"TransfereGOV",
              ROUND(OFFSET($P38,0,AC$13),15-13*ORÇAMENTO!$AF$7)/$H38*OFFSET(ORÇAMENTO!$X$15,ROW(AC38)-ROW(AC$15),0),
              ROUND(ROUND(OFFSET($P38,0,AC$13),15-13*ORÇAMENTO!$AF$7)*OFFSET(ORÇAMENTO!$W$15,ROW(AC38)-ROW(AC$15),0),15-13*ORÇAMENTO!$AF$11)),
         0)</f>
        <v>0</v>
      </c>
      <c r="AD38" s="452">
        <f ca="1">IF(AND($D38="Serviço",AD$12&lt;&gt;0,$H38&gt;0,OR(AUTOEVENTO&lt;&gt;"manual",$M38&lt;&gt;$A$15)),
        IF(Import.TipoArredondamento&lt;&gt;"TransfereGOV",
              ROUND(OFFSET($P38,0,AD$13),15-13*ORÇAMENTO!$AF$7)/$H38*OFFSET(ORÇAMENTO!$X$15,ROW(AD38)-ROW(AD$15),0),
              ROUND(ROUND(OFFSET($P38,0,AD$13),15-13*ORÇAMENTO!$AF$7)*OFFSET(ORÇAMENTO!$W$15,ROW(AD38)-ROW(AD$15),0),15-13*ORÇAMENTO!$AF$11)),
         0)</f>
        <v>0</v>
      </c>
      <c r="AE38" s="452">
        <f ca="1">IF(AND($D38="Serviço",AE$12&lt;&gt;0,$H38&gt;0,OR(AUTOEVENTO&lt;&gt;"manual",$M38&lt;&gt;$A$15)),
        IF(Import.TipoArredondamento&lt;&gt;"TransfereGOV",
              ROUND(OFFSET($P38,0,AE$13),15-13*ORÇAMENTO!$AF$7)/$H38*OFFSET(ORÇAMENTO!$X$15,ROW(AE38)-ROW(AE$15),0),
              ROUND(ROUND(OFFSET($P38,0,AE$13),15-13*ORÇAMENTO!$AF$7)*OFFSET(ORÇAMENTO!$W$15,ROW(AE38)-ROW(AE$15),0),15-13*ORÇAMENTO!$AF$11)),
         0)</f>
        <v>0</v>
      </c>
      <c r="AF38" s="452">
        <f ca="1">IF(AND($D38="Serviço",AF$12&lt;&gt;0,$H38&gt;0,OR(AUTOEVENTO&lt;&gt;"manual",$M38&lt;&gt;$A$15)),
        IF(Import.TipoArredondamento&lt;&gt;"TransfereGOV",
              ROUND(OFFSET($P38,0,AF$13),15-13*ORÇAMENTO!$AF$7)/$H38*OFFSET(ORÇAMENTO!$X$15,ROW(AF38)-ROW(AF$15),0),
              ROUND(ROUND(OFFSET($P38,0,AF$13),15-13*ORÇAMENTO!$AF$7)*OFFSET(ORÇAMENTO!$W$15,ROW(AF38)-ROW(AF$15),0),15-13*ORÇAMENTO!$AF$11)),
         0)</f>
        <v>0</v>
      </c>
      <c r="AG38" s="452">
        <f ca="1">IF(AND($D38="Serviço",AG$12&lt;&gt;0,$H38&gt;0,OR(AUTOEVENTO&lt;&gt;"manual",$M38&lt;&gt;$A$15)),
        IF(Import.TipoArredondamento&lt;&gt;"TransfereGOV",
              ROUND(OFFSET($P38,0,AG$13),15-13*ORÇAMENTO!$AF$7)/$H38*OFFSET(ORÇAMENTO!$X$15,ROW(AG38)-ROW(AG$15),0),
              ROUND(ROUND(OFFSET($P38,0,AG$13),15-13*ORÇAMENTO!$AF$7)*OFFSET(ORÇAMENTO!$W$15,ROW(AG38)-ROW(AG$15),0),15-13*ORÇAMENTO!$AF$11)),
         0)</f>
        <v>0</v>
      </c>
      <c r="AH38" s="452">
        <f ca="1">IF(AND($D38="Serviço",AH$12&lt;&gt;0,$H38&gt;0,OR(AUTOEVENTO&lt;&gt;"manual",$M38&lt;&gt;$A$15)),
        IF(Import.TipoArredondamento&lt;&gt;"TransfereGOV",
              ROUND(OFFSET($P38,0,AH$13),15-13*ORÇAMENTO!$AF$7)/$H38*OFFSET(ORÇAMENTO!$X$15,ROW(AH38)-ROW(AH$15),0),
              ROUND(ROUND(OFFSET($P38,0,AH$13),15-13*ORÇAMENTO!$AF$7)*OFFSET(ORÇAMENTO!$W$15,ROW(AH38)-ROW(AH$15),0),15-13*ORÇAMENTO!$AF$11)),
         0)</f>
        <v>0</v>
      </c>
      <c r="AI38" s="452">
        <f ca="1">IF(AND($D38="Serviço",AI$12&lt;&gt;0,$H38&gt;0,OR(AUTOEVENTO&lt;&gt;"manual",$M38&lt;&gt;$A$15)),
        IF(Import.TipoArredondamento&lt;&gt;"TransfereGOV",
              ROUND(OFFSET($P38,0,AI$13),15-13*ORÇAMENTO!$AF$7)/$H38*OFFSET(ORÇAMENTO!$X$15,ROW(AI38)-ROW(AI$15),0),
              ROUND(ROUND(OFFSET($P38,0,AI$13),15-13*ORÇAMENTO!$AF$7)*OFFSET(ORÇAMENTO!$W$15,ROW(AI38)-ROW(AI$15),0),15-13*ORÇAMENTO!$AF$11)),
         0)</f>
        <v>0</v>
      </c>
      <c r="AJ38" s="452">
        <f ca="1">IF(AND($D38="Serviço",AJ$12&lt;&gt;0,$H38&gt;0,OR(AUTOEVENTO&lt;&gt;"manual",$M38&lt;&gt;$A$15)),
        IF(Import.TipoArredondamento&lt;&gt;"TransfereGOV",
              ROUND(OFFSET($P38,0,AJ$13),15-13*ORÇAMENTO!$AF$7)/$H38*OFFSET(ORÇAMENTO!$X$15,ROW(AJ38)-ROW(AJ$15),0),
              ROUND(ROUND(OFFSET($P38,0,AJ$13),15-13*ORÇAMENTO!$AF$7)*OFFSET(ORÇAMENTO!$W$15,ROW(AJ38)-ROW(AJ$15),0),15-13*ORÇAMENTO!$AF$11)),
         0)</f>
        <v>0</v>
      </c>
      <c r="AK38" s="452">
        <f ca="1">IF(AND($D38="Serviço",AK$12&lt;&gt;0,$H38&gt;0,OR(AUTOEVENTO&lt;&gt;"manual",$M38&lt;&gt;$A$15)),
        IF(Import.TipoArredondamento&lt;&gt;"TransfereGOV",
              ROUND(OFFSET($P38,0,AK$13),15-13*ORÇAMENTO!$AF$7)/$H38*OFFSET(ORÇAMENTO!$X$15,ROW(AK38)-ROW(AK$15),0),
              ROUND(ROUND(OFFSET($P38,0,AK$13),15-13*ORÇAMENTO!$AF$7)*OFFSET(ORÇAMENTO!$W$15,ROW(AK38)-ROW(AK$15),0),15-13*ORÇAMENTO!$AF$11)),
         0)</f>
        <v>0</v>
      </c>
      <c r="AM38" s="170">
        <f ca="1">IF(OR($D38&lt;&gt;"Serviço",AND(AUTOEVENTO="Manual",$M38=$A$15)),0,
         IF(OFFSET(CRONOPLE!$F$15,$M38-$A$15,AM$13)=0,10^12,OFFSET(CRONOPLE!$F$15,$M38-$A$15,AM$13)))</f>
        <v>0</v>
      </c>
      <c r="AN38" s="170">
        <f ca="1">IF(OR($D38&lt;&gt;"Serviço",AND(AUTOEVENTO="Manual",$M38=$A$15)),0,
         IF(OFFSET(CRONOPLE!$F$15,$M38-$A$15,AN$13)=0,10^12,OFFSET(CRONOPLE!$F$15,$M38-$A$15,AN$13)))</f>
        <v>0</v>
      </c>
      <c r="AO38" s="170">
        <f ca="1">IF(OR($D38&lt;&gt;"Serviço",AND(AUTOEVENTO="Manual",$M38=$A$15)),0,
         IF(OFFSET(CRONOPLE!$F$15,$M38-$A$15,AO$13)=0,10^12,OFFSET(CRONOPLE!$F$15,$M38-$A$15,AO$13)))</f>
        <v>0</v>
      </c>
      <c r="AP38" s="170">
        <f ca="1">IF(OR($D38&lt;&gt;"Serviço",AND(AUTOEVENTO="Manual",$M38=$A$15)),0,
         IF(OFFSET(CRONOPLE!$F$15,$M38-$A$15,AP$13)=0,10^12,OFFSET(CRONOPLE!$F$15,$M38-$A$15,AP$13)))</f>
        <v>0</v>
      </c>
      <c r="AQ38" s="170">
        <f ca="1">IF(OR($D38&lt;&gt;"Serviço",AND(AUTOEVENTO="Manual",$M38=$A$15)),0,
         IF(OFFSET(CRONOPLE!$F$15,$M38-$A$15,AQ$13)=0,10^12,OFFSET(CRONOPLE!$F$15,$M38-$A$15,AQ$13)))</f>
        <v>0</v>
      </c>
      <c r="AR38" s="170">
        <f ca="1">IF(OR($D38&lt;&gt;"Serviço",AND(AUTOEVENTO="Manual",$M38=$A$15)),0,
         IF(OFFSET(CRONOPLE!$F$15,$M38-$A$15,AR$13)=0,10^12,OFFSET(CRONOPLE!$F$15,$M38-$A$15,AR$13)))</f>
        <v>0</v>
      </c>
      <c r="AS38" s="170">
        <f ca="1">IF(OR($D38&lt;&gt;"Serviço",AND(AUTOEVENTO="Manual",$M38=$A$15)),0,
         IF(OFFSET(CRONOPLE!$F$15,$M38-$A$15,AS$13)=0,10^12,OFFSET(CRONOPLE!$F$15,$M38-$A$15,AS$13)))</f>
        <v>0</v>
      </c>
      <c r="AT38" s="170">
        <f ca="1">IF(OR($D38&lt;&gt;"Serviço",AND(AUTOEVENTO="Manual",$M38=$A$15)),0,
         IF(OFFSET(CRONOPLE!$F$15,$M38-$A$15,AT$13)=0,10^12,OFFSET(CRONOPLE!$F$15,$M38-$A$15,AT$13)))</f>
        <v>0</v>
      </c>
      <c r="AU38" s="170">
        <f ca="1">IF(OR($D38&lt;&gt;"Serviço",AND(AUTOEVENTO="Manual",$M38=$A$15)),0,
         IF(OFFSET(CRONOPLE!$F$15,$M38-$A$15,AU$13)=0,10^12,OFFSET(CRONOPLE!$F$15,$M38-$A$15,AU$13)))</f>
        <v>0</v>
      </c>
      <c r="AV38" s="170">
        <f ca="1">IF(OR($D38&lt;&gt;"Serviço",AND(AUTOEVENTO="Manual",$M38=$A$15)),0,
         IF(OFFSET(CRONOPLE!$F$15,$M38-$A$15,AV$13)=0,10^12,OFFSET(CRONOPLE!$F$15,$M38-$A$15,AV$13)))</f>
        <v>0</v>
      </c>
      <c r="AX38" s="171" cm="1">
        <f t="array" aca="1" ref="AX38" ca="1">IF(OR($D38&lt;&gt;"Serviço",AND(AUTOEVENTO="Manual",$M38=$A$15),$M38&gt;(ROW(PLE.lastrow)-ROW(PLE.firstrow))),0,
           IF(OFFSET(PLE!$G$15,$M38-$A$15,AX$13)="",10^12,OFFSET(PLE!$G$15,$M38-$A$15,AX$13)))</f>
        <v>0</v>
      </c>
      <c r="AY38" s="171" cm="1">
        <f t="array" aca="1" ref="AY38" ca="1">IF(OR($D38&lt;&gt;"Serviço",AND(AUTOEVENTO="Manual",$M38=$A$15),$M38&gt;(ROW(PLE.lastrow)-ROW(PLE.firstrow))),0,
           IF(OFFSET(PLE!$G$15,$M38-$A$15,AY$13)="",10^12,OFFSET(PLE!$G$15,$M38-$A$15,AY$13)))</f>
        <v>0</v>
      </c>
      <c r="AZ38" s="171" cm="1">
        <f t="array" aca="1" ref="AZ38" ca="1">IF(OR($D38&lt;&gt;"Serviço",AND(AUTOEVENTO="Manual",$M38=$A$15),$M38&gt;(ROW(PLE.lastrow)-ROW(PLE.firstrow))),0,
           IF(OFFSET(PLE!$G$15,$M38-$A$15,AZ$13)="",10^12,OFFSET(PLE!$G$15,$M38-$A$15,AZ$13)))</f>
        <v>0</v>
      </c>
      <c r="BA38" s="171" cm="1">
        <f t="array" aca="1" ref="BA38" ca="1">IF(OR($D38&lt;&gt;"Serviço",AND(AUTOEVENTO="Manual",$M38=$A$15),$M38&gt;(ROW(PLE.lastrow)-ROW(PLE.firstrow))),0,
           IF(OFFSET(PLE!$G$15,$M38-$A$15,BA$13)="",10^12,OFFSET(PLE!$G$15,$M38-$A$15,BA$13)))</f>
        <v>0</v>
      </c>
      <c r="BB38" s="171" cm="1">
        <f t="array" aca="1" ref="BB38" ca="1">IF(OR($D38&lt;&gt;"Serviço",AND(AUTOEVENTO="Manual",$M38=$A$15),$M38&gt;(ROW(PLE.lastrow)-ROW(PLE.firstrow))),0,
           IF(OFFSET(PLE!$G$15,$M38-$A$15,BB$13)="",10^12,OFFSET(PLE!$G$15,$M38-$A$15,BB$13)))</f>
        <v>0</v>
      </c>
      <c r="BC38" s="171" cm="1">
        <f t="array" aca="1" ref="BC38" ca="1">IF(OR($D38&lt;&gt;"Serviço",AND(AUTOEVENTO="Manual",$M38=$A$15),$M38&gt;(ROW(PLE.lastrow)-ROW(PLE.firstrow))),0,
           IF(OFFSET(PLE!$G$15,$M38-$A$15,BC$13)="",10^12,OFFSET(PLE!$G$15,$M38-$A$15,BC$13)))</f>
        <v>0</v>
      </c>
      <c r="BD38" s="171" cm="1">
        <f t="array" aca="1" ref="BD38" ca="1">IF(OR($D38&lt;&gt;"Serviço",AND(AUTOEVENTO="Manual",$M38=$A$15),$M38&gt;(ROW(PLE.lastrow)-ROW(PLE.firstrow))),0,
           IF(OFFSET(PLE!$G$15,$M38-$A$15,BD$13)="",10^12,OFFSET(PLE!$G$15,$M38-$A$15,BD$13)))</f>
        <v>0</v>
      </c>
      <c r="BE38" s="171" cm="1">
        <f t="array" aca="1" ref="BE38" ca="1">IF(OR($D38&lt;&gt;"Serviço",AND(AUTOEVENTO="Manual",$M38=$A$15),$M38&gt;(ROW(PLE.lastrow)-ROW(PLE.firstrow))),0,
           IF(OFFSET(PLE!$G$15,$M38-$A$15,BE$13)="",10^12,OFFSET(PLE!$G$15,$M38-$A$15,BE$13)))</f>
        <v>0</v>
      </c>
      <c r="BF38" s="171" cm="1">
        <f t="array" aca="1" ref="BF38" ca="1">IF(OR($D38&lt;&gt;"Serviço",AND(AUTOEVENTO="Manual",$M38=$A$15),$M38&gt;(ROW(PLE.lastrow)-ROW(PLE.firstrow))),0,
           IF(OFFSET(PLE!$G$15,$M38-$A$15,BF$13)="",10^12,OFFSET(PLE!$G$15,$M38-$A$15,BF$13)))</f>
        <v>0</v>
      </c>
      <c r="BG38" s="171" cm="1">
        <f t="array" aca="1" ref="BG38" ca="1">IF(OR($D38&lt;&gt;"Serviço",AND(AUTOEVENTO="Manual",$M38=$A$15),$M38&gt;(ROW(PLE.lastrow)-ROW(PLE.firstrow))),0,
           IF(OFFSET(PLE!$G$15,$M38-$A$15,BG$13)="",10^12,OFFSET(PLE!$G$15,$M38-$A$15,BG$13)))</f>
        <v>0</v>
      </c>
    </row>
    <row r="39" spans="1:59" ht="51" x14ac:dyDescent="0.2">
      <c r="A39" s="7" t="str">
        <f t="shared" ca="1" si="8"/>
        <v>23</v>
      </c>
      <c r="B39" s="7" t="str">
        <f ca="1">OFFSET(ORÇAMENTO!C$15,$L39,0)</f>
        <v>S</v>
      </c>
      <c r="C39" s="7" t="str">
        <f ca="1">OFFSET(ORÇAMENTO!L$15,$L39,0)</f>
        <v>F</v>
      </c>
      <c r="D39" s="115" t="str">
        <f ca="1">OFFSET(ORÇAMENTO!N$15,$L39,0)</f>
        <v>Serviço</v>
      </c>
      <c r="E39" s="116" t="str">
        <f ca="1">OFFSET(ORÇAMENTO!O$15,$L39,0)</f>
        <v>1.6.1.</v>
      </c>
      <c r="F39" s="162" t="str">
        <f ca="1">OFFSET(ORÇAMENTO!R$15,$L39,0)</f>
        <v>FORNECIMENTO DE ESTRUTURA METÁLICA EM PERFIL LAMINADO
 , INCLUSIVE FABRICAÇÃO, TRANSPORTE, MONTAGEM E
 APLICAÇÃO DE FUNDO PREPARADOR ANTICORROSIVO EM
 SUPERFÍCIE METÁLICA, UMA (1) DEMÃO</v>
      </c>
      <c r="G39" s="163" t="str">
        <f ca="1">IF($D39&lt;&gt;"Serviço","",OFFSET(ORÇAMENTO!S$15,$L39,0))</f>
        <v>kg</v>
      </c>
      <c r="H39" s="121" cm="1">
        <f t="array" aca="1" ref="H39" ca="1">IF($D39&lt;&gt;"Serviço",0,IF(ACOMPANHAMENTO="BM",ROUND(OFFSET(ORÇAMENTO!AJ$15,$L39,0),15-13*ORÇAMENTO!$AF$7),IF(IFERROR(CÁLCULO.FrentesPreenchidas,0)=0,0,SUM(ROUND(OFFSET($P39,0,1,1,CÁLCULO.FrentesPreenchidas),15-13*ORÇAMENTO!$AF$7)))))</f>
        <v>12960</v>
      </c>
      <c r="I39" s="467"/>
      <c r="J39" s="650" t="str" cm="1">
        <f t="array" aca="1" ref="J39" ca="1">IF(OR(B39&lt;&gt;"S",CÁLCULO.FrentesPreenchidas=0),"",IF(AND(ACOMPANHAMENTO="PLE",AUTOEVENTO="Manual",OR(H39&gt;0,ORÇAMENTO!AC39="QUANT."),OR(K39="",M39=0,N39="")),"►E",IF(AND(ACOMPANHAMENTO="PLE",ORÇAMENTO!AC39="QUANT."),"►Q",IF(AND(ACOMPANHAMENTO="PLE",H39&lt;&gt;SUMPRODUCT(($Q$1:$AA$1=1)*ROUND(Q39:AA39,15))),"►S",IF(AND(COUNTIF($P$11:$AA$11,"▼")=0,H39&gt;0,I39=""),"◄M","")))))</f>
        <v>◄M</v>
      </c>
      <c r="K39" s="651"/>
      <c r="L39" s="164">
        <f t="shared" ca="1" si="9"/>
        <v>24</v>
      </c>
      <c r="M39" s="165">
        <f ca="1">IF($D39&lt;&gt;"Serviço","",
          IF(AUTOEVENTO="manual",$A39,
                IF(ISERROR(MATCH($A39,$A$15:OFFSET($A39,-1,0),0)),MAX($M$15:OFFSET(M39,-1,0))+1,
                      INDEX($M$15:OFFSET(M39,-1,0),MATCH($A39,$A$15:OFFSET($A39,-1,0),0)))))</f>
        <v>6</v>
      </c>
      <c r="N39" s="166" t="str">
        <f ca="1">IF($D39&lt;&gt;"Serviço","",
         IF(AUTOEVENTO="Manual",
                IF($A39=0,"&lt;-- defina o número do agrupador",
                       OFFSET(EVENTOS!$D$15,$A39-$A$15,0)),
                OFFSET($F$15,$A39,0)))</f>
        <v>SUPERESTRUTURA</v>
      </c>
      <c r="O39" s="167"/>
      <c r="Q39" s="167"/>
      <c r="R39" s="168"/>
      <c r="S39" s="168">
        <v>8800</v>
      </c>
      <c r="T39" s="168">
        <v>4160</v>
      </c>
      <c r="U39" s="168"/>
      <c r="V39" s="168"/>
      <c r="W39" s="168"/>
      <c r="X39" s="168"/>
      <c r="Y39" s="168"/>
      <c r="Z39" s="169"/>
      <c r="AB39" s="452">
        <f ca="1">IF(AND($D39="Serviço",AB$12&lt;&gt;0,$H39&gt;0,OR(AUTOEVENTO&lt;&gt;"manual",$M39&lt;&gt;$A$15)),
        IF(Import.TipoArredondamento&lt;&gt;"TransfereGOV",
              ROUND(OFFSET($P39,0,AB$13),15-13*ORÇAMENTO!$AF$7)/$H39*OFFSET(ORÇAMENTO!$X$15,ROW(AB39)-ROW(AB$15),0),
              ROUND(ROUND(OFFSET($P39,0,AB$13),15-13*ORÇAMENTO!$AF$7)*OFFSET(ORÇAMENTO!$W$15,ROW(AB39)-ROW(AB$15),0),15-13*ORÇAMENTO!$AF$11)),
         0)</f>
        <v>0</v>
      </c>
      <c r="AC39" s="452">
        <f ca="1">IF(AND($D39="Serviço",AC$12&lt;&gt;0,$H39&gt;0,OR(AUTOEVENTO&lt;&gt;"manual",$M39&lt;&gt;$A$15)),
        IF(Import.TipoArredondamento&lt;&gt;"TransfereGOV",
              ROUND(OFFSET($P39,0,AC$13),15-13*ORÇAMENTO!$AF$7)/$H39*OFFSET(ORÇAMENTO!$X$15,ROW(AC39)-ROW(AC$15),0),
              ROUND(ROUND(OFFSET($P39,0,AC$13),15-13*ORÇAMENTO!$AF$7)*OFFSET(ORÇAMENTO!$W$15,ROW(AC39)-ROW(AC$15),0),15-13*ORÇAMENTO!$AF$11)),
         0)</f>
        <v>0</v>
      </c>
      <c r="AD39" s="452">
        <f ca="1">IF(AND($D39="Serviço",AD$12&lt;&gt;0,$H39&gt;0,OR(AUTOEVENTO&lt;&gt;"manual",$M39&lt;&gt;$A$15)),
        IF(Import.TipoArredondamento&lt;&gt;"TransfereGOV",
              ROUND(OFFSET($P39,0,AD$13),15-13*ORÇAMENTO!$AF$7)/$H39*OFFSET(ORÇAMENTO!$X$15,ROW(AD39)-ROW(AD$15),0),
              ROUND(ROUND(OFFSET($P39,0,AD$13),15-13*ORÇAMENTO!$AF$7)*OFFSET(ORÇAMENTO!$W$15,ROW(AD39)-ROW(AD$15),0),15-13*ORÇAMENTO!$AF$11)),
         0)</f>
        <v>229328</v>
      </c>
      <c r="AE39" s="452">
        <f ca="1">IF(AND($D39="Serviço",AE$12&lt;&gt;0,$H39&gt;0,OR(AUTOEVENTO&lt;&gt;"manual",$M39&lt;&gt;$A$15)),
        IF(Import.TipoArredondamento&lt;&gt;"TransfereGOV",
              ROUND(OFFSET($P39,0,AE$13),15-13*ORÇAMENTO!$AF$7)/$H39*OFFSET(ORÇAMENTO!$X$15,ROW(AE39)-ROW(AE$15),0),
              ROUND(ROUND(OFFSET($P39,0,AE$13),15-13*ORÇAMENTO!$AF$7)*OFFSET(ORÇAMENTO!$W$15,ROW(AE39)-ROW(AE$15),0),15-13*ORÇAMENTO!$AF$11)),
         0)</f>
        <v>108409.60000000001</v>
      </c>
      <c r="AF39" s="452">
        <f ca="1">IF(AND($D39="Serviço",AF$12&lt;&gt;0,$H39&gt;0,OR(AUTOEVENTO&lt;&gt;"manual",$M39&lt;&gt;$A$15)),
        IF(Import.TipoArredondamento&lt;&gt;"TransfereGOV",
              ROUND(OFFSET($P39,0,AF$13),15-13*ORÇAMENTO!$AF$7)/$H39*OFFSET(ORÇAMENTO!$X$15,ROW(AF39)-ROW(AF$15),0),
              ROUND(ROUND(OFFSET($P39,0,AF$13),15-13*ORÇAMENTO!$AF$7)*OFFSET(ORÇAMENTO!$W$15,ROW(AF39)-ROW(AF$15),0),15-13*ORÇAMENTO!$AF$11)),
         0)</f>
        <v>0</v>
      </c>
      <c r="AG39" s="452">
        <f ca="1">IF(AND($D39="Serviço",AG$12&lt;&gt;0,$H39&gt;0,OR(AUTOEVENTO&lt;&gt;"manual",$M39&lt;&gt;$A$15)),
        IF(Import.TipoArredondamento&lt;&gt;"TransfereGOV",
              ROUND(OFFSET($P39,0,AG$13),15-13*ORÇAMENTO!$AF$7)/$H39*OFFSET(ORÇAMENTO!$X$15,ROW(AG39)-ROW(AG$15),0),
              ROUND(ROUND(OFFSET($P39,0,AG$13),15-13*ORÇAMENTO!$AF$7)*OFFSET(ORÇAMENTO!$W$15,ROW(AG39)-ROW(AG$15),0),15-13*ORÇAMENTO!$AF$11)),
         0)</f>
        <v>0</v>
      </c>
      <c r="AH39" s="452">
        <f ca="1">IF(AND($D39="Serviço",AH$12&lt;&gt;0,$H39&gt;0,OR(AUTOEVENTO&lt;&gt;"manual",$M39&lt;&gt;$A$15)),
        IF(Import.TipoArredondamento&lt;&gt;"TransfereGOV",
              ROUND(OFFSET($P39,0,AH$13),15-13*ORÇAMENTO!$AF$7)/$H39*OFFSET(ORÇAMENTO!$X$15,ROW(AH39)-ROW(AH$15),0),
              ROUND(ROUND(OFFSET($P39,0,AH$13),15-13*ORÇAMENTO!$AF$7)*OFFSET(ORÇAMENTO!$W$15,ROW(AH39)-ROW(AH$15),0),15-13*ORÇAMENTO!$AF$11)),
         0)</f>
        <v>0</v>
      </c>
      <c r="AI39" s="452">
        <f ca="1">IF(AND($D39="Serviço",AI$12&lt;&gt;0,$H39&gt;0,OR(AUTOEVENTO&lt;&gt;"manual",$M39&lt;&gt;$A$15)),
        IF(Import.TipoArredondamento&lt;&gt;"TransfereGOV",
              ROUND(OFFSET($P39,0,AI$13),15-13*ORÇAMENTO!$AF$7)/$H39*OFFSET(ORÇAMENTO!$X$15,ROW(AI39)-ROW(AI$15),0),
              ROUND(ROUND(OFFSET($P39,0,AI$13),15-13*ORÇAMENTO!$AF$7)*OFFSET(ORÇAMENTO!$W$15,ROW(AI39)-ROW(AI$15),0),15-13*ORÇAMENTO!$AF$11)),
         0)</f>
        <v>0</v>
      </c>
      <c r="AJ39" s="452">
        <f ca="1">IF(AND($D39="Serviço",AJ$12&lt;&gt;0,$H39&gt;0,OR(AUTOEVENTO&lt;&gt;"manual",$M39&lt;&gt;$A$15)),
        IF(Import.TipoArredondamento&lt;&gt;"TransfereGOV",
              ROUND(OFFSET($P39,0,AJ$13),15-13*ORÇAMENTO!$AF$7)/$H39*OFFSET(ORÇAMENTO!$X$15,ROW(AJ39)-ROW(AJ$15),0),
              ROUND(ROUND(OFFSET($P39,0,AJ$13),15-13*ORÇAMENTO!$AF$7)*OFFSET(ORÇAMENTO!$W$15,ROW(AJ39)-ROW(AJ$15),0),15-13*ORÇAMENTO!$AF$11)),
         0)</f>
        <v>0</v>
      </c>
      <c r="AK39" s="452">
        <f ca="1">IF(AND($D39="Serviço",AK$12&lt;&gt;0,$H39&gt;0,OR(AUTOEVENTO&lt;&gt;"manual",$M39&lt;&gt;$A$15)),
        IF(Import.TipoArredondamento&lt;&gt;"TransfereGOV",
              ROUND(OFFSET($P39,0,AK$13),15-13*ORÇAMENTO!$AF$7)/$H39*OFFSET(ORÇAMENTO!$X$15,ROW(AK39)-ROW(AK$15),0),
              ROUND(ROUND(OFFSET($P39,0,AK$13),15-13*ORÇAMENTO!$AF$7)*OFFSET(ORÇAMENTO!$W$15,ROW(AK39)-ROW(AK$15),0),15-13*ORÇAMENTO!$AF$11)),
         0)</f>
        <v>0</v>
      </c>
      <c r="AM39" s="170">
        <f ca="1">IF(OR($D39&lt;&gt;"Serviço",AND(AUTOEVENTO="Manual",$M39=$A$15)),0,
         IF(OFFSET(CRONOPLE!$F$15,$M39-$A$15,AM$13)=0,10^12,OFFSET(CRONOPLE!$F$15,$M39-$A$15,AM$13)))</f>
        <v>1000000000000</v>
      </c>
      <c r="AN39" s="170">
        <f ca="1">IF(OR($D39&lt;&gt;"Serviço",AND(AUTOEVENTO="Manual",$M39=$A$15)),0,
         IF(OFFSET(CRONOPLE!$F$15,$M39-$A$15,AN$13)=0,10^12,OFFSET(CRONOPLE!$F$15,$M39-$A$15,AN$13)))</f>
        <v>2</v>
      </c>
      <c r="AO39" s="170">
        <f ca="1">IF(OR($D39&lt;&gt;"Serviço",AND(AUTOEVENTO="Manual",$M39=$A$15)),0,
         IF(OFFSET(CRONOPLE!$F$15,$M39-$A$15,AO$13)=0,10^12,OFFSET(CRONOPLE!$F$15,$M39-$A$15,AO$13)))</f>
        <v>3</v>
      </c>
      <c r="AP39" s="170">
        <f ca="1">IF(OR($D39&lt;&gt;"Serviço",AND(AUTOEVENTO="Manual",$M39=$A$15)),0,
         IF(OFFSET(CRONOPLE!$F$15,$M39-$A$15,AP$13)=0,10^12,OFFSET(CRONOPLE!$F$15,$M39-$A$15,AP$13)))</f>
        <v>4</v>
      </c>
      <c r="AQ39" s="170">
        <f ca="1">IF(OR($D39&lt;&gt;"Serviço",AND(AUTOEVENTO="Manual",$M39=$A$15)),0,
         IF(OFFSET(CRONOPLE!$F$15,$M39-$A$15,AQ$13)=0,10^12,OFFSET(CRONOPLE!$F$15,$M39-$A$15,AQ$13)))</f>
        <v>1000000000000</v>
      </c>
      <c r="AR39" s="170">
        <f ca="1">IF(OR($D39&lt;&gt;"Serviço",AND(AUTOEVENTO="Manual",$M39=$A$15)),0,
         IF(OFFSET(CRONOPLE!$F$15,$M39-$A$15,AR$13)=0,10^12,OFFSET(CRONOPLE!$F$15,$M39-$A$15,AR$13)))</f>
        <v>1000000000000</v>
      </c>
      <c r="AS39" s="170">
        <f ca="1">IF(OR($D39&lt;&gt;"Serviço",AND(AUTOEVENTO="Manual",$M39=$A$15)),0,
         IF(OFFSET(CRONOPLE!$F$15,$M39-$A$15,AS$13)=0,10^12,OFFSET(CRONOPLE!$F$15,$M39-$A$15,AS$13)))</f>
        <v>1000000000000</v>
      </c>
      <c r="AT39" s="170">
        <f ca="1">IF(OR($D39&lt;&gt;"Serviço",AND(AUTOEVENTO="Manual",$M39=$A$15)),0,
         IF(OFFSET(CRONOPLE!$F$15,$M39-$A$15,AT$13)=0,10^12,OFFSET(CRONOPLE!$F$15,$M39-$A$15,AT$13)))</f>
        <v>1000000000000</v>
      </c>
      <c r="AU39" s="170">
        <f ca="1">IF(OR($D39&lt;&gt;"Serviço",AND(AUTOEVENTO="Manual",$M39=$A$15)),0,
         IF(OFFSET(CRONOPLE!$F$15,$M39-$A$15,AU$13)=0,10^12,OFFSET(CRONOPLE!$F$15,$M39-$A$15,AU$13)))</f>
        <v>1000000000000</v>
      </c>
      <c r="AV39" s="170">
        <f ca="1">IF(OR($D39&lt;&gt;"Serviço",AND(AUTOEVENTO="Manual",$M39=$A$15)),0,
         IF(OFFSET(CRONOPLE!$F$15,$M39-$A$15,AV$13)=0,10^12,OFFSET(CRONOPLE!$F$15,$M39-$A$15,AV$13)))</f>
        <v>1000000000000</v>
      </c>
      <c r="AX39" s="171" cm="1">
        <f t="array" aca="1" ref="AX39" ca="1">IF(OR($D39&lt;&gt;"Serviço",AND(AUTOEVENTO="Manual",$M39=$A$15),$M39&gt;(ROW(PLE.lastrow)-ROW(PLE.firstrow))),0,
           IF(OFFSET(PLE!$G$15,$M39-$A$15,AX$13)="",10^12,OFFSET(PLE!$G$15,$M39-$A$15,AX$13)))</f>
        <v>1000000000000</v>
      </c>
      <c r="AY39" s="171" cm="1">
        <f t="array" aca="1" ref="AY39" ca="1">IF(OR($D39&lt;&gt;"Serviço",AND(AUTOEVENTO="Manual",$M39=$A$15),$M39&gt;(ROW(PLE.lastrow)-ROW(PLE.firstrow))),0,
           IF(OFFSET(PLE!$G$15,$M39-$A$15,AY$13)="",10^12,OFFSET(PLE!$G$15,$M39-$A$15,AY$13)))</f>
        <v>1000000000000</v>
      </c>
      <c r="AZ39" s="171" cm="1">
        <f t="array" aca="1" ref="AZ39" ca="1">IF(OR($D39&lt;&gt;"Serviço",AND(AUTOEVENTO="Manual",$M39=$A$15),$M39&gt;(ROW(PLE.lastrow)-ROW(PLE.firstrow))),0,
           IF(OFFSET(PLE!$G$15,$M39-$A$15,AZ$13)="",10^12,OFFSET(PLE!$G$15,$M39-$A$15,AZ$13)))</f>
        <v>1000000000000</v>
      </c>
      <c r="BA39" s="171" cm="1">
        <f t="array" aca="1" ref="BA39" ca="1">IF(OR($D39&lt;&gt;"Serviço",AND(AUTOEVENTO="Manual",$M39=$A$15),$M39&gt;(ROW(PLE.lastrow)-ROW(PLE.firstrow))),0,
           IF(OFFSET(PLE!$G$15,$M39-$A$15,BA$13)="",10^12,OFFSET(PLE!$G$15,$M39-$A$15,BA$13)))</f>
        <v>1000000000000</v>
      </c>
      <c r="BB39" s="171" cm="1">
        <f t="array" aca="1" ref="BB39" ca="1">IF(OR($D39&lt;&gt;"Serviço",AND(AUTOEVENTO="Manual",$M39=$A$15),$M39&gt;(ROW(PLE.lastrow)-ROW(PLE.firstrow))),0,
           IF(OFFSET(PLE!$G$15,$M39-$A$15,BB$13)="",10^12,OFFSET(PLE!$G$15,$M39-$A$15,BB$13)))</f>
        <v>1000000000000</v>
      </c>
      <c r="BC39" s="171" cm="1">
        <f t="array" aca="1" ref="BC39" ca="1">IF(OR($D39&lt;&gt;"Serviço",AND(AUTOEVENTO="Manual",$M39=$A$15),$M39&gt;(ROW(PLE.lastrow)-ROW(PLE.firstrow))),0,
           IF(OFFSET(PLE!$G$15,$M39-$A$15,BC$13)="",10^12,OFFSET(PLE!$G$15,$M39-$A$15,BC$13)))</f>
        <v>1000000000000</v>
      </c>
      <c r="BD39" s="171" cm="1">
        <f t="array" aca="1" ref="BD39" ca="1">IF(OR($D39&lt;&gt;"Serviço",AND(AUTOEVENTO="Manual",$M39=$A$15),$M39&gt;(ROW(PLE.lastrow)-ROW(PLE.firstrow))),0,
           IF(OFFSET(PLE!$G$15,$M39-$A$15,BD$13)="",10^12,OFFSET(PLE!$G$15,$M39-$A$15,BD$13)))</f>
        <v>1000000000000</v>
      </c>
      <c r="BE39" s="171" cm="1">
        <f t="array" aca="1" ref="BE39" ca="1">IF(OR($D39&lt;&gt;"Serviço",AND(AUTOEVENTO="Manual",$M39=$A$15),$M39&gt;(ROW(PLE.lastrow)-ROW(PLE.firstrow))),0,
           IF(OFFSET(PLE!$G$15,$M39-$A$15,BE$13)="",10^12,OFFSET(PLE!$G$15,$M39-$A$15,BE$13)))</f>
        <v>1000000000000</v>
      </c>
      <c r="BF39" s="171" cm="1">
        <f t="array" aca="1" ref="BF39" ca="1">IF(OR($D39&lt;&gt;"Serviço",AND(AUTOEVENTO="Manual",$M39=$A$15),$M39&gt;(ROW(PLE.lastrow)-ROW(PLE.firstrow))),0,
           IF(OFFSET(PLE!$G$15,$M39-$A$15,BF$13)="",10^12,OFFSET(PLE!$G$15,$M39-$A$15,BF$13)))</f>
        <v>1000000000000</v>
      </c>
      <c r="BG39" s="171" cm="1">
        <f t="array" aca="1" ref="BG39" ca="1">IF(OR($D39&lt;&gt;"Serviço",AND(AUTOEVENTO="Manual",$M39=$A$15),$M39&gt;(ROW(PLE.lastrow)-ROW(PLE.firstrow))),0,
           IF(OFFSET(PLE!$G$15,$M39-$A$15,BG$13)="",10^12,OFFSET(PLE!$G$15,$M39-$A$15,BG$13)))</f>
        <v>1000000000000</v>
      </c>
    </row>
    <row r="40" spans="1:59" ht="25.5" x14ac:dyDescent="0.2">
      <c r="A40" s="7" t="str">
        <f t="shared" ca="1" si="8"/>
        <v>23</v>
      </c>
      <c r="B40" s="7" t="str">
        <f ca="1">OFFSET(ORÇAMENTO!C$15,$L40,0)</f>
        <v>S</v>
      </c>
      <c r="C40" s="7" t="str">
        <f ca="1">OFFSET(ORÇAMENTO!L$15,$L40,0)</f>
        <v>F</v>
      </c>
      <c r="D40" s="115" t="str">
        <f ca="1">OFFSET(ORÇAMENTO!N$15,$L40,0)</f>
        <v>Serviço</v>
      </c>
      <c r="E40" s="116" t="str">
        <f ca="1">OFFSET(ORÇAMENTO!O$15,$L40,0)</f>
        <v>1.6.2.</v>
      </c>
      <c r="F40" s="162" t="str">
        <f ca="1">OFFSET(ORÇAMENTO!R$15,$L40,0)</f>
        <v>PINTURA EPÓXI EM SUPERFÍCIES DE AÇO CARBONO, DUAS (2)
 DEMÃOS, COM APLICAÇÃO MANUAL</v>
      </c>
      <c r="G40" s="163" t="str">
        <f ca="1">IF($D40&lt;&gt;"Serviço","",OFFSET(ORÇAMENTO!S$15,$L40,0))</f>
        <v>M2</v>
      </c>
      <c r="H40" s="121" cm="1">
        <f t="array" aca="1" ref="H40" ca="1">IF($D40&lt;&gt;"Serviço",0,IF(ACOMPANHAMENTO="BM",ROUND(OFFSET(ORÇAMENTO!AJ$15,$L40,0),15-13*ORÇAMENTO!$AF$7),IF(IFERROR(CÁLCULO.FrentesPreenchidas,0)=0,0,SUM(ROUND(OFFSET($P40,0,1,1,CÁLCULO.FrentesPreenchidas),15-13*ORÇAMENTO!$AF$7)))))</f>
        <v>388.8</v>
      </c>
      <c r="I40" s="467"/>
      <c r="J40" s="650" t="str" cm="1">
        <f t="array" aca="1" ref="J40" ca="1">IF(OR(B40&lt;&gt;"S",CÁLCULO.FrentesPreenchidas=0),"",IF(AND(ACOMPANHAMENTO="PLE",AUTOEVENTO="Manual",OR(H40&gt;0,ORÇAMENTO!AC40="QUANT."),OR(K40="",M40=0,N40="")),"►E",IF(AND(ACOMPANHAMENTO="PLE",ORÇAMENTO!AC40="QUANT."),"►Q",IF(AND(ACOMPANHAMENTO="PLE",H40&lt;&gt;SUMPRODUCT(($Q$1:$AA$1=1)*ROUND(Q40:AA40,15))),"►S",IF(AND(COUNTIF($P$11:$AA$11,"▼")=0,H40&gt;0,I40=""),"◄M","")))))</f>
        <v>◄M</v>
      </c>
      <c r="K40" s="651"/>
      <c r="L40" s="164">
        <f t="shared" ca="1" si="9"/>
        <v>25</v>
      </c>
      <c r="M40" s="165">
        <f ca="1">IF($D40&lt;&gt;"Serviço","",
          IF(AUTOEVENTO="manual",$A40,
                IF(ISERROR(MATCH($A40,$A$15:OFFSET($A40,-1,0),0)),MAX($M$15:OFFSET(M40,-1,0))+1,
                      INDEX($M$15:OFFSET(M40,-1,0),MATCH($A40,$A$15:OFFSET($A40,-1,0),0)))))</f>
        <v>6</v>
      </c>
      <c r="N40" s="166" t="str">
        <f ca="1">IF($D40&lt;&gt;"Serviço","",
         IF(AUTOEVENTO="Manual",
                IF($A40=0,"&lt;-- defina o número do agrupador",
                       OFFSET(EVENTOS!$D$15,$A40-$A$15,0)),
                OFFSET($F$15,$A40,0)))</f>
        <v>SUPERESTRUTURA</v>
      </c>
      <c r="O40" s="167"/>
      <c r="Q40" s="167"/>
      <c r="R40" s="168"/>
      <c r="S40" s="168"/>
      <c r="T40" s="168">
        <v>388.8</v>
      </c>
      <c r="U40" s="168"/>
      <c r="V40" s="168"/>
      <c r="W40" s="168"/>
      <c r="X40" s="168"/>
      <c r="Y40" s="168"/>
      <c r="Z40" s="169"/>
      <c r="AB40" s="452">
        <f ca="1">IF(AND($D40="Serviço",AB$12&lt;&gt;0,$H40&gt;0,OR(AUTOEVENTO&lt;&gt;"manual",$M40&lt;&gt;$A$15)),
        IF(Import.TipoArredondamento&lt;&gt;"TransfereGOV",
              ROUND(OFFSET($P40,0,AB$13),15-13*ORÇAMENTO!$AF$7)/$H40*OFFSET(ORÇAMENTO!$X$15,ROW(AB40)-ROW(AB$15),0),
              ROUND(ROUND(OFFSET($P40,0,AB$13),15-13*ORÇAMENTO!$AF$7)*OFFSET(ORÇAMENTO!$W$15,ROW(AB40)-ROW(AB$15),0),15-13*ORÇAMENTO!$AF$11)),
         0)</f>
        <v>0</v>
      </c>
      <c r="AC40" s="452">
        <f ca="1">IF(AND($D40="Serviço",AC$12&lt;&gt;0,$H40&gt;0,OR(AUTOEVENTO&lt;&gt;"manual",$M40&lt;&gt;$A$15)),
        IF(Import.TipoArredondamento&lt;&gt;"TransfereGOV",
              ROUND(OFFSET($P40,0,AC$13),15-13*ORÇAMENTO!$AF$7)/$H40*OFFSET(ORÇAMENTO!$X$15,ROW(AC40)-ROW(AC$15),0),
              ROUND(ROUND(OFFSET($P40,0,AC$13),15-13*ORÇAMENTO!$AF$7)*OFFSET(ORÇAMENTO!$W$15,ROW(AC40)-ROW(AC$15),0),15-13*ORÇAMENTO!$AF$11)),
         0)</f>
        <v>0</v>
      </c>
      <c r="AD40" s="452">
        <f ca="1">IF(AND($D40="Serviço",AD$12&lt;&gt;0,$H40&gt;0,OR(AUTOEVENTO&lt;&gt;"manual",$M40&lt;&gt;$A$15)),
        IF(Import.TipoArredondamento&lt;&gt;"TransfereGOV",
              ROUND(OFFSET($P40,0,AD$13),15-13*ORÇAMENTO!$AF$7)/$H40*OFFSET(ORÇAMENTO!$X$15,ROW(AD40)-ROW(AD$15),0),
              ROUND(ROUND(OFFSET($P40,0,AD$13),15-13*ORÇAMENTO!$AF$7)*OFFSET(ORÇAMENTO!$W$15,ROW(AD40)-ROW(AD$15),0),15-13*ORÇAMENTO!$AF$11)),
         0)</f>
        <v>0</v>
      </c>
      <c r="AE40" s="452">
        <f ca="1">IF(AND($D40="Serviço",AE$12&lt;&gt;0,$H40&gt;0,OR(AUTOEVENTO&lt;&gt;"manual",$M40&lt;&gt;$A$15)),
        IF(Import.TipoArredondamento&lt;&gt;"TransfereGOV",
              ROUND(OFFSET($P40,0,AE$13),15-13*ORÇAMENTO!$AF$7)/$H40*OFFSET(ORÇAMENTO!$X$15,ROW(AE40)-ROW(AE$15),0),
              ROUND(ROUND(OFFSET($P40,0,AE$13),15-13*ORÇAMENTO!$AF$7)*OFFSET(ORÇAMENTO!$W$15,ROW(AE40)-ROW(AE$15),0),15-13*ORÇAMENTO!$AF$11)),
         0)</f>
        <v>11535.7</v>
      </c>
      <c r="AF40" s="452">
        <f ca="1">IF(AND($D40="Serviço",AF$12&lt;&gt;0,$H40&gt;0,OR(AUTOEVENTO&lt;&gt;"manual",$M40&lt;&gt;$A$15)),
        IF(Import.TipoArredondamento&lt;&gt;"TransfereGOV",
              ROUND(OFFSET($P40,0,AF$13),15-13*ORÇAMENTO!$AF$7)/$H40*OFFSET(ORÇAMENTO!$X$15,ROW(AF40)-ROW(AF$15),0),
              ROUND(ROUND(OFFSET($P40,0,AF$13),15-13*ORÇAMENTO!$AF$7)*OFFSET(ORÇAMENTO!$W$15,ROW(AF40)-ROW(AF$15),0),15-13*ORÇAMENTO!$AF$11)),
         0)</f>
        <v>0</v>
      </c>
      <c r="AG40" s="452">
        <f ca="1">IF(AND($D40="Serviço",AG$12&lt;&gt;0,$H40&gt;0,OR(AUTOEVENTO&lt;&gt;"manual",$M40&lt;&gt;$A$15)),
        IF(Import.TipoArredondamento&lt;&gt;"TransfereGOV",
              ROUND(OFFSET($P40,0,AG$13),15-13*ORÇAMENTO!$AF$7)/$H40*OFFSET(ORÇAMENTO!$X$15,ROW(AG40)-ROW(AG$15),0),
              ROUND(ROUND(OFFSET($P40,0,AG$13),15-13*ORÇAMENTO!$AF$7)*OFFSET(ORÇAMENTO!$W$15,ROW(AG40)-ROW(AG$15),0),15-13*ORÇAMENTO!$AF$11)),
         0)</f>
        <v>0</v>
      </c>
      <c r="AH40" s="452">
        <f ca="1">IF(AND($D40="Serviço",AH$12&lt;&gt;0,$H40&gt;0,OR(AUTOEVENTO&lt;&gt;"manual",$M40&lt;&gt;$A$15)),
        IF(Import.TipoArredondamento&lt;&gt;"TransfereGOV",
              ROUND(OFFSET($P40,0,AH$13),15-13*ORÇAMENTO!$AF$7)/$H40*OFFSET(ORÇAMENTO!$X$15,ROW(AH40)-ROW(AH$15),0),
              ROUND(ROUND(OFFSET($P40,0,AH$13),15-13*ORÇAMENTO!$AF$7)*OFFSET(ORÇAMENTO!$W$15,ROW(AH40)-ROW(AH$15),0),15-13*ORÇAMENTO!$AF$11)),
         0)</f>
        <v>0</v>
      </c>
      <c r="AI40" s="452">
        <f ca="1">IF(AND($D40="Serviço",AI$12&lt;&gt;0,$H40&gt;0,OR(AUTOEVENTO&lt;&gt;"manual",$M40&lt;&gt;$A$15)),
        IF(Import.TipoArredondamento&lt;&gt;"TransfereGOV",
              ROUND(OFFSET($P40,0,AI$13),15-13*ORÇAMENTO!$AF$7)/$H40*OFFSET(ORÇAMENTO!$X$15,ROW(AI40)-ROW(AI$15),0),
              ROUND(ROUND(OFFSET($P40,0,AI$13),15-13*ORÇAMENTO!$AF$7)*OFFSET(ORÇAMENTO!$W$15,ROW(AI40)-ROW(AI$15),0),15-13*ORÇAMENTO!$AF$11)),
         0)</f>
        <v>0</v>
      </c>
      <c r="AJ40" s="452">
        <f ca="1">IF(AND($D40="Serviço",AJ$12&lt;&gt;0,$H40&gt;0,OR(AUTOEVENTO&lt;&gt;"manual",$M40&lt;&gt;$A$15)),
        IF(Import.TipoArredondamento&lt;&gt;"TransfereGOV",
              ROUND(OFFSET($P40,0,AJ$13),15-13*ORÇAMENTO!$AF$7)/$H40*OFFSET(ORÇAMENTO!$X$15,ROW(AJ40)-ROW(AJ$15),0),
              ROUND(ROUND(OFFSET($P40,0,AJ$13),15-13*ORÇAMENTO!$AF$7)*OFFSET(ORÇAMENTO!$W$15,ROW(AJ40)-ROW(AJ$15),0),15-13*ORÇAMENTO!$AF$11)),
         0)</f>
        <v>0</v>
      </c>
      <c r="AK40" s="452">
        <f ca="1">IF(AND($D40="Serviço",AK$12&lt;&gt;0,$H40&gt;0,OR(AUTOEVENTO&lt;&gt;"manual",$M40&lt;&gt;$A$15)),
        IF(Import.TipoArredondamento&lt;&gt;"TransfereGOV",
              ROUND(OFFSET($P40,0,AK$13),15-13*ORÇAMENTO!$AF$7)/$H40*OFFSET(ORÇAMENTO!$X$15,ROW(AK40)-ROW(AK$15),0),
              ROUND(ROUND(OFFSET($P40,0,AK$13),15-13*ORÇAMENTO!$AF$7)*OFFSET(ORÇAMENTO!$W$15,ROW(AK40)-ROW(AK$15),0),15-13*ORÇAMENTO!$AF$11)),
         0)</f>
        <v>0</v>
      </c>
      <c r="AM40" s="170">
        <f ca="1">IF(OR($D40&lt;&gt;"Serviço",AND(AUTOEVENTO="Manual",$M40=$A$15)),0,
         IF(OFFSET(CRONOPLE!$F$15,$M40-$A$15,AM$13)=0,10^12,OFFSET(CRONOPLE!$F$15,$M40-$A$15,AM$13)))</f>
        <v>1000000000000</v>
      </c>
      <c r="AN40" s="170">
        <f ca="1">IF(OR($D40&lt;&gt;"Serviço",AND(AUTOEVENTO="Manual",$M40=$A$15)),0,
         IF(OFFSET(CRONOPLE!$F$15,$M40-$A$15,AN$13)=0,10^12,OFFSET(CRONOPLE!$F$15,$M40-$A$15,AN$13)))</f>
        <v>2</v>
      </c>
      <c r="AO40" s="170">
        <f ca="1">IF(OR($D40&lt;&gt;"Serviço",AND(AUTOEVENTO="Manual",$M40=$A$15)),0,
         IF(OFFSET(CRONOPLE!$F$15,$M40-$A$15,AO$13)=0,10^12,OFFSET(CRONOPLE!$F$15,$M40-$A$15,AO$13)))</f>
        <v>3</v>
      </c>
      <c r="AP40" s="170">
        <f ca="1">IF(OR($D40&lt;&gt;"Serviço",AND(AUTOEVENTO="Manual",$M40=$A$15)),0,
         IF(OFFSET(CRONOPLE!$F$15,$M40-$A$15,AP$13)=0,10^12,OFFSET(CRONOPLE!$F$15,$M40-$A$15,AP$13)))</f>
        <v>4</v>
      </c>
      <c r="AQ40" s="170">
        <f ca="1">IF(OR($D40&lt;&gt;"Serviço",AND(AUTOEVENTO="Manual",$M40=$A$15)),0,
         IF(OFFSET(CRONOPLE!$F$15,$M40-$A$15,AQ$13)=0,10^12,OFFSET(CRONOPLE!$F$15,$M40-$A$15,AQ$13)))</f>
        <v>1000000000000</v>
      </c>
      <c r="AR40" s="170">
        <f ca="1">IF(OR($D40&lt;&gt;"Serviço",AND(AUTOEVENTO="Manual",$M40=$A$15)),0,
         IF(OFFSET(CRONOPLE!$F$15,$M40-$A$15,AR$13)=0,10^12,OFFSET(CRONOPLE!$F$15,$M40-$A$15,AR$13)))</f>
        <v>1000000000000</v>
      </c>
      <c r="AS40" s="170">
        <f ca="1">IF(OR($D40&lt;&gt;"Serviço",AND(AUTOEVENTO="Manual",$M40=$A$15)),0,
         IF(OFFSET(CRONOPLE!$F$15,$M40-$A$15,AS$13)=0,10^12,OFFSET(CRONOPLE!$F$15,$M40-$A$15,AS$13)))</f>
        <v>1000000000000</v>
      </c>
      <c r="AT40" s="170">
        <f ca="1">IF(OR($D40&lt;&gt;"Serviço",AND(AUTOEVENTO="Manual",$M40=$A$15)),0,
         IF(OFFSET(CRONOPLE!$F$15,$M40-$A$15,AT$13)=0,10^12,OFFSET(CRONOPLE!$F$15,$M40-$A$15,AT$13)))</f>
        <v>1000000000000</v>
      </c>
      <c r="AU40" s="170">
        <f ca="1">IF(OR($D40&lt;&gt;"Serviço",AND(AUTOEVENTO="Manual",$M40=$A$15)),0,
         IF(OFFSET(CRONOPLE!$F$15,$M40-$A$15,AU$13)=0,10^12,OFFSET(CRONOPLE!$F$15,$M40-$A$15,AU$13)))</f>
        <v>1000000000000</v>
      </c>
      <c r="AV40" s="170">
        <f ca="1">IF(OR($D40&lt;&gt;"Serviço",AND(AUTOEVENTO="Manual",$M40=$A$15)),0,
         IF(OFFSET(CRONOPLE!$F$15,$M40-$A$15,AV$13)=0,10^12,OFFSET(CRONOPLE!$F$15,$M40-$A$15,AV$13)))</f>
        <v>1000000000000</v>
      </c>
      <c r="AX40" s="171" cm="1">
        <f t="array" aca="1" ref="AX40" ca="1">IF(OR($D40&lt;&gt;"Serviço",AND(AUTOEVENTO="Manual",$M40=$A$15),$M40&gt;(ROW(PLE.lastrow)-ROW(PLE.firstrow))),0,
           IF(OFFSET(PLE!$G$15,$M40-$A$15,AX$13)="",10^12,OFFSET(PLE!$G$15,$M40-$A$15,AX$13)))</f>
        <v>1000000000000</v>
      </c>
      <c r="AY40" s="171" cm="1">
        <f t="array" aca="1" ref="AY40" ca="1">IF(OR($D40&lt;&gt;"Serviço",AND(AUTOEVENTO="Manual",$M40=$A$15),$M40&gt;(ROW(PLE.lastrow)-ROW(PLE.firstrow))),0,
           IF(OFFSET(PLE!$G$15,$M40-$A$15,AY$13)="",10^12,OFFSET(PLE!$G$15,$M40-$A$15,AY$13)))</f>
        <v>1000000000000</v>
      </c>
      <c r="AZ40" s="171" cm="1">
        <f t="array" aca="1" ref="AZ40" ca="1">IF(OR($D40&lt;&gt;"Serviço",AND(AUTOEVENTO="Manual",$M40=$A$15),$M40&gt;(ROW(PLE.lastrow)-ROW(PLE.firstrow))),0,
           IF(OFFSET(PLE!$G$15,$M40-$A$15,AZ$13)="",10^12,OFFSET(PLE!$G$15,$M40-$A$15,AZ$13)))</f>
        <v>1000000000000</v>
      </c>
      <c r="BA40" s="171" cm="1">
        <f t="array" aca="1" ref="BA40" ca="1">IF(OR($D40&lt;&gt;"Serviço",AND(AUTOEVENTO="Manual",$M40=$A$15),$M40&gt;(ROW(PLE.lastrow)-ROW(PLE.firstrow))),0,
           IF(OFFSET(PLE!$G$15,$M40-$A$15,BA$13)="",10^12,OFFSET(PLE!$G$15,$M40-$A$15,BA$13)))</f>
        <v>1000000000000</v>
      </c>
      <c r="BB40" s="171" cm="1">
        <f t="array" aca="1" ref="BB40" ca="1">IF(OR($D40&lt;&gt;"Serviço",AND(AUTOEVENTO="Manual",$M40=$A$15),$M40&gt;(ROW(PLE.lastrow)-ROW(PLE.firstrow))),0,
           IF(OFFSET(PLE!$G$15,$M40-$A$15,BB$13)="",10^12,OFFSET(PLE!$G$15,$M40-$A$15,BB$13)))</f>
        <v>1000000000000</v>
      </c>
      <c r="BC40" s="171" cm="1">
        <f t="array" aca="1" ref="BC40" ca="1">IF(OR($D40&lt;&gt;"Serviço",AND(AUTOEVENTO="Manual",$M40=$A$15),$M40&gt;(ROW(PLE.lastrow)-ROW(PLE.firstrow))),0,
           IF(OFFSET(PLE!$G$15,$M40-$A$15,BC$13)="",10^12,OFFSET(PLE!$G$15,$M40-$A$15,BC$13)))</f>
        <v>1000000000000</v>
      </c>
      <c r="BD40" s="171" cm="1">
        <f t="array" aca="1" ref="BD40" ca="1">IF(OR($D40&lt;&gt;"Serviço",AND(AUTOEVENTO="Manual",$M40=$A$15),$M40&gt;(ROW(PLE.lastrow)-ROW(PLE.firstrow))),0,
           IF(OFFSET(PLE!$G$15,$M40-$A$15,BD$13)="",10^12,OFFSET(PLE!$G$15,$M40-$A$15,BD$13)))</f>
        <v>1000000000000</v>
      </c>
      <c r="BE40" s="171" cm="1">
        <f t="array" aca="1" ref="BE40" ca="1">IF(OR($D40&lt;&gt;"Serviço",AND(AUTOEVENTO="Manual",$M40=$A$15),$M40&gt;(ROW(PLE.lastrow)-ROW(PLE.firstrow))),0,
           IF(OFFSET(PLE!$G$15,$M40-$A$15,BE$13)="",10^12,OFFSET(PLE!$G$15,$M40-$A$15,BE$13)))</f>
        <v>1000000000000</v>
      </c>
      <c r="BF40" s="171" cm="1">
        <f t="array" aca="1" ref="BF40" ca="1">IF(OR($D40&lt;&gt;"Serviço",AND(AUTOEVENTO="Manual",$M40=$A$15),$M40&gt;(ROW(PLE.lastrow)-ROW(PLE.firstrow))),0,
           IF(OFFSET(PLE!$G$15,$M40-$A$15,BF$13)="",10^12,OFFSET(PLE!$G$15,$M40-$A$15,BF$13)))</f>
        <v>1000000000000</v>
      </c>
      <c r="BG40" s="171" cm="1">
        <f t="array" aca="1" ref="BG40" ca="1">IF(OR($D40&lt;&gt;"Serviço",AND(AUTOEVENTO="Manual",$M40=$A$15),$M40&gt;(ROW(PLE.lastrow)-ROW(PLE.firstrow))),0,
           IF(OFFSET(PLE!$G$15,$M40-$A$15,BG$13)="",10^12,OFFSET(PLE!$G$15,$M40-$A$15,BG$13)))</f>
        <v>1000000000000</v>
      </c>
    </row>
    <row r="41" spans="1:59" ht="25.5" x14ac:dyDescent="0.2">
      <c r="A41" s="7" t="str">
        <f t="shared" ca="1" si="8"/>
        <v>23</v>
      </c>
      <c r="B41" s="7" t="str">
        <f ca="1">OFFSET(ORÇAMENTO!C$15,$L41,0)</f>
        <v>S</v>
      </c>
      <c r="C41" s="7" t="str">
        <f ca="1">OFFSET(ORÇAMENTO!L$15,$L41,0)</f>
        <v>F</v>
      </c>
      <c r="D41" s="115" t="str">
        <f ca="1">OFFSET(ORÇAMENTO!N$15,$L41,0)</f>
        <v>Serviço</v>
      </c>
      <c r="E41" s="116" t="str">
        <f ca="1">OFFSET(ORÇAMENTO!O$15,$L41,0)</f>
        <v>1.6.3.</v>
      </c>
      <c r="F41" s="162" t="str">
        <f ca="1">OFFSET(ORÇAMENTO!R$15,$L41,0)</f>
        <v>Aparelho de apoio de neoprene fretado para estruturas moldadas no local -fornecimento e instalação</v>
      </c>
      <c r="G41" s="163" t="str">
        <f ca="1">IF($D41&lt;&gt;"Serviço","",OFFSET(ORÇAMENTO!S$15,$L41,0))</f>
        <v>DM3</v>
      </c>
      <c r="H41" s="121" cm="1">
        <f t="array" aca="1" ref="H41" ca="1">IF($D41&lt;&gt;"Serviço",0,IF(ACOMPANHAMENTO="BM",ROUND(OFFSET(ORÇAMENTO!AJ$15,$L41,0),15-13*ORÇAMENTO!$AF$7),IF(IFERROR(CÁLCULO.FrentesPreenchidas,0)=0,0,SUM(ROUND(OFFSET($P41,0,1,1,CÁLCULO.FrentesPreenchidas),15-13*ORÇAMENTO!$AF$7)))))</f>
        <v>9.3000000000000007</v>
      </c>
      <c r="I41" s="467"/>
      <c r="J41" s="650" t="str" cm="1">
        <f t="array" aca="1" ref="J41" ca="1">IF(OR(B41&lt;&gt;"S",CÁLCULO.FrentesPreenchidas=0),"",IF(AND(ACOMPANHAMENTO="PLE",AUTOEVENTO="Manual",OR(H41&gt;0,ORÇAMENTO!AC41="QUANT."),OR(K41="",M41=0,N41="")),"►E",IF(AND(ACOMPANHAMENTO="PLE",ORÇAMENTO!AC41="QUANT."),"►Q",IF(AND(ACOMPANHAMENTO="PLE",H41&lt;&gt;SUMPRODUCT(($Q$1:$AA$1=1)*ROUND(Q41:AA41,15))),"►S",IF(AND(COUNTIF($P$11:$AA$11,"▼")=0,H41&gt;0,I41=""),"◄M","")))))</f>
        <v>◄M</v>
      </c>
      <c r="K41" s="651"/>
      <c r="L41" s="164">
        <f t="shared" ca="1" si="9"/>
        <v>26</v>
      </c>
      <c r="M41" s="165">
        <f ca="1">IF($D41&lt;&gt;"Serviço","",
          IF(AUTOEVENTO="manual",$A41,
                IF(ISERROR(MATCH($A41,$A$15:OFFSET($A41,-1,0),0)),MAX($M$15:OFFSET(M41,-1,0))+1,
                      INDEX($M$15:OFFSET(M41,-1,0),MATCH($A41,$A$15:OFFSET($A41,-1,0),0)))))</f>
        <v>6</v>
      </c>
      <c r="N41" s="166" t="str">
        <f ca="1">IF($D41&lt;&gt;"Serviço","",
         IF(AUTOEVENTO="Manual",
                IF($A41=0,"&lt;-- defina o número do agrupador",
                       OFFSET(EVENTOS!$D$15,$A41-$A$15,0)),
                OFFSET($F$15,$A41,0)))</f>
        <v>SUPERESTRUTURA</v>
      </c>
      <c r="O41" s="167"/>
      <c r="Q41" s="167"/>
      <c r="R41" s="168"/>
      <c r="S41" s="168">
        <v>9.3000000000000007</v>
      </c>
      <c r="T41" s="168"/>
      <c r="U41" s="168"/>
      <c r="V41" s="168"/>
      <c r="W41" s="168"/>
      <c r="X41" s="168"/>
      <c r="Y41" s="168"/>
      <c r="Z41" s="169"/>
      <c r="AB41" s="452">
        <f ca="1">IF(AND($D41="Serviço",AB$12&lt;&gt;0,$H41&gt;0,OR(AUTOEVENTO&lt;&gt;"manual",$M41&lt;&gt;$A$15)),
        IF(Import.TipoArredondamento&lt;&gt;"TransfereGOV",
              ROUND(OFFSET($P41,0,AB$13),15-13*ORÇAMENTO!$AF$7)/$H41*OFFSET(ORÇAMENTO!$X$15,ROW(AB41)-ROW(AB$15),0),
              ROUND(ROUND(OFFSET($P41,0,AB$13),15-13*ORÇAMENTO!$AF$7)*OFFSET(ORÇAMENTO!$W$15,ROW(AB41)-ROW(AB$15),0),15-13*ORÇAMENTO!$AF$11)),
         0)</f>
        <v>0</v>
      </c>
      <c r="AC41" s="452">
        <f ca="1">IF(AND($D41="Serviço",AC$12&lt;&gt;0,$H41&gt;0,OR(AUTOEVENTO&lt;&gt;"manual",$M41&lt;&gt;$A$15)),
        IF(Import.TipoArredondamento&lt;&gt;"TransfereGOV",
              ROUND(OFFSET($P41,0,AC$13),15-13*ORÇAMENTO!$AF$7)/$H41*OFFSET(ORÇAMENTO!$X$15,ROW(AC41)-ROW(AC$15),0),
              ROUND(ROUND(OFFSET($P41,0,AC$13),15-13*ORÇAMENTO!$AF$7)*OFFSET(ORÇAMENTO!$W$15,ROW(AC41)-ROW(AC$15),0),15-13*ORÇAMENTO!$AF$11)),
         0)</f>
        <v>0</v>
      </c>
      <c r="AD41" s="452">
        <f ca="1">IF(AND($D41="Serviço",AD$12&lt;&gt;0,$H41&gt;0,OR(AUTOEVENTO&lt;&gt;"manual",$M41&lt;&gt;$A$15)),
        IF(Import.TipoArredondamento&lt;&gt;"TransfereGOV",
              ROUND(OFFSET($P41,0,AD$13),15-13*ORÇAMENTO!$AF$7)/$H41*OFFSET(ORÇAMENTO!$X$15,ROW(AD41)-ROW(AD$15),0),
              ROUND(ROUND(OFFSET($P41,0,AD$13),15-13*ORÇAMENTO!$AF$7)*OFFSET(ORÇAMENTO!$W$15,ROW(AD41)-ROW(AD$15),0),15-13*ORÇAMENTO!$AF$11)),
         0)</f>
        <v>1397.6</v>
      </c>
      <c r="AE41" s="452">
        <f ca="1">IF(AND($D41="Serviço",AE$12&lt;&gt;0,$H41&gt;0,OR(AUTOEVENTO&lt;&gt;"manual",$M41&lt;&gt;$A$15)),
        IF(Import.TipoArredondamento&lt;&gt;"TransfereGOV",
              ROUND(OFFSET($P41,0,AE$13),15-13*ORÇAMENTO!$AF$7)/$H41*OFFSET(ORÇAMENTO!$X$15,ROW(AE41)-ROW(AE$15),0),
              ROUND(ROUND(OFFSET($P41,0,AE$13),15-13*ORÇAMENTO!$AF$7)*OFFSET(ORÇAMENTO!$W$15,ROW(AE41)-ROW(AE$15),0),15-13*ORÇAMENTO!$AF$11)),
         0)</f>
        <v>0</v>
      </c>
      <c r="AF41" s="452">
        <f ca="1">IF(AND($D41="Serviço",AF$12&lt;&gt;0,$H41&gt;0,OR(AUTOEVENTO&lt;&gt;"manual",$M41&lt;&gt;$A$15)),
        IF(Import.TipoArredondamento&lt;&gt;"TransfereGOV",
              ROUND(OFFSET($P41,0,AF$13),15-13*ORÇAMENTO!$AF$7)/$H41*OFFSET(ORÇAMENTO!$X$15,ROW(AF41)-ROW(AF$15),0),
              ROUND(ROUND(OFFSET($P41,0,AF$13),15-13*ORÇAMENTO!$AF$7)*OFFSET(ORÇAMENTO!$W$15,ROW(AF41)-ROW(AF$15),0),15-13*ORÇAMENTO!$AF$11)),
         0)</f>
        <v>0</v>
      </c>
      <c r="AG41" s="452">
        <f ca="1">IF(AND($D41="Serviço",AG$12&lt;&gt;0,$H41&gt;0,OR(AUTOEVENTO&lt;&gt;"manual",$M41&lt;&gt;$A$15)),
        IF(Import.TipoArredondamento&lt;&gt;"TransfereGOV",
              ROUND(OFFSET($P41,0,AG$13),15-13*ORÇAMENTO!$AF$7)/$H41*OFFSET(ORÇAMENTO!$X$15,ROW(AG41)-ROW(AG$15),0),
              ROUND(ROUND(OFFSET($P41,0,AG$13),15-13*ORÇAMENTO!$AF$7)*OFFSET(ORÇAMENTO!$W$15,ROW(AG41)-ROW(AG$15),0),15-13*ORÇAMENTO!$AF$11)),
         0)</f>
        <v>0</v>
      </c>
      <c r="AH41" s="452">
        <f ca="1">IF(AND($D41="Serviço",AH$12&lt;&gt;0,$H41&gt;0,OR(AUTOEVENTO&lt;&gt;"manual",$M41&lt;&gt;$A$15)),
        IF(Import.TipoArredondamento&lt;&gt;"TransfereGOV",
              ROUND(OFFSET($P41,0,AH$13),15-13*ORÇAMENTO!$AF$7)/$H41*OFFSET(ORÇAMENTO!$X$15,ROW(AH41)-ROW(AH$15),0),
              ROUND(ROUND(OFFSET($P41,0,AH$13),15-13*ORÇAMENTO!$AF$7)*OFFSET(ORÇAMENTO!$W$15,ROW(AH41)-ROW(AH$15),0),15-13*ORÇAMENTO!$AF$11)),
         0)</f>
        <v>0</v>
      </c>
      <c r="AI41" s="452">
        <f ca="1">IF(AND($D41="Serviço",AI$12&lt;&gt;0,$H41&gt;0,OR(AUTOEVENTO&lt;&gt;"manual",$M41&lt;&gt;$A$15)),
        IF(Import.TipoArredondamento&lt;&gt;"TransfereGOV",
              ROUND(OFFSET($P41,0,AI$13),15-13*ORÇAMENTO!$AF$7)/$H41*OFFSET(ORÇAMENTO!$X$15,ROW(AI41)-ROW(AI$15),0),
              ROUND(ROUND(OFFSET($P41,0,AI$13),15-13*ORÇAMENTO!$AF$7)*OFFSET(ORÇAMENTO!$W$15,ROW(AI41)-ROW(AI$15),0),15-13*ORÇAMENTO!$AF$11)),
         0)</f>
        <v>0</v>
      </c>
      <c r="AJ41" s="452">
        <f ca="1">IF(AND($D41="Serviço",AJ$12&lt;&gt;0,$H41&gt;0,OR(AUTOEVENTO&lt;&gt;"manual",$M41&lt;&gt;$A$15)),
        IF(Import.TipoArredondamento&lt;&gt;"TransfereGOV",
              ROUND(OFFSET($P41,0,AJ$13),15-13*ORÇAMENTO!$AF$7)/$H41*OFFSET(ORÇAMENTO!$X$15,ROW(AJ41)-ROW(AJ$15),0),
              ROUND(ROUND(OFFSET($P41,0,AJ$13),15-13*ORÇAMENTO!$AF$7)*OFFSET(ORÇAMENTO!$W$15,ROW(AJ41)-ROW(AJ$15),0),15-13*ORÇAMENTO!$AF$11)),
         0)</f>
        <v>0</v>
      </c>
      <c r="AK41" s="452">
        <f ca="1">IF(AND($D41="Serviço",AK$12&lt;&gt;0,$H41&gt;0,OR(AUTOEVENTO&lt;&gt;"manual",$M41&lt;&gt;$A$15)),
        IF(Import.TipoArredondamento&lt;&gt;"TransfereGOV",
              ROUND(OFFSET($P41,0,AK$13),15-13*ORÇAMENTO!$AF$7)/$H41*OFFSET(ORÇAMENTO!$X$15,ROW(AK41)-ROW(AK$15),0),
              ROUND(ROUND(OFFSET($P41,0,AK$13),15-13*ORÇAMENTO!$AF$7)*OFFSET(ORÇAMENTO!$W$15,ROW(AK41)-ROW(AK$15),0),15-13*ORÇAMENTO!$AF$11)),
         0)</f>
        <v>0</v>
      </c>
      <c r="AM41" s="170">
        <f ca="1">IF(OR($D41&lt;&gt;"Serviço",AND(AUTOEVENTO="Manual",$M41=$A$15)),0,
         IF(OFFSET(CRONOPLE!$F$15,$M41-$A$15,AM$13)=0,10^12,OFFSET(CRONOPLE!$F$15,$M41-$A$15,AM$13)))</f>
        <v>1000000000000</v>
      </c>
      <c r="AN41" s="170">
        <f ca="1">IF(OR($D41&lt;&gt;"Serviço",AND(AUTOEVENTO="Manual",$M41=$A$15)),0,
         IF(OFFSET(CRONOPLE!$F$15,$M41-$A$15,AN$13)=0,10^12,OFFSET(CRONOPLE!$F$15,$M41-$A$15,AN$13)))</f>
        <v>2</v>
      </c>
      <c r="AO41" s="170">
        <f ca="1">IF(OR($D41&lt;&gt;"Serviço",AND(AUTOEVENTO="Manual",$M41=$A$15)),0,
         IF(OFFSET(CRONOPLE!$F$15,$M41-$A$15,AO$13)=0,10^12,OFFSET(CRONOPLE!$F$15,$M41-$A$15,AO$13)))</f>
        <v>3</v>
      </c>
      <c r="AP41" s="170">
        <f ca="1">IF(OR($D41&lt;&gt;"Serviço",AND(AUTOEVENTO="Manual",$M41=$A$15)),0,
         IF(OFFSET(CRONOPLE!$F$15,$M41-$A$15,AP$13)=0,10^12,OFFSET(CRONOPLE!$F$15,$M41-$A$15,AP$13)))</f>
        <v>4</v>
      </c>
      <c r="AQ41" s="170">
        <f ca="1">IF(OR($D41&lt;&gt;"Serviço",AND(AUTOEVENTO="Manual",$M41=$A$15)),0,
         IF(OFFSET(CRONOPLE!$F$15,$M41-$A$15,AQ$13)=0,10^12,OFFSET(CRONOPLE!$F$15,$M41-$A$15,AQ$13)))</f>
        <v>1000000000000</v>
      </c>
      <c r="AR41" s="170">
        <f ca="1">IF(OR($D41&lt;&gt;"Serviço",AND(AUTOEVENTO="Manual",$M41=$A$15)),0,
         IF(OFFSET(CRONOPLE!$F$15,$M41-$A$15,AR$13)=0,10^12,OFFSET(CRONOPLE!$F$15,$M41-$A$15,AR$13)))</f>
        <v>1000000000000</v>
      </c>
      <c r="AS41" s="170">
        <f ca="1">IF(OR($D41&lt;&gt;"Serviço",AND(AUTOEVENTO="Manual",$M41=$A$15)),0,
         IF(OFFSET(CRONOPLE!$F$15,$M41-$A$15,AS$13)=0,10^12,OFFSET(CRONOPLE!$F$15,$M41-$A$15,AS$13)))</f>
        <v>1000000000000</v>
      </c>
      <c r="AT41" s="170">
        <f ca="1">IF(OR($D41&lt;&gt;"Serviço",AND(AUTOEVENTO="Manual",$M41=$A$15)),0,
         IF(OFFSET(CRONOPLE!$F$15,$M41-$A$15,AT$13)=0,10^12,OFFSET(CRONOPLE!$F$15,$M41-$A$15,AT$13)))</f>
        <v>1000000000000</v>
      </c>
      <c r="AU41" s="170">
        <f ca="1">IF(OR($D41&lt;&gt;"Serviço",AND(AUTOEVENTO="Manual",$M41=$A$15)),0,
         IF(OFFSET(CRONOPLE!$F$15,$M41-$A$15,AU$13)=0,10^12,OFFSET(CRONOPLE!$F$15,$M41-$A$15,AU$13)))</f>
        <v>1000000000000</v>
      </c>
      <c r="AV41" s="170">
        <f ca="1">IF(OR($D41&lt;&gt;"Serviço",AND(AUTOEVENTO="Manual",$M41=$A$15)),0,
         IF(OFFSET(CRONOPLE!$F$15,$M41-$A$15,AV$13)=0,10^12,OFFSET(CRONOPLE!$F$15,$M41-$A$15,AV$13)))</f>
        <v>1000000000000</v>
      </c>
      <c r="AX41" s="171" cm="1">
        <f t="array" aca="1" ref="AX41" ca="1">IF(OR($D41&lt;&gt;"Serviço",AND(AUTOEVENTO="Manual",$M41=$A$15),$M41&gt;(ROW(PLE.lastrow)-ROW(PLE.firstrow))),0,
           IF(OFFSET(PLE!$G$15,$M41-$A$15,AX$13)="",10^12,OFFSET(PLE!$G$15,$M41-$A$15,AX$13)))</f>
        <v>1000000000000</v>
      </c>
      <c r="AY41" s="171" cm="1">
        <f t="array" aca="1" ref="AY41" ca="1">IF(OR($D41&lt;&gt;"Serviço",AND(AUTOEVENTO="Manual",$M41=$A$15),$M41&gt;(ROW(PLE.lastrow)-ROW(PLE.firstrow))),0,
           IF(OFFSET(PLE!$G$15,$M41-$A$15,AY$13)="",10^12,OFFSET(PLE!$G$15,$M41-$A$15,AY$13)))</f>
        <v>1000000000000</v>
      </c>
      <c r="AZ41" s="171" cm="1">
        <f t="array" aca="1" ref="AZ41" ca="1">IF(OR($D41&lt;&gt;"Serviço",AND(AUTOEVENTO="Manual",$M41=$A$15),$M41&gt;(ROW(PLE.lastrow)-ROW(PLE.firstrow))),0,
           IF(OFFSET(PLE!$G$15,$M41-$A$15,AZ$13)="",10^12,OFFSET(PLE!$G$15,$M41-$A$15,AZ$13)))</f>
        <v>1000000000000</v>
      </c>
      <c r="BA41" s="171" cm="1">
        <f t="array" aca="1" ref="BA41" ca="1">IF(OR($D41&lt;&gt;"Serviço",AND(AUTOEVENTO="Manual",$M41=$A$15),$M41&gt;(ROW(PLE.lastrow)-ROW(PLE.firstrow))),0,
           IF(OFFSET(PLE!$G$15,$M41-$A$15,BA$13)="",10^12,OFFSET(PLE!$G$15,$M41-$A$15,BA$13)))</f>
        <v>1000000000000</v>
      </c>
      <c r="BB41" s="171" cm="1">
        <f t="array" aca="1" ref="BB41" ca="1">IF(OR($D41&lt;&gt;"Serviço",AND(AUTOEVENTO="Manual",$M41=$A$15),$M41&gt;(ROW(PLE.lastrow)-ROW(PLE.firstrow))),0,
           IF(OFFSET(PLE!$G$15,$M41-$A$15,BB$13)="",10^12,OFFSET(PLE!$G$15,$M41-$A$15,BB$13)))</f>
        <v>1000000000000</v>
      </c>
      <c r="BC41" s="171" cm="1">
        <f t="array" aca="1" ref="BC41" ca="1">IF(OR($D41&lt;&gt;"Serviço",AND(AUTOEVENTO="Manual",$M41=$A$15),$M41&gt;(ROW(PLE.lastrow)-ROW(PLE.firstrow))),0,
           IF(OFFSET(PLE!$G$15,$M41-$A$15,BC$13)="",10^12,OFFSET(PLE!$G$15,$M41-$A$15,BC$13)))</f>
        <v>1000000000000</v>
      </c>
      <c r="BD41" s="171" cm="1">
        <f t="array" aca="1" ref="BD41" ca="1">IF(OR($D41&lt;&gt;"Serviço",AND(AUTOEVENTO="Manual",$M41=$A$15),$M41&gt;(ROW(PLE.lastrow)-ROW(PLE.firstrow))),0,
           IF(OFFSET(PLE!$G$15,$M41-$A$15,BD$13)="",10^12,OFFSET(PLE!$G$15,$M41-$A$15,BD$13)))</f>
        <v>1000000000000</v>
      </c>
      <c r="BE41" s="171" cm="1">
        <f t="array" aca="1" ref="BE41" ca="1">IF(OR($D41&lt;&gt;"Serviço",AND(AUTOEVENTO="Manual",$M41=$A$15),$M41&gt;(ROW(PLE.lastrow)-ROW(PLE.firstrow))),0,
           IF(OFFSET(PLE!$G$15,$M41-$A$15,BE$13)="",10^12,OFFSET(PLE!$G$15,$M41-$A$15,BE$13)))</f>
        <v>1000000000000</v>
      </c>
      <c r="BF41" s="171" cm="1">
        <f t="array" aca="1" ref="BF41" ca="1">IF(OR($D41&lt;&gt;"Serviço",AND(AUTOEVENTO="Manual",$M41=$A$15),$M41&gt;(ROW(PLE.lastrow)-ROW(PLE.firstrow))),0,
           IF(OFFSET(PLE!$G$15,$M41-$A$15,BF$13)="",10^12,OFFSET(PLE!$G$15,$M41-$A$15,BF$13)))</f>
        <v>1000000000000</v>
      </c>
      <c r="BG41" s="171" cm="1">
        <f t="array" aca="1" ref="BG41" ca="1">IF(OR($D41&lt;&gt;"Serviço",AND(AUTOEVENTO="Manual",$M41=$A$15),$M41&gt;(ROW(PLE.lastrow)-ROW(PLE.firstrow))),0,
           IF(OFFSET(PLE!$G$15,$M41-$A$15,BG$13)="",10^12,OFFSET(PLE!$G$15,$M41-$A$15,BG$13)))</f>
        <v>1000000000000</v>
      </c>
    </row>
    <row r="42" spans="1:59" ht="12.75" x14ac:dyDescent="0.2">
      <c r="A42" s="7" t="str">
        <f t="shared" ca="1" si="8"/>
        <v>23</v>
      </c>
      <c r="B42" s="7" t="str">
        <f ca="1">OFFSET(ORÇAMENTO!C$15,$L42,0)</f>
        <v>S</v>
      </c>
      <c r="C42" s="7" t="str">
        <f ca="1">OFFSET(ORÇAMENTO!L$15,$L42,0)</f>
        <v>F</v>
      </c>
      <c r="D42" s="115" t="str">
        <f ca="1">OFFSET(ORÇAMENTO!N$15,$L42,0)</f>
        <v>Serviço</v>
      </c>
      <c r="E42" s="116" t="str">
        <f ca="1">OFFSET(ORÇAMENTO!O$15,$L42,0)</f>
        <v>1.6.4.</v>
      </c>
      <c r="F42" s="162" t="str">
        <f ca="1">OFFSET(ORÇAMENTO!R$15,$L42,0)</f>
        <v>Steel deck em aço galvanizado ASTM A653 grau 40</v>
      </c>
      <c r="G42" s="163" t="str">
        <f ca="1">IF($D42&lt;&gt;"Serviço","",OFFSET(ORÇAMENTO!S$15,$L42,0))</f>
        <v>M2</v>
      </c>
      <c r="H42" s="121" cm="1">
        <f t="array" aca="1" ref="H42" ca="1">IF($D42&lt;&gt;"Serviço",0,IF(ACOMPANHAMENTO="BM",ROUND(OFFSET(ORÇAMENTO!AJ$15,$L42,0),15-13*ORÇAMENTO!$AF$7),IF(IFERROR(CÁLCULO.FrentesPreenchidas,0)=0,0,SUM(ROUND(OFFSET($P42,0,1,1,CÁLCULO.FrentesPreenchidas),15-13*ORÇAMENTO!$AF$7)))))</f>
        <v>90</v>
      </c>
      <c r="I42" s="467"/>
      <c r="J42" s="650" t="str" cm="1">
        <f t="array" aca="1" ref="J42" ca="1">IF(OR(B42&lt;&gt;"S",CÁLCULO.FrentesPreenchidas=0),"",IF(AND(ACOMPANHAMENTO="PLE",AUTOEVENTO="Manual",OR(H42&gt;0,ORÇAMENTO!AC42="QUANT."),OR(K42="",M42=0,N42="")),"►E",IF(AND(ACOMPANHAMENTO="PLE",ORÇAMENTO!AC42="QUANT."),"►Q",IF(AND(ACOMPANHAMENTO="PLE",H42&lt;&gt;SUMPRODUCT(($Q$1:$AA$1=1)*ROUND(Q42:AA42,15))),"►S",IF(AND(COUNTIF($P$11:$AA$11,"▼")=0,H42&gt;0,I42=""),"◄M","")))))</f>
        <v>◄M</v>
      </c>
      <c r="K42" s="651"/>
      <c r="L42" s="164">
        <f t="shared" ca="1" si="9"/>
        <v>27</v>
      </c>
      <c r="M42" s="165">
        <f ca="1">IF($D42&lt;&gt;"Serviço","",
          IF(AUTOEVENTO="manual",$A42,
                IF(ISERROR(MATCH($A42,$A$15:OFFSET($A42,-1,0),0)),MAX($M$15:OFFSET(M42,-1,0))+1,
                      INDEX($M$15:OFFSET(M42,-1,0),MATCH($A42,$A$15:OFFSET($A42,-1,0),0)))))</f>
        <v>6</v>
      </c>
      <c r="N42" s="166" t="str">
        <f ca="1">IF($D42&lt;&gt;"Serviço","",
         IF(AUTOEVENTO="Manual",
                IF($A42=0,"&lt;-- defina o número do agrupador",
                       OFFSET(EVENTOS!$D$15,$A42-$A$15,0)),
                OFFSET($F$15,$A42,0)))</f>
        <v>SUPERESTRUTURA</v>
      </c>
      <c r="O42" s="167"/>
      <c r="Q42" s="167"/>
      <c r="R42" s="168"/>
      <c r="S42" s="168"/>
      <c r="T42" s="168">
        <v>90</v>
      </c>
      <c r="U42" s="168"/>
      <c r="V42" s="168"/>
      <c r="W42" s="168"/>
      <c r="X42" s="168"/>
      <c r="Y42" s="168"/>
      <c r="Z42" s="169"/>
      <c r="AB42" s="452">
        <f ca="1">IF(AND($D42="Serviço",AB$12&lt;&gt;0,$H42&gt;0,OR(AUTOEVENTO&lt;&gt;"manual",$M42&lt;&gt;$A$15)),
        IF(Import.TipoArredondamento&lt;&gt;"TransfereGOV",
              ROUND(OFFSET($P42,0,AB$13),15-13*ORÇAMENTO!$AF$7)/$H42*OFFSET(ORÇAMENTO!$X$15,ROW(AB42)-ROW(AB$15),0),
              ROUND(ROUND(OFFSET($P42,0,AB$13),15-13*ORÇAMENTO!$AF$7)*OFFSET(ORÇAMENTO!$W$15,ROW(AB42)-ROW(AB$15),0),15-13*ORÇAMENTO!$AF$11)),
         0)</f>
        <v>0</v>
      </c>
      <c r="AC42" s="452">
        <f ca="1">IF(AND($D42="Serviço",AC$12&lt;&gt;0,$H42&gt;0,OR(AUTOEVENTO&lt;&gt;"manual",$M42&lt;&gt;$A$15)),
        IF(Import.TipoArredondamento&lt;&gt;"TransfereGOV",
              ROUND(OFFSET($P42,0,AC$13),15-13*ORÇAMENTO!$AF$7)/$H42*OFFSET(ORÇAMENTO!$X$15,ROW(AC42)-ROW(AC$15),0),
              ROUND(ROUND(OFFSET($P42,0,AC$13),15-13*ORÇAMENTO!$AF$7)*OFFSET(ORÇAMENTO!$W$15,ROW(AC42)-ROW(AC$15),0),15-13*ORÇAMENTO!$AF$11)),
         0)</f>
        <v>0</v>
      </c>
      <c r="AD42" s="452">
        <f ca="1">IF(AND($D42="Serviço",AD$12&lt;&gt;0,$H42&gt;0,OR(AUTOEVENTO&lt;&gt;"manual",$M42&lt;&gt;$A$15)),
        IF(Import.TipoArredondamento&lt;&gt;"TransfereGOV",
              ROUND(OFFSET($P42,0,AD$13),15-13*ORÇAMENTO!$AF$7)/$H42*OFFSET(ORÇAMENTO!$X$15,ROW(AD42)-ROW(AD$15),0),
              ROUND(ROUND(OFFSET($P42,0,AD$13),15-13*ORÇAMENTO!$AF$7)*OFFSET(ORÇAMENTO!$W$15,ROW(AD42)-ROW(AD$15),0),15-13*ORÇAMENTO!$AF$11)),
         0)</f>
        <v>0</v>
      </c>
      <c r="AE42" s="452">
        <f ca="1">IF(AND($D42="Serviço",AE$12&lt;&gt;0,$H42&gt;0,OR(AUTOEVENTO&lt;&gt;"manual",$M42&lt;&gt;$A$15)),
        IF(Import.TipoArredondamento&lt;&gt;"TransfereGOV",
              ROUND(OFFSET($P42,0,AE$13),15-13*ORÇAMENTO!$AF$7)/$H42*OFFSET(ORÇAMENTO!$X$15,ROW(AE42)-ROW(AE$15),0),
              ROUND(ROUND(OFFSET($P42,0,AE$13),15-13*ORÇAMENTO!$AF$7)*OFFSET(ORÇAMENTO!$W$15,ROW(AE42)-ROW(AE$15),0),15-13*ORÇAMENTO!$AF$11)),
         0)</f>
        <v>13327.2</v>
      </c>
      <c r="AF42" s="452">
        <f ca="1">IF(AND($D42="Serviço",AF$12&lt;&gt;0,$H42&gt;0,OR(AUTOEVENTO&lt;&gt;"manual",$M42&lt;&gt;$A$15)),
        IF(Import.TipoArredondamento&lt;&gt;"TransfereGOV",
              ROUND(OFFSET($P42,0,AF$13),15-13*ORÇAMENTO!$AF$7)/$H42*OFFSET(ORÇAMENTO!$X$15,ROW(AF42)-ROW(AF$15),0),
              ROUND(ROUND(OFFSET($P42,0,AF$13),15-13*ORÇAMENTO!$AF$7)*OFFSET(ORÇAMENTO!$W$15,ROW(AF42)-ROW(AF$15),0),15-13*ORÇAMENTO!$AF$11)),
         0)</f>
        <v>0</v>
      </c>
      <c r="AG42" s="452">
        <f ca="1">IF(AND($D42="Serviço",AG$12&lt;&gt;0,$H42&gt;0,OR(AUTOEVENTO&lt;&gt;"manual",$M42&lt;&gt;$A$15)),
        IF(Import.TipoArredondamento&lt;&gt;"TransfereGOV",
              ROUND(OFFSET($P42,0,AG$13),15-13*ORÇAMENTO!$AF$7)/$H42*OFFSET(ORÇAMENTO!$X$15,ROW(AG42)-ROW(AG$15),0),
              ROUND(ROUND(OFFSET($P42,0,AG$13),15-13*ORÇAMENTO!$AF$7)*OFFSET(ORÇAMENTO!$W$15,ROW(AG42)-ROW(AG$15),0),15-13*ORÇAMENTO!$AF$11)),
         0)</f>
        <v>0</v>
      </c>
      <c r="AH42" s="452">
        <f ca="1">IF(AND($D42="Serviço",AH$12&lt;&gt;0,$H42&gt;0,OR(AUTOEVENTO&lt;&gt;"manual",$M42&lt;&gt;$A$15)),
        IF(Import.TipoArredondamento&lt;&gt;"TransfereGOV",
              ROUND(OFFSET($P42,0,AH$13),15-13*ORÇAMENTO!$AF$7)/$H42*OFFSET(ORÇAMENTO!$X$15,ROW(AH42)-ROW(AH$15),0),
              ROUND(ROUND(OFFSET($P42,0,AH$13),15-13*ORÇAMENTO!$AF$7)*OFFSET(ORÇAMENTO!$W$15,ROW(AH42)-ROW(AH$15),0),15-13*ORÇAMENTO!$AF$11)),
         0)</f>
        <v>0</v>
      </c>
      <c r="AI42" s="452">
        <f ca="1">IF(AND($D42="Serviço",AI$12&lt;&gt;0,$H42&gt;0,OR(AUTOEVENTO&lt;&gt;"manual",$M42&lt;&gt;$A$15)),
        IF(Import.TipoArredondamento&lt;&gt;"TransfereGOV",
              ROUND(OFFSET($P42,0,AI$13),15-13*ORÇAMENTO!$AF$7)/$H42*OFFSET(ORÇAMENTO!$X$15,ROW(AI42)-ROW(AI$15),0),
              ROUND(ROUND(OFFSET($P42,0,AI$13),15-13*ORÇAMENTO!$AF$7)*OFFSET(ORÇAMENTO!$W$15,ROW(AI42)-ROW(AI$15),0),15-13*ORÇAMENTO!$AF$11)),
         0)</f>
        <v>0</v>
      </c>
      <c r="AJ42" s="452">
        <f ca="1">IF(AND($D42="Serviço",AJ$12&lt;&gt;0,$H42&gt;0,OR(AUTOEVENTO&lt;&gt;"manual",$M42&lt;&gt;$A$15)),
        IF(Import.TipoArredondamento&lt;&gt;"TransfereGOV",
              ROUND(OFFSET($P42,0,AJ$13),15-13*ORÇAMENTO!$AF$7)/$H42*OFFSET(ORÇAMENTO!$X$15,ROW(AJ42)-ROW(AJ$15),0),
              ROUND(ROUND(OFFSET($P42,0,AJ$13),15-13*ORÇAMENTO!$AF$7)*OFFSET(ORÇAMENTO!$W$15,ROW(AJ42)-ROW(AJ$15),0),15-13*ORÇAMENTO!$AF$11)),
         0)</f>
        <v>0</v>
      </c>
      <c r="AK42" s="452">
        <f ca="1">IF(AND($D42="Serviço",AK$12&lt;&gt;0,$H42&gt;0,OR(AUTOEVENTO&lt;&gt;"manual",$M42&lt;&gt;$A$15)),
        IF(Import.TipoArredondamento&lt;&gt;"TransfereGOV",
              ROUND(OFFSET($P42,0,AK$13),15-13*ORÇAMENTO!$AF$7)/$H42*OFFSET(ORÇAMENTO!$X$15,ROW(AK42)-ROW(AK$15),0),
              ROUND(ROUND(OFFSET($P42,0,AK$13),15-13*ORÇAMENTO!$AF$7)*OFFSET(ORÇAMENTO!$W$15,ROW(AK42)-ROW(AK$15),0),15-13*ORÇAMENTO!$AF$11)),
         0)</f>
        <v>0</v>
      </c>
      <c r="AM42" s="170">
        <f ca="1">IF(OR($D42&lt;&gt;"Serviço",AND(AUTOEVENTO="Manual",$M42=$A$15)),0,
         IF(OFFSET(CRONOPLE!$F$15,$M42-$A$15,AM$13)=0,10^12,OFFSET(CRONOPLE!$F$15,$M42-$A$15,AM$13)))</f>
        <v>1000000000000</v>
      </c>
      <c r="AN42" s="170">
        <f ca="1">IF(OR($D42&lt;&gt;"Serviço",AND(AUTOEVENTO="Manual",$M42=$A$15)),0,
         IF(OFFSET(CRONOPLE!$F$15,$M42-$A$15,AN$13)=0,10^12,OFFSET(CRONOPLE!$F$15,$M42-$A$15,AN$13)))</f>
        <v>2</v>
      </c>
      <c r="AO42" s="170">
        <f ca="1">IF(OR($D42&lt;&gt;"Serviço",AND(AUTOEVENTO="Manual",$M42=$A$15)),0,
         IF(OFFSET(CRONOPLE!$F$15,$M42-$A$15,AO$13)=0,10^12,OFFSET(CRONOPLE!$F$15,$M42-$A$15,AO$13)))</f>
        <v>3</v>
      </c>
      <c r="AP42" s="170">
        <f ca="1">IF(OR($D42&lt;&gt;"Serviço",AND(AUTOEVENTO="Manual",$M42=$A$15)),0,
         IF(OFFSET(CRONOPLE!$F$15,$M42-$A$15,AP$13)=0,10^12,OFFSET(CRONOPLE!$F$15,$M42-$A$15,AP$13)))</f>
        <v>4</v>
      </c>
      <c r="AQ42" s="170">
        <f ca="1">IF(OR($D42&lt;&gt;"Serviço",AND(AUTOEVENTO="Manual",$M42=$A$15)),0,
         IF(OFFSET(CRONOPLE!$F$15,$M42-$A$15,AQ$13)=0,10^12,OFFSET(CRONOPLE!$F$15,$M42-$A$15,AQ$13)))</f>
        <v>1000000000000</v>
      </c>
      <c r="AR42" s="170">
        <f ca="1">IF(OR($D42&lt;&gt;"Serviço",AND(AUTOEVENTO="Manual",$M42=$A$15)),0,
         IF(OFFSET(CRONOPLE!$F$15,$M42-$A$15,AR$13)=0,10^12,OFFSET(CRONOPLE!$F$15,$M42-$A$15,AR$13)))</f>
        <v>1000000000000</v>
      </c>
      <c r="AS42" s="170">
        <f ca="1">IF(OR($D42&lt;&gt;"Serviço",AND(AUTOEVENTO="Manual",$M42=$A$15)),0,
         IF(OFFSET(CRONOPLE!$F$15,$M42-$A$15,AS$13)=0,10^12,OFFSET(CRONOPLE!$F$15,$M42-$A$15,AS$13)))</f>
        <v>1000000000000</v>
      </c>
      <c r="AT42" s="170">
        <f ca="1">IF(OR($D42&lt;&gt;"Serviço",AND(AUTOEVENTO="Manual",$M42=$A$15)),0,
         IF(OFFSET(CRONOPLE!$F$15,$M42-$A$15,AT$13)=0,10^12,OFFSET(CRONOPLE!$F$15,$M42-$A$15,AT$13)))</f>
        <v>1000000000000</v>
      </c>
      <c r="AU42" s="170">
        <f ca="1">IF(OR($D42&lt;&gt;"Serviço",AND(AUTOEVENTO="Manual",$M42=$A$15)),0,
         IF(OFFSET(CRONOPLE!$F$15,$M42-$A$15,AU$13)=0,10^12,OFFSET(CRONOPLE!$F$15,$M42-$A$15,AU$13)))</f>
        <v>1000000000000</v>
      </c>
      <c r="AV42" s="170">
        <f ca="1">IF(OR($D42&lt;&gt;"Serviço",AND(AUTOEVENTO="Manual",$M42=$A$15)),0,
         IF(OFFSET(CRONOPLE!$F$15,$M42-$A$15,AV$13)=0,10^12,OFFSET(CRONOPLE!$F$15,$M42-$A$15,AV$13)))</f>
        <v>1000000000000</v>
      </c>
      <c r="AX42" s="171" cm="1">
        <f t="array" aca="1" ref="AX42" ca="1">IF(OR($D42&lt;&gt;"Serviço",AND(AUTOEVENTO="Manual",$M42=$A$15),$M42&gt;(ROW(PLE.lastrow)-ROW(PLE.firstrow))),0,
           IF(OFFSET(PLE!$G$15,$M42-$A$15,AX$13)="",10^12,OFFSET(PLE!$G$15,$M42-$A$15,AX$13)))</f>
        <v>1000000000000</v>
      </c>
      <c r="AY42" s="171" cm="1">
        <f t="array" aca="1" ref="AY42" ca="1">IF(OR($D42&lt;&gt;"Serviço",AND(AUTOEVENTO="Manual",$M42=$A$15),$M42&gt;(ROW(PLE.lastrow)-ROW(PLE.firstrow))),0,
           IF(OFFSET(PLE!$G$15,$M42-$A$15,AY$13)="",10^12,OFFSET(PLE!$G$15,$M42-$A$15,AY$13)))</f>
        <v>1000000000000</v>
      </c>
      <c r="AZ42" s="171" cm="1">
        <f t="array" aca="1" ref="AZ42" ca="1">IF(OR($D42&lt;&gt;"Serviço",AND(AUTOEVENTO="Manual",$M42=$A$15),$M42&gt;(ROW(PLE.lastrow)-ROW(PLE.firstrow))),0,
           IF(OFFSET(PLE!$G$15,$M42-$A$15,AZ$13)="",10^12,OFFSET(PLE!$G$15,$M42-$A$15,AZ$13)))</f>
        <v>1000000000000</v>
      </c>
      <c r="BA42" s="171" cm="1">
        <f t="array" aca="1" ref="BA42" ca="1">IF(OR($D42&lt;&gt;"Serviço",AND(AUTOEVENTO="Manual",$M42=$A$15),$M42&gt;(ROW(PLE.lastrow)-ROW(PLE.firstrow))),0,
           IF(OFFSET(PLE!$G$15,$M42-$A$15,BA$13)="",10^12,OFFSET(PLE!$G$15,$M42-$A$15,BA$13)))</f>
        <v>1000000000000</v>
      </c>
      <c r="BB42" s="171" cm="1">
        <f t="array" aca="1" ref="BB42" ca="1">IF(OR($D42&lt;&gt;"Serviço",AND(AUTOEVENTO="Manual",$M42=$A$15),$M42&gt;(ROW(PLE.lastrow)-ROW(PLE.firstrow))),0,
           IF(OFFSET(PLE!$G$15,$M42-$A$15,BB$13)="",10^12,OFFSET(PLE!$G$15,$M42-$A$15,BB$13)))</f>
        <v>1000000000000</v>
      </c>
      <c r="BC42" s="171" cm="1">
        <f t="array" aca="1" ref="BC42" ca="1">IF(OR($D42&lt;&gt;"Serviço",AND(AUTOEVENTO="Manual",$M42=$A$15),$M42&gt;(ROW(PLE.lastrow)-ROW(PLE.firstrow))),0,
           IF(OFFSET(PLE!$G$15,$M42-$A$15,BC$13)="",10^12,OFFSET(PLE!$G$15,$M42-$A$15,BC$13)))</f>
        <v>1000000000000</v>
      </c>
      <c r="BD42" s="171" cm="1">
        <f t="array" aca="1" ref="BD42" ca="1">IF(OR($D42&lt;&gt;"Serviço",AND(AUTOEVENTO="Manual",$M42=$A$15),$M42&gt;(ROW(PLE.lastrow)-ROW(PLE.firstrow))),0,
           IF(OFFSET(PLE!$G$15,$M42-$A$15,BD$13)="",10^12,OFFSET(PLE!$G$15,$M42-$A$15,BD$13)))</f>
        <v>1000000000000</v>
      </c>
      <c r="BE42" s="171" cm="1">
        <f t="array" aca="1" ref="BE42" ca="1">IF(OR($D42&lt;&gt;"Serviço",AND(AUTOEVENTO="Manual",$M42=$A$15),$M42&gt;(ROW(PLE.lastrow)-ROW(PLE.firstrow))),0,
           IF(OFFSET(PLE!$G$15,$M42-$A$15,BE$13)="",10^12,OFFSET(PLE!$G$15,$M42-$A$15,BE$13)))</f>
        <v>1000000000000</v>
      </c>
      <c r="BF42" s="171" cm="1">
        <f t="array" aca="1" ref="BF42" ca="1">IF(OR($D42&lt;&gt;"Serviço",AND(AUTOEVENTO="Manual",$M42=$A$15),$M42&gt;(ROW(PLE.lastrow)-ROW(PLE.firstrow))),0,
           IF(OFFSET(PLE!$G$15,$M42-$A$15,BF$13)="",10^12,OFFSET(PLE!$G$15,$M42-$A$15,BF$13)))</f>
        <v>1000000000000</v>
      </c>
      <c r="BG42" s="171" cm="1">
        <f t="array" aca="1" ref="BG42" ca="1">IF(OR($D42&lt;&gt;"Serviço",AND(AUTOEVENTO="Manual",$M42=$A$15),$M42&gt;(ROW(PLE.lastrow)-ROW(PLE.firstrow))),0,
           IF(OFFSET(PLE!$G$15,$M42-$A$15,BG$13)="",10^12,OFFSET(PLE!$G$15,$M42-$A$15,BG$13)))</f>
        <v>1000000000000</v>
      </c>
    </row>
    <row r="43" spans="1:59" ht="25.5" x14ac:dyDescent="0.2">
      <c r="A43" s="7" t="str">
        <f t="shared" ca="1" si="8"/>
        <v>23</v>
      </c>
      <c r="B43" s="7" t="str">
        <f ca="1">OFFSET(ORÇAMENTO!C$15,$L43,0)</f>
        <v>S</v>
      </c>
      <c r="C43" s="7" t="str">
        <f ca="1">OFFSET(ORÇAMENTO!L$15,$L43,0)</f>
        <v>F</v>
      </c>
      <c r="D43" s="115" t="str">
        <f ca="1">OFFSET(ORÇAMENTO!N$15,$L43,0)</f>
        <v>Serviço</v>
      </c>
      <c r="E43" s="116" t="str">
        <f ca="1">OFFSET(ORÇAMENTO!O$15,$L43,0)</f>
        <v>1.6.5.</v>
      </c>
      <c r="F43" s="162" t="str">
        <f ca="1">OFFSET(ORÇAMENTO!R$15,$L43,0)</f>
        <v>Placa de aço de apoio para protensão externa em reforço de vigade OAE-confecção e instalação</v>
      </c>
      <c r="G43" s="163" t="str">
        <f ca="1">IF($D43&lt;&gt;"Serviço","",OFFSET(ORÇAMENTO!S$15,$L43,0))</f>
        <v>-</v>
      </c>
      <c r="H43" s="121" cm="1">
        <f t="array" aca="1" ref="H43" ca="1">IF($D43&lt;&gt;"Serviço",0,IF(ACOMPANHAMENTO="BM",ROUND(OFFSET(ORÇAMENTO!AJ$15,$L43,0),15-13*ORÇAMENTO!$AF$7),IF(IFERROR(CÁLCULO.FrentesPreenchidas,0)=0,0,SUM(ROUND(OFFSET($P43,0,1,1,CÁLCULO.FrentesPreenchidas),15-13*ORÇAMENTO!$AF$7)))))</f>
        <v>8</v>
      </c>
      <c r="I43" s="467"/>
      <c r="J43" s="650" t="str" cm="1">
        <f t="array" aca="1" ref="J43" ca="1">IF(OR(B43&lt;&gt;"S",CÁLCULO.FrentesPreenchidas=0),"",IF(AND(ACOMPANHAMENTO="PLE",AUTOEVENTO="Manual",OR(H43&gt;0,ORÇAMENTO!AC43="QUANT."),OR(K43="",M43=0,N43="")),"►E",IF(AND(ACOMPANHAMENTO="PLE",ORÇAMENTO!AC43="QUANT."),"►Q",IF(AND(ACOMPANHAMENTO="PLE",H43&lt;&gt;SUMPRODUCT(($Q$1:$AA$1=1)*ROUND(Q43:AA43,15))),"►S",IF(AND(COUNTIF($P$11:$AA$11,"▼")=0,H43&gt;0,I43=""),"◄M","")))))</f>
        <v>◄M</v>
      </c>
      <c r="K43" s="651"/>
      <c r="L43" s="164">
        <f t="shared" ca="1" si="9"/>
        <v>28</v>
      </c>
      <c r="M43" s="165">
        <f ca="1">IF($D43&lt;&gt;"Serviço","",
          IF(AUTOEVENTO="manual",$A43,
                IF(ISERROR(MATCH($A43,$A$15:OFFSET($A43,-1,0),0)),MAX($M$15:OFFSET(M43,-1,0))+1,
                      INDEX($M$15:OFFSET(M43,-1,0),MATCH($A43,$A$15:OFFSET($A43,-1,0),0)))))</f>
        <v>6</v>
      </c>
      <c r="N43" s="166" t="str">
        <f ca="1">IF($D43&lt;&gt;"Serviço","",
         IF(AUTOEVENTO="Manual",
                IF($A43=0,"&lt;-- defina o número do agrupador",
                       OFFSET(EVENTOS!$D$15,$A43-$A$15,0)),
                OFFSET($F$15,$A43,0)))</f>
        <v>SUPERESTRUTURA</v>
      </c>
      <c r="O43" s="167"/>
      <c r="Q43" s="167"/>
      <c r="R43" s="168">
        <v>8</v>
      </c>
      <c r="S43" s="168"/>
      <c r="T43" s="168"/>
      <c r="U43" s="168"/>
      <c r="V43" s="168"/>
      <c r="W43" s="168"/>
      <c r="X43" s="168"/>
      <c r="Y43" s="168"/>
      <c r="Z43" s="169"/>
      <c r="AB43" s="452">
        <f ca="1">IF(AND($D43="Serviço",AB$12&lt;&gt;0,$H43&gt;0,OR(AUTOEVENTO&lt;&gt;"manual",$M43&lt;&gt;$A$15)),
        IF(Import.TipoArredondamento&lt;&gt;"TransfereGOV",
              ROUND(OFFSET($P43,0,AB$13),15-13*ORÇAMENTO!$AF$7)/$H43*OFFSET(ORÇAMENTO!$X$15,ROW(AB43)-ROW(AB$15),0),
              ROUND(ROUND(OFFSET($P43,0,AB$13),15-13*ORÇAMENTO!$AF$7)*OFFSET(ORÇAMENTO!$W$15,ROW(AB43)-ROW(AB$15),0),15-13*ORÇAMENTO!$AF$11)),
         0)</f>
        <v>0</v>
      </c>
      <c r="AC43" s="452">
        <f ca="1">IF(AND($D43="Serviço",AC$12&lt;&gt;0,$H43&gt;0,OR(AUTOEVENTO&lt;&gt;"manual",$M43&lt;&gt;$A$15)),
        IF(Import.TipoArredondamento&lt;&gt;"TransfereGOV",
              ROUND(OFFSET($P43,0,AC$13),15-13*ORÇAMENTO!$AF$7)/$H43*OFFSET(ORÇAMENTO!$X$15,ROW(AC43)-ROW(AC$15),0),
              ROUND(ROUND(OFFSET($P43,0,AC$13),15-13*ORÇAMENTO!$AF$7)*OFFSET(ORÇAMENTO!$W$15,ROW(AC43)-ROW(AC$15),0),15-13*ORÇAMENTO!$AF$11)),
         0)</f>
        <v>45742.32</v>
      </c>
      <c r="AD43" s="452">
        <f ca="1">IF(AND($D43="Serviço",AD$12&lt;&gt;0,$H43&gt;0,OR(AUTOEVENTO&lt;&gt;"manual",$M43&lt;&gt;$A$15)),
        IF(Import.TipoArredondamento&lt;&gt;"TransfereGOV",
              ROUND(OFFSET($P43,0,AD$13),15-13*ORÇAMENTO!$AF$7)/$H43*OFFSET(ORÇAMENTO!$X$15,ROW(AD43)-ROW(AD$15),0),
              ROUND(ROUND(OFFSET($P43,0,AD$13),15-13*ORÇAMENTO!$AF$7)*OFFSET(ORÇAMENTO!$W$15,ROW(AD43)-ROW(AD$15),0),15-13*ORÇAMENTO!$AF$11)),
         0)</f>
        <v>0</v>
      </c>
      <c r="AE43" s="452">
        <f ca="1">IF(AND($D43="Serviço",AE$12&lt;&gt;0,$H43&gt;0,OR(AUTOEVENTO&lt;&gt;"manual",$M43&lt;&gt;$A$15)),
        IF(Import.TipoArredondamento&lt;&gt;"TransfereGOV",
              ROUND(OFFSET($P43,0,AE$13),15-13*ORÇAMENTO!$AF$7)/$H43*OFFSET(ORÇAMENTO!$X$15,ROW(AE43)-ROW(AE$15),0),
              ROUND(ROUND(OFFSET($P43,0,AE$13),15-13*ORÇAMENTO!$AF$7)*OFFSET(ORÇAMENTO!$W$15,ROW(AE43)-ROW(AE$15),0),15-13*ORÇAMENTO!$AF$11)),
         0)</f>
        <v>0</v>
      </c>
      <c r="AF43" s="452">
        <f ca="1">IF(AND($D43="Serviço",AF$12&lt;&gt;0,$H43&gt;0,OR(AUTOEVENTO&lt;&gt;"manual",$M43&lt;&gt;$A$15)),
        IF(Import.TipoArredondamento&lt;&gt;"TransfereGOV",
              ROUND(OFFSET($P43,0,AF$13),15-13*ORÇAMENTO!$AF$7)/$H43*OFFSET(ORÇAMENTO!$X$15,ROW(AF43)-ROW(AF$15),0),
              ROUND(ROUND(OFFSET($P43,0,AF$13),15-13*ORÇAMENTO!$AF$7)*OFFSET(ORÇAMENTO!$W$15,ROW(AF43)-ROW(AF$15),0),15-13*ORÇAMENTO!$AF$11)),
         0)</f>
        <v>0</v>
      </c>
      <c r="AG43" s="452">
        <f ca="1">IF(AND($D43="Serviço",AG$12&lt;&gt;0,$H43&gt;0,OR(AUTOEVENTO&lt;&gt;"manual",$M43&lt;&gt;$A$15)),
        IF(Import.TipoArredondamento&lt;&gt;"TransfereGOV",
              ROUND(OFFSET($P43,0,AG$13),15-13*ORÇAMENTO!$AF$7)/$H43*OFFSET(ORÇAMENTO!$X$15,ROW(AG43)-ROW(AG$15),0),
              ROUND(ROUND(OFFSET($P43,0,AG$13),15-13*ORÇAMENTO!$AF$7)*OFFSET(ORÇAMENTO!$W$15,ROW(AG43)-ROW(AG$15),0),15-13*ORÇAMENTO!$AF$11)),
         0)</f>
        <v>0</v>
      </c>
      <c r="AH43" s="452">
        <f ca="1">IF(AND($D43="Serviço",AH$12&lt;&gt;0,$H43&gt;0,OR(AUTOEVENTO&lt;&gt;"manual",$M43&lt;&gt;$A$15)),
        IF(Import.TipoArredondamento&lt;&gt;"TransfereGOV",
              ROUND(OFFSET($P43,0,AH$13),15-13*ORÇAMENTO!$AF$7)/$H43*OFFSET(ORÇAMENTO!$X$15,ROW(AH43)-ROW(AH$15),0),
              ROUND(ROUND(OFFSET($P43,0,AH$13),15-13*ORÇAMENTO!$AF$7)*OFFSET(ORÇAMENTO!$W$15,ROW(AH43)-ROW(AH$15),0),15-13*ORÇAMENTO!$AF$11)),
         0)</f>
        <v>0</v>
      </c>
      <c r="AI43" s="452">
        <f ca="1">IF(AND($D43="Serviço",AI$12&lt;&gt;0,$H43&gt;0,OR(AUTOEVENTO&lt;&gt;"manual",$M43&lt;&gt;$A$15)),
        IF(Import.TipoArredondamento&lt;&gt;"TransfereGOV",
              ROUND(OFFSET($P43,0,AI$13),15-13*ORÇAMENTO!$AF$7)/$H43*OFFSET(ORÇAMENTO!$X$15,ROW(AI43)-ROW(AI$15),0),
              ROUND(ROUND(OFFSET($P43,0,AI$13),15-13*ORÇAMENTO!$AF$7)*OFFSET(ORÇAMENTO!$W$15,ROW(AI43)-ROW(AI$15),0),15-13*ORÇAMENTO!$AF$11)),
         0)</f>
        <v>0</v>
      </c>
      <c r="AJ43" s="452">
        <f ca="1">IF(AND($D43="Serviço",AJ$12&lt;&gt;0,$H43&gt;0,OR(AUTOEVENTO&lt;&gt;"manual",$M43&lt;&gt;$A$15)),
        IF(Import.TipoArredondamento&lt;&gt;"TransfereGOV",
              ROUND(OFFSET($P43,0,AJ$13),15-13*ORÇAMENTO!$AF$7)/$H43*OFFSET(ORÇAMENTO!$X$15,ROW(AJ43)-ROW(AJ$15),0),
              ROUND(ROUND(OFFSET($P43,0,AJ$13),15-13*ORÇAMENTO!$AF$7)*OFFSET(ORÇAMENTO!$W$15,ROW(AJ43)-ROW(AJ$15),0),15-13*ORÇAMENTO!$AF$11)),
         0)</f>
        <v>0</v>
      </c>
      <c r="AK43" s="452">
        <f ca="1">IF(AND($D43="Serviço",AK$12&lt;&gt;0,$H43&gt;0,OR(AUTOEVENTO&lt;&gt;"manual",$M43&lt;&gt;$A$15)),
        IF(Import.TipoArredondamento&lt;&gt;"TransfereGOV",
              ROUND(OFFSET($P43,0,AK$13),15-13*ORÇAMENTO!$AF$7)/$H43*OFFSET(ORÇAMENTO!$X$15,ROW(AK43)-ROW(AK$15),0),
              ROUND(ROUND(OFFSET($P43,0,AK$13),15-13*ORÇAMENTO!$AF$7)*OFFSET(ORÇAMENTO!$W$15,ROW(AK43)-ROW(AK$15),0),15-13*ORÇAMENTO!$AF$11)),
         0)</f>
        <v>0</v>
      </c>
      <c r="AM43" s="170">
        <f ca="1">IF(OR($D43&lt;&gt;"Serviço",AND(AUTOEVENTO="Manual",$M43=$A$15)),0,
         IF(OFFSET(CRONOPLE!$F$15,$M43-$A$15,AM$13)=0,10^12,OFFSET(CRONOPLE!$F$15,$M43-$A$15,AM$13)))</f>
        <v>1000000000000</v>
      </c>
      <c r="AN43" s="170">
        <f ca="1">IF(OR($D43&lt;&gt;"Serviço",AND(AUTOEVENTO="Manual",$M43=$A$15)),0,
         IF(OFFSET(CRONOPLE!$F$15,$M43-$A$15,AN$13)=0,10^12,OFFSET(CRONOPLE!$F$15,$M43-$A$15,AN$13)))</f>
        <v>2</v>
      </c>
      <c r="AO43" s="170">
        <f ca="1">IF(OR($D43&lt;&gt;"Serviço",AND(AUTOEVENTO="Manual",$M43=$A$15)),0,
         IF(OFFSET(CRONOPLE!$F$15,$M43-$A$15,AO$13)=0,10^12,OFFSET(CRONOPLE!$F$15,$M43-$A$15,AO$13)))</f>
        <v>3</v>
      </c>
      <c r="AP43" s="170">
        <f ca="1">IF(OR($D43&lt;&gt;"Serviço",AND(AUTOEVENTO="Manual",$M43=$A$15)),0,
         IF(OFFSET(CRONOPLE!$F$15,$M43-$A$15,AP$13)=0,10^12,OFFSET(CRONOPLE!$F$15,$M43-$A$15,AP$13)))</f>
        <v>4</v>
      </c>
      <c r="AQ43" s="170">
        <f ca="1">IF(OR($D43&lt;&gt;"Serviço",AND(AUTOEVENTO="Manual",$M43=$A$15)),0,
         IF(OFFSET(CRONOPLE!$F$15,$M43-$A$15,AQ$13)=0,10^12,OFFSET(CRONOPLE!$F$15,$M43-$A$15,AQ$13)))</f>
        <v>1000000000000</v>
      </c>
      <c r="AR43" s="170">
        <f ca="1">IF(OR($D43&lt;&gt;"Serviço",AND(AUTOEVENTO="Manual",$M43=$A$15)),0,
         IF(OFFSET(CRONOPLE!$F$15,$M43-$A$15,AR$13)=0,10^12,OFFSET(CRONOPLE!$F$15,$M43-$A$15,AR$13)))</f>
        <v>1000000000000</v>
      </c>
      <c r="AS43" s="170">
        <f ca="1">IF(OR($D43&lt;&gt;"Serviço",AND(AUTOEVENTO="Manual",$M43=$A$15)),0,
         IF(OFFSET(CRONOPLE!$F$15,$M43-$A$15,AS$13)=0,10^12,OFFSET(CRONOPLE!$F$15,$M43-$A$15,AS$13)))</f>
        <v>1000000000000</v>
      </c>
      <c r="AT43" s="170">
        <f ca="1">IF(OR($D43&lt;&gt;"Serviço",AND(AUTOEVENTO="Manual",$M43=$A$15)),0,
         IF(OFFSET(CRONOPLE!$F$15,$M43-$A$15,AT$13)=0,10^12,OFFSET(CRONOPLE!$F$15,$M43-$A$15,AT$13)))</f>
        <v>1000000000000</v>
      </c>
      <c r="AU43" s="170">
        <f ca="1">IF(OR($D43&lt;&gt;"Serviço",AND(AUTOEVENTO="Manual",$M43=$A$15)),0,
         IF(OFFSET(CRONOPLE!$F$15,$M43-$A$15,AU$13)=0,10^12,OFFSET(CRONOPLE!$F$15,$M43-$A$15,AU$13)))</f>
        <v>1000000000000</v>
      </c>
      <c r="AV43" s="170">
        <f ca="1">IF(OR($D43&lt;&gt;"Serviço",AND(AUTOEVENTO="Manual",$M43=$A$15)),0,
         IF(OFFSET(CRONOPLE!$F$15,$M43-$A$15,AV$13)=0,10^12,OFFSET(CRONOPLE!$F$15,$M43-$A$15,AV$13)))</f>
        <v>1000000000000</v>
      </c>
      <c r="AX43" s="171" cm="1">
        <f t="array" aca="1" ref="AX43" ca="1">IF(OR($D43&lt;&gt;"Serviço",AND(AUTOEVENTO="Manual",$M43=$A$15),$M43&gt;(ROW(PLE.lastrow)-ROW(PLE.firstrow))),0,
           IF(OFFSET(PLE!$G$15,$M43-$A$15,AX$13)="",10^12,OFFSET(PLE!$G$15,$M43-$A$15,AX$13)))</f>
        <v>1000000000000</v>
      </c>
      <c r="AY43" s="171" cm="1">
        <f t="array" aca="1" ref="AY43" ca="1">IF(OR($D43&lt;&gt;"Serviço",AND(AUTOEVENTO="Manual",$M43=$A$15),$M43&gt;(ROW(PLE.lastrow)-ROW(PLE.firstrow))),0,
           IF(OFFSET(PLE!$G$15,$M43-$A$15,AY$13)="",10^12,OFFSET(PLE!$G$15,$M43-$A$15,AY$13)))</f>
        <v>1000000000000</v>
      </c>
      <c r="AZ43" s="171" cm="1">
        <f t="array" aca="1" ref="AZ43" ca="1">IF(OR($D43&lt;&gt;"Serviço",AND(AUTOEVENTO="Manual",$M43=$A$15),$M43&gt;(ROW(PLE.lastrow)-ROW(PLE.firstrow))),0,
           IF(OFFSET(PLE!$G$15,$M43-$A$15,AZ$13)="",10^12,OFFSET(PLE!$G$15,$M43-$A$15,AZ$13)))</f>
        <v>1000000000000</v>
      </c>
      <c r="BA43" s="171" cm="1">
        <f t="array" aca="1" ref="BA43" ca="1">IF(OR($D43&lt;&gt;"Serviço",AND(AUTOEVENTO="Manual",$M43=$A$15),$M43&gt;(ROW(PLE.lastrow)-ROW(PLE.firstrow))),0,
           IF(OFFSET(PLE!$G$15,$M43-$A$15,BA$13)="",10^12,OFFSET(PLE!$G$15,$M43-$A$15,BA$13)))</f>
        <v>1000000000000</v>
      </c>
      <c r="BB43" s="171" cm="1">
        <f t="array" aca="1" ref="BB43" ca="1">IF(OR($D43&lt;&gt;"Serviço",AND(AUTOEVENTO="Manual",$M43=$A$15),$M43&gt;(ROW(PLE.lastrow)-ROW(PLE.firstrow))),0,
           IF(OFFSET(PLE!$G$15,$M43-$A$15,BB$13)="",10^12,OFFSET(PLE!$G$15,$M43-$A$15,BB$13)))</f>
        <v>1000000000000</v>
      </c>
      <c r="BC43" s="171" cm="1">
        <f t="array" aca="1" ref="BC43" ca="1">IF(OR($D43&lt;&gt;"Serviço",AND(AUTOEVENTO="Manual",$M43=$A$15),$M43&gt;(ROW(PLE.lastrow)-ROW(PLE.firstrow))),0,
           IF(OFFSET(PLE!$G$15,$M43-$A$15,BC$13)="",10^12,OFFSET(PLE!$G$15,$M43-$A$15,BC$13)))</f>
        <v>1000000000000</v>
      </c>
      <c r="BD43" s="171" cm="1">
        <f t="array" aca="1" ref="BD43" ca="1">IF(OR($D43&lt;&gt;"Serviço",AND(AUTOEVENTO="Manual",$M43=$A$15),$M43&gt;(ROW(PLE.lastrow)-ROW(PLE.firstrow))),0,
           IF(OFFSET(PLE!$G$15,$M43-$A$15,BD$13)="",10^12,OFFSET(PLE!$G$15,$M43-$A$15,BD$13)))</f>
        <v>1000000000000</v>
      </c>
      <c r="BE43" s="171" cm="1">
        <f t="array" aca="1" ref="BE43" ca="1">IF(OR($D43&lt;&gt;"Serviço",AND(AUTOEVENTO="Manual",$M43=$A$15),$M43&gt;(ROW(PLE.lastrow)-ROW(PLE.firstrow))),0,
           IF(OFFSET(PLE!$G$15,$M43-$A$15,BE$13)="",10^12,OFFSET(PLE!$G$15,$M43-$A$15,BE$13)))</f>
        <v>1000000000000</v>
      </c>
      <c r="BF43" s="171" cm="1">
        <f t="array" aca="1" ref="BF43" ca="1">IF(OR($D43&lt;&gt;"Serviço",AND(AUTOEVENTO="Manual",$M43=$A$15),$M43&gt;(ROW(PLE.lastrow)-ROW(PLE.firstrow))),0,
           IF(OFFSET(PLE!$G$15,$M43-$A$15,BF$13)="",10^12,OFFSET(PLE!$G$15,$M43-$A$15,BF$13)))</f>
        <v>1000000000000</v>
      </c>
      <c r="BG43" s="171" cm="1">
        <f t="array" aca="1" ref="BG43" ca="1">IF(OR($D43&lt;&gt;"Serviço",AND(AUTOEVENTO="Manual",$M43=$A$15),$M43&gt;(ROW(PLE.lastrow)-ROW(PLE.firstrow))),0,
           IF(OFFSET(PLE!$G$15,$M43-$A$15,BG$13)="",10^12,OFFSET(PLE!$G$15,$M43-$A$15,BG$13)))</f>
        <v>1000000000000</v>
      </c>
    </row>
    <row r="44" spans="1:59" ht="38.25" x14ac:dyDescent="0.2">
      <c r="A44" s="7" t="str">
        <f t="shared" ca="1" si="8"/>
        <v>23</v>
      </c>
      <c r="B44" s="7" t="str">
        <f ca="1">OFFSET(ORÇAMENTO!C$15,$L44,0)</f>
        <v>S</v>
      </c>
      <c r="C44" s="7" t="str">
        <f ca="1">OFFSET(ORÇAMENTO!L$15,$L44,0)</f>
        <v>F</v>
      </c>
      <c r="D44" s="115" t="str">
        <f ca="1">OFFSET(ORÇAMENTO!N$15,$L44,0)</f>
        <v>Serviço</v>
      </c>
      <c r="E44" s="116" t="str">
        <f ca="1">OFFSET(ORÇAMENTO!O$15,$L44,0)</f>
        <v>1.6.6.</v>
      </c>
      <c r="F44" s="162" t="str">
        <f ca="1">OFFSET(ORÇAMENTO!R$15,$L44,0)</f>
        <v xml:space="preserve"> FORNECIMENTO DE CONCRETO ESTRUTURAL, USINADO
 BOMBEADO, AUTO-ADENSÁVEL, COM FCK 40MPA, INCLUSIVE
 LANÇAMENTO E ACABAMENTO</v>
      </c>
      <c r="G44" s="163" t="str">
        <f ca="1">IF($D44&lt;&gt;"Serviço","",OFFSET(ORÇAMENTO!S$15,$L44,0))</f>
        <v>M3</v>
      </c>
      <c r="H44" s="121" cm="1">
        <f t="array" aca="1" ref="H44" ca="1">IF($D44&lt;&gt;"Serviço",0,IF(ACOMPANHAMENTO="BM",ROUND(OFFSET(ORÇAMENTO!AJ$15,$L44,0),15-13*ORÇAMENTO!$AF$7),IF(IFERROR(CÁLCULO.FrentesPreenchidas,0)=0,0,SUM(ROUND(OFFSET($P44,0,1,1,CÁLCULO.FrentesPreenchidas),15-13*ORÇAMENTO!$AF$7)))))</f>
        <v>18</v>
      </c>
      <c r="I44" s="467"/>
      <c r="J44" s="650" t="str" cm="1">
        <f t="array" aca="1" ref="J44" ca="1">IF(OR(B44&lt;&gt;"S",CÁLCULO.FrentesPreenchidas=0),"",IF(AND(ACOMPANHAMENTO="PLE",AUTOEVENTO="Manual",OR(H44&gt;0,ORÇAMENTO!AC44="QUANT."),OR(K44="",M44=0,N44="")),"►E",IF(AND(ACOMPANHAMENTO="PLE",ORÇAMENTO!AC44="QUANT."),"►Q",IF(AND(ACOMPANHAMENTO="PLE",H44&lt;&gt;SUMPRODUCT(($Q$1:$AA$1=1)*ROUND(Q44:AA44,15))),"►S",IF(AND(COUNTIF($P$11:$AA$11,"▼")=0,H44&gt;0,I44=""),"◄M","")))))</f>
        <v>◄M</v>
      </c>
      <c r="K44" s="651"/>
      <c r="L44" s="164">
        <f t="shared" ca="1" si="9"/>
        <v>29</v>
      </c>
      <c r="M44" s="165">
        <f ca="1">IF($D44&lt;&gt;"Serviço","",
          IF(AUTOEVENTO="manual",$A44,
                IF(ISERROR(MATCH($A44,$A$15:OFFSET($A44,-1,0),0)),MAX($M$15:OFFSET(M44,-1,0))+1,
                      INDEX($M$15:OFFSET(M44,-1,0),MATCH($A44,$A$15:OFFSET($A44,-1,0),0)))))</f>
        <v>6</v>
      </c>
      <c r="N44" s="166" t="str">
        <f ca="1">IF($D44&lt;&gt;"Serviço","",
         IF(AUTOEVENTO="Manual",
                IF($A44=0,"&lt;-- defina o número do agrupador",
                       OFFSET(EVENTOS!$D$15,$A44-$A$15,0)),
                OFFSET($F$15,$A44,0)))</f>
        <v>SUPERESTRUTURA</v>
      </c>
      <c r="O44" s="167"/>
      <c r="Q44" s="167"/>
      <c r="R44" s="168"/>
      <c r="S44" s="168"/>
      <c r="T44" s="168">
        <v>18</v>
      </c>
      <c r="U44" s="168"/>
      <c r="V44" s="168"/>
      <c r="W44" s="168"/>
      <c r="X44" s="168"/>
      <c r="Y44" s="168"/>
      <c r="Z44" s="169"/>
      <c r="AB44" s="452">
        <f ca="1">IF(AND($D44="Serviço",AB$12&lt;&gt;0,$H44&gt;0,OR(AUTOEVENTO&lt;&gt;"manual",$M44&lt;&gt;$A$15)),
        IF(Import.TipoArredondamento&lt;&gt;"TransfereGOV",
              ROUND(OFFSET($P44,0,AB$13),15-13*ORÇAMENTO!$AF$7)/$H44*OFFSET(ORÇAMENTO!$X$15,ROW(AB44)-ROW(AB$15),0),
              ROUND(ROUND(OFFSET($P44,0,AB$13),15-13*ORÇAMENTO!$AF$7)*OFFSET(ORÇAMENTO!$W$15,ROW(AB44)-ROW(AB$15),0),15-13*ORÇAMENTO!$AF$11)),
         0)</f>
        <v>0</v>
      </c>
      <c r="AC44" s="452">
        <f ca="1">IF(AND($D44="Serviço",AC$12&lt;&gt;0,$H44&gt;0,OR(AUTOEVENTO&lt;&gt;"manual",$M44&lt;&gt;$A$15)),
        IF(Import.TipoArredondamento&lt;&gt;"TransfereGOV",
              ROUND(OFFSET($P44,0,AC$13),15-13*ORÇAMENTO!$AF$7)/$H44*OFFSET(ORÇAMENTO!$X$15,ROW(AC44)-ROW(AC$15),0),
              ROUND(ROUND(OFFSET($P44,0,AC$13),15-13*ORÇAMENTO!$AF$7)*OFFSET(ORÇAMENTO!$W$15,ROW(AC44)-ROW(AC$15),0),15-13*ORÇAMENTO!$AF$11)),
         0)</f>
        <v>0</v>
      </c>
      <c r="AD44" s="452">
        <f ca="1">IF(AND($D44="Serviço",AD$12&lt;&gt;0,$H44&gt;0,OR(AUTOEVENTO&lt;&gt;"manual",$M44&lt;&gt;$A$15)),
        IF(Import.TipoArredondamento&lt;&gt;"TransfereGOV",
              ROUND(OFFSET($P44,0,AD$13),15-13*ORÇAMENTO!$AF$7)/$H44*OFFSET(ORÇAMENTO!$X$15,ROW(AD44)-ROW(AD$15),0),
              ROUND(ROUND(OFFSET($P44,0,AD$13),15-13*ORÇAMENTO!$AF$7)*OFFSET(ORÇAMENTO!$W$15,ROW(AD44)-ROW(AD$15),0),15-13*ORÇAMENTO!$AF$11)),
         0)</f>
        <v>0</v>
      </c>
      <c r="AE44" s="452">
        <f ca="1">IF(AND($D44="Serviço",AE$12&lt;&gt;0,$H44&gt;0,OR(AUTOEVENTO&lt;&gt;"manual",$M44&lt;&gt;$A$15)),
        IF(Import.TipoArredondamento&lt;&gt;"TransfereGOV",
              ROUND(OFFSET($P44,0,AE$13),15-13*ORÇAMENTO!$AF$7)/$H44*OFFSET(ORÇAMENTO!$X$15,ROW(AE44)-ROW(AE$15),0),
              ROUND(ROUND(OFFSET($P44,0,AE$13),15-13*ORÇAMENTO!$AF$7)*OFFSET(ORÇAMENTO!$W$15,ROW(AE44)-ROW(AE$15),0),15-13*ORÇAMENTO!$AF$11)),
         0)</f>
        <v>15553.26</v>
      </c>
      <c r="AF44" s="452">
        <f ca="1">IF(AND($D44="Serviço",AF$12&lt;&gt;0,$H44&gt;0,OR(AUTOEVENTO&lt;&gt;"manual",$M44&lt;&gt;$A$15)),
        IF(Import.TipoArredondamento&lt;&gt;"TransfereGOV",
              ROUND(OFFSET($P44,0,AF$13),15-13*ORÇAMENTO!$AF$7)/$H44*OFFSET(ORÇAMENTO!$X$15,ROW(AF44)-ROW(AF$15),0),
              ROUND(ROUND(OFFSET($P44,0,AF$13),15-13*ORÇAMENTO!$AF$7)*OFFSET(ORÇAMENTO!$W$15,ROW(AF44)-ROW(AF$15),0),15-13*ORÇAMENTO!$AF$11)),
         0)</f>
        <v>0</v>
      </c>
      <c r="AG44" s="452">
        <f ca="1">IF(AND($D44="Serviço",AG$12&lt;&gt;0,$H44&gt;0,OR(AUTOEVENTO&lt;&gt;"manual",$M44&lt;&gt;$A$15)),
        IF(Import.TipoArredondamento&lt;&gt;"TransfereGOV",
              ROUND(OFFSET($P44,0,AG$13),15-13*ORÇAMENTO!$AF$7)/$H44*OFFSET(ORÇAMENTO!$X$15,ROW(AG44)-ROW(AG$15),0),
              ROUND(ROUND(OFFSET($P44,0,AG$13),15-13*ORÇAMENTO!$AF$7)*OFFSET(ORÇAMENTO!$W$15,ROW(AG44)-ROW(AG$15),0),15-13*ORÇAMENTO!$AF$11)),
         0)</f>
        <v>0</v>
      </c>
      <c r="AH44" s="452">
        <f ca="1">IF(AND($D44="Serviço",AH$12&lt;&gt;0,$H44&gt;0,OR(AUTOEVENTO&lt;&gt;"manual",$M44&lt;&gt;$A$15)),
        IF(Import.TipoArredondamento&lt;&gt;"TransfereGOV",
              ROUND(OFFSET($P44,0,AH$13),15-13*ORÇAMENTO!$AF$7)/$H44*OFFSET(ORÇAMENTO!$X$15,ROW(AH44)-ROW(AH$15),0),
              ROUND(ROUND(OFFSET($P44,0,AH$13),15-13*ORÇAMENTO!$AF$7)*OFFSET(ORÇAMENTO!$W$15,ROW(AH44)-ROW(AH$15),0),15-13*ORÇAMENTO!$AF$11)),
         0)</f>
        <v>0</v>
      </c>
      <c r="AI44" s="452">
        <f ca="1">IF(AND($D44="Serviço",AI$12&lt;&gt;0,$H44&gt;0,OR(AUTOEVENTO&lt;&gt;"manual",$M44&lt;&gt;$A$15)),
        IF(Import.TipoArredondamento&lt;&gt;"TransfereGOV",
              ROUND(OFFSET($P44,0,AI$13),15-13*ORÇAMENTO!$AF$7)/$H44*OFFSET(ORÇAMENTO!$X$15,ROW(AI44)-ROW(AI$15),0),
              ROUND(ROUND(OFFSET($P44,0,AI$13),15-13*ORÇAMENTO!$AF$7)*OFFSET(ORÇAMENTO!$W$15,ROW(AI44)-ROW(AI$15),0),15-13*ORÇAMENTO!$AF$11)),
         0)</f>
        <v>0</v>
      </c>
      <c r="AJ44" s="452">
        <f ca="1">IF(AND($D44="Serviço",AJ$12&lt;&gt;0,$H44&gt;0,OR(AUTOEVENTO&lt;&gt;"manual",$M44&lt;&gt;$A$15)),
        IF(Import.TipoArredondamento&lt;&gt;"TransfereGOV",
              ROUND(OFFSET($P44,0,AJ$13),15-13*ORÇAMENTO!$AF$7)/$H44*OFFSET(ORÇAMENTO!$X$15,ROW(AJ44)-ROW(AJ$15),0),
              ROUND(ROUND(OFFSET($P44,0,AJ$13),15-13*ORÇAMENTO!$AF$7)*OFFSET(ORÇAMENTO!$W$15,ROW(AJ44)-ROW(AJ$15),0),15-13*ORÇAMENTO!$AF$11)),
         0)</f>
        <v>0</v>
      </c>
      <c r="AK44" s="452">
        <f ca="1">IF(AND($D44="Serviço",AK$12&lt;&gt;0,$H44&gt;0,OR(AUTOEVENTO&lt;&gt;"manual",$M44&lt;&gt;$A$15)),
        IF(Import.TipoArredondamento&lt;&gt;"TransfereGOV",
              ROUND(OFFSET($P44,0,AK$13),15-13*ORÇAMENTO!$AF$7)/$H44*OFFSET(ORÇAMENTO!$X$15,ROW(AK44)-ROW(AK$15),0),
              ROUND(ROUND(OFFSET($P44,0,AK$13),15-13*ORÇAMENTO!$AF$7)*OFFSET(ORÇAMENTO!$W$15,ROW(AK44)-ROW(AK$15),0),15-13*ORÇAMENTO!$AF$11)),
         0)</f>
        <v>0</v>
      </c>
      <c r="AM44" s="170">
        <f ca="1">IF(OR($D44&lt;&gt;"Serviço",AND(AUTOEVENTO="Manual",$M44=$A$15)),0,
         IF(OFFSET(CRONOPLE!$F$15,$M44-$A$15,AM$13)=0,10^12,OFFSET(CRONOPLE!$F$15,$M44-$A$15,AM$13)))</f>
        <v>1000000000000</v>
      </c>
      <c r="AN44" s="170">
        <f ca="1">IF(OR($D44&lt;&gt;"Serviço",AND(AUTOEVENTO="Manual",$M44=$A$15)),0,
         IF(OFFSET(CRONOPLE!$F$15,$M44-$A$15,AN$13)=0,10^12,OFFSET(CRONOPLE!$F$15,$M44-$A$15,AN$13)))</f>
        <v>2</v>
      </c>
      <c r="AO44" s="170">
        <f ca="1">IF(OR($D44&lt;&gt;"Serviço",AND(AUTOEVENTO="Manual",$M44=$A$15)),0,
         IF(OFFSET(CRONOPLE!$F$15,$M44-$A$15,AO$13)=0,10^12,OFFSET(CRONOPLE!$F$15,$M44-$A$15,AO$13)))</f>
        <v>3</v>
      </c>
      <c r="AP44" s="170">
        <f ca="1">IF(OR($D44&lt;&gt;"Serviço",AND(AUTOEVENTO="Manual",$M44=$A$15)),0,
         IF(OFFSET(CRONOPLE!$F$15,$M44-$A$15,AP$13)=0,10^12,OFFSET(CRONOPLE!$F$15,$M44-$A$15,AP$13)))</f>
        <v>4</v>
      </c>
      <c r="AQ44" s="170">
        <f ca="1">IF(OR($D44&lt;&gt;"Serviço",AND(AUTOEVENTO="Manual",$M44=$A$15)),0,
         IF(OFFSET(CRONOPLE!$F$15,$M44-$A$15,AQ$13)=0,10^12,OFFSET(CRONOPLE!$F$15,$M44-$A$15,AQ$13)))</f>
        <v>1000000000000</v>
      </c>
      <c r="AR44" s="170">
        <f ca="1">IF(OR($D44&lt;&gt;"Serviço",AND(AUTOEVENTO="Manual",$M44=$A$15)),0,
         IF(OFFSET(CRONOPLE!$F$15,$M44-$A$15,AR$13)=0,10^12,OFFSET(CRONOPLE!$F$15,$M44-$A$15,AR$13)))</f>
        <v>1000000000000</v>
      </c>
      <c r="AS44" s="170">
        <f ca="1">IF(OR($D44&lt;&gt;"Serviço",AND(AUTOEVENTO="Manual",$M44=$A$15)),0,
         IF(OFFSET(CRONOPLE!$F$15,$M44-$A$15,AS$13)=0,10^12,OFFSET(CRONOPLE!$F$15,$M44-$A$15,AS$13)))</f>
        <v>1000000000000</v>
      </c>
      <c r="AT44" s="170">
        <f ca="1">IF(OR($D44&lt;&gt;"Serviço",AND(AUTOEVENTO="Manual",$M44=$A$15)),0,
         IF(OFFSET(CRONOPLE!$F$15,$M44-$A$15,AT$13)=0,10^12,OFFSET(CRONOPLE!$F$15,$M44-$A$15,AT$13)))</f>
        <v>1000000000000</v>
      </c>
      <c r="AU44" s="170">
        <f ca="1">IF(OR($D44&lt;&gt;"Serviço",AND(AUTOEVENTO="Manual",$M44=$A$15)),0,
         IF(OFFSET(CRONOPLE!$F$15,$M44-$A$15,AU$13)=0,10^12,OFFSET(CRONOPLE!$F$15,$M44-$A$15,AU$13)))</f>
        <v>1000000000000</v>
      </c>
      <c r="AV44" s="170">
        <f ca="1">IF(OR($D44&lt;&gt;"Serviço",AND(AUTOEVENTO="Manual",$M44=$A$15)),0,
         IF(OFFSET(CRONOPLE!$F$15,$M44-$A$15,AV$13)=0,10^12,OFFSET(CRONOPLE!$F$15,$M44-$A$15,AV$13)))</f>
        <v>1000000000000</v>
      </c>
      <c r="AX44" s="171" cm="1">
        <f t="array" aca="1" ref="AX44" ca="1">IF(OR($D44&lt;&gt;"Serviço",AND(AUTOEVENTO="Manual",$M44=$A$15),$M44&gt;(ROW(PLE.lastrow)-ROW(PLE.firstrow))),0,
           IF(OFFSET(PLE!$G$15,$M44-$A$15,AX$13)="",10^12,OFFSET(PLE!$G$15,$M44-$A$15,AX$13)))</f>
        <v>1000000000000</v>
      </c>
      <c r="AY44" s="171" cm="1">
        <f t="array" aca="1" ref="AY44" ca="1">IF(OR($D44&lt;&gt;"Serviço",AND(AUTOEVENTO="Manual",$M44=$A$15),$M44&gt;(ROW(PLE.lastrow)-ROW(PLE.firstrow))),0,
           IF(OFFSET(PLE!$G$15,$M44-$A$15,AY$13)="",10^12,OFFSET(PLE!$G$15,$M44-$A$15,AY$13)))</f>
        <v>1000000000000</v>
      </c>
      <c r="AZ44" s="171" cm="1">
        <f t="array" aca="1" ref="AZ44" ca="1">IF(OR($D44&lt;&gt;"Serviço",AND(AUTOEVENTO="Manual",$M44=$A$15),$M44&gt;(ROW(PLE.lastrow)-ROW(PLE.firstrow))),0,
           IF(OFFSET(PLE!$G$15,$M44-$A$15,AZ$13)="",10^12,OFFSET(PLE!$G$15,$M44-$A$15,AZ$13)))</f>
        <v>1000000000000</v>
      </c>
      <c r="BA44" s="171" cm="1">
        <f t="array" aca="1" ref="BA44" ca="1">IF(OR($D44&lt;&gt;"Serviço",AND(AUTOEVENTO="Manual",$M44=$A$15),$M44&gt;(ROW(PLE.lastrow)-ROW(PLE.firstrow))),0,
           IF(OFFSET(PLE!$G$15,$M44-$A$15,BA$13)="",10^12,OFFSET(PLE!$G$15,$M44-$A$15,BA$13)))</f>
        <v>1000000000000</v>
      </c>
      <c r="BB44" s="171" cm="1">
        <f t="array" aca="1" ref="BB44" ca="1">IF(OR($D44&lt;&gt;"Serviço",AND(AUTOEVENTO="Manual",$M44=$A$15),$M44&gt;(ROW(PLE.lastrow)-ROW(PLE.firstrow))),0,
           IF(OFFSET(PLE!$G$15,$M44-$A$15,BB$13)="",10^12,OFFSET(PLE!$G$15,$M44-$A$15,BB$13)))</f>
        <v>1000000000000</v>
      </c>
      <c r="BC44" s="171" cm="1">
        <f t="array" aca="1" ref="BC44" ca="1">IF(OR($D44&lt;&gt;"Serviço",AND(AUTOEVENTO="Manual",$M44=$A$15),$M44&gt;(ROW(PLE.lastrow)-ROW(PLE.firstrow))),0,
           IF(OFFSET(PLE!$G$15,$M44-$A$15,BC$13)="",10^12,OFFSET(PLE!$G$15,$M44-$A$15,BC$13)))</f>
        <v>1000000000000</v>
      </c>
      <c r="BD44" s="171" cm="1">
        <f t="array" aca="1" ref="BD44" ca="1">IF(OR($D44&lt;&gt;"Serviço",AND(AUTOEVENTO="Manual",$M44=$A$15),$M44&gt;(ROW(PLE.lastrow)-ROW(PLE.firstrow))),0,
           IF(OFFSET(PLE!$G$15,$M44-$A$15,BD$13)="",10^12,OFFSET(PLE!$G$15,$M44-$A$15,BD$13)))</f>
        <v>1000000000000</v>
      </c>
      <c r="BE44" s="171" cm="1">
        <f t="array" aca="1" ref="BE44" ca="1">IF(OR($D44&lt;&gt;"Serviço",AND(AUTOEVENTO="Manual",$M44=$A$15),$M44&gt;(ROW(PLE.lastrow)-ROW(PLE.firstrow))),0,
           IF(OFFSET(PLE!$G$15,$M44-$A$15,BE$13)="",10^12,OFFSET(PLE!$G$15,$M44-$A$15,BE$13)))</f>
        <v>1000000000000</v>
      </c>
      <c r="BF44" s="171" cm="1">
        <f t="array" aca="1" ref="BF44" ca="1">IF(OR($D44&lt;&gt;"Serviço",AND(AUTOEVENTO="Manual",$M44=$A$15),$M44&gt;(ROW(PLE.lastrow)-ROW(PLE.firstrow))),0,
           IF(OFFSET(PLE!$G$15,$M44-$A$15,BF$13)="",10^12,OFFSET(PLE!$G$15,$M44-$A$15,BF$13)))</f>
        <v>1000000000000</v>
      </c>
      <c r="BG44" s="171" cm="1">
        <f t="array" aca="1" ref="BG44" ca="1">IF(OR($D44&lt;&gt;"Serviço",AND(AUTOEVENTO="Manual",$M44=$A$15),$M44&gt;(ROW(PLE.lastrow)-ROW(PLE.firstrow))),0,
           IF(OFFSET(PLE!$G$15,$M44-$A$15,BG$13)="",10^12,OFFSET(PLE!$G$15,$M44-$A$15,BG$13)))</f>
        <v>1000000000000</v>
      </c>
    </row>
    <row r="45" spans="1:59" ht="25.5" x14ac:dyDescent="0.2">
      <c r="A45" s="7" t="str">
        <f t="shared" ca="1" si="8"/>
        <v>23</v>
      </c>
      <c r="B45" s="7" t="str">
        <f ca="1">OFFSET(ORÇAMENTO!C$15,$L45,0)</f>
        <v>S</v>
      </c>
      <c r="C45" s="7" t="str">
        <f ca="1">OFFSET(ORÇAMENTO!L$15,$L45,0)</f>
        <v>F</v>
      </c>
      <c r="D45" s="115" t="str">
        <f ca="1">OFFSET(ORÇAMENTO!N$15,$L45,0)</f>
        <v>Serviço</v>
      </c>
      <c r="E45" s="116" t="str">
        <f ca="1">OFFSET(ORÇAMENTO!O$15,$L45,0)</f>
        <v>1.6.7.</v>
      </c>
      <c r="F45" s="162" t="str">
        <f ca="1">OFFSET(ORÇAMENTO!R$15,$L45,0)</f>
        <v>CORTE, DOBRA E MONTAGEM DE AÇO CA-50, DIÂMETRO (6,3MM A
 12,5MM), INCLUSIVE ESPAÇADOR</v>
      </c>
      <c r="G45" s="163" t="str">
        <f ca="1">IF($D45&lt;&gt;"Serviço","",OFFSET(ORÇAMENTO!S$15,$L45,0))</f>
        <v>kg</v>
      </c>
      <c r="H45" s="121" cm="1">
        <f t="array" aca="1" ref="H45" ca="1">IF($D45&lt;&gt;"Serviço",0,IF(ACOMPANHAMENTO="BM",ROUND(OFFSET(ORÇAMENTO!AJ$15,$L45,0),15-13*ORÇAMENTO!$AF$7),IF(IFERROR(CÁLCULO.FrentesPreenchidas,0)=0,0,SUM(ROUND(OFFSET($P45,0,1,1,CÁLCULO.FrentesPreenchidas),15-13*ORÇAMENTO!$AF$7)))))</f>
        <v>1620</v>
      </c>
      <c r="I45" s="467"/>
      <c r="J45" s="650" t="str" cm="1">
        <f t="array" aca="1" ref="J45" ca="1">IF(OR(B45&lt;&gt;"S",CÁLCULO.FrentesPreenchidas=0),"",IF(AND(ACOMPANHAMENTO="PLE",AUTOEVENTO="Manual",OR(H45&gt;0,ORÇAMENTO!AC45="QUANT."),OR(K45="",M45=0,N45="")),"►E",IF(AND(ACOMPANHAMENTO="PLE",ORÇAMENTO!AC45="QUANT."),"►Q",IF(AND(ACOMPANHAMENTO="PLE",H45&lt;&gt;SUMPRODUCT(($Q$1:$AA$1=1)*ROUND(Q45:AA45,15))),"►S",IF(AND(COUNTIF($P$11:$AA$11,"▼")=0,H45&gt;0,I45=""),"◄M","")))))</f>
        <v>◄M</v>
      </c>
      <c r="K45" s="651"/>
      <c r="L45" s="164">
        <f t="shared" ca="1" si="9"/>
        <v>30</v>
      </c>
      <c r="M45" s="165">
        <f ca="1">IF($D45&lt;&gt;"Serviço","",
          IF(AUTOEVENTO="manual",$A45,
                IF(ISERROR(MATCH($A45,$A$15:OFFSET($A45,-1,0),0)),MAX($M$15:OFFSET(M45,-1,0))+1,
                      INDEX($M$15:OFFSET(M45,-1,0),MATCH($A45,$A$15:OFFSET($A45,-1,0),0)))))</f>
        <v>6</v>
      </c>
      <c r="N45" s="166" t="str">
        <f ca="1">IF($D45&lt;&gt;"Serviço","",
         IF(AUTOEVENTO="Manual",
                IF($A45=0,"&lt;-- defina o número do agrupador",
                       OFFSET(EVENTOS!$D$15,$A45-$A$15,0)),
                OFFSET($F$15,$A45,0)))</f>
        <v>SUPERESTRUTURA</v>
      </c>
      <c r="O45" s="167"/>
      <c r="Q45" s="167"/>
      <c r="R45" s="168"/>
      <c r="S45" s="168"/>
      <c r="T45" s="168">
        <v>1620</v>
      </c>
      <c r="U45" s="168"/>
      <c r="V45" s="168"/>
      <c r="W45" s="168"/>
      <c r="X45" s="168"/>
      <c r="Y45" s="168"/>
      <c r="Z45" s="169"/>
      <c r="AB45" s="452">
        <f ca="1">IF(AND($D45="Serviço",AB$12&lt;&gt;0,$H45&gt;0,OR(AUTOEVENTO&lt;&gt;"manual",$M45&lt;&gt;$A$15)),
        IF(Import.TipoArredondamento&lt;&gt;"TransfereGOV",
              ROUND(OFFSET($P45,0,AB$13),15-13*ORÇAMENTO!$AF$7)/$H45*OFFSET(ORÇAMENTO!$X$15,ROW(AB45)-ROW(AB$15),0),
              ROUND(ROUND(OFFSET($P45,0,AB$13),15-13*ORÇAMENTO!$AF$7)*OFFSET(ORÇAMENTO!$W$15,ROW(AB45)-ROW(AB$15),0),15-13*ORÇAMENTO!$AF$11)),
         0)</f>
        <v>0</v>
      </c>
      <c r="AC45" s="452">
        <f ca="1">IF(AND($D45="Serviço",AC$12&lt;&gt;0,$H45&gt;0,OR(AUTOEVENTO&lt;&gt;"manual",$M45&lt;&gt;$A$15)),
        IF(Import.TipoArredondamento&lt;&gt;"TransfereGOV",
              ROUND(OFFSET($P45,0,AC$13),15-13*ORÇAMENTO!$AF$7)/$H45*OFFSET(ORÇAMENTO!$X$15,ROW(AC45)-ROW(AC$15),0),
              ROUND(ROUND(OFFSET($P45,0,AC$13),15-13*ORÇAMENTO!$AF$7)*OFFSET(ORÇAMENTO!$W$15,ROW(AC45)-ROW(AC$15),0),15-13*ORÇAMENTO!$AF$11)),
         0)</f>
        <v>0</v>
      </c>
      <c r="AD45" s="452">
        <f ca="1">IF(AND($D45="Serviço",AD$12&lt;&gt;0,$H45&gt;0,OR(AUTOEVENTO&lt;&gt;"manual",$M45&lt;&gt;$A$15)),
        IF(Import.TipoArredondamento&lt;&gt;"TransfereGOV",
              ROUND(OFFSET($P45,0,AD$13),15-13*ORÇAMENTO!$AF$7)/$H45*OFFSET(ORÇAMENTO!$X$15,ROW(AD45)-ROW(AD$15),0),
              ROUND(ROUND(OFFSET($P45,0,AD$13),15-13*ORÇAMENTO!$AF$7)*OFFSET(ORÇAMENTO!$W$15,ROW(AD45)-ROW(AD$15),0),15-13*ORÇAMENTO!$AF$11)),
         0)</f>
        <v>0</v>
      </c>
      <c r="AE45" s="452">
        <f ca="1">IF(AND($D45="Serviço",AE$12&lt;&gt;0,$H45&gt;0,OR(AUTOEVENTO&lt;&gt;"manual",$M45&lt;&gt;$A$15)),
        IF(Import.TipoArredondamento&lt;&gt;"TransfereGOV",
              ROUND(OFFSET($P45,0,AE$13),15-13*ORÇAMENTO!$AF$7)/$H45*OFFSET(ORÇAMENTO!$X$15,ROW(AE45)-ROW(AE$15),0),
              ROUND(ROUND(OFFSET($P45,0,AE$13),15-13*ORÇAMENTO!$AF$7)*OFFSET(ORÇAMENTO!$W$15,ROW(AE45)-ROW(AE$15),0),15-13*ORÇAMENTO!$AF$11)),
         0)</f>
        <v>23814</v>
      </c>
      <c r="AF45" s="452">
        <f ca="1">IF(AND($D45="Serviço",AF$12&lt;&gt;0,$H45&gt;0,OR(AUTOEVENTO&lt;&gt;"manual",$M45&lt;&gt;$A$15)),
        IF(Import.TipoArredondamento&lt;&gt;"TransfereGOV",
              ROUND(OFFSET($P45,0,AF$13),15-13*ORÇAMENTO!$AF$7)/$H45*OFFSET(ORÇAMENTO!$X$15,ROW(AF45)-ROW(AF$15),0),
              ROUND(ROUND(OFFSET($P45,0,AF$13),15-13*ORÇAMENTO!$AF$7)*OFFSET(ORÇAMENTO!$W$15,ROW(AF45)-ROW(AF$15),0),15-13*ORÇAMENTO!$AF$11)),
         0)</f>
        <v>0</v>
      </c>
      <c r="AG45" s="452">
        <f ca="1">IF(AND($D45="Serviço",AG$12&lt;&gt;0,$H45&gt;0,OR(AUTOEVENTO&lt;&gt;"manual",$M45&lt;&gt;$A$15)),
        IF(Import.TipoArredondamento&lt;&gt;"TransfereGOV",
              ROUND(OFFSET($P45,0,AG$13),15-13*ORÇAMENTO!$AF$7)/$H45*OFFSET(ORÇAMENTO!$X$15,ROW(AG45)-ROW(AG$15),0),
              ROUND(ROUND(OFFSET($P45,0,AG$13),15-13*ORÇAMENTO!$AF$7)*OFFSET(ORÇAMENTO!$W$15,ROW(AG45)-ROW(AG$15),0),15-13*ORÇAMENTO!$AF$11)),
         0)</f>
        <v>0</v>
      </c>
      <c r="AH45" s="452">
        <f ca="1">IF(AND($D45="Serviço",AH$12&lt;&gt;0,$H45&gt;0,OR(AUTOEVENTO&lt;&gt;"manual",$M45&lt;&gt;$A$15)),
        IF(Import.TipoArredondamento&lt;&gt;"TransfereGOV",
              ROUND(OFFSET($P45,0,AH$13),15-13*ORÇAMENTO!$AF$7)/$H45*OFFSET(ORÇAMENTO!$X$15,ROW(AH45)-ROW(AH$15),0),
              ROUND(ROUND(OFFSET($P45,0,AH$13),15-13*ORÇAMENTO!$AF$7)*OFFSET(ORÇAMENTO!$W$15,ROW(AH45)-ROW(AH$15),0),15-13*ORÇAMENTO!$AF$11)),
         0)</f>
        <v>0</v>
      </c>
      <c r="AI45" s="452">
        <f ca="1">IF(AND($D45="Serviço",AI$12&lt;&gt;0,$H45&gt;0,OR(AUTOEVENTO&lt;&gt;"manual",$M45&lt;&gt;$A$15)),
        IF(Import.TipoArredondamento&lt;&gt;"TransfereGOV",
              ROUND(OFFSET($P45,0,AI$13),15-13*ORÇAMENTO!$AF$7)/$H45*OFFSET(ORÇAMENTO!$X$15,ROW(AI45)-ROW(AI$15),0),
              ROUND(ROUND(OFFSET($P45,0,AI$13),15-13*ORÇAMENTO!$AF$7)*OFFSET(ORÇAMENTO!$W$15,ROW(AI45)-ROW(AI$15),0),15-13*ORÇAMENTO!$AF$11)),
         0)</f>
        <v>0</v>
      </c>
      <c r="AJ45" s="452">
        <f ca="1">IF(AND($D45="Serviço",AJ$12&lt;&gt;0,$H45&gt;0,OR(AUTOEVENTO&lt;&gt;"manual",$M45&lt;&gt;$A$15)),
        IF(Import.TipoArredondamento&lt;&gt;"TransfereGOV",
              ROUND(OFFSET($P45,0,AJ$13),15-13*ORÇAMENTO!$AF$7)/$H45*OFFSET(ORÇAMENTO!$X$15,ROW(AJ45)-ROW(AJ$15),0),
              ROUND(ROUND(OFFSET($P45,0,AJ$13),15-13*ORÇAMENTO!$AF$7)*OFFSET(ORÇAMENTO!$W$15,ROW(AJ45)-ROW(AJ$15),0),15-13*ORÇAMENTO!$AF$11)),
         0)</f>
        <v>0</v>
      </c>
      <c r="AK45" s="452">
        <f ca="1">IF(AND($D45="Serviço",AK$12&lt;&gt;0,$H45&gt;0,OR(AUTOEVENTO&lt;&gt;"manual",$M45&lt;&gt;$A$15)),
        IF(Import.TipoArredondamento&lt;&gt;"TransfereGOV",
              ROUND(OFFSET($P45,0,AK$13),15-13*ORÇAMENTO!$AF$7)/$H45*OFFSET(ORÇAMENTO!$X$15,ROW(AK45)-ROW(AK$15),0),
              ROUND(ROUND(OFFSET($P45,0,AK$13),15-13*ORÇAMENTO!$AF$7)*OFFSET(ORÇAMENTO!$W$15,ROW(AK45)-ROW(AK$15),0),15-13*ORÇAMENTO!$AF$11)),
         0)</f>
        <v>0</v>
      </c>
      <c r="AM45" s="170">
        <f ca="1">IF(OR($D45&lt;&gt;"Serviço",AND(AUTOEVENTO="Manual",$M45=$A$15)),0,
         IF(OFFSET(CRONOPLE!$F$15,$M45-$A$15,AM$13)=0,10^12,OFFSET(CRONOPLE!$F$15,$M45-$A$15,AM$13)))</f>
        <v>1000000000000</v>
      </c>
      <c r="AN45" s="170">
        <f ca="1">IF(OR($D45&lt;&gt;"Serviço",AND(AUTOEVENTO="Manual",$M45=$A$15)),0,
         IF(OFFSET(CRONOPLE!$F$15,$M45-$A$15,AN$13)=0,10^12,OFFSET(CRONOPLE!$F$15,$M45-$A$15,AN$13)))</f>
        <v>2</v>
      </c>
      <c r="AO45" s="170">
        <f ca="1">IF(OR($D45&lt;&gt;"Serviço",AND(AUTOEVENTO="Manual",$M45=$A$15)),0,
         IF(OFFSET(CRONOPLE!$F$15,$M45-$A$15,AO$13)=0,10^12,OFFSET(CRONOPLE!$F$15,$M45-$A$15,AO$13)))</f>
        <v>3</v>
      </c>
      <c r="AP45" s="170">
        <f ca="1">IF(OR($D45&lt;&gt;"Serviço",AND(AUTOEVENTO="Manual",$M45=$A$15)),0,
         IF(OFFSET(CRONOPLE!$F$15,$M45-$A$15,AP$13)=0,10^12,OFFSET(CRONOPLE!$F$15,$M45-$A$15,AP$13)))</f>
        <v>4</v>
      </c>
      <c r="AQ45" s="170">
        <f ca="1">IF(OR($D45&lt;&gt;"Serviço",AND(AUTOEVENTO="Manual",$M45=$A$15)),0,
         IF(OFFSET(CRONOPLE!$F$15,$M45-$A$15,AQ$13)=0,10^12,OFFSET(CRONOPLE!$F$15,$M45-$A$15,AQ$13)))</f>
        <v>1000000000000</v>
      </c>
      <c r="AR45" s="170">
        <f ca="1">IF(OR($D45&lt;&gt;"Serviço",AND(AUTOEVENTO="Manual",$M45=$A$15)),0,
         IF(OFFSET(CRONOPLE!$F$15,$M45-$A$15,AR$13)=0,10^12,OFFSET(CRONOPLE!$F$15,$M45-$A$15,AR$13)))</f>
        <v>1000000000000</v>
      </c>
      <c r="AS45" s="170">
        <f ca="1">IF(OR($D45&lt;&gt;"Serviço",AND(AUTOEVENTO="Manual",$M45=$A$15)),0,
         IF(OFFSET(CRONOPLE!$F$15,$M45-$A$15,AS$13)=0,10^12,OFFSET(CRONOPLE!$F$15,$M45-$A$15,AS$13)))</f>
        <v>1000000000000</v>
      </c>
      <c r="AT45" s="170">
        <f ca="1">IF(OR($D45&lt;&gt;"Serviço",AND(AUTOEVENTO="Manual",$M45=$A$15)),0,
         IF(OFFSET(CRONOPLE!$F$15,$M45-$A$15,AT$13)=0,10^12,OFFSET(CRONOPLE!$F$15,$M45-$A$15,AT$13)))</f>
        <v>1000000000000</v>
      </c>
      <c r="AU45" s="170">
        <f ca="1">IF(OR($D45&lt;&gt;"Serviço",AND(AUTOEVENTO="Manual",$M45=$A$15)),0,
         IF(OFFSET(CRONOPLE!$F$15,$M45-$A$15,AU$13)=0,10^12,OFFSET(CRONOPLE!$F$15,$M45-$A$15,AU$13)))</f>
        <v>1000000000000</v>
      </c>
      <c r="AV45" s="170">
        <f ca="1">IF(OR($D45&lt;&gt;"Serviço",AND(AUTOEVENTO="Manual",$M45=$A$15)),0,
         IF(OFFSET(CRONOPLE!$F$15,$M45-$A$15,AV$13)=0,10^12,OFFSET(CRONOPLE!$F$15,$M45-$A$15,AV$13)))</f>
        <v>1000000000000</v>
      </c>
      <c r="AX45" s="171" cm="1">
        <f t="array" aca="1" ref="AX45" ca="1">IF(OR($D45&lt;&gt;"Serviço",AND(AUTOEVENTO="Manual",$M45=$A$15),$M45&gt;(ROW(PLE.lastrow)-ROW(PLE.firstrow))),0,
           IF(OFFSET(PLE!$G$15,$M45-$A$15,AX$13)="",10^12,OFFSET(PLE!$G$15,$M45-$A$15,AX$13)))</f>
        <v>1000000000000</v>
      </c>
      <c r="AY45" s="171" cm="1">
        <f t="array" aca="1" ref="AY45" ca="1">IF(OR($D45&lt;&gt;"Serviço",AND(AUTOEVENTO="Manual",$M45=$A$15),$M45&gt;(ROW(PLE.lastrow)-ROW(PLE.firstrow))),0,
           IF(OFFSET(PLE!$G$15,$M45-$A$15,AY$13)="",10^12,OFFSET(PLE!$G$15,$M45-$A$15,AY$13)))</f>
        <v>1000000000000</v>
      </c>
      <c r="AZ45" s="171" cm="1">
        <f t="array" aca="1" ref="AZ45" ca="1">IF(OR($D45&lt;&gt;"Serviço",AND(AUTOEVENTO="Manual",$M45=$A$15),$M45&gt;(ROW(PLE.lastrow)-ROW(PLE.firstrow))),0,
           IF(OFFSET(PLE!$G$15,$M45-$A$15,AZ$13)="",10^12,OFFSET(PLE!$G$15,$M45-$A$15,AZ$13)))</f>
        <v>1000000000000</v>
      </c>
      <c r="BA45" s="171" cm="1">
        <f t="array" aca="1" ref="BA45" ca="1">IF(OR($D45&lt;&gt;"Serviço",AND(AUTOEVENTO="Manual",$M45=$A$15),$M45&gt;(ROW(PLE.lastrow)-ROW(PLE.firstrow))),0,
           IF(OFFSET(PLE!$G$15,$M45-$A$15,BA$13)="",10^12,OFFSET(PLE!$G$15,$M45-$A$15,BA$13)))</f>
        <v>1000000000000</v>
      </c>
      <c r="BB45" s="171" cm="1">
        <f t="array" aca="1" ref="BB45" ca="1">IF(OR($D45&lt;&gt;"Serviço",AND(AUTOEVENTO="Manual",$M45=$A$15),$M45&gt;(ROW(PLE.lastrow)-ROW(PLE.firstrow))),0,
           IF(OFFSET(PLE!$G$15,$M45-$A$15,BB$13)="",10^12,OFFSET(PLE!$G$15,$M45-$A$15,BB$13)))</f>
        <v>1000000000000</v>
      </c>
      <c r="BC45" s="171" cm="1">
        <f t="array" aca="1" ref="BC45" ca="1">IF(OR($D45&lt;&gt;"Serviço",AND(AUTOEVENTO="Manual",$M45=$A$15),$M45&gt;(ROW(PLE.lastrow)-ROW(PLE.firstrow))),0,
           IF(OFFSET(PLE!$G$15,$M45-$A$15,BC$13)="",10^12,OFFSET(PLE!$G$15,$M45-$A$15,BC$13)))</f>
        <v>1000000000000</v>
      </c>
      <c r="BD45" s="171" cm="1">
        <f t="array" aca="1" ref="BD45" ca="1">IF(OR($D45&lt;&gt;"Serviço",AND(AUTOEVENTO="Manual",$M45=$A$15),$M45&gt;(ROW(PLE.lastrow)-ROW(PLE.firstrow))),0,
           IF(OFFSET(PLE!$G$15,$M45-$A$15,BD$13)="",10^12,OFFSET(PLE!$G$15,$M45-$A$15,BD$13)))</f>
        <v>1000000000000</v>
      </c>
      <c r="BE45" s="171" cm="1">
        <f t="array" aca="1" ref="BE45" ca="1">IF(OR($D45&lt;&gt;"Serviço",AND(AUTOEVENTO="Manual",$M45=$A$15),$M45&gt;(ROW(PLE.lastrow)-ROW(PLE.firstrow))),0,
           IF(OFFSET(PLE!$G$15,$M45-$A$15,BE$13)="",10^12,OFFSET(PLE!$G$15,$M45-$A$15,BE$13)))</f>
        <v>1000000000000</v>
      </c>
      <c r="BF45" s="171" cm="1">
        <f t="array" aca="1" ref="BF45" ca="1">IF(OR($D45&lt;&gt;"Serviço",AND(AUTOEVENTO="Manual",$M45=$A$15),$M45&gt;(ROW(PLE.lastrow)-ROW(PLE.firstrow))),0,
           IF(OFFSET(PLE!$G$15,$M45-$A$15,BF$13)="",10^12,OFFSET(PLE!$G$15,$M45-$A$15,BF$13)))</f>
        <v>1000000000000</v>
      </c>
      <c r="BG45" s="171" cm="1">
        <f t="array" aca="1" ref="BG45" ca="1">IF(OR($D45&lt;&gt;"Serviço",AND(AUTOEVENTO="Manual",$M45=$A$15),$M45&gt;(ROW(PLE.lastrow)-ROW(PLE.firstrow))),0,
           IF(OFFSET(PLE!$G$15,$M45-$A$15,BG$13)="",10^12,OFFSET(PLE!$G$15,$M45-$A$15,BG$13)))</f>
        <v>1000000000000</v>
      </c>
    </row>
    <row r="46" spans="1:59" ht="12.75" x14ac:dyDescent="0.2">
      <c r="A46" s="7" t="str">
        <f ca="1">IFERROR(IF(AUTOEVENTO="Manual",IF(K46&lt;&gt;"",MIN(VALUE(LEFT(K46,FIND(".",K46)-1)),COUNTA(EVENTOS.Lista)),0),IF(OR($B46&gt;AUTOEVENTO,$B46="S",$B46=0),SUBSTITUTE(OFFSET($A46,-1,0),IF($D46="Serviço",".",""),""),$L46&amp;".")),0)</f>
        <v>23</v>
      </c>
      <c r="B46" s="7" t="str">
        <f ca="1">OFFSET(ORÇAMENTO!C$15,$L46,0)</f>
        <v>S</v>
      </c>
      <c r="C46" s="7" t="str">
        <f ca="1">OFFSET(ORÇAMENTO!L$15,$L46,0)</f>
        <v>F</v>
      </c>
      <c r="D46" s="115" t="str">
        <f ca="1">OFFSET(ORÇAMENTO!N$15,$L46,0)</f>
        <v>Serviço</v>
      </c>
      <c r="E46" s="116" t="str">
        <f ca="1">OFFSET(ORÇAMENTO!O$15,$L46,0)</f>
        <v>1.6.8.</v>
      </c>
      <c r="F46" s="162" t="str">
        <f ca="1">OFFSET(ORÇAMENTO!R$15,$L46,0)</f>
        <v>Guarda-corpo de concreto fabricação areia e brita comerciais</v>
      </c>
      <c r="G46" s="163" t="str">
        <f ca="1">IF($D46&lt;&gt;"Serviço","",OFFSET(ORÇAMENTO!S$15,$L46,0))</f>
        <v>M</v>
      </c>
      <c r="H46" s="121" cm="1">
        <f t="array" aca="1" ref="H46" ca="1">IF($D46&lt;&gt;"Serviço",0,IF(ACOMPANHAMENTO="BM",ROUND(OFFSET(ORÇAMENTO!AJ$15,$L46,0),15-13*ORÇAMENTO!$AF$7),IF(IFERROR(CÁLCULO.FrentesPreenchidas,0)=0,0,SUM(ROUND(OFFSET($P46,0,1,1,CÁLCULO.FrentesPreenchidas),15-13*ORÇAMENTO!$AF$7)))))</f>
        <v>40</v>
      </c>
      <c r="I46" s="467"/>
      <c r="J46" s="650" t="str" cm="1">
        <f t="array" aca="1" ref="J46" ca="1">IF(OR(B46&lt;&gt;"S",CÁLCULO.FrentesPreenchidas=0),"",IF(AND(ACOMPANHAMENTO="PLE",AUTOEVENTO="Manual",OR(H46&gt;0,ORÇAMENTO!AC46="QUANT."),OR(K46="",M46=0,N46="")),"►E",IF(AND(ACOMPANHAMENTO="PLE",ORÇAMENTO!AC46="QUANT."),"►Q",IF(AND(ACOMPANHAMENTO="PLE",H46&lt;&gt;SUMPRODUCT(($Q$1:$AA$1=1)*ROUND(Q46:AA46,15))),"►S",IF(AND(COUNTIF($P$11:$AA$11,"▼")=0,H46&gt;0,I46=""),"◄M","")))))</f>
        <v>◄M</v>
      </c>
      <c r="K46" s="651"/>
      <c r="L46" s="164">
        <f ca="1">OFFSET(L46,-1,0)+1</f>
        <v>31</v>
      </c>
      <c r="M46" s="165">
        <f ca="1">IF($D46&lt;&gt;"Serviço","",
          IF(AUTOEVENTO="manual",$A46,
                IF(ISERROR(MATCH($A46,$A$15:OFFSET($A46,-1,0),0)),MAX($M$15:OFFSET(M46,-1,0))+1,
                      INDEX($M$15:OFFSET(M46,-1,0),MATCH($A46,$A$15:OFFSET($A46,-1,0),0)))))</f>
        <v>6</v>
      </c>
      <c r="N46" s="166" t="str">
        <f ca="1">IF($D46&lt;&gt;"Serviço","",
         IF(AUTOEVENTO="Manual",
                IF($A46=0,"&lt;-- defina o número do agrupador",
                       OFFSET(EVENTOS!$D$15,$A46-$A$15,0)),
                OFFSET($F$15,$A46,0)))</f>
        <v>SUPERESTRUTURA</v>
      </c>
      <c r="O46" s="167"/>
      <c r="Q46" s="167"/>
      <c r="R46" s="168"/>
      <c r="S46" s="168"/>
      <c r="T46" s="168">
        <v>40</v>
      </c>
      <c r="U46" s="168"/>
      <c r="V46" s="168"/>
      <c r="W46" s="168"/>
      <c r="X46" s="168"/>
      <c r="Y46" s="168"/>
      <c r="Z46" s="169"/>
      <c r="AB46" s="452">
        <f ca="1">IF(AND($D46="Serviço",AB$12&lt;&gt;0,$H46&gt;0,OR(AUTOEVENTO&lt;&gt;"manual",$M46&lt;&gt;$A$15)),
        IF(Import.TipoArredondamento&lt;&gt;"TransfereGOV",
              ROUND(OFFSET($P46,0,AB$13),15-13*ORÇAMENTO!$AF$7)/$H46*OFFSET(ORÇAMENTO!$X$15,ROW(AB46)-ROW(AB$15),0),
              ROUND(ROUND(OFFSET($P46,0,AB$13),15-13*ORÇAMENTO!$AF$7)*OFFSET(ORÇAMENTO!$W$15,ROW(AB46)-ROW(AB$15),0),15-13*ORÇAMENTO!$AF$11)),
         0)</f>
        <v>0</v>
      </c>
      <c r="AC46" s="452">
        <f ca="1">IF(AND($D46="Serviço",AC$12&lt;&gt;0,$H46&gt;0,OR(AUTOEVENTO&lt;&gt;"manual",$M46&lt;&gt;$A$15)),
        IF(Import.TipoArredondamento&lt;&gt;"TransfereGOV",
              ROUND(OFFSET($P46,0,AC$13),15-13*ORÇAMENTO!$AF$7)/$H46*OFFSET(ORÇAMENTO!$X$15,ROW(AC46)-ROW(AC$15),0),
              ROUND(ROUND(OFFSET($P46,0,AC$13),15-13*ORÇAMENTO!$AF$7)*OFFSET(ORÇAMENTO!$W$15,ROW(AC46)-ROW(AC$15),0),15-13*ORÇAMENTO!$AF$11)),
         0)</f>
        <v>0</v>
      </c>
      <c r="AD46" s="452">
        <f ca="1">IF(AND($D46="Serviço",AD$12&lt;&gt;0,$H46&gt;0,OR(AUTOEVENTO&lt;&gt;"manual",$M46&lt;&gt;$A$15)),
        IF(Import.TipoArredondamento&lt;&gt;"TransfereGOV",
              ROUND(OFFSET($P46,0,AD$13),15-13*ORÇAMENTO!$AF$7)/$H46*OFFSET(ORÇAMENTO!$X$15,ROW(AD46)-ROW(AD$15),0),
              ROUND(ROUND(OFFSET($P46,0,AD$13),15-13*ORÇAMENTO!$AF$7)*OFFSET(ORÇAMENTO!$W$15,ROW(AD46)-ROW(AD$15),0),15-13*ORÇAMENTO!$AF$11)),
         0)</f>
        <v>0</v>
      </c>
      <c r="AE46" s="452">
        <f ca="1">IF(AND($D46="Serviço",AE$12&lt;&gt;0,$H46&gt;0,OR(AUTOEVENTO&lt;&gt;"manual",$M46&lt;&gt;$A$15)),
        IF(Import.TipoArredondamento&lt;&gt;"TransfereGOV",
              ROUND(OFFSET($P46,0,AE$13),15-13*ORÇAMENTO!$AF$7)/$H46*OFFSET(ORÇAMENTO!$X$15,ROW(AE46)-ROW(AE$15),0),
              ROUND(ROUND(OFFSET($P46,0,AE$13),15-13*ORÇAMENTO!$AF$7)*OFFSET(ORÇAMENTO!$W$15,ROW(AE46)-ROW(AE$15),0),15-13*ORÇAMENTO!$AF$11)),
         0)</f>
        <v>4119.2</v>
      </c>
      <c r="AF46" s="452">
        <f ca="1">IF(AND($D46="Serviço",AF$12&lt;&gt;0,$H46&gt;0,OR(AUTOEVENTO&lt;&gt;"manual",$M46&lt;&gt;$A$15)),
        IF(Import.TipoArredondamento&lt;&gt;"TransfereGOV",
              ROUND(OFFSET($P46,0,AF$13),15-13*ORÇAMENTO!$AF$7)/$H46*OFFSET(ORÇAMENTO!$X$15,ROW(AF46)-ROW(AF$15),0),
              ROUND(ROUND(OFFSET($P46,0,AF$13),15-13*ORÇAMENTO!$AF$7)*OFFSET(ORÇAMENTO!$W$15,ROW(AF46)-ROW(AF$15),0),15-13*ORÇAMENTO!$AF$11)),
         0)</f>
        <v>0</v>
      </c>
      <c r="AG46" s="452">
        <f ca="1">IF(AND($D46="Serviço",AG$12&lt;&gt;0,$H46&gt;0,OR(AUTOEVENTO&lt;&gt;"manual",$M46&lt;&gt;$A$15)),
        IF(Import.TipoArredondamento&lt;&gt;"TransfereGOV",
              ROUND(OFFSET($P46,0,AG$13),15-13*ORÇAMENTO!$AF$7)/$H46*OFFSET(ORÇAMENTO!$X$15,ROW(AG46)-ROW(AG$15),0),
              ROUND(ROUND(OFFSET($P46,0,AG$13),15-13*ORÇAMENTO!$AF$7)*OFFSET(ORÇAMENTO!$W$15,ROW(AG46)-ROW(AG$15),0),15-13*ORÇAMENTO!$AF$11)),
         0)</f>
        <v>0</v>
      </c>
      <c r="AH46" s="452">
        <f ca="1">IF(AND($D46="Serviço",AH$12&lt;&gt;0,$H46&gt;0,OR(AUTOEVENTO&lt;&gt;"manual",$M46&lt;&gt;$A$15)),
        IF(Import.TipoArredondamento&lt;&gt;"TransfereGOV",
              ROUND(OFFSET($P46,0,AH$13),15-13*ORÇAMENTO!$AF$7)/$H46*OFFSET(ORÇAMENTO!$X$15,ROW(AH46)-ROW(AH$15),0),
              ROUND(ROUND(OFFSET($P46,0,AH$13),15-13*ORÇAMENTO!$AF$7)*OFFSET(ORÇAMENTO!$W$15,ROW(AH46)-ROW(AH$15),0),15-13*ORÇAMENTO!$AF$11)),
         0)</f>
        <v>0</v>
      </c>
      <c r="AI46" s="452">
        <f ca="1">IF(AND($D46="Serviço",AI$12&lt;&gt;0,$H46&gt;0,OR(AUTOEVENTO&lt;&gt;"manual",$M46&lt;&gt;$A$15)),
        IF(Import.TipoArredondamento&lt;&gt;"TransfereGOV",
              ROUND(OFFSET($P46,0,AI$13),15-13*ORÇAMENTO!$AF$7)/$H46*OFFSET(ORÇAMENTO!$X$15,ROW(AI46)-ROW(AI$15),0),
              ROUND(ROUND(OFFSET($P46,0,AI$13),15-13*ORÇAMENTO!$AF$7)*OFFSET(ORÇAMENTO!$W$15,ROW(AI46)-ROW(AI$15),0),15-13*ORÇAMENTO!$AF$11)),
         0)</f>
        <v>0</v>
      </c>
      <c r="AJ46" s="452">
        <f ca="1">IF(AND($D46="Serviço",AJ$12&lt;&gt;0,$H46&gt;0,OR(AUTOEVENTO&lt;&gt;"manual",$M46&lt;&gt;$A$15)),
        IF(Import.TipoArredondamento&lt;&gt;"TransfereGOV",
              ROUND(OFFSET($P46,0,AJ$13),15-13*ORÇAMENTO!$AF$7)/$H46*OFFSET(ORÇAMENTO!$X$15,ROW(AJ46)-ROW(AJ$15),0),
              ROUND(ROUND(OFFSET($P46,0,AJ$13),15-13*ORÇAMENTO!$AF$7)*OFFSET(ORÇAMENTO!$W$15,ROW(AJ46)-ROW(AJ$15),0),15-13*ORÇAMENTO!$AF$11)),
         0)</f>
        <v>0</v>
      </c>
      <c r="AK46" s="452">
        <f ca="1">IF(AND($D46="Serviço",AK$12&lt;&gt;0,$H46&gt;0,OR(AUTOEVENTO&lt;&gt;"manual",$M46&lt;&gt;$A$15)),
        IF(Import.TipoArredondamento&lt;&gt;"TransfereGOV",
              ROUND(OFFSET($P46,0,AK$13),15-13*ORÇAMENTO!$AF$7)/$H46*OFFSET(ORÇAMENTO!$X$15,ROW(AK46)-ROW(AK$15),0),
              ROUND(ROUND(OFFSET($P46,0,AK$13),15-13*ORÇAMENTO!$AF$7)*OFFSET(ORÇAMENTO!$W$15,ROW(AK46)-ROW(AK$15),0),15-13*ORÇAMENTO!$AF$11)),
         0)</f>
        <v>0</v>
      </c>
      <c r="AM46" s="170">
        <f ca="1">IF(OR($D46&lt;&gt;"Serviço",AND(AUTOEVENTO="Manual",$M46=$A$15)),0,
         IF(OFFSET(CRONOPLE!$F$15,$M46-$A$15,AM$13)=0,10^12,OFFSET(CRONOPLE!$F$15,$M46-$A$15,AM$13)))</f>
        <v>1000000000000</v>
      </c>
      <c r="AN46" s="170">
        <f ca="1">IF(OR($D46&lt;&gt;"Serviço",AND(AUTOEVENTO="Manual",$M46=$A$15)),0,
         IF(OFFSET(CRONOPLE!$F$15,$M46-$A$15,AN$13)=0,10^12,OFFSET(CRONOPLE!$F$15,$M46-$A$15,AN$13)))</f>
        <v>2</v>
      </c>
      <c r="AO46" s="170">
        <f ca="1">IF(OR($D46&lt;&gt;"Serviço",AND(AUTOEVENTO="Manual",$M46=$A$15)),0,
         IF(OFFSET(CRONOPLE!$F$15,$M46-$A$15,AO$13)=0,10^12,OFFSET(CRONOPLE!$F$15,$M46-$A$15,AO$13)))</f>
        <v>3</v>
      </c>
      <c r="AP46" s="170">
        <f ca="1">IF(OR($D46&lt;&gt;"Serviço",AND(AUTOEVENTO="Manual",$M46=$A$15)),0,
         IF(OFFSET(CRONOPLE!$F$15,$M46-$A$15,AP$13)=0,10^12,OFFSET(CRONOPLE!$F$15,$M46-$A$15,AP$13)))</f>
        <v>4</v>
      </c>
      <c r="AQ46" s="170">
        <f ca="1">IF(OR($D46&lt;&gt;"Serviço",AND(AUTOEVENTO="Manual",$M46=$A$15)),0,
         IF(OFFSET(CRONOPLE!$F$15,$M46-$A$15,AQ$13)=0,10^12,OFFSET(CRONOPLE!$F$15,$M46-$A$15,AQ$13)))</f>
        <v>1000000000000</v>
      </c>
      <c r="AR46" s="170">
        <f ca="1">IF(OR($D46&lt;&gt;"Serviço",AND(AUTOEVENTO="Manual",$M46=$A$15)),0,
         IF(OFFSET(CRONOPLE!$F$15,$M46-$A$15,AR$13)=0,10^12,OFFSET(CRONOPLE!$F$15,$M46-$A$15,AR$13)))</f>
        <v>1000000000000</v>
      </c>
      <c r="AS46" s="170">
        <f ca="1">IF(OR($D46&lt;&gt;"Serviço",AND(AUTOEVENTO="Manual",$M46=$A$15)),0,
         IF(OFFSET(CRONOPLE!$F$15,$M46-$A$15,AS$13)=0,10^12,OFFSET(CRONOPLE!$F$15,$M46-$A$15,AS$13)))</f>
        <v>1000000000000</v>
      </c>
      <c r="AT46" s="170">
        <f ca="1">IF(OR($D46&lt;&gt;"Serviço",AND(AUTOEVENTO="Manual",$M46=$A$15)),0,
         IF(OFFSET(CRONOPLE!$F$15,$M46-$A$15,AT$13)=0,10^12,OFFSET(CRONOPLE!$F$15,$M46-$A$15,AT$13)))</f>
        <v>1000000000000</v>
      </c>
      <c r="AU46" s="170">
        <f ca="1">IF(OR($D46&lt;&gt;"Serviço",AND(AUTOEVENTO="Manual",$M46=$A$15)),0,
         IF(OFFSET(CRONOPLE!$F$15,$M46-$A$15,AU$13)=0,10^12,OFFSET(CRONOPLE!$F$15,$M46-$A$15,AU$13)))</f>
        <v>1000000000000</v>
      </c>
      <c r="AV46" s="170">
        <f ca="1">IF(OR($D46&lt;&gt;"Serviço",AND(AUTOEVENTO="Manual",$M46=$A$15)),0,
         IF(OFFSET(CRONOPLE!$F$15,$M46-$A$15,AV$13)=0,10^12,OFFSET(CRONOPLE!$F$15,$M46-$A$15,AV$13)))</f>
        <v>1000000000000</v>
      </c>
      <c r="AX46" s="171" cm="1">
        <f t="array" aca="1" ref="AX46" ca="1">IF(OR($D46&lt;&gt;"Serviço",AND(AUTOEVENTO="Manual",$M46=$A$15),$M46&gt;(ROW(PLE.lastrow)-ROW(PLE.firstrow))),0,
           IF(OFFSET(PLE!$G$15,$M46-$A$15,AX$13)="",10^12,OFFSET(PLE!$G$15,$M46-$A$15,AX$13)))</f>
        <v>1000000000000</v>
      </c>
      <c r="AY46" s="171" cm="1">
        <f t="array" aca="1" ref="AY46" ca="1">IF(OR($D46&lt;&gt;"Serviço",AND(AUTOEVENTO="Manual",$M46=$A$15),$M46&gt;(ROW(PLE.lastrow)-ROW(PLE.firstrow))),0,
           IF(OFFSET(PLE!$G$15,$M46-$A$15,AY$13)="",10^12,OFFSET(PLE!$G$15,$M46-$A$15,AY$13)))</f>
        <v>1000000000000</v>
      </c>
      <c r="AZ46" s="171" cm="1">
        <f t="array" aca="1" ref="AZ46" ca="1">IF(OR($D46&lt;&gt;"Serviço",AND(AUTOEVENTO="Manual",$M46=$A$15),$M46&gt;(ROW(PLE.lastrow)-ROW(PLE.firstrow))),0,
           IF(OFFSET(PLE!$G$15,$M46-$A$15,AZ$13)="",10^12,OFFSET(PLE!$G$15,$M46-$A$15,AZ$13)))</f>
        <v>1000000000000</v>
      </c>
      <c r="BA46" s="171" cm="1">
        <f t="array" aca="1" ref="BA46" ca="1">IF(OR($D46&lt;&gt;"Serviço",AND(AUTOEVENTO="Manual",$M46=$A$15),$M46&gt;(ROW(PLE.lastrow)-ROW(PLE.firstrow))),0,
           IF(OFFSET(PLE!$G$15,$M46-$A$15,BA$13)="",10^12,OFFSET(PLE!$G$15,$M46-$A$15,BA$13)))</f>
        <v>1000000000000</v>
      </c>
      <c r="BB46" s="171" cm="1">
        <f t="array" aca="1" ref="BB46" ca="1">IF(OR($D46&lt;&gt;"Serviço",AND(AUTOEVENTO="Manual",$M46=$A$15),$M46&gt;(ROW(PLE.lastrow)-ROW(PLE.firstrow))),0,
           IF(OFFSET(PLE!$G$15,$M46-$A$15,BB$13)="",10^12,OFFSET(PLE!$G$15,$M46-$A$15,BB$13)))</f>
        <v>1000000000000</v>
      </c>
      <c r="BC46" s="171" cm="1">
        <f t="array" aca="1" ref="BC46" ca="1">IF(OR($D46&lt;&gt;"Serviço",AND(AUTOEVENTO="Manual",$M46=$A$15),$M46&gt;(ROW(PLE.lastrow)-ROW(PLE.firstrow))),0,
           IF(OFFSET(PLE!$G$15,$M46-$A$15,BC$13)="",10^12,OFFSET(PLE!$G$15,$M46-$A$15,BC$13)))</f>
        <v>1000000000000</v>
      </c>
      <c r="BD46" s="171" cm="1">
        <f t="array" aca="1" ref="BD46" ca="1">IF(OR($D46&lt;&gt;"Serviço",AND(AUTOEVENTO="Manual",$M46=$A$15),$M46&gt;(ROW(PLE.lastrow)-ROW(PLE.firstrow))),0,
           IF(OFFSET(PLE!$G$15,$M46-$A$15,BD$13)="",10^12,OFFSET(PLE!$G$15,$M46-$A$15,BD$13)))</f>
        <v>1000000000000</v>
      </c>
      <c r="BE46" s="171" cm="1">
        <f t="array" aca="1" ref="BE46" ca="1">IF(OR($D46&lt;&gt;"Serviço",AND(AUTOEVENTO="Manual",$M46=$A$15),$M46&gt;(ROW(PLE.lastrow)-ROW(PLE.firstrow))),0,
           IF(OFFSET(PLE!$G$15,$M46-$A$15,BE$13)="",10^12,OFFSET(PLE!$G$15,$M46-$A$15,BE$13)))</f>
        <v>1000000000000</v>
      </c>
      <c r="BF46" s="171" cm="1">
        <f t="array" aca="1" ref="BF46" ca="1">IF(OR($D46&lt;&gt;"Serviço",AND(AUTOEVENTO="Manual",$M46=$A$15),$M46&gt;(ROW(PLE.lastrow)-ROW(PLE.firstrow))),0,
           IF(OFFSET(PLE!$G$15,$M46-$A$15,BF$13)="",10^12,OFFSET(PLE!$G$15,$M46-$A$15,BF$13)))</f>
        <v>1000000000000</v>
      </c>
      <c r="BG46" s="171" cm="1">
        <f t="array" aca="1" ref="BG46" ca="1">IF(OR($D46&lt;&gt;"Serviço",AND(AUTOEVENTO="Manual",$M46=$A$15),$M46&gt;(ROW(PLE.lastrow)-ROW(PLE.firstrow))),0,
           IF(OFFSET(PLE!$G$15,$M46-$A$15,BG$13)="",10^12,OFFSET(PLE!$G$15,$M46-$A$15,BG$13)))</f>
        <v>1000000000000</v>
      </c>
    </row>
    <row r="47" spans="1:59" ht="25.5" x14ac:dyDescent="0.2">
      <c r="A47" s="7" t="str">
        <f ca="1">IFERROR(IF(AUTOEVENTO="Manual",IF(K47&lt;&gt;"",MIN(VALUE(LEFT(K47,FIND(".",K47)-1)),COUNTA(EVENTOS.Lista)),0),IF(OR($B47&gt;AUTOEVENTO,$B47="S",$B47=0),SUBSTITUTE(OFFSET($A47,-1,0),IF($D47="Serviço",".",""),""),$L47&amp;".")),0)</f>
        <v>23</v>
      </c>
      <c r="B47" s="7" t="str">
        <f ca="1">OFFSET(ORÇAMENTO!C$15,$L47,0)</f>
        <v>S</v>
      </c>
      <c r="C47" s="7" t="str">
        <f ca="1">OFFSET(ORÇAMENTO!L$15,$L47,0)</f>
        <v>F</v>
      </c>
      <c r="D47" s="115" t="str">
        <f ca="1">OFFSET(ORÇAMENTO!N$15,$L47,0)</f>
        <v>Serviço</v>
      </c>
      <c r="E47" s="116" t="str">
        <f ca="1">OFFSET(ORÇAMENTO!O$15,$L47,0)</f>
        <v>1.6.9.</v>
      </c>
      <c r="F47" s="162" t="str">
        <f ca="1">OFFSET(ORÇAMENTO!R$15,$L47,0)</f>
        <v>LANÇAMENTO DE VIGA PARA PONTE, EXCLUSIVE FORNECIMENTO
 , DESCARGA E TRANSPORTE - PROJETO PADRÃO SEINFRA-MG</v>
      </c>
      <c r="G47" s="163" t="str">
        <f ca="1">IF($D47&lt;&gt;"Serviço","",OFFSET(ORÇAMENTO!S$15,$L47,0))</f>
        <v>kg</v>
      </c>
      <c r="H47" s="121" cm="1">
        <f t="array" aca="1" ref="H47" ca="1">IF($D47&lt;&gt;"Serviço",0,IF(ACOMPANHAMENTO="BM",ROUND(OFFSET(ORÇAMENTO!AJ$15,$L47,0),15-13*ORÇAMENTO!$AF$7),IF(IFERROR(CÁLCULO.FrentesPreenchidas,0)=0,0,SUM(ROUND(OFFSET($P47,0,1,1,CÁLCULO.FrentesPreenchidas),15-13*ORÇAMENTO!$AF$7)))))</f>
        <v>8800</v>
      </c>
      <c r="I47" s="467"/>
      <c r="J47" s="650" t="str" cm="1">
        <f t="array" aca="1" ref="J47" ca="1">IF(OR(B47&lt;&gt;"S",CÁLCULO.FrentesPreenchidas=0),"",IF(AND(ACOMPANHAMENTO="PLE",AUTOEVENTO="Manual",OR(H47&gt;0,ORÇAMENTO!AC47="QUANT."),OR(K47="",M47=0,N47="")),"►E",IF(AND(ACOMPANHAMENTO="PLE",ORÇAMENTO!AC47="QUANT."),"►Q",IF(AND(ACOMPANHAMENTO="PLE",H47&lt;&gt;SUMPRODUCT(($Q$1:$AA$1=1)*ROUND(Q47:AA47,15))),"►S",IF(AND(COUNTIF($P$11:$AA$11,"▼")=0,H47&gt;0,I47=""),"◄M","")))))</f>
        <v>◄M</v>
      </c>
      <c r="K47" s="651"/>
      <c r="L47" s="164">
        <f ca="1">OFFSET(L47,-1,0)+1</f>
        <v>32</v>
      </c>
      <c r="M47" s="165">
        <f ca="1">IF($D47&lt;&gt;"Serviço","",
          IF(AUTOEVENTO="manual",$A47,
                IF(ISERROR(MATCH($A47,$A$15:OFFSET($A47,-1,0),0)),MAX($M$15:OFFSET(M47,-1,0))+1,
                      INDEX($M$15:OFFSET(M47,-1,0),MATCH($A47,$A$15:OFFSET($A47,-1,0),0)))))</f>
        <v>6</v>
      </c>
      <c r="N47" s="166" t="str">
        <f ca="1">IF($D47&lt;&gt;"Serviço","",
         IF(AUTOEVENTO="Manual",
                IF($A47=0,"&lt;-- defina o número do agrupador",
                       OFFSET(EVENTOS!$D$15,$A47-$A$15,0)),
                OFFSET($F$15,$A47,0)))</f>
        <v>SUPERESTRUTURA</v>
      </c>
      <c r="O47" s="167"/>
      <c r="Q47" s="167"/>
      <c r="R47" s="168"/>
      <c r="S47" s="168">
        <v>8800</v>
      </c>
      <c r="T47" s="168"/>
      <c r="U47" s="168"/>
      <c r="V47" s="168"/>
      <c r="W47" s="168"/>
      <c r="X47" s="168"/>
      <c r="Y47" s="168"/>
      <c r="Z47" s="169"/>
      <c r="AB47" s="452">
        <f ca="1">IF(AND($D47="Serviço",AB$12&lt;&gt;0,$H47&gt;0,OR(AUTOEVENTO&lt;&gt;"manual",$M47&lt;&gt;$A$15)),
        IF(Import.TipoArredondamento&lt;&gt;"TransfereGOV",
              ROUND(OFFSET($P47,0,AB$13),15-13*ORÇAMENTO!$AF$7)/$H47*OFFSET(ORÇAMENTO!$X$15,ROW(AB47)-ROW(AB$15),0),
              ROUND(ROUND(OFFSET($P47,0,AB$13),15-13*ORÇAMENTO!$AF$7)*OFFSET(ORÇAMENTO!$W$15,ROW(AB47)-ROW(AB$15),0),15-13*ORÇAMENTO!$AF$11)),
         0)</f>
        <v>0</v>
      </c>
      <c r="AC47" s="452">
        <f ca="1">IF(AND($D47="Serviço",AC$12&lt;&gt;0,$H47&gt;0,OR(AUTOEVENTO&lt;&gt;"manual",$M47&lt;&gt;$A$15)),
        IF(Import.TipoArredondamento&lt;&gt;"TransfereGOV",
              ROUND(OFFSET($P47,0,AC$13),15-13*ORÇAMENTO!$AF$7)/$H47*OFFSET(ORÇAMENTO!$X$15,ROW(AC47)-ROW(AC$15),0),
              ROUND(ROUND(OFFSET($P47,0,AC$13),15-13*ORÇAMENTO!$AF$7)*OFFSET(ORÇAMENTO!$W$15,ROW(AC47)-ROW(AC$15),0),15-13*ORÇAMENTO!$AF$11)),
         0)</f>
        <v>0</v>
      </c>
      <c r="AD47" s="452">
        <f ca="1">IF(AND($D47="Serviço",AD$12&lt;&gt;0,$H47&gt;0,OR(AUTOEVENTO&lt;&gt;"manual",$M47&lt;&gt;$A$15)),
        IF(Import.TipoArredondamento&lt;&gt;"TransfereGOV",
              ROUND(OFFSET($P47,0,AD$13),15-13*ORÇAMENTO!$AF$7)/$H47*OFFSET(ORÇAMENTO!$X$15,ROW(AD47)-ROW(AD$15),0),
              ROUND(ROUND(OFFSET($P47,0,AD$13),15-13*ORÇAMENTO!$AF$7)*OFFSET(ORÇAMENTO!$W$15,ROW(AD47)-ROW(AD$15),0),15-13*ORÇAMENTO!$AF$11)),
         0)</f>
        <v>14784</v>
      </c>
      <c r="AE47" s="452">
        <f ca="1">IF(AND($D47="Serviço",AE$12&lt;&gt;0,$H47&gt;0,OR(AUTOEVENTO&lt;&gt;"manual",$M47&lt;&gt;$A$15)),
        IF(Import.TipoArredondamento&lt;&gt;"TransfereGOV",
              ROUND(OFFSET($P47,0,AE$13),15-13*ORÇAMENTO!$AF$7)/$H47*OFFSET(ORÇAMENTO!$X$15,ROW(AE47)-ROW(AE$15),0),
              ROUND(ROUND(OFFSET($P47,0,AE$13),15-13*ORÇAMENTO!$AF$7)*OFFSET(ORÇAMENTO!$W$15,ROW(AE47)-ROW(AE$15),0),15-13*ORÇAMENTO!$AF$11)),
         0)</f>
        <v>0</v>
      </c>
      <c r="AF47" s="452">
        <f ca="1">IF(AND($D47="Serviço",AF$12&lt;&gt;0,$H47&gt;0,OR(AUTOEVENTO&lt;&gt;"manual",$M47&lt;&gt;$A$15)),
        IF(Import.TipoArredondamento&lt;&gt;"TransfereGOV",
              ROUND(OFFSET($P47,0,AF$13),15-13*ORÇAMENTO!$AF$7)/$H47*OFFSET(ORÇAMENTO!$X$15,ROW(AF47)-ROW(AF$15),0),
              ROUND(ROUND(OFFSET($P47,0,AF$13),15-13*ORÇAMENTO!$AF$7)*OFFSET(ORÇAMENTO!$W$15,ROW(AF47)-ROW(AF$15),0),15-13*ORÇAMENTO!$AF$11)),
         0)</f>
        <v>0</v>
      </c>
      <c r="AG47" s="452">
        <f ca="1">IF(AND($D47="Serviço",AG$12&lt;&gt;0,$H47&gt;0,OR(AUTOEVENTO&lt;&gt;"manual",$M47&lt;&gt;$A$15)),
        IF(Import.TipoArredondamento&lt;&gt;"TransfereGOV",
              ROUND(OFFSET($P47,0,AG$13),15-13*ORÇAMENTO!$AF$7)/$H47*OFFSET(ORÇAMENTO!$X$15,ROW(AG47)-ROW(AG$15),0),
              ROUND(ROUND(OFFSET($P47,0,AG$13),15-13*ORÇAMENTO!$AF$7)*OFFSET(ORÇAMENTO!$W$15,ROW(AG47)-ROW(AG$15),0),15-13*ORÇAMENTO!$AF$11)),
         0)</f>
        <v>0</v>
      </c>
      <c r="AH47" s="452">
        <f ca="1">IF(AND($D47="Serviço",AH$12&lt;&gt;0,$H47&gt;0,OR(AUTOEVENTO&lt;&gt;"manual",$M47&lt;&gt;$A$15)),
        IF(Import.TipoArredondamento&lt;&gt;"TransfereGOV",
              ROUND(OFFSET($P47,0,AH$13),15-13*ORÇAMENTO!$AF$7)/$H47*OFFSET(ORÇAMENTO!$X$15,ROW(AH47)-ROW(AH$15),0),
              ROUND(ROUND(OFFSET($P47,0,AH$13),15-13*ORÇAMENTO!$AF$7)*OFFSET(ORÇAMENTO!$W$15,ROW(AH47)-ROW(AH$15),0),15-13*ORÇAMENTO!$AF$11)),
         0)</f>
        <v>0</v>
      </c>
      <c r="AI47" s="452">
        <f ca="1">IF(AND($D47="Serviço",AI$12&lt;&gt;0,$H47&gt;0,OR(AUTOEVENTO&lt;&gt;"manual",$M47&lt;&gt;$A$15)),
        IF(Import.TipoArredondamento&lt;&gt;"TransfereGOV",
              ROUND(OFFSET($P47,0,AI$13),15-13*ORÇAMENTO!$AF$7)/$H47*OFFSET(ORÇAMENTO!$X$15,ROW(AI47)-ROW(AI$15),0),
              ROUND(ROUND(OFFSET($P47,0,AI$13),15-13*ORÇAMENTO!$AF$7)*OFFSET(ORÇAMENTO!$W$15,ROW(AI47)-ROW(AI$15),0),15-13*ORÇAMENTO!$AF$11)),
         0)</f>
        <v>0</v>
      </c>
      <c r="AJ47" s="452">
        <f ca="1">IF(AND($D47="Serviço",AJ$12&lt;&gt;0,$H47&gt;0,OR(AUTOEVENTO&lt;&gt;"manual",$M47&lt;&gt;$A$15)),
        IF(Import.TipoArredondamento&lt;&gt;"TransfereGOV",
              ROUND(OFFSET($P47,0,AJ$13),15-13*ORÇAMENTO!$AF$7)/$H47*OFFSET(ORÇAMENTO!$X$15,ROW(AJ47)-ROW(AJ$15),0),
              ROUND(ROUND(OFFSET($P47,0,AJ$13),15-13*ORÇAMENTO!$AF$7)*OFFSET(ORÇAMENTO!$W$15,ROW(AJ47)-ROW(AJ$15),0),15-13*ORÇAMENTO!$AF$11)),
         0)</f>
        <v>0</v>
      </c>
      <c r="AK47" s="452">
        <f ca="1">IF(AND($D47="Serviço",AK$12&lt;&gt;0,$H47&gt;0,OR(AUTOEVENTO&lt;&gt;"manual",$M47&lt;&gt;$A$15)),
        IF(Import.TipoArredondamento&lt;&gt;"TransfereGOV",
              ROUND(OFFSET($P47,0,AK$13),15-13*ORÇAMENTO!$AF$7)/$H47*OFFSET(ORÇAMENTO!$X$15,ROW(AK47)-ROW(AK$15),0),
              ROUND(ROUND(OFFSET($P47,0,AK$13),15-13*ORÇAMENTO!$AF$7)*OFFSET(ORÇAMENTO!$W$15,ROW(AK47)-ROW(AK$15),0),15-13*ORÇAMENTO!$AF$11)),
         0)</f>
        <v>0</v>
      </c>
      <c r="AM47" s="170">
        <f ca="1">IF(OR($D47&lt;&gt;"Serviço",AND(AUTOEVENTO="Manual",$M47=$A$15)),0,
         IF(OFFSET(CRONOPLE!$F$15,$M47-$A$15,AM$13)=0,10^12,OFFSET(CRONOPLE!$F$15,$M47-$A$15,AM$13)))</f>
        <v>1000000000000</v>
      </c>
      <c r="AN47" s="170">
        <f ca="1">IF(OR($D47&lt;&gt;"Serviço",AND(AUTOEVENTO="Manual",$M47=$A$15)),0,
         IF(OFFSET(CRONOPLE!$F$15,$M47-$A$15,AN$13)=0,10^12,OFFSET(CRONOPLE!$F$15,$M47-$A$15,AN$13)))</f>
        <v>2</v>
      </c>
      <c r="AO47" s="170">
        <f ca="1">IF(OR($D47&lt;&gt;"Serviço",AND(AUTOEVENTO="Manual",$M47=$A$15)),0,
         IF(OFFSET(CRONOPLE!$F$15,$M47-$A$15,AO$13)=0,10^12,OFFSET(CRONOPLE!$F$15,$M47-$A$15,AO$13)))</f>
        <v>3</v>
      </c>
      <c r="AP47" s="170">
        <f ca="1">IF(OR($D47&lt;&gt;"Serviço",AND(AUTOEVENTO="Manual",$M47=$A$15)),0,
         IF(OFFSET(CRONOPLE!$F$15,$M47-$A$15,AP$13)=0,10^12,OFFSET(CRONOPLE!$F$15,$M47-$A$15,AP$13)))</f>
        <v>4</v>
      </c>
      <c r="AQ47" s="170">
        <f ca="1">IF(OR($D47&lt;&gt;"Serviço",AND(AUTOEVENTO="Manual",$M47=$A$15)),0,
         IF(OFFSET(CRONOPLE!$F$15,$M47-$A$15,AQ$13)=0,10^12,OFFSET(CRONOPLE!$F$15,$M47-$A$15,AQ$13)))</f>
        <v>1000000000000</v>
      </c>
      <c r="AR47" s="170">
        <f ca="1">IF(OR($D47&lt;&gt;"Serviço",AND(AUTOEVENTO="Manual",$M47=$A$15)),0,
         IF(OFFSET(CRONOPLE!$F$15,$M47-$A$15,AR$13)=0,10^12,OFFSET(CRONOPLE!$F$15,$M47-$A$15,AR$13)))</f>
        <v>1000000000000</v>
      </c>
      <c r="AS47" s="170">
        <f ca="1">IF(OR($D47&lt;&gt;"Serviço",AND(AUTOEVENTO="Manual",$M47=$A$15)),0,
         IF(OFFSET(CRONOPLE!$F$15,$M47-$A$15,AS$13)=0,10^12,OFFSET(CRONOPLE!$F$15,$M47-$A$15,AS$13)))</f>
        <v>1000000000000</v>
      </c>
      <c r="AT47" s="170">
        <f ca="1">IF(OR($D47&lt;&gt;"Serviço",AND(AUTOEVENTO="Manual",$M47=$A$15)),0,
         IF(OFFSET(CRONOPLE!$F$15,$M47-$A$15,AT$13)=0,10^12,OFFSET(CRONOPLE!$F$15,$M47-$A$15,AT$13)))</f>
        <v>1000000000000</v>
      </c>
      <c r="AU47" s="170">
        <f ca="1">IF(OR($D47&lt;&gt;"Serviço",AND(AUTOEVENTO="Manual",$M47=$A$15)),0,
         IF(OFFSET(CRONOPLE!$F$15,$M47-$A$15,AU$13)=0,10^12,OFFSET(CRONOPLE!$F$15,$M47-$A$15,AU$13)))</f>
        <v>1000000000000</v>
      </c>
      <c r="AV47" s="170">
        <f ca="1">IF(OR($D47&lt;&gt;"Serviço",AND(AUTOEVENTO="Manual",$M47=$A$15)),0,
         IF(OFFSET(CRONOPLE!$F$15,$M47-$A$15,AV$13)=0,10^12,OFFSET(CRONOPLE!$F$15,$M47-$A$15,AV$13)))</f>
        <v>1000000000000</v>
      </c>
      <c r="AX47" s="171" cm="1">
        <f t="array" aca="1" ref="AX47" ca="1">IF(OR($D47&lt;&gt;"Serviço",AND(AUTOEVENTO="Manual",$M47=$A$15),$M47&gt;(ROW(PLE.lastrow)-ROW(PLE.firstrow))),0,
           IF(OFFSET(PLE!$G$15,$M47-$A$15,AX$13)="",10^12,OFFSET(PLE!$G$15,$M47-$A$15,AX$13)))</f>
        <v>1000000000000</v>
      </c>
      <c r="AY47" s="171" cm="1">
        <f t="array" aca="1" ref="AY47" ca="1">IF(OR($D47&lt;&gt;"Serviço",AND(AUTOEVENTO="Manual",$M47=$A$15),$M47&gt;(ROW(PLE.lastrow)-ROW(PLE.firstrow))),0,
           IF(OFFSET(PLE!$G$15,$M47-$A$15,AY$13)="",10^12,OFFSET(PLE!$G$15,$M47-$A$15,AY$13)))</f>
        <v>1000000000000</v>
      </c>
      <c r="AZ47" s="171" cm="1">
        <f t="array" aca="1" ref="AZ47" ca="1">IF(OR($D47&lt;&gt;"Serviço",AND(AUTOEVENTO="Manual",$M47=$A$15),$M47&gt;(ROW(PLE.lastrow)-ROW(PLE.firstrow))),0,
           IF(OFFSET(PLE!$G$15,$M47-$A$15,AZ$13)="",10^12,OFFSET(PLE!$G$15,$M47-$A$15,AZ$13)))</f>
        <v>1000000000000</v>
      </c>
      <c r="BA47" s="171" cm="1">
        <f t="array" aca="1" ref="BA47" ca="1">IF(OR($D47&lt;&gt;"Serviço",AND(AUTOEVENTO="Manual",$M47=$A$15),$M47&gt;(ROW(PLE.lastrow)-ROW(PLE.firstrow))),0,
           IF(OFFSET(PLE!$G$15,$M47-$A$15,BA$13)="",10^12,OFFSET(PLE!$G$15,$M47-$A$15,BA$13)))</f>
        <v>1000000000000</v>
      </c>
      <c r="BB47" s="171" cm="1">
        <f t="array" aca="1" ref="BB47" ca="1">IF(OR($D47&lt;&gt;"Serviço",AND(AUTOEVENTO="Manual",$M47=$A$15),$M47&gt;(ROW(PLE.lastrow)-ROW(PLE.firstrow))),0,
           IF(OFFSET(PLE!$G$15,$M47-$A$15,BB$13)="",10^12,OFFSET(PLE!$G$15,$M47-$A$15,BB$13)))</f>
        <v>1000000000000</v>
      </c>
      <c r="BC47" s="171" cm="1">
        <f t="array" aca="1" ref="BC47" ca="1">IF(OR($D47&lt;&gt;"Serviço",AND(AUTOEVENTO="Manual",$M47=$A$15),$M47&gt;(ROW(PLE.lastrow)-ROW(PLE.firstrow))),0,
           IF(OFFSET(PLE!$G$15,$M47-$A$15,BC$13)="",10^12,OFFSET(PLE!$G$15,$M47-$A$15,BC$13)))</f>
        <v>1000000000000</v>
      </c>
      <c r="BD47" s="171" cm="1">
        <f t="array" aca="1" ref="BD47" ca="1">IF(OR($D47&lt;&gt;"Serviço",AND(AUTOEVENTO="Manual",$M47=$A$15),$M47&gt;(ROW(PLE.lastrow)-ROW(PLE.firstrow))),0,
           IF(OFFSET(PLE!$G$15,$M47-$A$15,BD$13)="",10^12,OFFSET(PLE!$G$15,$M47-$A$15,BD$13)))</f>
        <v>1000000000000</v>
      </c>
      <c r="BE47" s="171" cm="1">
        <f t="array" aca="1" ref="BE47" ca="1">IF(OR($D47&lt;&gt;"Serviço",AND(AUTOEVENTO="Manual",$M47=$A$15),$M47&gt;(ROW(PLE.lastrow)-ROW(PLE.firstrow))),0,
           IF(OFFSET(PLE!$G$15,$M47-$A$15,BE$13)="",10^12,OFFSET(PLE!$G$15,$M47-$A$15,BE$13)))</f>
        <v>1000000000000</v>
      </c>
      <c r="BF47" s="171" cm="1">
        <f t="array" aca="1" ref="BF47" ca="1">IF(OR($D47&lt;&gt;"Serviço",AND(AUTOEVENTO="Manual",$M47=$A$15),$M47&gt;(ROW(PLE.lastrow)-ROW(PLE.firstrow))),0,
           IF(OFFSET(PLE!$G$15,$M47-$A$15,BF$13)="",10^12,OFFSET(PLE!$G$15,$M47-$A$15,BF$13)))</f>
        <v>1000000000000</v>
      </c>
      <c r="BG47" s="171" cm="1">
        <f t="array" aca="1" ref="BG47" ca="1">IF(OR($D47&lt;&gt;"Serviço",AND(AUTOEVENTO="Manual",$M47=$A$15),$M47&gt;(ROW(PLE.lastrow)-ROW(PLE.firstrow))),0,
           IF(OFFSET(PLE!$G$15,$M47-$A$15,BG$13)="",10^12,OFFSET(PLE!$G$15,$M47-$A$15,BG$13)))</f>
        <v>1000000000000</v>
      </c>
    </row>
    <row r="48" spans="1:59" ht="12.75" x14ac:dyDescent="0.2">
      <c r="A48" s="7" t="str">
        <f t="shared" ca="1" si="8"/>
        <v>33.</v>
      </c>
      <c r="B48" s="7">
        <f ca="1">OFFSET(ORÇAMENTO!C$15,$L48,0)</f>
        <v>2</v>
      </c>
      <c r="C48" s="7" t="str">
        <f ca="1">OFFSET(ORÇAMENTO!L$15,$L48,0)</f>
        <v>F</v>
      </c>
      <c r="D48" s="115" t="str">
        <f ca="1">OFFSET(ORÇAMENTO!N$15,$L48,0)</f>
        <v>Nível 2</v>
      </c>
      <c r="E48" s="116" t="str">
        <f ca="1">OFFSET(ORÇAMENTO!O$15,$L48,0)</f>
        <v>1.7.</v>
      </c>
      <c r="F48" s="162" t="str">
        <f ca="1">OFFSET(ORÇAMENTO!R$15,$L48,0)</f>
        <v>CALÇAMENTO</v>
      </c>
      <c r="G48" s="163" t="str">
        <f ca="1">IF($D48&lt;&gt;"Serviço","",OFFSET(ORÇAMENTO!S$15,$L48,0))</f>
        <v/>
      </c>
      <c r="H48" s="121" cm="1">
        <f t="array" aca="1" ref="H48" ca="1">IF($D48&lt;&gt;"Serviço",0,IF(ACOMPANHAMENTO="BM",ROUND(OFFSET(ORÇAMENTO!AJ$15,$L48,0),15-13*ORÇAMENTO!$AF$7),IF(IFERROR(CÁLCULO.FrentesPreenchidas,0)=0,0,SUM(ROUND(OFFSET($P48,0,1,1,CÁLCULO.FrentesPreenchidas),15-13*ORÇAMENTO!$AF$7)))))</f>
        <v>0</v>
      </c>
      <c r="I48" s="467"/>
      <c r="J48" s="650" t="str" cm="1">
        <f t="array" aca="1" ref="J48" ca="1">IF(OR(B48&lt;&gt;"S",CÁLCULO.FrentesPreenchidas=0),"",IF(AND(ACOMPANHAMENTO="PLE",AUTOEVENTO="Manual",OR(H48&gt;0,ORÇAMENTO!AC48="QUANT."),OR(K48="",M48=0,N48="")),"►E",IF(AND(ACOMPANHAMENTO="PLE",ORÇAMENTO!AC48="QUANT."),"►Q",IF(AND(ACOMPANHAMENTO="PLE",H48&lt;&gt;SUMPRODUCT(($Q$1:$AA$1=1)*ROUND(Q48:AA48,15))),"►S",IF(AND(COUNTIF($P$11:$AA$11,"▼")=0,H48&gt;0,I48=""),"◄M","")))))</f>
        <v/>
      </c>
      <c r="K48" s="651"/>
      <c r="L48" s="164">
        <f t="shared" ca="1" si="9"/>
        <v>33</v>
      </c>
      <c r="M48" s="165" t="str">
        <f ca="1">IF($D48&lt;&gt;"Serviço","",
          IF(AUTOEVENTO="manual",$A48,
                IF(ISERROR(MATCH($A48,$A$15:OFFSET($A48,-1,0),0)),MAX($M$15:OFFSET(M48,-1,0))+1,
                      INDEX($M$15:OFFSET(M48,-1,0),MATCH($A48,$A$15:OFFSET($A48,-1,0),0)))))</f>
        <v/>
      </c>
      <c r="N48" s="166" t="str">
        <f ca="1">IF($D48&lt;&gt;"Serviço","",
         IF(AUTOEVENTO="Manual",
                IF($A48=0,"&lt;-- defina o número do agrupador",
                       OFFSET(EVENTOS!$D$15,$A48-$A$15,0)),
                OFFSET($F$15,$A48,0)))</f>
        <v/>
      </c>
      <c r="O48" s="167"/>
      <c r="Q48" s="167"/>
      <c r="R48" s="168"/>
      <c r="S48" s="168"/>
      <c r="T48" s="168"/>
      <c r="U48" s="168"/>
      <c r="V48" s="168"/>
      <c r="W48" s="168"/>
      <c r="X48" s="168"/>
      <c r="Y48" s="168"/>
      <c r="Z48" s="169"/>
      <c r="AB48" s="452">
        <f ca="1">IF(AND($D48="Serviço",AB$12&lt;&gt;0,$H48&gt;0,OR(AUTOEVENTO&lt;&gt;"manual",$M48&lt;&gt;$A$15)),
        IF(Import.TipoArredondamento&lt;&gt;"TransfereGOV",
              ROUND(OFFSET($P48,0,AB$13),15-13*ORÇAMENTO!$AF$7)/$H48*OFFSET(ORÇAMENTO!$X$15,ROW(AB48)-ROW(AB$15),0),
              ROUND(ROUND(OFFSET($P48,0,AB$13),15-13*ORÇAMENTO!$AF$7)*OFFSET(ORÇAMENTO!$W$15,ROW(AB48)-ROW(AB$15),0),15-13*ORÇAMENTO!$AF$11)),
         0)</f>
        <v>0</v>
      </c>
      <c r="AC48" s="452">
        <f ca="1">IF(AND($D48="Serviço",AC$12&lt;&gt;0,$H48&gt;0,OR(AUTOEVENTO&lt;&gt;"manual",$M48&lt;&gt;$A$15)),
        IF(Import.TipoArredondamento&lt;&gt;"TransfereGOV",
              ROUND(OFFSET($P48,0,AC$13),15-13*ORÇAMENTO!$AF$7)/$H48*OFFSET(ORÇAMENTO!$X$15,ROW(AC48)-ROW(AC$15),0),
              ROUND(ROUND(OFFSET($P48,0,AC$13),15-13*ORÇAMENTO!$AF$7)*OFFSET(ORÇAMENTO!$W$15,ROW(AC48)-ROW(AC$15),0),15-13*ORÇAMENTO!$AF$11)),
         0)</f>
        <v>0</v>
      </c>
      <c r="AD48" s="452">
        <f ca="1">IF(AND($D48="Serviço",AD$12&lt;&gt;0,$H48&gt;0,OR(AUTOEVENTO&lt;&gt;"manual",$M48&lt;&gt;$A$15)),
        IF(Import.TipoArredondamento&lt;&gt;"TransfereGOV",
              ROUND(OFFSET($P48,0,AD$13),15-13*ORÇAMENTO!$AF$7)/$H48*OFFSET(ORÇAMENTO!$X$15,ROW(AD48)-ROW(AD$15),0),
              ROUND(ROUND(OFFSET($P48,0,AD$13),15-13*ORÇAMENTO!$AF$7)*OFFSET(ORÇAMENTO!$W$15,ROW(AD48)-ROW(AD$15),0),15-13*ORÇAMENTO!$AF$11)),
         0)</f>
        <v>0</v>
      </c>
      <c r="AE48" s="452">
        <f ca="1">IF(AND($D48="Serviço",AE$12&lt;&gt;0,$H48&gt;0,OR(AUTOEVENTO&lt;&gt;"manual",$M48&lt;&gt;$A$15)),
        IF(Import.TipoArredondamento&lt;&gt;"TransfereGOV",
              ROUND(OFFSET($P48,0,AE$13),15-13*ORÇAMENTO!$AF$7)/$H48*OFFSET(ORÇAMENTO!$X$15,ROW(AE48)-ROW(AE$15),0),
              ROUND(ROUND(OFFSET($P48,0,AE$13),15-13*ORÇAMENTO!$AF$7)*OFFSET(ORÇAMENTO!$W$15,ROW(AE48)-ROW(AE$15),0),15-13*ORÇAMENTO!$AF$11)),
         0)</f>
        <v>0</v>
      </c>
      <c r="AF48" s="452">
        <f ca="1">IF(AND($D48="Serviço",AF$12&lt;&gt;0,$H48&gt;0,OR(AUTOEVENTO&lt;&gt;"manual",$M48&lt;&gt;$A$15)),
        IF(Import.TipoArredondamento&lt;&gt;"TransfereGOV",
              ROUND(OFFSET($P48,0,AF$13),15-13*ORÇAMENTO!$AF$7)/$H48*OFFSET(ORÇAMENTO!$X$15,ROW(AF48)-ROW(AF$15),0),
              ROUND(ROUND(OFFSET($P48,0,AF$13),15-13*ORÇAMENTO!$AF$7)*OFFSET(ORÇAMENTO!$W$15,ROW(AF48)-ROW(AF$15),0),15-13*ORÇAMENTO!$AF$11)),
         0)</f>
        <v>0</v>
      </c>
      <c r="AG48" s="452">
        <f ca="1">IF(AND($D48="Serviço",AG$12&lt;&gt;0,$H48&gt;0,OR(AUTOEVENTO&lt;&gt;"manual",$M48&lt;&gt;$A$15)),
        IF(Import.TipoArredondamento&lt;&gt;"TransfereGOV",
              ROUND(OFFSET($P48,0,AG$13),15-13*ORÇAMENTO!$AF$7)/$H48*OFFSET(ORÇAMENTO!$X$15,ROW(AG48)-ROW(AG$15),0),
              ROUND(ROUND(OFFSET($P48,0,AG$13),15-13*ORÇAMENTO!$AF$7)*OFFSET(ORÇAMENTO!$W$15,ROW(AG48)-ROW(AG$15),0),15-13*ORÇAMENTO!$AF$11)),
         0)</f>
        <v>0</v>
      </c>
      <c r="AH48" s="452">
        <f ca="1">IF(AND($D48="Serviço",AH$12&lt;&gt;0,$H48&gt;0,OR(AUTOEVENTO&lt;&gt;"manual",$M48&lt;&gt;$A$15)),
        IF(Import.TipoArredondamento&lt;&gt;"TransfereGOV",
              ROUND(OFFSET($P48,0,AH$13),15-13*ORÇAMENTO!$AF$7)/$H48*OFFSET(ORÇAMENTO!$X$15,ROW(AH48)-ROW(AH$15),0),
              ROUND(ROUND(OFFSET($P48,0,AH$13),15-13*ORÇAMENTO!$AF$7)*OFFSET(ORÇAMENTO!$W$15,ROW(AH48)-ROW(AH$15),0),15-13*ORÇAMENTO!$AF$11)),
         0)</f>
        <v>0</v>
      </c>
      <c r="AI48" s="452">
        <f ca="1">IF(AND($D48="Serviço",AI$12&lt;&gt;0,$H48&gt;0,OR(AUTOEVENTO&lt;&gt;"manual",$M48&lt;&gt;$A$15)),
        IF(Import.TipoArredondamento&lt;&gt;"TransfereGOV",
              ROUND(OFFSET($P48,0,AI$13),15-13*ORÇAMENTO!$AF$7)/$H48*OFFSET(ORÇAMENTO!$X$15,ROW(AI48)-ROW(AI$15),0),
              ROUND(ROUND(OFFSET($P48,0,AI$13),15-13*ORÇAMENTO!$AF$7)*OFFSET(ORÇAMENTO!$W$15,ROW(AI48)-ROW(AI$15),0),15-13*ORÇAMENTO!$AF$11)),
         0)</f>
        <v>0</v>
      </c>
      <c r="AJ48" s="452">
        <f ca="1">IF(AND($D48="Serviço",AJ$12&lt;&gt;0,$H48&gt;0,OR(AUTOEVENTO&lt;&gt;"manual",$M48&lt;&gt;$A$15)),
        IF(Import.TipoArredondamento&lt;&gt;"TransfereGOV",
              ROUND(OFFSET($P48,0,AJ$13),15-13*ORÇAMENTO!$AF$7)/$H48*OFFSET(ORÇAMENTO!$X$15,ROW(AJ48)-ROW(AJ$15),0),
              ROUND(ROUND(OFFSET($P48,0,AJ$13),15-13*ORÇAMENTO!$AF$7)*OFFSET(ORÇAMENTO!$W$15,ROW(AJ48)-ROW(AJ$15),0),15-13*ORÇAMENTO!$AF$11)),
         0)</f>
        <v>0</v>
      </c>
      <c r="AK48" s="452">
        <f ca="1">IF(AND($D48="Serviço",AK$12&lt;&gt;0,$H48&gt;0,OR(AUTOEVENTO&lt;&gt;"manual",$M48&lt;&gt;$A$15)),
        IF(Import.TipoArredondamento&lt;&gt;"TransfereGOV",
              ROUND(OFFSET($P48,0,AK$13),15-13*ORÇAMENTO!$AF$7)/$H48*OFFSET(ORÇAMENTO!$X$15,ROW(AK48)-ROW(AK$15),0),
              ROUND(ROUND(OFFSET($P48,0,AK$13),15-13*ORÇAMENTO!$AF$7)*OFFSET(ORÇAMENTO!$W$15,ROW(AK48)-ROW(AK$15),0),15-13*ORÇAMENTO!$AF$11)),
         0)</f>
        <v>0</v>
      </c>
      <c r="AM48" s="170">
        <f ca="1">IF(OR($D48&lt;&gt;"Serviço",AND(AUTOEVENTO="Manual",$M48=$A$15)),0,
         IF(OFFSET(CRONOPLE!$F$15,$M48-$A$15,AM$13)=0,10^12,OFFSET(CRONOPLE!$F$15,$M48-$A$15,AM$13)))</f>
        <v>0</v>
      </c>
      <c r="AN48" s="170">
        <f ca="1">IF(OR($D48&lt;&gt;"Serviço",AND(AUTOEVENTO="Manual",$M48=$A$15)),0,
         IF(OFFSET(CRONOPLE!$F$15,$M48-$A$15,AN$13)=0,10^12,OFFSET(CRONOPLE!$F$15,$M48-$A$15,AN$13)))</f>
        <v>0</v>
      </c>
      <c r="AO48" s="170">
        <f ca="1">IF(OR($D48&lt;&gt;"Serviço",AND(AUTOEVENTO="Manual",$M48=$A$15)),0,
         IF(OFFSET(CRONOPLE!$F$15,$M48-$A$15,AO$13)=0,10^12,OFFSET(CRONOPLE!$F$15,$M48-$A$15,AO$13)))</f>
        <v>0</v>
      </c>
      <c r="AP48" s="170">
        <f ca="1">IF(OR($D48&lt;&gt;"Serviço",AND(AUTOEVENTO="Manual",$M48=$A$15)),0,
         IF(OFFSET(CRONOPLE!$F$15,$M48-$A$15,AP$13)=0,10^12,OFFSET(CRONOPLE!$F$15,$M48-$A$15,AP$13)))</f>
        <v>0</v>
      </c>
      <c r="AQ48" s="170">
        <f ca="1">IF(OR($D48&lt;&gt;"Serviço",AND(AUTOEVENTO="Manual",$M48=$A$15)),0,
         IF(OFFSET(CRONOPLE!$F$15,$M48-$A$15,AQ$13)=0,10^12,OFFSET(CRONOPLE!$F$15,$M48-$A$15,AQ$13)))</f>
        <v>0</v>
      </c>
      <c r="AR48" s="170">
        <f ca="1">IF(OR($D48&lt;&gt;"Serviço",AND(AUTOEVENTO="Manual",$M48=$A$15)),0,
         IF(OFFSET(CRONOPLE!$F$15,$M48-$A$15,AR$13)=0,10^12,OFFSET(CRONOPLE!$F$15,$M48-$A$15,AR$13)))</f>
        <v>0</v>
      </c>
      <c r="AS48" s="170">
        <f ca="1">IF(OR($D48&lt;&gt;"Serviço",AND(AUTOEVENTO="Manual",$M48=$A$15)),0,
         IF(OFFSET(CRONOPLE!$F$15,$M48-$A$15,AS$13)=0,10^12,OFFSET(CRONOPLE!$F$15,$M48-$A$15,AS$13)))</f>
        <v>0</v>
      </c>
      <c r="AT48" s="170">
        <f ca="1">IF(OR($D48&lt;&gt;"Serviço",AND(AUTOEVENTO="Manual",$M48=$A$15)),0,
         IF(OFFSET(CRONOPLE!$F$15,$M48-$A$15,AT$13)=0,10^12,OFFSET(CRONOPLE!$F$15,$M48-$A$15,AT$13)))</f>
        <v>0</v>
      </c>
      <c r="AU48" s="170">
        <f ca="1">IF(OR($D48&lt;&gt;"Serviço",AND(AUTOEVENTO="Manual",$M48=$A$15)),0,
         IF(OFFSET(CRONOPLE!$F$15,$M48-$A$15,AU$13)=0,10^12,OFFSET(CRONOPLE!$F$15,$M48-$A$15,AU$13)))</f>
        <v>0</v>
      </c>
      <c r="AV48" s="170">
        <f ca="1">IF(OR($D48&lt;&gt;"Serviço",AND(AUTOEVENTO="Manual",$M48=$A$15)),0,
         IF(OFFSET(CRONOPLE!$F$15,$M48-$A$15,AV$13)=0,10^12,OFFSET(CRONOPLE!$F$15,$M48-$A$15,AV$13)))</f>
        <v>0</v>
      </c>
      <c r="AX48" s="171" cm="1">
        <f t="array" aca="1" ref="AX48" ca="1">IF(OR($D48&lt;&gt;"Serviço",AND(AUTOEVENTO="Manual",$M48=$A$15),$M48&gt;(ROW(PLE.lastrow)-ROW(PLE.firstrow))),0,
           IF(OFFSET(PLE!$G$15,$M48-$A$15,AX$13)="",10^12,OFFSET(PLE!$G$15,$M48-$A$15,AX$13)))</f>
        <v>0</v>
      </c>
      <c r="AY48" s="171" cm="1">
        <f t="array" aca="1" ref="AY48" ca="1">IF(OR($D48&lt;&gt;"Serviço",AND(AUTOEVENTO="Manual",$M48=$A$15),$M48&gt;(ROW(PLE.lastrow)-ROW(PLE.firstrow))),0,
           IF(OFFSET(PLE!$G$15,$M48-$A$15,AY$13)="",10^12,OFFSET(PLE!$G$15,$M48-$A$15,AY$13)))</f>
        <v>0</v>
      </c>
      <c r="AZ48" s="171" cm="1">
        <f t="array" aca="1" ref="AZ48" ca="1">IF(OR($D48&lt;&gt;"Serviço",AND(AUTOEVENTO="Manual",$M48=$A$15),$M48&gt;(ROW(PLE.lastrow)-ROW(PLE.firstrow))),0,
           IF(OFFSET(PLE!$G$15,$M48-$A$15,AZ$13)="",10^12,OFFSET(PLE!$G$15,$M48-$A$15,AZ$13)))</f>
        <v>0</v>
      </c>
      <c r="BA48" s="171" cm="1">
        <f t="array" aca="1" ref="BA48" ca="1">IF(OR($D48&lt;&gt;"Serviço",AND(AUTOEVENTO="Manual",$M48=$A$15),$M48&gt;(ROW(PLE.lastrow)-ROW(PLE.firstrow))),0,
           IF(OFFSET(PLE!$G$15,$M48-$A$15,BA$13)="",10^12,OFFSET(PLE!$G$15,$M48-$A$15,BA$13)))</f>
        <v>0</v>
      </c>
      <c r="BB48" s="171" cm="1">
        <f t="array" aca="1" ref="BB48" ca="1">IF(OR($D48&lt;&gt;"Serviço",AND(AUTOEVENTO="Manual",$M48=$A$15),$M48&gt;(ROW(PLE.lastrow)-ROW(PLE.firstrow))),0,
           IF(OFFSET(PLE!$G$15,$M48-$A$15,BB$13)="",10^12,OFFSET(PLE!$G$15,$M48-$A$15,BB$13)))</f>
        <v>0</v>
      </c>
      <c r="BC48" s="171" cm="1">
        <f t="array" aca="1" ref="BC48" ca="1">IF(OR($D48&lt;&gt;"Serviço",AND(AUTOEVENTO="Manual",$M48=$A$15),$M48&gt;(ROW(PLE.lastrow)-ROW(PLE.firstrow))),0,
           IF(OFFSET(PLE!$G$15,$M48-$A$15,BC$13)="",10^12,OFFSET(PLE!$G$15,$M48-$A$15,BC$13)))</f>
        <v>0</v>
      </c>
      <c r="BD48" s="171" cm="1">
        <f t="array" aca="1" ref="BD48" ca="1">IF(OR($D48&lt;&gt;"Serviço",AND(AUTOEVENTO="Manual",$M48=$A$15),$M48&gt;(ROW(PLE.lastrow)-ROW(PLE.firstrow))),0,
           IF(OFFSET(PLE!$G$15,$M48-$A$15,BD$13)="",10^12,OFFSET(PLE!$G$15,$M48-$A$15,BD$13)))</f>
        <v>0</v>
      </c>
      <c r="BE48" s="171" cm="1">
        <f t="array" aca="1" ref="BE48" ca="1">IF(OR($D48&lt;&gt;"Serviço",AND(AUTOEVENTO="Manual",$M48=$A$15),$M48&gt;(ROW(PLE.lastrow)-ROW(PLE.firstrow))),0,
           IF(OFFSET(PLE!$G$15,$M48-$A$15,BE$13)="",10^12,OFFSET(PLE!$G$15,$M48-$A$15,BE$13)))</f>
        <v>0</v>
      </c>
      <c r="BF48" s="171" cm="1">
        <f t="array" aca="1" ref="BF48" ca="1">IF(OR($D48&lt;&gt;"Serviço",AND(AUTOEVENTO="Manual",$M48=$A$15),$M48&gt;(ROW(PLE.lastrow)-ROW(PLE.firstrow))),0,
           IF(OFFSET(PLE!$G$15,$M48-$A$15,BF$13)="",10^12,OFFSET(PLE!$G$15,$M48-$A$15,BF$13)))</f>
        <v>0</v>
      </c>
      <c r="BG48" s="171" cm="1">
        <f t="array" aca="1" ref="BG48" ca="1">IF(OR($D48&lt;&gt;"Serviço",AND(AUTOEVENTO="Manual",$M48=$A$15),$M48&gt;(ROW(PLE.lastrow)-ROW(PLE.firstrow))),0,
           IF(OFFSET(PLE!$G$15,$M48-$A$15,BG$13)="",10^12,OFFSET(PLE!$G$15,$M48-$A$15,BG$13)))</f>
        <v>0</v>
      </c>
    </row>
    <row r="49" spans="1:59" ht="38.25" x14ac:dyDescent="0.2">
      <c r="A49" s="7" t="str">
        <f t="shared" ca="1" si="8"/>
        <v>33</v>
      </c>
      <c r="B49" s="7" t="str">
        <f ca="1">OFFSET(ORÇAMENTO!C$15,$L49,0)</f>
        <v>S</v>
      </c>
      <c r="C49" s="7" t="str">
        <f ca="1">OFFSET(ORÇAMENTO!L$15,$L49,0)</f>
        <v>F</v>
      </c>
      <c r="D49" s="115" t="str">
        <f ca="1">OFFSET(ORÇAMENTO!N$15,$L49,0)</f>
        <v>Serviço</v>
      </c>
      <c r="E49" s="116" t="str">
        <f ca="1">OFFSET(ORÇAMENTO!O$15,$L49,0)</f>
        <v>1.7.1.</v>
      </c>
      <c r="F49" s="162" t="str">
        <f ca="1">OFFSET(ORÇAMENTO!R$15,$L49,0)</f>
        <v>REGULARIZAÇÃO E COMPACTAÇÃO DE SUBLEITO DE SOLO PREDOMINANTEMENTE ARGILOSO, PARA OBRAS DE CONSTRUÇÃO DE PAVIMENTOS. AF_09/2024</v>
      </c>
      <c r="G49" s="163" t="str">
        <f ca="1">IF($D49&lt;&gt;"Serviço","",OFFSET(ORÇAMENTO!S$15,$L49,0))</f>
        <v>M2</v>
      </c>
      <c r="H49" s="121" cm="1">
        <f t="array" aca="1" ref="H49" ca="1">IF($D49&lt;&gt;"Serviço",0,IF(ACOMPANHAMENTO="BM",ROUND(OFFSET(ORÇAMENTO!AJ$15,$L49,0),15-13*ORÇAMENTO!$AF$7),IF(IFERROR(CÁLCULO.FrentesPreenchidas,0)=0,0,SUM(ROUND(OFFSET($P49,0,1,1,CÁLCULO.FrentesPreenchidas),15-13*ORÇAMENTO!$AF$7)))))</f>
        <v>2038.52</v>
      </c>
      <c r="I49" s="467"/>
      <c r="J49" s="650" t="str" cm="1">
        <f t="array" aca="1" ref="J49" ca="1">IF(OR(B49&lt;&gt;"S",CÁLCULO.FrentesPreenchidas=0),"",IF(AND(ACOMPANHAMENTO="PLE",AUTOEVENTO="Manual",OR(H49&gt;0,ORÇAMENTO!AC49="QUANT."),OR(K49="",M49=0,N49="")),"►E",IF(AND(ACOMPANHAMENTO="PLE",ORÇAMENTO!AC49="QUANT."),"►Q",IF(AND(ACOMPANHAMENTO="PLE",H49&lt;&gt;SUMPRODUCT(($Q$1:$AA$1=1)*ROUND(Q49:AA49,15))),"►S",IF(AND(COUNTIF($P$11:$AA$11,"▼")=0,H49&gt;0,I49=""),"◄M","")))))</f>
        <v>◄M</v>
      </c>
      <c r="K49" s="651"/>
      <c r="L49" s="164">
        <f t="shared" ca="1" si="9"/>
        <v>34</v>
      </c>
      <c r="M49" s="165">
        <f ca="1">IF($D49&lt;&gt;"Serviço","",
          IF(AUTOEVENTO="manual",$A49,
                IF(ISERROR(MATCH($A49,$A$15:OFFSET($A49,-1,0),0)),MAX($M$15:OFFSET(M49,-1,0))+1,
                      INDEX($M$15:OFFSET(M49,-1,0),MATCH($A49,$A$15:OFFSET($A49,-1,0),0)))))</f>
        <v>7</v>
      </c>
      <c r="N49" s="166" t="str">
        <f ca="1">IF($D49&lt;&gt;"Serviço","",
         IF(AUTOEVENTO="Manual",
                IF($A49=0,"&lt;-- defina o número do agrupador",
                       OFFSET(EVENTOS!$D$15,$A49-$A$15,0)),
                OFFSET($F$15,$A49,0)))</f>
        <v>CALÇAMENTO</v>
      </c>
      <c r="O49" s="167"/>
      <c r="Q49" s="167">
        <v>2038.52</v>
      </c>
      <c r="R49" s="168"/>
      <c r="S49" s="168"/>
      <c r="T49" s="168"/>
      <c r="U49" s="168"/>
      <c r="V49" s="168"/>
      <c r="W49" s="168"/>
      <c r="X49" s="168"/>
      <c r="Y49" s="168"/>
      <c r="Z49" s="169"/>
      <c r="AB49" s="452">
        <f ca="1">IF(AND($D49="Serviço",AB$12&lt;&gt;0,$H49&gt;0,OR(AUTOEVENTO&lt;&gt;"manual",$M49&lt;&gt;$A$15)),
        IF(Import.TipoArredondamento&lt;&gt;"TransfereGOV",
              ROUND(OFFSET($P49,0,AB$13),15-13*ORÇAMENTO!$AF$7)/$H49*OFFSET(ORÇAMENTO!$X$15,ROW(AB49)-ROW(AB$15),0),
              ROUND(ROUND(OFFSET($P49,0,AB$13),15-13*ORÇAMENTO!$AF$7)*OFFSET(ORÇAMENTO!$W$15,ROW(AB49)-ROW(AB$15),0),15-13*ORÇAMENTO!$AF$11)),
         0)</f>
        <v>5993.25</v>
      </c>
      <c r="AC49" s="452">
        <f ca="1">IF(AND($D49="Serviço",AC$12&lt;&gt;0,$H49&gt;0,OR(AUTOEVENTO&lt;&gt;"manual",$M49&lt;&gt;$A$15)),
        IF(Import.TipoArredondamento&lt;&gt;"TransfereGOV",
              ROUND(OFFSET($P49,0,AC$13),15-13*ORÇAMENTO!$AF$7)/$H49*OFFSET(ORÇAMENTO!$X$15,ROW(AC49)-ROW(AC$15),0),
              ROUND(ROUND(OFFSET($P49,0,AC$13),15-13*ORÇAMENTO!$AF$7)*OFFSET(ORÇAMENTO!$W$15,ROW(AC49)-ROW(AC$15),0),15-13*ORÇAMENTO!$AF$11)),
         0)</f>
        <v>0</v>
      </c>
      <c r="AD49" s="452">
        <f ca="1">IF(AND($D49="Serviço",AD$12&lt;&gt;0,$H49&gt;0,OR(AUTOEVENTO&lt;&gt;"manual",$M49&lt;&gt;$A$15)),
        IF(Import.TipoArredondamento&lt;&gt;"TransfereGOV",
              ROUND(OFFSET($P49,0,AD$13),15-13*ORÇAMENTO!$AF$7)/$H49*OFFSET(ORÇAMENTO!$X$15,ROW(AD49)-ROW(AD$15),0),
              ROUND(ROUND(OFFSET($P49,0,AD$13),15-13*ORÇAMENTO!$AF$7)*OFFSET(ORÇAMENTO!$W$15,ROW(AD49)-ROW(AD$15),0),15-13*ORÇAMENTO!$AF$11)),
         0)</f>
        <v>0</v>
      </c>
      <c r="AE49" s="452">
        <f ca="1">IF(AND($D49="Serviço",AE$12&lt;&gt;0,$H49&gt;0,OR(AUTOEVENTO&lt;&gt;"manual",$M49&lt;&gt;$A$15)),
        IF(Import.TipoArredondamento&lt;&gt;"TransfereGOV",
              ROUND(OFFSET($P49,0,AE$13),15-13*ORÇAMENTO!$AF$7)/$H49*OFFSET(ORÇAMENTO!$X$15,ROW(AE49)-ROW(AE$15),0),
              ROUND(ROUND(OFFSET($P49,0,AE$13),15-13*ORÇAMENTO!$AF$7)*OFFSET(ORÇAMENTO!$W$15,ROW(AE49)-ROW(AE$15),0),15-13*ORÇAMENTO!$AF$11)),
         0)</f>
        <v>0</v>
      </c>
      <c r="AF49" s="452">
        <f ca="1">IF(AND($D49="Serviço",AF$12&lt;&gt;0,$H49&gt;0,OR(AUTOEVENTO&lt;&gt;"manual",$M49&lt;&gt;$A$15)),
        IF(Import.TipoArredondamento&lt;&gt;"TransfereGOV",
              ROUND(OFFSET($P49,0,AF$13),15-13*ORÇAMENTO!$AF$7)/$H49*OFFSET(ORÇAMENTO!$X$15,ROW(AF49)-ROW(AF$15),0),
              ROUND(ROUND(OFFSET($P49,0,AF$13),15-13*ORÇAMENTO!$AF$7)*OFFSET(ORÇAMENTO!$W$15,ROW(AF49)-ROW(AF$15),0),15-13*ORÇAMENTO!$AF$11)),
         0)</f>
        <v>0</v>
      </c>
      <c r="AG49" s="452">
        <f ca="1">IF(AND($D49="Serviço",AG$12&lt;&gt;0,$H49&gt;0,OR(AUTOEVENTO&lt;&gt;"manual",$M49&lt;&gt;$A$15)),
        IF(Import.TipoArredondamento&lt;&gt;"TransfereGOV",
              ROUND(OFFSET($P49,0,AG$13),15-13*ORÇAMENTO!$AF$7)/$H49*OFFSET(ORÇAMENTO!$X$15,ROW(AG49)-ROW(AG$15),0),
              ROUND(ROUND(OFFSET($P49,0,AG$13),15-13*ORÇAMENTO!$AF$7)*OFFSET(ORÇAMENTO!$W$15,ROW(AG49)-ROW(AG$15),0),15-13*ORÇAMENTO!$AF$11)),
         0)</f>
        <v>0</v>
      </c>
      <c r="AH49" s="452">
        <f ca="1">IF(AND($D49="Serviço",AH$12&lt;&gt;0,$H49&gt;0,OR(AUTOEVENTO&lt;&gt;"manual",$M49&lt;&gt;$A$15)),
        IF(Import.TipoArredondamento&lt;&gt;"TransfereGOV",
              ROUND(OFFSET($P49,0,AH$13),15-13*ORÇAMENTO!$AF$7)/$H49*OFFSET(ORÇAMENTO!$X$15,ROW(AH49)-ROW(AH$15),0),
              ROUND(ROUND(OFFSET($P49,0,AH$13),15-13*ORÇAMENTO!$AF$7)*OFFSET(ORÇAMENTO!$W$15,ROW(AH49)-ROW(AH$15),0),15-13*ORÇAMENTO!$AF$11)),
         0)</f>
        <v>0</v>
      </c>
      <c r="AI49" s="452">
        <f ca="1">IF(AND($D49="Serviço",AI$12&lt;&gt;0,$H49&gt;0,OR(AUTOEVENTO&lt;&gt;"manual",$M49&lt;&gt;$A$15)),
        IF(Import.TipoArredondamento&lt;&gt;"TransfereGOV",
              ROUND(OFFSET($P49,0,AI$13),15-13*ORÇAMENTO!$AF$7)/$H49*OFFSET(ORÇAMENTO!$X$15,ROW(AI49)-ROW(AI$15),0),
              ROUND(ROUND(OFFSET($P49,0,AI$13),15-13*ORÇAMENTO!$AF$7)*OFFSET(ORÇAMENTO!$W$15,ROW(AI49)-ROW(AI$15),0),15-13*ORÇAMENTO!$AF$11)),
         0)</f>
        <v>0</v>
      </c>
      <c r="AJ49" s="452">
        <f ca="1">IF(AND($D49="Serviço",AJ$12&lt;&gt;0,$H49&gt;0,OR(AUTOEVENTO&lt;&gt;"manual",$M49&lt;&gt;$A$15)),
        IF(Import.TipoArredondamento&lt;&gt;"TransfereGOV",
              ROUND(OFFSET($P49,0,AJ$13),15-13*ORÇAMENTO!$AF$7)/$H49*OFFSET(ORÇAMENTO!$X$15,ROW(AJ49)-ROW(AJ$15),0),
              ROUND(ROUND(OFFSET($P49,0,AJ$13),15-13*ORÇAMENTO!$AF$7)*OFFSET(ORÇAMENTO!$W$15,ROW(AJ49)-ROW(AJ$15),0),15-13*ORÇAMENTO!$AF$11)),
         0)</f>
        <v>0</v>
      </c>
      <c r="AK49" s="452">
        <f ca="1">IF(AND($D49="Serviço",AK$12&lt;&gt;0,$H49&gt;0,OR(AUTOEVENTO&lt;&gt;"manual",$M49&lt;&gt;$A$15)),
        IF(Import.TipoArredondamento&lt;&gt;"TransfereGOV",
              ROUND(OFFSET($P49,0,AK$13),15-13*ORÇAMENTO!$AF$7)/$H49*OFFSET(ORÇAMENTO!$X$15,ROW(AK49)-ROW(AK$15),0),
              ROUND(ROUND(OFFSET($P49,0,AK$13),15-13*ORÇAMENTO!$AF$7)*OFFSET(ORÇAMENTO!$W$15,ROW(AK49)-ROW(AK$15),0),15-13*ORÇAMENTO!$AF$11)),
         0)</f>
        <v>0</v>
      </c>
      <c r="AM49" s="170">
        <f ca="1">IF(OR($D49&lt;&gt;"Serviço",AND(AUTOEVENTO="Manual",$M49=$A$15)),0,
         IF(OFFSET(CRONOPLE!$F$15,$M49-$A$15,AM$13)=0,10^12,OFFSET(CRONOPLE!$F$15,$M49-$A$15,AM$13)))</f>
        <v>1</v>
      </c>
      <c r="AN49" s="170">
        <f ca="1">IF(OR($D49&lt;&gt;"Serviço",AND(AUTOEVENTO="Manual",$M49=$A$15)),0,
         IF(OFFSET(CRONOPLE!$F$15,$M49-$A$15,AN$13)=0,10^12,OFFSET(CRONOPLE!$F$15,$M49-$A$15,AN$13)))</f>
        <v>2</v>
      </c>
      <c r="AO49" s="170">
        <f ca="1">IF(OR($D49&lt;&gt;"Serviço",AND(AUTOEVENTO="Manual",$M49=$A$15)),0,
         IF(OFFSET(CRONOPLE!$F$15,$M49-$A$15,AO$13)=0,10^12,OFFSET(CRONOPLE!$F$15,$M49-$A$15,AO$13)))</f>
        <v>3</v>
      </c>
      <c r="AP49" s="170">
        <f ca="1">IF(OR($D49&lt;&gt;"Serviço",AND(AUTOEVENTO="Manual",$M49=$A$15)),0,
         IF(OFFSET(CRONOPLE!$F$15,$M49-$A$15,AP$13)=0,10^12,OFFSET(CRONOPLE!$F$15,$M49-$A$15,AP$13)))</f>
        <v>4</v>
      </c>
      <c r="AQ49" s="170">
        <f ca="1">IF(OR($D49&lt;&gt;"Serviço",AND(AUTOEVENTO="Manual",$M49=$A$15)),0,
         IF(OFFSET(CRONOPLE!$F$15,$M49-$A$15,AQ$13)=0,10^12,OFFSET(CRONOPLE!$F$15,$M49-$A$15,AQ$13)))</f>
        <v>1000000000000</v>
      </c>
      <c r="AR49" s="170">
        <f ca="1">IF(OR($D49&lt;&gt;"Serviço",AND(AUTOEVENTO="Manual",$M49=$A$15)),0,
         IF(OFFSET(CRONOPLE!$F$15,$M49-$A$15,AR$13)=0,10^12,OFFSET(CRONOPLE!$F$15,$M49-$A$15,AR$13)))</f>
        <v>1000000000000</v>
      </c>
      <c r="AS49" s="170">
        <f ca="1">IF(OR($D49&lt;&gt;"Serviço",AND(AUTOEVENTO="Manual",$M49=$A$15)),0,
         IF(OFFSET(CRONOPLE!$F$15,$M49-$A$15,AS$13)=0,10^12,OFFSET(CRONOPLE!$F$15,$M49-$A$15,AS$13)))</f>
        <v>1000000000000</v>
      </c>
      <c r="AT49" s="170">
        <f ca="1">IF(OR($D49&lt;&gt;"Serviço",AND(AUTOEVENTO="Manual",$M49=$A$15)),0,
         IF(OFFSET(CRONOPLE!$F$15,$M49-$A$15,AT$13)=0,10^12,OFFSET(CRONOPLE!$F$15,$M49-$A$15,AT$13)))</f>
        <v>1000000000000</v>
      </c>
      <c r="AU49" s="170">
        <f ca="1">IF(OR($D49&lt;&gt;"Serviço",AND(AUTOEVENTO="Manual",$M49=$A$15)),0,
         IF(OFFSET(CRONOPLE!$F$15,$M49-$A$15,AU$13)=0,10^12,OFFSET(CRONOPLE!$F$15,$M49-$A$15,AU$13)))</f>
        <v>1000000000000</v>
      </c>
      <c r="AV49" s="170">
        <f ca="1">IF(OR($D49&lt;&gt;"Serviço",AND(AUTOEVENTO="Manual",$M49=$A$15)),0,
         IF(OFFSET(CRONOPLE!$F$15,$M49-$A$15,AV$13)=0,10^12,OFFSET(CRONOPLE!$F$15,$M49-$A$15,AV$13)))</f>
        <v>1000000000000</v>
      </c>
      <c r="AX49" s="171" cm="1">
        <f t="array" aca="1" ref="AX49" ca="1">IF(OR($D49&lt;&gt;"Serviço",AND(AUTOEVENTO="Manual",$M49=$A$15),$M49&gt;(ROW(PLE.lastrow)-ROW(PLE.firstrow))),0,
           IF(OFFSET(PLE!$G$15,$M49-$A$15,AX$13)="",10^12,OFFSET(PLE!$G$15,$M49-$A$15,AX$13)))</f>
        <v>1000000000000</v>
      </c>
      <c r="AY49" s="171" cm="1">
        <f t="array" aca="1" ref="AY49" ca="1">IF(OR($D49&lt;&gt;"Serviço",AND(AUTOEVENTO="Manual",$M49=$A$15),$M49&gt;(ROW(PLE.lastrow)-ROW(PLE.firstrow))),0,
           IF(OFFSET(PLE!$G$15,$M49-$A$15,AY$13)="",10^12,OFFSET(PLE!$G$15,$M49-$A$15,AY$13)))</f>
        <v>1000000000000</v>
      </c>
      <c r="AZ49" s="171" cm="1">
        <f t="array" aca="1" ref="AZ49" ca="1">IF(OR($D49&lt;&gt;"Serviço",AND(AUTOEVENTO="Manual",$M49=$A$15),$M49&gt;(ROW(PLE.lastrow)-ROW(PLE.firstrow))),0,
           IF(OFFSET(PLE!$G$15,$M49-$A$15,AZ$13)="",10^12,OFFSET(PLE!$G$15,$M49-$A$15,AZ$13)))</f>
        <v>1000000000000</v>
      </c>
      <c r="BA49" s="171" cm="1">
        <f t="array" aca="1" ref="BA49" ca="1">IF(OR($D49&lt;&gt;"Serviço",AND(AUTOEVENTO="Manual",$M49=$A$15),$M49&gt;(ROW(PLE.lastrow)-ROW(PLE.firstrow))),0,
           IF(OFFSET(PLE!$G$15,$M49-$A$15,BA$13)="",10^12,OFFSET(PLE!$G$15,$M49-$A$15,BA$13)))</f>
        <v>1000000000000</v>
      </c>
      <c r="BB49" s="171" cm="1">
        <f t="array" aca="1" ref="BB49" ca="1">IF(OR($D49&lt;&gt;"Serviço",AND(AUTOEVENTO="Manual",$M49=$A$15),$M49&gt;(ROW(PLE.lastrow)-ROW(PLE.firstrow))),0,
           IF(OFFSET(PLE!$G$15,$M49-$A$15,BB$13)="",10^12,OFFSET(PLE!$G$15,$M49-$A$15,BB$13)))</f>
        <v>1000000000000</v>
      </c>
      <c r="BC49" s="171" cm="1">
        <f t="array" aca="1" ref="BC49" ca="1">IF(OR($D49&lt;&gt;"Serviço",AND(AUTOEVENTO="Manual",$M49=$A$15),$M49&gt;(ROW(PLE.lastrow)-ROW(PLE.firstrow))),0,
           IF(OFFSET(PLE!$G$15,$M49-$A$15,BC$13)="",10^12,OFFSET(PLE!$G$15,$M49-$A$15,BC$13)))</f>
        <v>1000000000000</v>
      </c>
      <c r="BD49" s="171" cm="1">
        <f t="array" aca="1" ref="BD49" ca="1">IF(OR($D49&lt;&gt;"Serviço",AND(AUTOEVENTO="Manual",$M49=$A$15),$M49&gt;(ROW(PLE.lastrow)-ROW(PLE.firstrow))),0,
           IF(OFFSET(PLE!$G$15,$M49-$A$15,BD$13)="",10^12,OFFSET(PLE!$G$15,$M49-$A$15,BD$13)))</f>
        <v>1000000000000</v>
      </c>
      <c r="BE49" s="171" cm="1">
        <f t="array" aca="1" ref="BE49" ca="1">IF(OR($D49&lt;&gt;"Serviço",AND(AUTOEVENTO="Manual",$M49=$A$15),$M49&gt;(ROW(PLE.lastrow)-ROW(PLE.firstrow))),0,
           IF(OFFSET(PLE!$G$15,$M49-$A$15,BE$13)="",10^12,OFFSET(PLE!$G$15,$M49-$A$15,BE$13)))</f>
        <v>1000000000000</v>
      </c>
      <c r="BF49" s="171" cm="1">
        <f t="array" aca="1" ref="BF49" ca="1">IF(OR($D49&lt;&gt;"Serviço",AND(AUTOEVENTO="Manual",$M49=$A$15),$M49&gt;(ROW(PLE.lastrow)-ROW(PLE.firstrow))),0,
           IF(OFFSET(PLE!$G$15,$M49-$A$15,BF$13)="",10^12,OFFSET(PLE!$G$15,$M49-$A$15,BF$13)))</f>
        <v>1000000000000</v>
      </c>
      <c r="BG49" s="171" cm="1">
        <f t="array" aca="1" ref="BG49" ca="1">IF(OR($D49&lt;&gt;"Serviço",AND(AUTOEVENTO="Manual",$M49=$A$15),$M49&gt;(ROW(PLE.lastrow)-ROW(PLE.firstrow))),0,
           IF(OFFSET(PLE!$G$15,$M49-$A$15,BG$13)="",10^12,OFFSET(PLE!$G$15,$M49-$A$15,BG$13)))</f>
        <v>1000000000000</v>
      </c>
    </row>
    <row r="50" spans="1:59" ht="51" x14ac:dyDescent="0.2">
      <c r="A50" s="7" t="str">
        <f t="shared" ca="1" si="8"/>
        <v>33</v>
      </c>
      <c r="B50" s="7" t="str">
        <f ca="1">OFFSET(ORÇAMENTO!C$15,$L50,0)</f>
        <v>S</v>
      </c>
      <c r="C50" s="7" t="str">
        <f ca="1">OFFSET(ORÇAMENTO!L$15,$L50,0)</f>
        <v>F</v>
      </c>
      <c r="D50" s="115" t="str">
        <f ca="1">OFFSET(ORÇAMENTO!N$15,$L50,0)</f>
        <v>Serviço</v>
      </c>
      <c r="E50" s="116" t="str">
        <f ca="1">OFFSET(ORÇAMENTO!O$15,$L50,0)</f>
        <v>1.7.2.</v>
      </c>
      <c r="F50" s="162" t="str">
        <f ca="1">OFFSET(ORÇAMENTO!R$15,$L50,0)</f>
        <v>GUIA (MEIO-FIO) E SARJETA CONJUGADOS DE CONCRETO, MOLDADA IN LOCO EM TRECHO CURVO COM EXTRUSORA, 45 CM BASE (15 CM BASE DA GUIA + 30 CM BASE DA SARJETA) X 22 CM ALTURA. AF_01/2024</v>
      </c>
      <c r="G50" s="163" t="str">
        <f ca="1">IF($D50&lt;&gt;"Serviço","",OFFSET(ORÇAMENTO!S$15,$L50,0))</f>
        <v>M</v>
      </c>
      <c r="H50" s="121" cm="1">
        <f t="array" aca="1" ref="H50" ca="1">IF($D50&lt;&gt;"Serviço",0,IF(ACOMPANHAMENTO="BM",ROUND(OFFSET(ORÇAMENTO!AJ$15,$L50,0),15-13*ORÇAMENTO!$AF$7),IF(IFERROR(CÁLCULO.FrentesPreenchidas,0)=0,0,SUM(ROUND(OFFSET($P50,0,1,1,CÁLCULO.FrentesPreenchidas),15-13*ORÇAMENTO!$AF$7)))))</f>
        <v>641.41999999999996</v>
      </c>
      <c r="I50" s="467"/>
      <c r="J50" s="650" t="str" cm="1">
        <f t="array" aca="1" ref="J50" ca="1">IF(OR(B50&lt;&gt;"S",CÁLCULO.FrentesPreenchidas=0),"",IF(AND(ACOMPANHAMENTO="PLE",AUTOEVENTO="Manual",OR(H50&gt;0,ORÇAMENTO!AC50="QUANT."),OR(K50="",M50=0,N50="")),"►E",IF(AND(ACOMPANHAMENTO="PLE",ORÇAMENTO!AC50="QUANT."),"►Q",IF(AND(ACOMPANHAMENTO="PLE",H50&lt;&gt;SUMPRODUCT(($Q$1:$AA$1=1)*ROUND(Q50:AA50,15))),"►S",IF(AND(COUNTIF($P$11:$AA$11,"▼")=0,H50&gt;0,I50=""),"◄M","")))))</f>
        <v>◄M</v>
      </c>
      <c r="K50" s="651"/>
      <c r="L50" s="164">
        <f t="shared" ca="1" si="9"/>
        <v>35</v>
      </c>
      <c r="M50" s="165">
        <f ca="1">IF($D50&lt;&gt;"Serviço","",
          IF(AUTOEVENTO="manual",$A50,
                IF(ISERROR(MATCH($A50,$A$15:OFFSET($A50,-1,0),0)),MAX($M$15:OFFSET(M50,-1,0))+1,
                      INDEX($M$15:OFFSET(M50,-1,0),MATCH($A50,$A$15:OFFSET($A50,-1,0),0)))))</f>
        <v>7</v>
      </c>
      <c r="N50" s="166" t="str">
        <f ca="1">IF($D50&lt;&gt;"Serviço","",
         IF(AUTOEVENTO="Manual",
                IF($A50=0,"&lt;-- defina o número do agrupador",
                       OFFSET(EVENTOS!$D$15,$A50-$A$15,0)),
                OFFSET($F$15,$A50,0)))</f>
        <v>CALÇAMENTO</v>
      </c>
      <c r="O50" s="167"/>
      <c r="Q50" s="167">
        <v>500</v>
      </c>
      <c r="R50" s="168">
        <v>141.41999999999999</v>
      </c>
      <c r="S50" s="168"/>
      <c r="T50" s="168"/>
      <c r="U50" s="168"/>
      <c r="V50" s="168"/>
      <c r="W50" s="168"/>
      <c r="X50" s="168"/>
      <c r="Y50" s="168"/>
      <c r="Z50" s="169"/>
      <c r="AB50" s="452">
        <f ca="1">IF(AND($D50="Serviço",AB$12&lt;&gt;0,$H50&gt;0,OR(AUTOEVENTO&lt;&gt;"manual",$M50&lt;&gt;$A$15)),
        IF(Import.TipoArredondamento&lt;&gt;"TransfereGOV",
              ROUND(OFFSET($P50,0,AB$13),15-13*ORÇAMENTO!$AF$7)/$H50*OFFSET(ORÇAMENTO!$X$15,ROW(AB50)-ROW(AB$15),0),
              ROUND(ROUND(OFFSET($P50,0,AB$13),15-13*ORÇAMENTO!$AF$7)*OFFSET(ORÇAMENTO!$W$15,ROW(AB50)-ROW(AB$15),0),15-13*ORÇAMENTO!$AF$11)),
         0)</f>
        <v>34520</v>
      </c>
      <c r="AC50" s="452">
        <f ca="1">IF(AND($D50="Serviço",AC$12&lt;&gt;0,$H50&gt;0,OR(AUTOEVENTO&lt;&gt;"manual",$M50&lt;&gt;$A$15)),
        IF(Import.TipoArredondamento&lt;&gt;"TransfereGOV",
              ROUND(OFFSET($P50,0,AC$13),15-13*ORÇAMENTO!$AF$7)/$H50*OFFSET(ORÇAMENTO!$X$15,ROW(AC50)-ROW(AC$15),0),
              ROUND(ROUND(OFFSET($P50,0,AC$13),15-13*ORÇAMENTO!$AF$7)*OFFSET(ORÇAMENTO!$W$15,ROW(AC50)-ROW(AC$15),0),15-13*ORÇAMENTO!$AF$11)),
         0)</f>
        <v>9763.64</v>
      </c>
      <c r="AD50" s="452">
        <f ca="1">IF(AND($D50="Serviço",AD$12&lt;&gt;0,$H50&gt;0,OR(AUTOEVENTO&lt;&gt;"manual",$M50&lt;&gt;$A$15)),
        IF(Import.TipoArredondamento&lt;&gt;"TransfereGOV",
              ROUND(OFFSET($P50,0,AD$13),15-13*ORÇAMENTO!$AF$7)/$H50*OFFSET(ORÇAMENTO!$X$15,ROW(AD50)-ROW(AD$15),0),
              ROUND(ROUND(OFFSET($P50,0,AD$13),15-13*ORÇAMENTO!$AF$7)*OFFSET(ORÇAMENTO!$W$15,ROW(AD50)-ROW(AD$15),0),15-13*ORÇAMENTO!$AF$11)),
         0)</f>
        <v>0</v>
      </c>
      <c r="AE50" s="452">
        <f ca="1">IF(AND($D50="Serviço",AE$12&lt;&gt;0,$H50&gt;0,OR(AUTOEVENTO&lt;&gt;"manual",$M50&lt;&gt;$A$15)),
        IF(Import.TipoArredondamento&lt;&gt;"TransfereGOV",
              ROUND(OFFSET($P50,0,AE$13),15-13*ORÇAMENTO!$AF$7)/$H50*OFFSET(ORÇAMENTO!$X$15,ROW(AE50)-ROW(AE$15),0),
              ROUND(ROUND(OFFSET($P50,0,AE$13),15-13*ORÇAMENTO!$AF$7)*OFFSET(ORÇAMENTO!$W$15,ROW(AE50)-ROW(AE$15),0),15-13*ORÇAMENTO!$AF$11)),
         0)</f>
        <v>0</v>
      </c>
      <c r="AF50" s="452">
        <f ca="1">IF(AND($D50="Serviço",AF$12&lt;&gt;0,$H50&gt;0,OR(AUTOEVENTO&lt;&gt;"manual",$M50&lt;&gt;$A$15)),
        IF(Import.TipoArredondamento&lt;&gt;"TransfereGOV",
              ROUND(OFFSET($P50,0,AF$13),15-13*ORÇAMENTO!$AF$7)/$H50*OFFSET(ORÇAMENTO!$X$15,ROW(AF50)-ROW(AF$15),0),
              ROUND(ROUND(OFFSET($P50,0,AF$13),15-13*ORÇAMENTO!$AF$7)*OFFSET(ORÇAMENTO!$W$15,ROW(AF50)-ROW(AF$15),0),15-13*ORÇAMENTO!$AF$11)),
         0)</f>
        <v>0</v>
      </c>
      <c r="AG50" s="452">
        <f ca="1">IF(AND($D50="Serviço",AG$12&lt;&gt;0,$H50&gt;0,OR(AUTOEVENTO&lt;&gt;"manual",$M50&lt;&gt;$A$15)),
        IF(Import.TipoArredondamento&lt;&gt;"TransfereGOV",
              ROUND(OFFSET($P50,0,AG$13),15-13*ORÇAMENTO!$AF$7)/$H50*OFFSET(ORÇAMENTO!$X$15,ROW(AG50)-ROW(AG$15),0),
              ROUND(ROUND(OFFSET($P50,0,AG$13),15-13*ORÇAMENTO!$AF$7)*OFFSET(ORÇAMENTO!$W$15,ROW(AG50)-ROW(AG$15),0),15-13*ORÇAMENTO!$AF$11)),
         0)</f>
        <v>0</v>
      </c>
      <c r="AH50" s="452">
        <f ca="1">IF(AND($D50="Serviço",AH$12&lt;&gt;0,$H50&gt;0,OR(AUTOEVENTO&lt;&gt;"manual",$M50&lt;&gt;$A$15)),
        IF(Import.TipoArredondamento&lt;&gt;"TransfereGOV",
              ROUND(OFFSET($P50,0,AH$13),15-13*ORÇAMENTO!$AF$7)/$H50*OFFSET(ORÇAMENTO!$X$15,ROW(AH50)-ROW(AH$15),0),
              ROUND(ROUND(OFFSET($P50,0,AH$13),15-13*ORÇAMENTO!$AF$7)*OFFSET(ORÇAMENTO!$W$15,ROW(AH50)-ROW(AH$15),0),15-13*ORÇAMENTO!$AF$11)),
         0)</f>
        <v>0</v>
      </c>
      <c r="AI50" s="452">
        <f ca="1">IF(AND($D50="Serviço",AI$12&lt;&gt;0,$H50&gt;0,OR(AUTOEVENTO&lt;&gt;"manual",$M50&lt;&gt;$A$15)),
        IF(Import.TipoArredondamento&lt;&gt;"TransfereGOV",
              ROUND(OFFSET($P50,0,AI$13),15-13*ORÇAMENTO!$AF$7)/$H50*OFFSET(ORÇAMENTO!$X$15,ROW(AI50)-ROW(AI$15),0),
              ROUND(ROUND(OFFSET($P50,0,AI$13),15-13*ORÇAMENTO!$AF$7)*OFFSET(ORÇAMENTO!$W$15,ROW(AI50)-ROW(AI$15),0),15-13*ORÇAMENTO!$AF$11)),
         0)</f>
        <v>0</v>
      </c>
      <c r="AJ50" s="452">
        <f ca="1">IF(AND($D50="Serviço",AJ$12&lt;&gt;0,$H50&gt;0,OR(AUTOEVENTO&lt;&gt;"manual",$M50&lt;&gt;$A$15)),
        IF(Import.TipoArredondamento&lt;&gt;"TransfereGOV",
              ROUND(OFFSET($P50,0,AJ$13),15-13*ORÇAMENTO!$AF$7)/$H50*OFFSET(ORÇAMENTO!$X$15,ROW(AJ50)-ROW(AJ$15),0),
              ROUND(ROUND(OFFSET($P50,0,AJ$13),15-13*ORÇAMENTO!$AF$7)*OFFSET(ORÇAMENTO!$W$15,ROW(AJ50)-ROW(AJ$15),0),15-13*ORÇAMENTO!$AF$11)),
         0)</f>
        <v>0</v>
      </c>
      <c r="AK50" s="452">
        <f ca="1">IF(AND($D50="Serviço",AK$12&lt;&gt;0,$H50&gt;0,OR(AUTOEVENTO&lt;&gt;"manual",$M50&lt;&gt;$A$15)),
        IF(Import.TipoArredondamento&lt;&gt;"TransfereGOV",
              ROUND(OFFSET($P50,0,AK$13),15-13*ORÇAMENTO!$AF$7)/$H50*OFFSET(ORÇAMENTO!$X$15,ROW(AK50)-ROW(AK$15),0),
              ROUND(ROUND(OFFSET($P50,0,AK$13),15-13*ORÇAMENTO!$AF$7)*OFFSET(ORÇAMENTO!$W$15,ROW(AK50)-ROW(AK$15),0),15-13*ORÇAMENTO!$AF$11)),
         0)</f>
        <v>0</v>
      </c>
      <c r="AM50" s="170">
        <f ca="1">IF(OR($D50&lt;&gt;"Serviço",AND(AUTOEVENTO="Manual",$M50=$A$15)),0,
         IF(OFFSET(CRONOPLE!$F$15,$M50-$A$15,AM$13)=0,10^12,OFFSET(CRONOPLE!$F$15,$M50-$A$15,AM$13)))</f>
        <v>1</v>
      </c>
      <c r="AN50" s="170">
        <f ca="1">IF(OR($D50&lt;&gt;"Serviço",AND(AUTOEVENTO="Manual",$M50=$A$15)),0,
         IF(OFFSET(CRONOPLE!$F$15,$M50-$A$15,AN$13)=0,10^12,OFFSET(CRONOPLE!$F$15,$M50-$A$15,AN$13)))</f>
        <v>2</v>
      </c>
      <c r="AO50" s="170">
        <f ca="1">IF(OR($D50&lt;&gt;"Serviço",AND(AUTOEVENTO="Manual",$M50=$A$15)),0,
         IF(OFFSET(CRONOPLE!$F$15,$M50-$A$15,AO$13)=0,10^12,OFFSET(CRONOPLE!$F$15,$M50-$A$15,AO$13)))</f>
        <v>3</v>
      </c>
      <c r="AP50" s="170">
        <f ca="1">IF(OR($D50&lt;&gt;"Serviço",AND(AUTOEVENTO="Manual",$M50=$A$15)),0,
         IF(OFFSET(CRONOPLE!$F$15,$M50-$A$15,AP$13)=0,10^12,OFFSET(CRONOPLE!$F$15,$M50-$A$15,AP$13)))</f>
        <v>4</v>
      </c>
      <c r="AQ50" s="170">
        <f ca="1">IF(OR($D50&lt;&gt;"Serviço",AND(AUTOEVENTO="Manual",$M50=$A$15)),0,
         IF(OFFSET(CRONOPLE!$F$15,$M50-$A$15,AQ$13)=0,10^12,OFFSET(CRONOPLE!$F$15,$M50-$A$15,AQ$13)))</f>
        <v>1000000000000</v>
      </c>
      <c r="AR50" s="170">
        <f ca="1">IF(OR($D50&lt;&gt;"Serviço",AND(AUTOEVENTO="Manual",$M50=$A$15)),0,
         IF(OFFSET(CRONOPLE!$F$15,$M50-$A$15,AR$13)=0,10^12,OFFSET(CRONOPLE!$F$15,$M50-$A$15,AR$13)))</f>
        <v>1000000000000</v>
      </c>
      <c r="AS50" s="170">
        <f ca="1">IF(OR($D50&lt;&gt;"Serviço",AND(AUTOEVENTO="Manual",$M50=$A$15)),0,
         IF(OFFSET(CRONOPLE!$F$15,$M50-$A$15,AS$13)=0,10^12,OFFSET(CRONOPLE!$F$15,$M50-$A$15,AS$13)))</f>
        <v>1000000000000</v>
      </c>
      <c r="AT50" s="170">
        <f ca="1">IF(OR($D50&lt;&gt;"Serviço",AND(AUTOEVENTO="Manual",$M50=$A$15)),0,
         IF(OFFSET(CRONOPLE!$F$15,$M50-$A$15,AT$13)=0,10^12,OFFSET(CRONOPLE!$F$15,$M50-$A$15,AT$13)))</f>
        <v>1000000000000</v>
      </c>
      <c r="AU50" s="170">
        <f ca="1">IF(OR($D50&lt;&gt;"Serviço",AND(AUTOEVENTO="Manual",$M50=$A$15)),0,
         IF(OFFSET(CRONOPLE!$F$15,$M50-$A$15,AU$13)=0,10^12,OFFSET(CRONOPLE!$F$15,$M50-$A$15,AU$13)))</f>
        <v>1000000000000</v>
      </c>
      <c r="AV50" s="170">
        <f ca="1">IF(OR($D50&lt;&gt;"Serviço",AND(AUTOEVENTO="Manual",$M50=$A$15)),0,
         IF(OFFSET(CRONOPLE!$F$15,$M50-$A$15,AV$13)=0,10^12,OFFSET(CRONOPLE!$F$15,$M50-$A$15,AV$13)))</f>
        <v>1000000000000</v>
      </c>
      <c r="AX50" s="171" cm="1">
        <f t="array" aca="1" ref="AX50" ca="1">IF(OR($D50&lt;&gt;"Serviço",AND(AUTOEVENTO="Manual",$M50=$A$15),$M50&gt;(ROW(PLE.lastrow)-ROW(PLE.firstrow))),0,
           IF(OFFSET(PLE!$G$15,$M50-$A$15,AX$13)="",10^12,OFFSET(PLE!$G$15,$M50-$A$15,AX$13)))</f>
        <v>1000000000000</v>
      </c>
      <c r="AY50" s="171" cm="1">
        <f t="array" aca="1" ref="AY50" ca="1">IF(OR($D50&lt;&gt;"Serviço",AND(AUTOEVENTO="Manual",$M50=$A$15),$M50&gt;(ROW(PLE.lastrow)-ROW(PLE.firstrow))),0,
           IF(OFFSET(PLE!$G$15,$M50-$A$15,AY$13)="",10^12,OFFSET(PLE!$G$15,$M50-$A$15,AY$13)))</f>
        <v>1000000000000</v>
      </c>
      <c r="AZ50" s="171" cm="1">
        <f t="array" aca="1" ref="AZ50" ca="1">IF(OR($D50&lt;&gt;"Serviço",AND(AUTOEVENTO="Manual",$M50=$A$15),$M50&gt;(ROW(PLE.lastrow)-ROW(PLE.firstrow))),0,
           IF(OFFSET(PLE!$G$15,$M50-$A$15,AZ$13)="",10^12,OFFSET(PLE!$G$15,$M50-$A$15,AZ$13)))</f>
        <v>1000000000000</v>
      </c>
      <c r="BA50" s="171" cm="1">
        <f t="array" aca="1" ref="BA50" ca="1">IF(OR($D50&lt;&gt;"Serviço",AND(AUTOEVENTO="Manual",$M50=$A$15),$M50&gt;(ROW(PLE.lastrow)-ROW(PLE.firstrow))),0,
           IF(OFFSET(PLE!$G$15,$M50-$A$15,BA$13)="",10^12,OFFSET(PLE!$G$15,$M50-$A$15,BA$13)))</f>
        <v>1000000000000</v>
      </c>
      <c r="BB50" s="171" cm="1">
        <f t="array" aca="1" ref="BB50" ca="1">IF(OR($D50&lt;&gt;"Serviço",AND(AUTOEVENTO="Manual",$M50=$A$15),$M50&gt;(ROW(PLE.lastrow)-ROW(PLE.firstrow))),0,
           IF(OFFSET(PLE!$G$15,$M50-$A$15,BB$13)="",10^12,OFFSET(PLE!$G$15,$M50-$A$15,BB$13)))</f>
        <v>1000000000000</v>
      </c>
      <c r="BC50" s="171" cm="1">
        <f t="array" aca="1" ref="BC50" ca="1">IF(OR($D50&lt;&gt;"Serviço",AND(AUTOEVENTO="Manual",$M50=$A$15),$M50&gt;(ROW(PLE.lastrow)-ROW(PLE.firstrow))),0,
           IF(OFFSET(PLE!$G$15,$M50-$A$15,BC$13)="",10^12,OFFSET(PLE!$G$15,$M50-$A$15,BC$13)))</f>
        <v>1000000000000</v>
      </c>
      <c r="BD50" s="171" cm="1">
        <f t="array" aca="1" ref="BD50" ca="1">IF(OR($D50&lt;&gt;"Serviço",AND(AUTOEVENTO="Manual",$M50=$A$15),$M50&gt;(ROW(PLE.lastrow)-ROW(PLE.firstrow))),0,
           IF(OFFSET(PLE!$G$15,$M50-$A$15,BD$13)="",10^12,OFFSET(PLE!$G$15,$M50-$A$15,BD$13)))</f>
        <v>1000000000000</v>
      </c>
      <c r="BE50" s="171" cm="1">
        <f t="array" aca="1" ref="BE50" ca="1">IF(OR($D50&lt;&gt;"Serviço",AND(AUTOEVENTO="Manual",$M50=$A$15),$M50&gt;(ROW(PLE.lastrow)-ROW(PLE.firstrow))),0,
           IF(OFFSET(PLE!$G$15,$M50-$A$15,BE$13)="",10^12,OFFSET(PLE!$G$15,$M50-$A$15,BE$13)))</f>
        <v>1000000000000</v>
      </c>
      <c r="BF50" s="171" cm="1">
        <f t="array" aca="1" ref="BF50" ca="1">IF(OR($D50&lt;&gt;"Serviço",AND(AUTOEVENTO="Manual",$M50=$A$15),$M50&gt;(ROW(PLE.lastrow)-ROW(PLE.firstrow))),0,
           IF(OFFSET(PLE!$G$15,$M50-$A$15,BF$13)="",10^12,OFFSET(PLE!$G$15,$M50-$A$15,BF$13)))</f>
        <v>1000000000000</v>
      </c>
      <c r="BG50" s="171" cm="1">
        <f t="array" aca="1" ref="BG50" ca="1">IF(OR($D50&lt;&gt;"Serviço",AND(AUTOEVENTO="Manual",$M50=$A$15),$M50&gt;(ROW(PLE.lastrow)-ROW(PLE.firstrow))),0,
           IF(OFFSET(PLE!$G$15,$M50-$A$15,BG$13)="",10^12,OFFSET(PLE!$G$15,$M50-$A$15,BG$13)))</f>
        <v>1000000000000</v>
      </c>
    </row>
    <row r="51" spans="1:59" ht="25.5" x14ac:dyDescent="0.2">
      <c r="A51" s="7" t="str">
        <f t="shared" ca="1" si="8"/>
        <v>33</v>
      </c>
      <c r="B51" s="7" t="str">
        <f ca="1">OFFSET(ORÇAMENTO!C$15,$L51,0)</f>
        <v>S</v>
      </c>
      <c r="C51" s="7" t="str">
        <f ca="1">OFFSET(ORÇAMENTO!L$15,$L51,0)</f>
        <v>F</v>
      </c>
      <c r="D51" s="115" t="str">
        <f ca="1">OFFSET(ORÇAMENTO!N$15,$L51,0)</f>
        <v>Serviço</v>
      </c>
      <c r="E51" s="116" t="str">
        <f ca="1">OFFSET(ORÇAMENTO!O$15,$L51,0)</f>
        <v>1.7.3.</v>
      </c>
      <c r="F51" s="162" t="str">
        <f ca="1">OFFSET(ORÇAMENTO!R$15,$L51,0)</f>
        <v>EXECUÇÃO DE PAVIMENTO EM PISO INTERTRAVADO, COM BLOCO 16 FACES DE 22 X 11 CM, ESPESSURA 8 CM. AF_10/2022</v>
      </c>
      <c r="G51" s="163" t="str">
        <f ca="1">IF($D51&lt;&gt;"Serviço","",OFFSET(ORÇAMENTO!S$15,$L51,0))</f>
        <v>M2</v>
      </c>
      <c r="H51" s="121" cm="1">
        <f t="array" aca="1" ref="H51" ca="1">IF($D51&lt;&gt;"Serviço",0,IF(ACOMPANHAMENTO="BM",ROUND(OFFSET(ORÇAMENTO!AJ$15,$L51,0),15-13*ORÇAMENTO!$AF$7),IF(IFERROR(CÁLCULO.FrentesPreenchidas,0)=0,0,SUM(ROUND(OFFSET($P51,0,1,1,CÁLCULO.FrentesPreenchidas),15-13*ORÇAMENTO!$AF$7)))))</f>
        <v>1685.74</v>
      </c>
      <c r="I51" s="467"/>
      <c r="J51" s="650" t="str" cm="1">
        <f t="array" aca="1" ref="J51" ca="1">IF(OR(B51&lt;&gt;"S",CÁLCULO.FrentesPreenchidas=0),"",IF(AND(ACOMPANHAMENTO="PLE",AUTOEVENTO="Manual",OR(H51&gt;0,ORÇAMENTO!AC51="QUANT."),OR(K51="",M51=0,N51="")),"►E",IF(AND(ACOMPANHAMENTO="PLE",ORÇAMENTO!AC51="QUANT."),"►Q",IF(AND(ACOMPANHAMENTO="PLE",H51&lt;&gt;SUMPRODUCT(($Q$1:$AA$1=1)*ROUND(Q51:AA51,15))),"►S",IF(AND(COUNTIF($P$11:$AA$11,"▼")=0,H51&gt;0,I51=""),"◄M","")))))</f>
        <v>◄M</v>
      </c>
      <c r="K51" s="651"/>
      <c r="L51" s="164">
        <f t="shared" ca="1" si="9"/>
        <v>36</v>
      </c>
      <c r="M51" s="165">
        <f ca="1">IF($D51&lt;&gt;"Serviço","",
          IF(AUTOEVENTO="manual",$A51,
                IF(ISERROR(MATCH($A51,$A$15:OFFSET($A51,-1,0),0)),MAX($M$15:OFFSET(M51,-1,0))+1,
                      INDEX($M$15:OFFSET(M51,-1,0),MATCH($A51,$A$15:OFFSET($A51,-1,0),0)))))</f>
        <v>7</v>
      </c>
      <c r="N51" s="166" t="str">
        <f ca="1">IF($D51&lt;&gt;"Serviço","",
         IF(AUTOEVENTO="Manual",
                IF($A51=0,"&lt;-- defina o número do agrupador",
                       OFFSET(EVENTOS!$D$15,$A51-$A$15,0)),
                OFFSET($F$15,$A51,0)))</f>
        <v>CALÇAMENTO</v>
      </c>
      <c r="O51" s="167"/>
      <c r="Q51" s="167"/>
      <c r="R51" s="168">
        <v>500</v>
      </c>
      <c r="S51" s="168">
        <v>600</v>
      </c>
      <c r="T51" s="168">
        <v>585.74</v>
      </c>
      <c r="U51" s="168"/>
      <c r="V51" s="168"/>
      <c r="W51" s="168"/>
      <c r="X51" s="168"/>
      <c r="Y51" s="168"/>
      <c r="Z51" s="169"/>
      <c r="AB51" s="452">
        <f ca="1">IF(AND($D51="Serviço",AB$12&lt;&gt;0,$H51&gt;0,OR(AUTOEVENTO&lt;&gt;"manual",$M51&lt;&gt;$A$15)),
        IF(Import.TipoArredondamento&lt;&gt;"TransfereGOV",
              ROUND(OFFSET($P51,0,AB$13),15-13*ORÇAMENTO!$AF$7)/$H51*OFFSET(ORÇAMENTO!$X$15,ROW(AB51)-ROW(AB$15),0),
              ROUND(ROUND(OFFSET($P51,0,AB$13),15-13*ORÇAMENTO!$AF$7)*OFFSET(ORÇAMENTO!$W$15,ROW(AB51)-ROW(AB$15),0),15-13*ORÇAMENTO!$AF$11)),
         0)</f>
        <v>0</v>
      </c>
      <c r="AC51" s="452">
        <f ca="1">IF(AND($D51="Serviço",AC$12&lt;&gt;0,$H51&gt;0,OR(AUTOEVENTO&lt;&gt;"manual",$M51&lt;&gt;$A$15)),
        IF(Import.TipoArredondamento&lt;&gt;"TransfereGOV",
              ROUND(OFFSET($P51,0,AC$13),15-13*ORÇAMENTO!$AF$7)/$H51*OFFSET(ORÇAMENTO!$X$15,ROW(AC51)-ROW(AC$15),0),
              ROUND(ROUND(OFFSET($P51,0,AC$13),15-13*ORÇAMENTO!$AF$7)*OFFSET(ORÇAMENTO!$W$15,ROW(AC51)-ROW(AC$15),0),15-13*ORÇAMENTO!$AF$11)),
         0)</f>
        <v>46655</v>
      </c>
      <c r="AD51" s="452">
        <f ca="1">IF(AND($D51="Serviço",AD$12&lt;&gt;0,$H51&gt;0,OR(AUTOEVENTO&lt;&gt;"manual",$M51&lt;&gt;$A$15)),
        IF(Import.TipoArredondamento&lt;&gt;"TransfereGOV",
              ROUND(OFFSET($P51,0,AD$13),15-13*ORÇAMENTO!$AF$7)/$H51*OFFSET(ORÇAMENTO!$X$15,ROW(AD51)-ROW(AD$15),0),
              ROUND(ROUND(OFFSET($P51,0,AD$13),15-13*ORÇAMENTO!$AF$7)*OFFSET(ORÇAMENTO!$W$15,ROW(AD51)-ROW(AD$15),0),15-13*ORÇAMENTO!$AF$11)),
         0)</f>
        <v>55986</v>
      </c>
      <c r="AE51" s="452">
        <f ca="1">IF(AND($D51="Serviço",AE$12&lt;&gt;0,$H51&gt;0,OR(AUTOEVENTO&lt;&gt;"manual",$M51&lt;&gt;$A$15)),
        IF(Import.TipoArredondamento&lt;&gt;"TransfereGOV",
              ROUND(OFFSET($P51,0,AE$13),15-13*ORÇAMENTO!$AF$7)/$H51*OFFSET(ORÇAMENTO!$X$15,ROW(AE51)-ROW(AE$15),0),
              ROUND(ROUND(OFFSET($P51,0,AE$13),15-13*ORÇAMENTO!$AF$7)*OFFSET(ORÇAMENTO!$W$15,ROW(AE51)-ROW(AE$15),0),15-13*ORÇAMENTO!$AF$11)),
         0)</f>
        <v>54655.4</v>
      </c>
      <c r="AF51" s="452">
        <f ca="1">IF(AND($D51="Serviço",AF$12&lt;&gt;0,$H51&gt;0,OR(AUTOEVENTO&lt;&gt;"manual",$M51&lt;&gt;$A$15)),
        IF(Import.TipoArredondamento&lt;&gt;"TransfereGOV",
              ROUND(OFFSET($P51,0,AF$13),15-13*ORÇAMENTO!$AF$7)/$H51*OFFSET(ORÇAMENTO!$X$15,ROW(AF51)-ROW(AF$15),0),
              ROUND(ROUND(OFFSET($P51,0,AF$13),15-13*ORÇAMENTO!$AF$7)*OFFSET(ORÇAMENTO!$W$15,ROW(AF51)-ROW(AF$15),0),15-13*ORÇAMENTO!$AF$11)),
         0)</f>
        <v>0</v>
      </c>
      <c r="AG51" s="452">
        <f ca="1">IF(AND($D51="Serviço",AG$12&lt;&gt;0,$H51&gt;0,OR(AUTOEVENTO&lt;&gt;"manual",$M51&lt;&gt;$A$15)),
        IF(Import.TipoArredondamento&lt;&gt;"TransfereGOV",
              ROUND(OFFSET($P51,0,AG$13),15-13*ORÇAMENTO!$AF$7)/$H51*OFFSET(ORÇAMENTO!$X$15,ROW(AG51)-ROW(AG$15),0),
              ROUND(ROUND(OFFSET($P51,0,AG$13),15-13*ORÇAMENTO!$AF$7)*OFFSET(ORÇAMENTO!$W$15,ROW(AG51)-ROW(AG$15),0),15-13*ORÇAMENTO!$AF$11)),
         0)</f>
        <v>0</v>
      </c>
      <c r="AH51" s="452">
        <f ca="1">IF(AND($D51="Serviço",AH$12&lt;&gt;0,$H51&gt;0,OR(AUTOEVENTO&lt;&gt;"manual",$M51&lt;&gt;$A$15)),
        IF(Import.TipoArredondamento&lt;&gt;"TransfereGOV",
              ROUND(OFFSET($P51,0,AH$13),15-13*ORÇAMENTO!$AF$7)/$H51*OFFSET(ORÇAMENTO!$X$15,ROW(AH51)-ROW(AH$15),0),
              ROUND(ROUND(OFFSET($P51,0,AH$13),15-13*ORÇAMENTO!$AF$7)*OFFSET(ORÇAMENTO!$W$15,ROW(AH51)-ROW(AH$15),0),15-13*ORÇAMENTO!$AF$11)),
         0)</f>
        <v>0</v>
      </c>
      <c r="AI51" s="452">
        <f ca="1">IF(AND($D51="Serviço",AI$12&lt;&gt;0,$H51&gt;0,OR(AUTOEVENTO&lt;&gt;"manual",$M51&lt;&gt;$A$15)),
        IF(Import.TipoArredondamento&lt;&gt;"TransfereGOV",
              ROUND(OFFSET($P51,0,AI$13),15-13*ORÇAMENTO!$AF$7)/$H51*OFFSET(ORÇAMENTO!$X$15,ROW(AI51)-ROW(AI$15),0),
              ROUND(ROUND(OFFSET($P51,0,AI$13),15-13*ORÇAMENTO!$AF$7)*OFFSET(ORÇAMENTO!$W$15,ROW(AI51)-ROW(AI$15),0),15-13*ORÇAMENTO!$AF$11)),
         0)</f>
        <v>0</v>
      </c>
      <c r="AJ51" s="452">
        <f ca="1">IF(AND($D51="Serviço",AJ$12&lt;&gt;0,$H51&gt;0,OR(AUTOEVENTO&lt;&gt;"manual",$M51&lt;&gt;$A$15)),
        IF(Import.TipoArredondamento&lt;&gt;"TransfereGOV",
              ROUND(OFFSET($P51,0,AJ$13),15-13*ORÇAMENTO!$AF$7)/$H51*OFFSET(ORÇAMENTO!$X$15,ROW(AJ51)-ROW(AJ$15),0),
              ROUND(ROUND(OFFSET($P51,0,AJ$13),15-13*ORÇAMENTO!$AF$7)*OFFSET(ORÇAMENTO!$W$15,ROW(AJ51)-ROW(AJ$15),0),15-13*ORÇAMENTO!$AF$11)),
         0)</f>
        <v>0</v>
      </c>
      <c r="AK51" s="452">
        <f ca="1">IF(AND($D51="Serviço",AK$12&lt;&gt;0,$H51&gt;0,OR(AUTOEVENTO&lt;&gt;"manual",$M51&lt;&gt;$A$15)),
        IF(Import.TipoArredondamento&lt;&gt;"TransfereGOV",
              ROUND(OFFSET($P51,0,AK$13),15-13*ORÇAMENTO!$AF$7)/$H51*OFFSET(ORÇAMENTO!$X$15,ROW(AK51)-ROW(AK$15),0),
              ROUND(ROUND(OFFSET($P51,0,AK$13),15-13*ORÇAMENTO!$AF$7)*OFFSET(ORÇAMENTO!$W$15,ROW(AK51)-ROW(AK$15),0),15-13*ORÇAMENTO!$AF$11)),
         0)</f>
        <v>0</v>
      </c>
      <c r="AM51" s="170">
        <f ca="1">IF(OR($D51&lt;&gt;"Serviço",AND(AUTOEVENTO="Manual",$M51=$A$15)),0,
         IF(OFFSET(CRONOPLE!$F$15,$M51-$A$15,AM$13)=0,10^12,OFFSET(CRONOPLE!$F$15,$M51-$A$15,AM$13)))</f>
        <v>1</v>
      </c>
      <c r="AN51" s="170">
        <f ca="1">IF(OR($D51&lt;&gt;"Serviço",AND(AUTOEVENTO="Manual",$M51=$A$15)),0,
         IF(OFFSET(CRONOPLE!$F$15,$M51-$A$15,AN$13)=0,10^12,OFFSET(CRONOPLE!$F$15,$M51-$A$15,AN$13)))</f>
        <v>2</v>
      </c>
      <c r="AO51" s="170">
        <f ca="1">IF(OR($D51&lt;&gt;"Serviço",AND(AUTOEVENTO="Manual",$M51=$A$15)),0,
         IF(OFFSET(CRONOPLE!$F$15,$M51-$A$15,AO$13)=0,10^12,OFFSET(CRONOPLE!$F$15,$M51-$A$15,AO$13)))</f>
        <v>3</v>
      </c>
      <c r="AP51" s="170">
        <f ca="1">IF(OR($D51&lt;&gt;"Serviço",AND(AUTOEVENTO="Manual",$M51=$A$15)),0,
         IF(OFFSET(CRONOPLE!$F$15,$M51-$A$15,AP$13)=0,10^12,OFFSET(CRONOPLE!$F$15,$M51-$A$15,AP$13)))</f>
        <v>4</v>
      </c>
      <c r="AQ51" s="170">
        <f ca="1">IF(OR($D51&lt;&gt;"Serviço",AND(AUTOEVENTO="Manual",$M51=$A$15)),0,
         IF(OFFSET(CRONOPLE!$F$15,$M51-$A$15,AQ$13)=0,10^12,OFFSET(CRONOPLE!$F$15,$M51-$A$15,AQ$13)))</f>
        <v>1000000000000</v>
      </c>
      <c r="AR51" s="170">
        <f ca="1">IF(OR($D51&lt;&gt;"Serviço",AND(AUTOEVENTO="Manual",$M51=$A$15)),0,
         IF(OFFSET(CRONOPLE!$F$15,$M51-$A$15,AR$13)=0,10^12,OFFSET(CRONOPLE!$F$15,$M51-$A$15,AR$13)))</f>
        <v>1000000000000</v>
      </c>
      <c r="AS51" s="170">
        <f ca="1">IF(OR($D51&lt;&gt;"Serviço",AND(AUTOEVENTO="Manual",$M51=$A$15)),0,
         IF(OFFSET(CRONOPLE!$F$15,$M51-$A$15,AS$13)=0,10^12,OFFSET(CRONOPLE!$F$15,$M51-$A$15,AS$13)))</f>
        <v>1000000000000</v>
      </c>
      <c r="AT51" s="170">
        <f ca="1">IF(OR($D51&lt;&gt;"Serviço",AND(AUTOEVENTO="Manual",$M51=$A$15)),0,
         IF(OFFSET(CRONOPLE!$F$15,$M51-$A$15,AT$13)=0,10^12,OFFSET(CRONOPLE!$F$15,$M51-$A$15,AT$13)))</f>
        <v>1000000000000</v>
      </c>
      <c r="AU51" s="170">
        <f ca="1">IF(OR($D51&lt;&gt;"Serviço",AND(AUTOEVENTO="Manual",$M51=$A$15)),0,
         IF(OFFSET(CRONOPLE!$F$15,$M51-$A$15,AU$13)=0,10^12,OFFSET(CRONOPLE!$F$15,$M51-$A$15,AU$13)))</f>
        <v>1000000000000</v>
      </c>
      <c r="AV51" s="170">
        <f ca="1">IF(OR($D51&lt;&gt;"Serviço",AND(AUTOEVENTO="Manual",$M51=$A$15)),0,
         IF(OFFSET(CRONOPLE!$F$15,$M51-$A$15,AV$13)=0,10^12,OFFSET(CRONOPLE!$F$15,$M51-$A$15,AV$13)))</f>
        <v>1000000000000</v>
      </c>
      <c r="AX51" s="171" cm="1">
        <f t="array" aca="1" ref="AX51" ca="1">IF(OR($D51&lt;&gt;"Serviço",AND(AUTOEVENTO="Manual",$M51=$A$15),$M51&gt;(ROW(PLE.lastrow)-ROW(PLE.firstrow))),0,
           IF(OFFSET(PLE!$G$15,$M51-$A$15,AX$13)="",10^12,OFFSET(PLE!$G$15,$M51-$A$15,AX$13)))</f>
        <v>1000000000000</v>
      </c>
      <c r="AY51" s="171" cm="1">
        <f t="array" aca="1" ref="AY51" ca="1">IF(OR($D51&lt;&gt;"Serviço",AND(AUTOEVENTO="Manual",$M51=$A$15),$M51&gt;(ROW(PLE.lastrow)-ROW(PLE.firstrow))),0,
           IF(OFFSET(PLE!$G$15,$M51-$A$15,AY$13)="",10^12,OFFSET(PLE!$G$15,$M51-$A$15,AY$13)))</f>
        <v>1000000000000</v>
      </c>
      <c r="AZ51" s="171" cm="1">
        <f t="array" aca="1" ref="AZ51" ca="1">IF(OR($D51&lt;&gt;"Serviço",AND(AUTOEVENTO="Manual",$M51=$A$15),$M51&gt;(ROW(PLE.lastrow)-ROW(PLE.firstrow))),0,
           IF(OFFSET(PLE!$G$15,$M51-$A$15,AZ$13)="",10^12,OFFSET(PLE!$G$15,$M51-$A$15,AZ$13)))</f>
        <v>1000000000000</v>
      </c>
      <c r="BA51" s="171" cm="1">
        <f t="array" aca="1" ref="BA51" ca="1">IF(OR($D51&lt;&gt;"Serviço",AND(AUTOEVENTO="Manual",$M51=$A$15),$M51&gt;(ROW(PLE.lastrow)-ROW(PLE.firstrow))),0,
           IF(OFFSET(PLE!$G$15,$M51-$A$15,BA$13)="",10^12,OFFSET(PLE!$G$15,$M51-$A$15,BA$13)))</f>
        <v>1000000000000</v>
      </c>
      <c r="BB51" s="171" cm="1">
        <f t="array" aca="1" ref="BB51" ca="1">IF(OR($D51&lt;&gt;"Serviço",AND(AUTOEVENTO="Manual",$M51=$A$15),$M51&gt;(ROW(PLE.lastrow)-ROW(PLE.firstrow))),0,
           IF(OFFSET(PLE!$G$15,$M51-$A$15,BB$13)="",10^12,OFFSET(PLE!$G$15,$M51-$A$15,BB$13)))</f>
        <v>1000000000000</v>
      </c>
      <c r="BC51" s="171" cm="1">
        <f t="array" aca="1" ref="BC51" ca="1">IF(OR($D51&lt;&gt;"Serviço",AND(AUTOEVENTO="Manual",$M51=$A$15),$M51&gt;(ROW(PLE.lastrow)-ROW(PLE.firstrow))),0,
           IF(OFFSET(PLE!$G$15,$M51-$A$15,BC$13)="",10^12,OFFSET(PLE!$G$15,$M51-$A$15,BC$13)))</f>
        <v>1000000000000</v>
      </c>
      <c r="BD51" s="171" cm="1">
        <f t="array" aca="1" ref="BD51" ca="1">IF(OR($D51&lt;&gt;"Serviço",AND(AUTOEVENTO="Manual",$M51=$A$15),$M51&gt;(ROW(PLE.lastrow)-ROW(PLE.firstrow))),0,
           IF(OFFSET(PLE!$G$15,$M51-$A$15,BD$13)="",10^12,OFFSET(PLE!$G$15,$M51-$A$15,BD$13)))</f>
        <v>1000000000000</v>
      </c>
      <c r="BE51" s="171" cm="1">
        <f t="array" aca="1" ref="BE51" ca="1">IF(OR($D51&lt;&gt;"Serviço",AND(AUTOEVENTO="Manual",$M51=$A$15),$M51&gt;(ROW(PLE.lastrow)-ROW(PLE.firstrow))),0,
           IF(OFFSET(PLE!$G$15,$M51-$A$15,BE$13)="",10^12,OFFSET(PLE!$G$15,$M51-$A$15,BE$13)))</f>
        <v>1000000000000</v>
      </c>
      <c r="BF51" s="171" cm="1">
        <f t="array" aca="1" ref="BF51" ca="1">IF(OR($D51&lt;&gt;"Serviço",AND(AUTOEVENTO="Manual",$M51=$A$15),$M51&gt;(ROW(PLE.lastrow)-ROW(PLE.firstrow))),0,
           IF(OFFSET(PLE!$G$15,$M51-$A$15,BF$13)="",10^12,OFFSET(PLE!$G$15,$M51-$A$15,BF$13)))</f>
        <v>1000000000000</v>
      </c>
      <c r="BG51" s="171" cm="1">
        <f t="array" aca="1" ref="BG51" ca="1">IF(OR($D51&lt;&gt;"Serviço",AND(AUTOEVENTO="Manual",$M51=$A$15),$M51&gt;(ROW(PLE.lastrow)-ROW(PLE.firstrow))),0,
           IF(OFFSET(PLE!$G$15,$M51-$A$15,BG$13)="",10^12,OFFSET(PLE!$G$15,$M51-$A$15,BG$13)))</f>
        <v>1000000000000</v>
      </c>
    </row>
    <row r="52" spans="1:59" ht="38.25" x14ac:dyDescent="0.2">
      <c r="A52" s="7" t="str">
        <f t="shared" ca="1" si="8"/>
        <v>33</v>
      </c>
      <c r="B52" s="7" t="str">
        <f ca="1">OFFSET(ORÇAMENTO!C$15,$L52,0)</f>
        <v>S</v>
      </c>
      <c r="C52" s="7" t="str">
        <f ca="1">OFFSET(ORÇAMENTO!L$15,$L52,0)</f>
        <v>F</v>
      </c>
      <c r="D52" s="115" t="str">
        <f ca="1">OFFSET(ORÇAMENTO!N$15,$L52,0)</f>
        <v>Serviço</v>
      </c>
      <c r="E52" s="116" t="str">
        <f ca="1">OFFSET(ORÇAMENTO!O$15,$L52,0)</f>
        <v>1.7.4.</v>
      </c>
      <c r="F52" s="162" t="str">
        <f ca="1">OFFSET(ORÇAMENTO!R$15,$L52,0)</f>
        <v>TRANSPORTE COM CAMINHÃO BASCULANTE DE 10 M³, EM VIA URBANA EM REVESTIMENTO PRIMÁRIO (UNIDADE:
 M3XKM). AF_07/2020</v>
      </c>
      <c r="G52" s="163" t="str">
        <f ca="1">IF($D52&lt;&gt;"Serviço","",OFFSET(ORÇAMENTO!S$15,$L52,0))</f>
        <v>M3XKM</v>
      </c>
      <c r="H52" s="121" cm="1">
        <f t="array" aca="1" ref="H52" ca="1">IF($D52&lt;&gt;"Serviço",0,IF(ACOMPANHAMENTO="BM",ROUND(OFFSET(ORÇAMENTO!AJ$15,$L52,0),15-13*ORÇAMENTO!$AF$7),IF(IFERROR(CÁLCULO.FrentesPreenchidas,0)=0,0,SUM(ROUND(OFFSET($P52,0,1,1,CÁLCULO.FrentesPreenchidas),15-13*ORÇAMENTO!$AF$7)))))</f>
        <v>2778.11</v>
      </c>
      <c r="I52" s="467"/>
      <c r="J52" s="650" t="str" cm="1">
        <f t="array" aca="1" ref="J52" ca="1">IF(OR(B52&lt;&gt;"S",CÁLCULO.FrentesPreenchidas=0),"",IF(AND(ACOMPANHAMENTO="PLE",AUTOEVENTO="Manual",OR(H52&gt;0,ORÇAMENTO!AC52="QUANT."),OR(K52="",M52=0,N52="")),"►E",IF(AND(ACOMPANHAMENTO="PLE",ORÇAMENTO!AC52="QUANT."),"►Q",IF(AND(ACOMPANHAMENTO="PLE",H52&lt;&gt;SUMPRODUCT(($Q$1:$AA$1=1)*ROUND(Q52:AA52,15))),"►S",IF(AND(COUNTIF($P$11:$AA$11,"▼")=0,H52&gt;0,I52=""),"◄M","")))))</f>
        <v>◄M</v>
      </c>
      <c r="K52" s="651"/>
      <c r="L52" s="164">
        <f t="shared" ca="1" si="9"/>
        <v>37</v>
      </c>
      <c r="M52" s="165">
        <f ca="1">IF($D52&lt;&gt;"Serviço","",
          IF(AUTOEVENTO="manual",$A52,
                IF(ISERROR(MATCH($A52,$A$15:OFFSET($A52,-1,0),0)),MAX($M$15:OFFSET(M52,-1,0))+1,
                      INDEX($M$15:OFFSET(M52,-1,0),MATCH($A52,$A$15:OFFSET($A52,-1,0),0)))))</f>
        <v>7</v>
      </c>
      <c r="N52" s="166" t="str">
        <f ca="1">IF($D52&lt;&gt;"Serviço","",
         IF(AUTOEVENTO="Manual",
                IF($A52=0,"&lt;-- defina o número do agrupador",
                       OFFSET(EVENTOS!$D$15,$A52-$A$15,0)),
                OFFSET($F$15,$A52,0)))</f>
        <v>CALÇAMENTO</v>
      </c>
      <c r="O52" s="167"/>
      <c r="Q52" s="167"/>
      <c r="R52" s="168">
        <v>824.31</v>
      </c>
      <c r="S52" s="168">
        <v>989.17</v>
      </c>
      <c r="T52" s="168">
        <v>964.63</v>
      </c>
      <c r="U52" s="168"/>
      <c r="V52" s="168"/>
      <c r="W52" s="168"/>
      <c r="X52" s="168"/>
      <c r="Y52" s="168"/>
      <c r="Z52" s="169"/>
      <c r="AB52" s="452">
        <f ca="1">IF(AND($D52="Serviço",AB$12&lt;&gt;0,$H52&gt;0,OR(AUTOEVENTO&lt;&gt;"manual",$M52&lt;&gt;$A$15)),
        IF(Import.TipoArredondamento&lt;&gt;"TransfereGOV",
              ROUND(OFFSET($P52,0,AB$13),15-13*ORÇAMENTO!$AF$7)/$H52*OFFSET(ORÇAMENTO!$X$15,ROW(AB52)-ROW(AB$15),0),
              ROUND(ROUND(OFFSET($P52,0,AB$13),15-13*ORÇAMENTO!$AF$7)*OFFSET(ORÇAMENTO!$W$15,ROW(AB52)-ROW(AB$15),0),15-13*ORÇAMENTO!$AF$11)),
         0)</f>
        <v>0</v>
      </c>
      <c r="AC52" s="452">
        <f ca="1">IF(AND($D52="Serviço",AC$12&lt;&gt;0,$H52&gt;0,OR(AUTOEVENTO&lt;&gt;"manual",$M52&lt;&gt;$A$15)),
        IF(Import.TipoArredondamento&lt;&gt;"TransfereGOV",
              ROUND(OFFSET($P52,0,AC$13),15-13*ORÇAMENTO!$AF$7)/$H52*OFFSET(ORÇAMENTO!$X$15,ROW(AC52)-ROW(AC$15),0),
              ROUND(ROUND(OFFSET($P52,0,AC$13),15-13*ORÇAMENTO!$AF$7)*OFFSET(ORÇAMENTO!$W$15,ROW(AC52)-ROW(AC$15),0),15-13*ORÇAMENTO!$AF$11)),
         0)</f>
        <v>2308.0700000000002</v>
      </c>
      <c r="AD52" s="452">
        <f ca="1">IF(AND($D52="Serviço",AD$12&lt;&gt;0,$H52&gt;0,OR(AUTOEVENTO&lt;&gt;"manual",$M52&lt;&gt;$A$15)),
        IF(Import.TipoArredondamento&lt;&gt;"TransfereGOV",
              ROUND(OFFSET($P52,0,AD$13),15-13*ORÇAMENTO!$AF$7)/$H52*OFFSET(ORÇAMENTO!$X$15,ROW(AD52)-ROW(AD$15),0),
              ROUND(ROUND(OFFSET($P52,0,AD$13),15-13*ORÇAMENTO!$AF$7)*OFFSET(ORÇAMENTO!$W$15,ROW(AD52)-ROW(AD$15),0),15-13*ORÇAMENTO!$AF$11)),
         0)</f>
        <v>2769.68</v>
      </c>
      <c r="AE52" s="452">
        <f ca="1">IF(AND($D52="Serviço",AE$12&lt;&gt;0,$H52&gt;0,OR(AUTOEVENTO&lt;&gt;"manual",$M52&lt;&gt;$A$15)),
        IF(Import.TipoArredondamento&lt;&gt;"TransfereGOV",
              ROUND(OFFSET($P52,0,AE$13),15-13*ORÇAMENTO!$AF$7)/$H52*OFFSET(ORÇAMENTO!$X$15,ROW(AE52)-ROW(AE$15),0),
              ROUND(ROUND(OFFSET($P52,0,AE$13),15-13*ORÇAMENTO!$AF$7)*OFFSET(ORÇAMENTO!$W$15,ROW(AE52)-ROW(AE$15),0),15-13*ORÇAMENTO!$AF$11)),
         0)</f>
        <v>2700.96</v>
      </c>
      <c r="AF52" s="452">
        <f ca="1">IF(AND($D52="Serviço",AF$12&lt;&gt;0,$H52&gt;0,OR(AUTOEVENTO&lt;&gt;"manual",$M52&lt;&gt;$A$15)),
        IF(Import.TipoArredondamento&lt;&gt;"TransfereGOV",
              ROUND(OFFSET($P52,0,AF$13),15-13*ORÇAMENTO!$AF$7)/$H52*OFFSET(ORÇAMENTO!$X$15,ROW(AF52)-ROW(AF$15),0),
              ROUND(ROUND(OFFSET($P52,0,AF$13),15-13*ORÇAMENTO!$AF$7)*OFFSET(ORÇAMENTO!$W$15,ROW(AF52)-ROW(AF$15),0),15-13*ORÇAMENTO!$AF$11)),
         0)</f>
        <v>0</v>
      </c>
      <c r="AG52" s="452">
        <f ca="1">IF(AND($D52="Serviço",AG$12&lt;&gt;0,$H52&gt;0,OR(AUTOEVENTO&lt;&gt;"manual",$M52&lt;&gt;$A$15)),
        IF(Import.TipoArredondamento&lt;&gt;"TransfereGOV",
              ROUND(OFFSET($P52,0,AG$13),15-13*ORÇAMENTO!$AF$7)/$H52*OFFSET(ORÇAMENTO!$X$15,ROW(AG52)-ROW(AG$15),0),
              ROUND(ROUND(OFFSET($P52,0,AG$13),15-13*ORÇAMENTO!$AF$7)*OFFSET(ORÇAMENTO!$W$15,ROW(AG52)-ROW(AG$15),0),15-13*ORÇAMENTO!$AF$11)),
         0)</f>
        <v>0</v>
      </c>
      <c r="AH52" s="452">
        <f ca="1">IF(AND($D52="Serviço",AH$12&lt;&gt;0,$H52&gt;0,OR(AUTOEVENTO&lt;&gt;"manual",$M52&lt;&gt;$A$15)),
        IF(Import.TipoArredondamento&lt;&gt;"TransfereGOV",
              ROUND(OFFSET($P52,0,AH$13),15-13*ORÇAMENTO!$AF$7)/$H52*OFFSET(ORÇAMENTO!$X$15,ROW(AH52)-ROW(AH$15),0),
              ROUND(ROUND(OFFSET($P52,0,AH$13),15-13*ORÇAMENTO!$AF$7)*OFFSET(ORÇAMENTO!$W$15,ROW(AH52)-ROW(AH$15),0),15-13*ORÇAMENTO!$AF$11)),
         0)</f>
        <v>0</v>
      </c>
      <c r="AI52" s="452">
        <f ca="1">IF(AND($D52="Serviço",AI$12&lt;&gt;0,$H52&gt;0,OR(AUTOEVENTO&lt;&gt;"manual",$M52&lt;&gt;$A$15)),
        IF(Import.TipoArredondamento&lt;&gt;"TransfereGOV",
              ROUND(OFFSET($P52,0,AI$13),15-13*ORÇAMENTO!$AF$7)/$H52*OFFSET(ORÇAMENTO!$X$15,ROW(AI52)-ROW(AI$15),0),
              ROUND(ROUND(OFFSET($P52,0,AI$13),15-13*ORÇAMENTO!$AF$7)*OFFSET(ORÇAMENTO!$W$15,ROW(AI52)-ROW(AI$15),0),15-13*ORÇAMENTO!$AF$11)),
         0)</f>
        <v>0</v>
      </c>
      <c r="AJ52" s="452">
        <f ca="1">IF(AND($D52="Serviço",AJ$12&lt;&gt;0,$H52&gt;0,OR(AUTOEVENTO&lt;&gt;"manual",$M52&lt;&gt;$A$15)),
        IF(Import.TipoArredondamento&lt;&gt;"TransfereGOV",
              ROUND(OFFSET($P52,0,AJ$13),15-13*ORÇAMENTO!$AF$7)/$H52*OFFSET(ORÇAMENTO!$X$15,ROW(AJ52)-ROW(AJ$15),0),
              ROUND(ROUND(OFFSET($P52,0,AJ$13),15-13*ORÇAMENTO!$AF$7)*OFFSET(ORÇAMENTO!$W$15,ROW(AJ52)-ROW(AJ$15),0),15-13*ORÇAMENTO!$AF$11)),
         0)</f>
        <v>0</v>
      </c>
      <c r="AK52" s="452">
        <f ca="1">IF(AND($D52="Serviço",AK$12&lt;&gt;0,$H52&gt;0,OR(AUTOEVENTO&lt;&gt;"manual",$M52&lt;&gt;$A$15)),
        IF(Import.TipoArredondamento&lt;&gt;"TransfereGOV",
              ROUND(OFFSET($P52,0,AK$13),15-13*ORÇAMENTO!$AF$7)/$H52*OFFSET(ORÇAMENTO!$X$15,ROW(AK52)-ROW(AK$15),0),
              ROUND(ROUND(OFFSET($P52,0,AK$13),15-13*ORÇAMENTO!$AF$7)*OFFSET(ORÇAMENTO!$W$15,ROW(AK52)-ROW(AK$15),0),15-13*ORÇAMENTO!$AF$11)),
         0)</f>
        <v>0</v>
      </c>
      <c r="AM52" s="170">
        <f ca="1">IF(OR($D52&lt;&gt;"Serviço",AND(AUTOEVENTO="Manual",$M52=$A$15)),0,
         IF(OFFSET(CRONOPLE!$F$15,$M52-$A$15,AM$13)=0,10^12,OFFSET(CRONOPLE!$F$15,$M52-$A$15,AM$13)))</f>
        <v>1</v>
      </c>
      <c r="AN52" s="170">
        <f ca="1">IF(OR($D52&lt;&gt;"Serviço",AND(AUTOEVENTO="Manual",$M52=$A$15)),0,
         IF(OFFSET(CRONOPLE!$F$15,$M52-$A$15,AN$13)=0,10^12,OFFSET(CRONOPLE!$F$15,$M52-$A$15,AN$13)))</f>
        <v>2</v>
      </c>
      <c r="AO52" s="170">
        <f ca="1">IF(OR($D52&lt;&gt;"Serviço",AND(AUTOEVENTO="Manual",$M52=$A$15)),0,
         IF(OFFSET(CRONOPLE!$F$15,$M52-$A$15,AO$13)=0,10^12,OFFSET(CRONOPLE!$F$15,$M52-$A$15,AO$13)))</f>
        <v>3</v>
      </c>
      <c r="AP52" s="170">
        <f ca="1">IF(OR($D52&lt;&gt;"Serviço",AND(AUTOEVENTO="Manual",$M52=$A$15)),0,
         IF(OFFSET(CRONOPLE!$F$15,$M52-$A$15,AP$13)=0,10^12,OFFSET(CRONOPLE!$F$15,$M52-$A$15,AP$13)))</f>
        <v>4</v>
      </c>
      <c r="AQ52" s="170">
        <f ca="1">IF(OR($D52&lt;&gt;"Serviço",AND(AUTOEVENTO="Manual",$M52=$A$15)),0,
         IF(OFFSET(CRONOPLE!$F$15,$M52-$A$15,AQ$13)=0,10^12,OFFSET(CRONOPLE!$F$15,$M52-$A$15,AQ$13)))</f>
        <v>1000000000000</v>
      </c>
      <c r="AR52" s="170">
        <f ca="1">IF(OR($D52&lt;&gt;"Serviço",AND(AUTOEVENTO="Manual",$M52=$A$15)),0,
         IF(OFFSET(CRONOPLE!$F$15,$M52-$A$15,AR$13)=0,10^12,OFFSET(CRONOPLE!$F$15,$M52-$A$15,AR$13)))</f>
        <v>1000000000000</v>
      </c>
      <c r="AS52" s="170">
        <f ca="1">IF(OR($D52&lt;&gt;"Serviço",AND(AUTOEVENTO="Manual",$M52=$A$15)),0,
         IF(OFFSET(CRONOPLE!$F$15,$M52-$A$15,AS$13)=0,10^12,OFFSET(CRONOPLE!$F$15,$M52-$A$15,AS$13)))</f>
        <v>1000000000000</v>
      </c>
      <c r="AT52" s="170">
        <f ca="1">IF(OR($D52&lt;&gt;"Serviço",AND(AUTOEVENTO="Manual",$M52=$A$15)),0,
         IF(OFFSET(CRONOPLE!$F$15,$M52-$A$15,AT$13)=0,10^12,OFFSET(CRONOPLE!$F$15,$M52-$A$15,AT$13)))</f>
        <v>1000000000000</v>
      </c>
      <c r="AU52" s="170">
        <f ca="1">IF(OR($D52&lt;&gt;"Serviço",AND(AUTOEVENTO="Manual",$M52=$A$15)),0,
         IF(OFFSET(CRONOPLE!$F$15,$M52-$A$15,AU$13)=0,10^12,OFFSET(CRONOPLE!$F$15,$M52-$A$15,AU$13)))</f>
        <v>1000000000000</v>
      </c>
      <c r="AV52" s="170">
        <f ca="1">IF(OR($D52&lt;&gt;"Serviço",AND(AUTOEVENTO="Manual",$M52=$A$15)),0,
         IF(OFFSET(CRONOPLE!$F$15,$M52-$A$15,AV$13)=0,10^12,OFFSET(CRONOPLE!$F$15,$M52-$A$15,AV$13)))</f>
        <v>1000000000000</v>
      </c>
      <c r="AX52" s="171" cm="1">
        <f t="array" aca="1" ref="AX52" ca="1">IF(OR($D52&lt;&gt;"Serviço",AND(AUTOEVENTO="Manual",$M52=$A$15),$M52&gt;(ROW(PLE.lastrow)-ROW(PLE.firstrow))),0,
           IF(OFFSET(PLE!$G$15,$M52-$A$15,AX$13)="",10^12,OFFSET(PLE!$G$15,$M52-$A$15,AX$13)))</f>
        <v>1000000000000</v>
      </c>
      <c r="AY52" s="171" cm="1">
        <f t="array" aca="1" ref="AY52" ca="1">IF(OR($D52&lt;&gt;"Serviço",AND(AUTOEVENTO="Manual",$M52=$A$15),$M52&gt;(ROW(PLE.lastrow)-ROW(PLE.firstrow))),0,
           IF(OFFSET(PLE!$G$15,$M52-$A$15,AY$13)="",10^12,OFFSET(PLE!$G$15,$M52-$A$15,AY$13)))</f>
        <v>1000000000000</v>
      </c>
      <c r="AZ52" s="171" cm="1">
        <f t="array" aca="1" ref="AZ52" ca="1">IF(OR($D52&lt;&gt;"Serviço",AND(AUTOEVENTO="Manual",$M52=$A$15),$M52&gt;(ROW(PLE.lastrow)-ROW(PLE.firstrow))),0,
           IF(OFFSET(PLE!$G$15,$M52-$A$15,AZ$13)="",10^12,OFFSET(PLE!$G$15,$M52-$A$15,AZ$13)))</f>
        <v>1000000000000</v>
      </c>
      <c r="BA52" s="171" cm="1">
        <f t="array" aca="1" ref="BA52" ca="1">IF(OR($D52&lt;&gt;"Serviço",AND(AUTOEVENTO="Manual",$M52=$A$15),$M52&gt;(ROW(PLE.lastrow)-ROW(PLE.firstrow))),0,
           IF(OFFSET(PLE!$G$15,$M52-$A$15,BA$13)="",10^12,OFFSET(PLE!$G$15,$M52-$A$15,BA$13)))</f>
        <v>1000000000000</v>
      </c>
      <c r="BB52" s="171" cm="1">
        <f t="array" aca="1" ref="BB52" ca="1">IF(OR($D52&lt;&gt;"Serviço",AND(AUTOEVENTO="Manual",$M52=$A$15),$M52&gt;(ROW(PLE.lastrow)-ROW(PLE.firstrow))),0,
           IF(OFFSET(PLE!$G$15,$M52-$A$15,BB$13)="",10^12,OFFSET(PLE!$G$15,$M52-$A$15,BB$13)))</f>
        <v>1000000000000</v>
      </c>
      <c r="BC52" s="171" cm="1">
        <f t="array" aca="1" ref="BC52" ca="1">IF(OR($D52&lt;&gt;"Serviço",AND(AUTOEVENTO="Manual",$M52=$A$15),$M52&gt;(ROW(PLE.lastrow)-ROW(PLE.firstrow))),0,
           IF(OFFSET(PLE!$G$15,$M52-$A$15,BC$13)="",10^12,OFFSET(PLE!$G$15,$M52-$A$15,BC$13)))</f>
        <v>1000000000000</v>
      </c>
      <c r="BD52" s="171" cm="1">
        <f t="array" aca="1" ref="BD52" ca="1">IF(OR($D52&lt;&gt;"Serviço",AND(AUTOEVENTO="Manual",$M52=$A$15),$M52&gt;(ROW(PLE.lastrow)-ROW(PLE.firstrow))),0,
           IF(OFFSET(PLE!$G$15,$M52-$A$15,BD$13)="",10^12,OFFSET(PLE!$G$15,$M52-$A$15,BD$13)))</f>
        <v>1000000000000</v>
      </c>
      <c r="BE52" s="171" cm="1">
        <f t="array" aca="1" ref="BE52" ca="1">IF(OR($D52&lt;&gt;"Serviço",AND(AUTOEVENTO="Manual",$M52=$A$15),$M52&gt;(ROW(PLE.lastrow)-ROW(PLE.firstrow))),0,
           IF(OFFSET(PLE!$G$15,$M52-$A$15,BE$13)="",10^12,OFFSET(PLE!$G$15,$M52-$A$15,BE$13)))</f>
        <v>1000000000000</v>
      </c>
      <c r="BF52" s="171" cm="1">
        <f t="array" aca="1" ref="BF52" ca="1">IF(OR($D52&lt;&gt;"Serviço",AND(AUTOEVENTO="Manual",$M52=$A$15),$M52&gt;(ROW(PLE.lastrow)-ROW(PLE.firstrow))),0,
           IF(OFFSET(PLE!$G$15,$M52-$A$15,BF$13)="",10^12,OFFSET(PLE!$G$15,$M52-$A$15,BF$13)))</f>
        <v>1000000000000</v>
      </c>
      <c r="BG52" s="171" cm="1">
        <f t="array" aca="1" ref="BG52" ca="1">IF(OR($D52&lt;&gt;"Serviço",AND(AUTOEVENTO="Manual",$M52=$A$15),$M52&gt;(ROW(PLE.lastrow)-ROW(PLE.firstrow))),0,
           IF(OFFSET(PLE!$G$15,$M52-$A$15,BG$13)="",10^12,OFFSET(PLE!$G$15,$M52-$A$15,BG$13)))</f>
        <v>1000000000000</v>
      </c>
    </row>
    <row r="53" spans="1:59" ht="12.75" x14ac:dyDescent="0.2">
      <c r="A53" s="7" t="str">
        <f t="shared" ca="1" si="8"/>
        <v>38.</v>
      </c>
      <c r="B53" s="7">
        <f ca="1">OFFSET(ORÇAMENTO!C$15,$L53,0)</f>
        <v>2</v>
      </c>
      <c r="C53" s="7" t="str">
        <f ca="1">OFFSET(ORÇAMENTO!L$15,$L53,0)</f>
        <v>F</v>
      </c>
      <c r="D53" s="115" t="str">
        <f ca="1">OFFSET(ORÇAMENTO!N$15,$L53,0)</f>
        <v>Nível 2</v>
      </c>
      <c r="E53" s="116" t="str">
        <f ca="1">OFFSET(ORÇAMENTO!O$15,$L53,0)</f>
        <v>1.8.</v>
      </c>
      <c r="F53" s="162" t="str">
        <f ca="1">OFFSET(ORÇAMENTO!R$15,$L53,0)</f>
        <v>SERVIÇOS COMPLEMENTARES</v>
      </c>
      <c r="G53" s="163" t="str">
        <f ca="1">IF($D53&lt;&gt;"Serviço","",OFFSET(ORÇAMENTO!S$15,$L53,0))</f>
        <v/>
      </c>
      <c r="H53" s="121" cm="1">
        <f t="array" aca="1" ref="H53" ca="1">IF($D53&lt;&gt;"Serviço",0,IF(ACOMPANHAMENTO="BM",ROUND(OFFSET(ORÇAMENTO!AJ$15,$L53,0),15-13*ORÇAMENTO!$AF$7),IF(IFERROR(CÁLCULO.FrentesPreenchidas,0)=0,0,SUM(ROUND(OFFSET($P53,0,1,1,CÁLCULO.FrentesPreenchidas),15-13*ORÇAMENTO!$AF$7)))))</f>
        <v>0</v>
      </c>
      <c r="I53" s="467"/>
      <c r="J53" s="650" t="str" cm="1">
        <f t="array" aca="1" ref="J53" ca="1">IF(OR(B53&lt;&gt;"S",CÁLCULO.FrentesPreenchidas=0),"",IF(AND(ACOMPANHAMENTO="PLE",AUTOEVENTO="Manual",OR(H53&gt;0,ORÇAMENTO!AC53="QUANT."),OR(K53="",M53=0,N53="")),"►E",IF(AND(ACOMPANHAMENTO="PLE",ORÇAMENTO!AC53="QUANT."),"►Q",IF(AND(ACOMPANHAMENTO="PLE",H53&lt;&gt;SUMPRODUCT(($Q$1:$AA$1=1)*ROUND(Q53:AA53,15))),"►S",IF(AND(COUNTIF($P$11:$AA$11,"▼")=0,H53&gt;0,I53=""),"◄M","")))))</f>
        <v/>
      </c>
      <c r="K53" s="651"/>
      <c r="L53" s="164">
        <f t="shared" ca="1" si="9"/>
        <v>38</v>
      </c>
      <c r="M53" s="165" t="str">
        <f ca="1">IF($D53&lt;&gt;"Serviço","",
          IF(AUTOEVENTO="manual",$A53,
                IF(ISERROR(MATCH($A53,$A$15:OFFSET($A53,-1,0),0)),MAX($M$15:OFFSET(M53,-1,0))+1,
                      INDEX($M$15:OFFSET(M53,-1,0),MATCH($A53,$A$15:OFFSET($A53,-1,0),0)))))</f>
        <v/>
      </c>
      <c r="N53" s="166" t="str">
        <f ca="1">IF($D53&lt;&gt;"Serviço","",
         IF(AUTOEVENTO="Manual",
                IF($A53=0,"&lt;-- defina o número do agrupador",
                       OFFSET(EVENTOS!$D$15,$A53-$A$15,0)),
                OFFSET($F$15,$A53,0)))</f>
        <v/>
      </c>
      <c r="O53" s="167"/>
      <c r="Q53" s="167"/>
      <c r="R53" s="168"/>
      <c r="S53" s="168"/>
      <c r="T53" s="168"/>
      <c r="U53" s="168"/>
      <c r="V53" s="168"/>
      <c r="W53" s="168"/>
      <c r="X53" s="168"/>
      <c r="Y53" s="168"/>
      <c r="Z53" s="169"/>
      <c r="AB53" s="452">
        <f ca="1">IF(AND($D53="Serviço",AB$12&lt;&gt;0,$H53&gt;0,OR(AUTOEVENTO&lt;&gt;"manual",$M53&lt;&gt;$A$15)),
        IF(Import.TipoArredondamento&lt;&gt;"TransfereGOV",
              ROUND(OFFSET($P53,0,AB$13),15-13*ORÇAMENTO!$AF$7)/$H53*OFFSET(ORÇAMENTO!$X$15,ROW(AB53)-ROW(AB$15),0),
              ROUND(ROUND(OFFSET($P53,0,AB$13),15-13*ORÇAMENTO!$AF$7)*OFFSET(ORÇAMENTO!$W$15,ROW(AB53)-ROW(AB$15),0),15-13*ORÇAMENTO!$AF$11)),
         0)</f>
        <v>0</v>
      </c>
      <c r="AC53" s="452">
        <f ca="1">IF(AND($D53="Serviço",AC$12&lt;&gt;0,$H53&gt;0,OR(AUTOEVENTO&lt;&gt;"manual",$M53&lt;&gt;$A$15)),
        IF(Import.TipoArredondamento&lt;&gt;"TransfereGOV",
              ROUND(OFFSET($P53,0,AC$13),15-13*ORÇAMENTO!$AF$7)/$H53*OFFSET(ORÇAMENTO!$X$15,ROW(AC53)-ROW(AC$15),0),
              ROUND(ROUND(OFFSET($P53,0,AC$13),15-13*ORÇAMENTO!$AF$7)*OFFSET(ORÇAMENTO!$W$15,ROW(AC53)-ROW(AC$15),0),15-13*ORÇAMENTO!$AF$11)),
         0)</f>
        <v>0</v>
      </c>
      <c r="AD53" s="452">
        <f ca="1">IF(AND($D53="Serviço",AD$12&lt;&gt;0,$H53&gt;0,OR(AUTOEVENTO&lt;&gt;"manual",$M53&lt;&gt;$A$15)),
        IF(Import.TipoArredondamento&lt;&gt;"TransfereGOV",
              ROUND(OFFSET($P53,0,AD$13),15-13*ORÇAMENTO!$AF$7)/$H53*OFFSET(ORÇAMENTO!$X$15,ROW(AD53)-ROW(AD$15),0),
              ROUND(ROUND(OFFSET($P53,0,AD$13),15-13*ORÇAMENTO!$AF$7)*OFFSET(ORÇAMENTO!$W$15,ROW(AD53)-ROW(AD$15),0),15-13*ORÇAMENTO!$AF$11)),
         0)</f>
        <v>0</v>
      </c>
      <c r="AE53" s="452">
        <f ca="1">IF(AND($D53="Serviço",AE$12&lt;&gt;0,$H53&gt;0,OR(AUTOEVENTO&lt;&gt;"manual",$M53&lt;&gt;$A$15)),
        IF(Import.TipoArredondamento&lt;&gt;"TransfereGOV",
              ROUND(OFFSET($P53,0,AE$13),15-13*ORÇAMENTO!$AF$7)/$H53*OFFSET(ORÇAMENTO!$X$15,ROW(AE53)-ROW(AE$15),0),
              ROUND(ROUND(OFFSET($P53,0,AE$13),15-13*ORÇAMENTO!$AF$7)*OFFSET(ORÇAMENTO!$W$15,ROW(AE53)-ROW(AE$15),0),15-13*ORÇAMENTO!$AF$11)),
         0)</f>
        <v>0</v>
      </c>
      <c r="AF53" s="452">
        <f ca="1">IF(AND($D53="Serviço",AF$12&lt;&gt;0,$H53&gt;0,OR(AUTOEVENTO&lt;&gt;"manual",$M53&lt;&gt;$A$15)),
        IF(Import.TipoArredondamento&lt;&gt;"TransfereGOV",
              ROUND(OFFSET($P53,0,AF$13),15-13*ORÇAMENTO!$AF$7)/$H53*OFFSET(ORÇAMENTO!$X$15,ROW(AF53)-ROW(AF$15),0),
              ROUND(ROUND(OFFSET($P53,0,AF$13),15-13*ORÇAMENTO!$AF$7)*OFFSET(ORÇAMENTO!$W$15,ROW(AF53)-ROW(AF$15),0),15-13*ORÇAMENTO!$AF$11)),
         0)</f>
        <v>0</v>
      </c>
      <c r="AG53" s="452">
        <f ca="1">IF(AND($D53="Serviço",AG$12&lt;&gt;0,$H53&gt;0,OR(AUTOEVENTO&lt;&gt;"manual",$M53&lt;&gt;$A$15)),
        IF(Import.TipoArredondamento&lt;&gt;"TransfereGOV",
              ROUND(OFFSET($P53,0,AG$13),15-13*ORÇAMENTO!$AF$7)/$H53*OFFSET(ORÇAMENTO!$X$15,ROW(AG53)-ROW(AG$15),0),
              ROUND(ROUND(OFFSET($P53,0,AG$13),15-13*ORÇAMENTO!$AF$7)*OFFSET(ORÇAMENTO!$W$15,ROW(AG53)-ROW(AG$15),0),15-13*ORÇAMENTO!$AF$11)),
         0)</f>
        <v>0</v>
      </c>
      <c r="AH53" s="452">
        <f ca="1">IF(AND($D53="Serviço",AH$12&lt;&gt;0,$H53&gt;0,OR(AUTOEVENTO&lt;&gt;"manual",$M53&lt;&gt;$A$15)),
        IF(Import.TipoArredondamento&lt;&gt;"TransfereGOV",
              ROUND(OFFSET($P53,0,AH$13),15-13*ORÇAMENTO!$AF$7)/$H53*OFFSET(ORÇAMENTO!$X$15,ROW(AH53)-ROW(AH$15),0),
              ROUND(ROUND(OFFSET($P53,0,AH$13),15-13*ORÇAMENTO!$AF$7)*OFFSET(ORÇAMENTO!$W$15,ROW(AH53)-ROW(AH$15),0),15-13*ORÇAMENTO!$AF$11)),
         0)</f>
        <v>0</v>
      </c>
      <c r="AI53" s="452">
        <f ca="1">IF(AND($D53="Serviço",AI$12&lt;&gt;0,$H53&gt;0,OR(AUTOEVENTO&lt;&gt;"manual",$M53&lt;&gt;$A$15)),
        IF(Import.TipoArredondamento&lt;&gt;"TransfereGOV",
              ROUND(OFFSET($P53,0,AI$13),15-13*ORÇAMENTO!$AF$7)/$H53*OFFSET(ORÇAMENTO!$X$15,ROW(AI53)-ROW(AI$15),0),
              ROUND(ROUND(OFFSET($P53,0,AI$13),15-13*ORÇAMENTO!$AF$7)*OFFSET(ORÇAMENTO!$W$15,ROW(AI53)-ROW(AI$15),0),15-13*ORÇAMENTO!$AF$11)),
         0)</f>
        <v>0</v>
      </c>
      <c r="AJ53" s="452">
        <f ca="1">IF(AND($D53="Serviço",AJ$12&lt;&gt;0,$H53&gt;0,OR(AUTOEVENTO&lt;&gt;"manual",$M53&lt;&gt;$A$15)),
        IF(Import.TipoArredondamento&lt;&gt;"TransfereGOV",
              ROUND(OFFSET($P53,0,AJ$13),15-13*ORÇAMENTO!$AF$7)/$H53*OFFSET(ORÇAMENTO!$X$15,ROW(AJ53)-ROW(AJ$15),0),
              ROUND(ROUND(OFFSET($P53,0,AJ$13),15-13*ORÇAMENTO!$AF$7)*OFFSET(ORÇAMENTO!$W$15,ROW(AJ53)-ROW(AJ$15),0),15-13*ORÇAMENTO!$AF$11)),
         0)</f>
        <v>0</v>
      </c>
      <c r="AK53" s="452">
        <f ca="1">IF(AND($D53="Serviço",AK$12&lt;&gt;0,$H53&gt;0,OR(AUTOEVENTO&lt;&gt;"manual",$M53&lt;&gt;$A$15)),
        IF(Import.TipoArredondamento&lt;&gt;"TransfereGOV",
              ROUND(OFFSET($P53,0,AK$13),15-13*ORÇAMENTO!$AF$7)/$H53*OFFSET(ORÇAMENTO!$X$15,ROW(AK53)-ROW(AK$15),0),
              ROUND(ROUND(OFFSET($P53,0,AK$13),15-13*ORÇAMENTO!$AF$7)*OFFSET(ORÇAMENTO!$W$15,ROW(AK53)-ROW(AK$15),0),15-13*ORÇAMENTO!$AF$11)),
         0)</f>
        <v>0</v>
      </c>
      <c r="AM53" s="170">
        <f ca="1">IF(OR($D53&lt;&gt;"Serviço",AND(AUTOEVENTO="Manual",$M53=$A$15)),0,
         IF(OFFSET(CRONOPLE!$F$15,$M53-$A$15,AM$13)=0,10^12,OFFSET(CRONOPLE!$F$15,$M53-$A$15,AM$13)))</f>
        <v>0</v>
      </c>
      <c r="AN53" s="170">
        <f ca="1">IF(OR($D53&lt;&gt;"Serviço",AND(AUTOEVENTO="Manual",$M53=$A$15)),0,
         IF(OFFSET(CRONOPLE!$F$15,$M53-$A$15,AN$13)=0,10^12,OFFSET(CRONOPLE!$F$15,$M53-$A$15,AN$13)))</f>
        <v>0</v>
      </c>
      <c r="AO53" s="170">
        <f ca="1">IF(OR($D53&lt;&gt;"Serviço",AND(AUTOEVENTO="Manual",$M53=$A$15)),0,
         IF(OFFSET(CRONOPLE!$F$15,$M53-$A$15,AO$13)=0,10^12,OFFSET(CRONOPLE!$F$15,$M53-$A$15,AO$13)))</f>
        <v>0</v>
      </c>
      <c r="AP53" s="170">
        <f ca="1">IF(OR($D53&lt;&gt;"Serviço",AND(AUTOEVENTO="Manual",$M53=$A$15)),0,
         IF(OFFSET(CRONOPLE!$F$15,$M53-$A$15,AP$13)=0,10^12,OFFSET(CRONOPLE!$F$15,$M53-$A$15,AP$13)))</f>
        <v>0</v>
      </c>
      <c r="AQ53" s="170">
        <f ca="1">IF(OR($D53&lt;&gt;"Serviço",AND(AUTOEVENTO="Manual",$M53=$A$15)),0,
         IF(OFFSET(CRONOPLE!$F$15,$M53-$A$15,AQ$13)=0,10^12,OFFSET(CRONOPLE!$F$15,$M53-$A$15,AQ$13)))</f>
        <v>0</v>
      </c>
      <c r="AR53" s="170">
        <f ca="1">IF(OR($D53&lt;&gt;"Serviço",AND(AUTOEVENTO="Manual",$M53=$A$15)),0,
         IF(OFFSET(CRONOPLE!$F$15,$M53-$A$15,AR$13)=0,10^12,OFFSET(CRONOPLE!$F$15,$M53-$A$15,AR$13)))</f>
        <v>0</v>
      </c>
      <c r="AS53" s="170">
        <f ca="1">IF(OR($D53&lt;&gt;"Serviço",AND(AUTOEVENTO="Manual",$M53=$A$15)),0,
         IF(OFFSET(CRONOPLE!$F$15,$M53-$A$15,AS$13)=0,10^12,OFFSET(CRONOPLE!$F$15,$M53-$A$15,AS$13)))</f>
        <v>0</v>
      </c>
      <c r="AT53" s="170">
        <f ca="1">IF(OR($D53&lt;&gt;"Serviço",AND(AUTOEVENTO="Manual",$M53=$A$15)),0,
         IF(OFFSET(CRONOPLE!$F$15,$M53-$A$15,AT$13)=0,10^12,OFFSET(CRONOPLE!$F$15,$M53-$A$15,AT$13)))</f>
        <v>0</v>
      </c>
      <c r="AU53" s="170">
        <f ca="1">IF(OR($D53&lt;&gt;"Serviço",AND(AUTOEVENTO="Manual",$M53=$A$15)),0,
         IF(OFFSET(CRONOPLE!$F$15,$M53-$A$15,AU$13)=0,10^12,OFFSET(CRONOPLE!$F$15,$M53-$A$15,AU$13)))</f>
        <v>0</v>
      </c>
      <c r="AV53" s="170">
        <f ca="1">IF(OR($D53&lt;&gt;"Serviço",AND(AUTOEVENTO="Manual",$M53=$A$15)),0,
         IF(OFFSET(CRONOPLE!$F$15,$M53-$A$15,AV$13)=0,10^12,OFFSET(CRONOPLE!$F$15,$M53-$A$15,AV$13)))</f>
        <v>0</v>
      </c>
      <c r="AX53" s="171" cm="1">
        <f t="array" aca="1" ref="AX53" ca="1">IF(OR($D53&lt;&gt;"Serviço",AND(AUTOEVENTO="Manual",$M53=$A$15),$M53&gt;(ROW(PLE.lastrow)-ROW(PLE.firstrow))),0,
           IF(OFFSET(PLE!$G$15,$M53-$A$15,AX$13)="",10^12,OFFSET(PLE!$G$15,$M53-$A$15,AX$13)))</f>
        <v>0</v>
      </c>
      <c r="AY53" s="171" cm="1">
        <f t="array" aca="1" ref="AY53" ca="1">IF(OR($D53&lt;&gt;"Serviço",AND(AUTOEVENTO="Manual",$M53=$A$15),$M53&gt;(ROW(PLE.lastrow)-ROW(PLE.firstrow))),0,
           IF(OFFSET(PLE!$G$15,$M53-$A$15,AY$13)="",10^12,OFFSET(PLE!$G$15,$M53-$A$15,AY$13)))</f>
        <v>0</v>
      </c>
      <c r="AZ53" s="171" cm="1">
        <f t="array" aca="1" ref="AZ53" ca="1">IF(OR($D53&lt;&gt;"Serviço",AND(AUTOEVENTO="Manual",$M53=$A$15),$M53&gt;(ROW(PLE.lastrow)-ROW(PLE.firstrow))),0,
           IF(OFFSET(PLE!$G$15,$M53-$A$15,AZ$13)="",10^12,OFFSET(PLE!$G$15,$M53-$A$15,AZ$13)))</f>
        <v>0</v>
      </c>
      <c r="BA53" s="171" cm="1">
        <f t="array" aca="1" ref="BA53" ca="1">IF(OR($D53&lt;&gt;"Serviço",AND(AUTOEVENTO="Manual",$M53=$A$15),$M53&gt;(ROW(PLE.lastrow)-ROW(PLE.firstrow))),0,
           IF(OFFSET(PLE!$G$15,$M53-$A$15,BA$13)="",10^12,OFFSET(PLE!$G$15,$M53-$A$15,BA$13)))</f>
        <v>0</v>
      </c>
      <c r="BB53" s="171" cm="1">
        <f t="array" aca="1" ref="BB53" ca="1">IF(OR($D53&lt;&gt;"Serviço",AND(AUTOEVENTO="Manual",$M53=$A$15),$M53&gt;(ROW(PLE.lastrow)-ROW(PLE.firstrow))),0,
           IF(OFFSET(PLE!$G$15,$M53-$A$15,BB$13)="",10^12,OFFSET(PLE!$G$15,$M53-$A$15,BB$13)))</f>
        <v>0</v>
      </c>
      <c r="BC53" s="171" cm="1">
        <f t="array" aca="1" ref="BC53" ca="1">IF(OR($D53&lt;&gt;"Serviço",AND(AUTOEVENTO="Manual",$M53=$A$15),$M53&gt;(ROW(PLE.lastrow)-ROW(PLE.firstrow))),0,
           IF(OFFSET(PLE!$G$15,$M53-$A$15,BC$13)="",10^12,OFFSET(PLE!$G$15,$M53-$A$15,BC$13)))</f>
        <v>0</v>
      </c>
      <c r="BD53" s="171" cm="1">
        <f t="array" aca="1" ref="BD53" ca="1">IF(OR($D53&lt;&gt;"Serviço",AND(AUTOEVENTO="Manual",$M53=$A$15),$M53&gt;(ROW(PLE.lastrow)-ROW(PLE.firstrow))),0,
           IF(OFFSET(PLE!$G$15,$M53-$A$15,BD$13)="",10^12,OFFSET(PLE!$G$15,$M53-$A$15,BD$13)))</f>
        <v>0</v>
      </c>
      <c r="BE53" s="171" cm="1">
        <f t="array" aca="1" ref="BE53" ca="1">IF(OR($D53&lt;&gt;"Serviço",AND(AUTOEVENTO="Manual",$M53=$A$15),$M53&gt;(ROW(PLE.lastrow)-ROW(PLE.firstrow))),0,
           IF(OFFSET(PLE!$G$15,$M53-$A$15,BE$13)="",10^12,OFFSET(PLE!$G$15,$M53-$A$15,BE$13)))</f>
        <v>0</v>
      </c>
      <c r="BF53" s="171" cm="1">
        <f t="array" aca="1" ref="BF53" ca="1">IF(OR($D53&lt;&gt;"Serviço",AND(AUTOEVENTO="Manual",$M53=$A$15),$M53&gt;(ROW(PLE.lastrow)-ROW(PLE.firstrow))),0,
           IF(OFFSET(PLE!$G$15,$M53-$A$15,BF$13)="",10^12,OFFSET(PLE!$G$15,$M53-$A$15,BF$13)))</f>
        <v>0</v>
      </c>
      <c r="BG53" s="171" cm="1">
        <f t="array" aca="1" ref="BG53" ca="1">IF(OR($D53&lt;&gt;"Serviço",AND(AUTOEVENTO="Manual",$M53=$A$15),$M53&gt;(ROW(PLE.lastrow)-ROW(PLE.firstrow))),0,
           IF(OFFSET(PLE!$G$15,$M53-$A$15,BG$13)="",10^12,OFFSET(PLE!$G$15,$M53-$A$15,BG$13)))</f>
        <v>0</v>
      </c>
    </row>
    <row r="54" spans="1:59" ht="12.75" x14ac:dyDescent="0.2">
      <c r="A54" s="7" t="str">
        <f t="shared" ca="1" si="8"/>
        <v>38</v>
      </c>
      <c r="B54" s="7" t="str">
        <f ca="1">OFFSET(ORÇAMENTO!C$15,$L54,0)</f>
        <v>S</v>
      </c>
      <c r="C54" s="7" t="str">
        <f ca="1">OFFSET(ORÇAMENTO!L$15,$L54,0)</f>
        <v>F</v>
      </c>
      <c r="D54" s="115" t="str">
        <f ca="1">OFFSET(ORÇAMENTO!N$15,$L54,0)</f>
        <v>Serviço</v>
      </c>
      <c r="E54" s="116" t="str">
        <f ca="1">OFFSET(ORÇAMENTO!O$15,$L54,0)</f>
        <v>1.8.1.</v>
      </c>
      <c r="F54" s="162" t="str">
        <f ca="1">OFFSET(ORÇAMENTO!R$15,$L54,0)</f>
        <v>LIMPEZA FINAL PARA ENTREGA DA OBRA</v>
      </c>
      <c r="G54" s="163" t="str">
        <f ca="1">IF($D54&lt;&gt;"Serviço","",OFFSET(ORÇAMENTO!S$15,$L54,0))</f>
        <v>M2</v>
      </c>
      <c r="H54" s="121" cm="1">
        <f t="array" aca="1" ref="H54" ca="1">IF($D54&lt;&gt;"Serviço",0,IF(ACOMPANHAMENTO="BM",ROUND(OFFSET(ORÇAMENTO!AJ$15,$L54,0),15-13*ORÇAMENTO!$AF$7),IF(IFERROR(CÁLCULO.FrentesPreenchidas,0)=0,0,SUM(ROUND(OFFSET($P54,0,1,1,CÁLCULO.FrentesPreenchidas),15-13*ORÇAMENTO!$AF$7)))))</f>
        <v>653.14</v>
      </c>
      <c r="I54" s="467"/>
      <c r="J54" s="650" t="str" cm="1">
        <f t="array" aca="1" ref="J54" ca="1">IF(OR(B54&lt;&gt;"S",CÁLCULO.FrentesPreenchidas=0),"",IF(AND(ACOMPANHAMENTO="PLE",AUTOEVENTO="Manual",OR(H54&gt;0,ORÇAMENTO!AC54="QUANT."),OR(K54="",M54=0,N54="")),"►E",IF(AND(ACOMPANHAMENTO="PLE",ORÇAMENTO!AC54="QUANT."),"►Q",IF(AND(ACOMPANHAMENTO="PLE",H54&lt;&gt;SUMPRODUCT(($Q$1:$AA$1=1)*ROUND(Q54:AA54,15))),"►S",IF(AND(COUNTIF($P$11:$AA$11,"▼")=0,H54&gt;0,I54=""),"◄M","")))))</f>
        <v>◄M</v>
      </c>
      <c r="K54" s="651"/>
      <c r="L54" s="164">
        <f t="shared" ca="1" si="9"/>
        <v>39</v>
      </c>
      <c r="M54" s="165">
        <f ca="1">IF($D54&lt;&gt;"Serviço","",
          IF(AUTOEVENTO="manual",$A54,
                IF(ISERROR(MATCH($A54,$A$15:OFFSET($A54,-1,0),0)),MAX($M$15:OFFSET(M54,-1,0))+1,
                      INDEX($M$15:OFFSET(M54,-1,0),MATCH($A54,$A$15:OFFSET($A54,-1,0),0)))))</f>
        <v>8</v>
      </c>
      <c r="N54" s="166" t="str">
        <f ca="1">IF($D54&lt;&gt;"Serviço","",
         IF(AUTOEVENTO="Manual",
                IF($A54=0,"&lt;-- defina o número do agrupador",
                       OFFSET(EVENTOS!$D$15,$A54-$A$15,0)),
                OFFSET($F$15,$A54,0)))</f>
        <v>SERVIÇOS COMPLEMENTARES</v>
      </c>
      <c r="O54" s="167"/>
      <c r="Q54" s="167"/>
      <c r="R54" s="168"/>
      <c r="S54" s="168"/>
      <c r="T54" s="168">
        <v>653.14</v>
      </c>
      <c r="U54" s="168"/>
      <c r="V54" s="168"/>
      <c r="W54" s="168"/>
      <c r="X54" s="168"/>
      <c r="Y54" s="168"/>
      <c r="Z54" s="169"/>
      <c r="AB54" s="452">
        <f ca="1">IF(AND($D54="Serviço",AB$12&lt;&gt;0,$H54&gt;0,OR(AUTOEVENTO&lt;&gt;"manual",$M54&lt;&gt;$A$15)),
        IF(Import.TipoArredondamento&lt;&gt;"TransfereGOV",
              ROUND(OFFSET($P54,0,AB$13),15-13*ORÇAMENTO!$AF$7)/$H54*OFFSET(ORÇAMENTO!$X$15,ROW(AB54)-ROW(AB$15),0),
              ROUND(ROUND(OFFSET($P54,0,AB$13),15-13*ORÇAMENTO!$AF$7)*OFFSET(ORÇAMENTO!$W$15,ROW(AB54)-ROW(AB$15),0),15-13*ORÇAMENTO!$AF$11)),
         0)</f>
        <v>0</v>
      </c>
      <c r="AC54" s="452">
        <f ca="1">IF(AND($D54="Serviço",AC$12&lt;&gt;0,$H54&gt;0,OR(AUTOEVENTO&lt;&gt;"manual",$M54&lt;&gt;$A$15)),
        IF(Import.TipoArredondamento&lt;&gt;"TransfereGOV",
              ROUND(OFFSET($P54,0,AC$13),15-13*ORÇAMENTO!$AF$7)/$H54*OFFSET(ORÇAMENTO!$X$15,ROW(AC54)-ROW(AC$15),0),
              ROUND(ROUND(OFFSET($P54,0,AC$13),15-13*ORÇAMENTO!$AF$7)*OFFSET(ORÇAMENTO!$W$15,ROW(AC54)-ROW(AC$15),0),15-13*ORÇAMENTO!$AF$11)),
         0)</f>
        <v>0</v>
      </c>
      <c r="AD54" s="452">
        <f ca="1">IF(AND($D54="Serviço",AD$12&lt;&gt;0,$H54&gt;0,OR(AUTOEVENTO&lt;&gt;"manual",$M54&lt;&gt;$A$15)),
        IF(Import.TipoArredondamento&lt;&gt;"TransfereGOV",
              ROUND(OFFSET($P54,0,AD$13),15-13*ORÇAMENTO!$AF$7)/$H54*OFFSET(ORÇAMENTO!$X$15,ROW(AD54)-ROW(AD$15),0),
              ROUND(ROUND(OFFSET($P54,0,AD$13),15-13*ORÇAMENTO!$AF$7)*OFFSET(ORÇAMENTO!$W$15,ROW(AD54)-ROW(AD$15),0),15-13*ORÇAMENTO!$AF$11)),
         0)</f>
        <v>0</v>
      </c>
      <c r="AE54" s="452">
        <f ca="1">IF(AND($D54="Serviço",AE$12&lt;&gt;0,$H54&gt;0,OR(AUTOEVENTO&lt;&gt;"manual",$M54&lt;&gt;$A$15)),
        IF(Import.TipoArredondamento&lt;&gt;"TransfereGOV",
              ROUND(OFFSET($P54,0,AE$13),15-13*ORÇAMENTO!$AF$7)/$H54*OFFSET(ORÇAMENTO!$X$15,ROW(AE54)-ROW(AE$15),0),
              ROUND(ROUND(OFFSET($P54,0,AE$13),15-13*ORÇAMENTO!$AF$7)*OFFSET(ORÇAMENTO!$W$15,ROW(AE54)-ROW(AE$15),0),15-13*ORÇAMENTO!$AF$11)),
         0)</f>
        <v>5610.47</v>
      </c>
      <c r="AF54" s="452">
        <f ca="1">IF(AND($D54="Serviço",AF$12&lt;&gt;0,$H54&gt;0,OR(AUTOEVENTO&lt;&gt;"manual",$M54&lt;&gt;$A$15)),
        IF(Import.TipoArredondamento&lt;&gt;"TransfereGOV",
              ROUND(OFFSET($P54,0,AF$13),15-13*ORÇAMENTO!$AF$7)/$H54*OFFSET(ORÇAMENTO!$X$15,ROW(AF54)-ROW(AF$15),0),
              ROUND(ROUND(OFFSET($P54,0,AF$13),15-13*ORÇAMENTO!$AF$7)*OFFSET(ORÇAMENTO!$W$15,ROW(AF54)-ROW(AF$15),0),15-13*ORÇAMENTO!$AF$11)),
         0)</f>
        <v>0</v>
      </c>
      <c r="AG54" s="452">
        <f ca="1">IF(AND($D54="Serviço",AG$12&lt;&gt;0,$H54&gt;0,OR(AUTOEVENTO&lt;&gt;"manual",$M54&lt;&gt;$A$15)),
        IF(Import.TipoArredondamento&lt;&gt;"TransfereGOV",
              ROUND(OFFSET($P54,0,AG$13),15-13*ORÇAMENTO!$AF$7)/$H54*OFFSET(ORÇAMENTO!$X$15,ROW(AG54)-ROW(AG$15),0),
              ROUND(ROUND(OFFSET($P54,0,AG$13),15-13*ORÇAMENTO!$AF$7)*OFFSET(ORÇAMENTO!$W$15,ROW(AG54)-ROW(AG$15),0),15-13*ORÇAMENTO!$AF$11)),
         0)</f>
        <v>0</v>
      </c>
      <c r="AH54" s="452">
        <f ca="1">IF(AND($D54="Serviço",AH$12&lt;&gt;0,$H54&gt;0,OR(AUTOEVENTO&lt;&gt;"manual",$M54&lt;&gt;$A$15)),
        IF(Import.TipoArredondamento&lt;&gt;"TransfereGOV",
              ROUND(OFFSET($P54,0,AH$13),15-13*ORÇAMENTO!$AF$7)/$H54*OFFSET(ORÇAMENTO!$X$15,ROW(AH54)-ROW(AH$15),0),
              ROUND(ROUND(OFFSET($P54,0,AH$13),15-13*ORÇAMENTO!$AF$7)*OFFSET(ORÇAMENTO!$W$15,ROW(AH54)-ROW(AH$15),0),15-13*ORÇAMENTO!$AF$11)),
         0)</f>
        <v>0</v>
      </c>
      <c r="AI54" s="452">
        <f ca="1">IF(AND($D54="Serviço",AI$12&lt;&gt;0,$H54&gt;0,OR(AUTOEVENTO&lt;&gt;"manual",$M54&lt;&gt;$A$15)),
        IF(Import.TipoArredondamento&lt;&gt;"TransfereGOV",
              ROUND(OFFSET($P54,0,AI$13),15-13*ORÇAMENTO!$AF$7)/$H54*OFFSET(ORÇAMENTO!$X$15,ROW(AI54)-ROW(AI$15),0),
              ROUND(ROUND(OFFSET($P54,0,AI$13),15-13*ORÇAMENTO!$AF$7)*OFFSET(ORÇAMENTO!$W$15,ROW(AI54)-ROW(AI$15),0),15-13*ORÇAMENTO!$AF$11)),
         0)</f>
        <v>0</v>
      </c>
      <c r="AJ54" s="452">
        <f ca="1">IF(AND($D54="Serviço",AJ$12&lt;&gt;0,$H54&gt;0,OR(AUTOEVENTO&lt;&gt;"manual",$M54&lt;&gt;$A$15)),
        IF(Import.TipoArredondamento&lt;&gt;"TransfereGOV",
              ROUND(OFFSET($P54,0,AJ$13),15-13*ORÇAMENTO!$AF$7)/$H54*OFFSET(ORÇAMENTO!$X$15,ROW(AJ54)-ROW(AJ$15),0),
              ROUND(ROUND(OFFSET($P54,0,AJ$13),15-13*ORÇAMENTO!$AF$7)*OFFSET(ORÇAMENTO!$W$15,ROW(AJ54)-ROW(AJ$15),0),15-13*ORÇAMENTO!$AF$11)),
         0)</f>
        <v>0</v>
      </c>
      <c r="AK54" s="452">
        <f ca="1">IF(AND($D54="Serviço",AK$12&lt;&gt;0,$H54&gt;0,OR(AUTOEVENTO&lt;&gt;"manual",$M54&lt;&gt;$A$15)),
        IF(Import.TipoArredondamento&lt;&gt;"TransfereGOV",
              ROUND(OFFSET($P54,0,AK$13),15-13*ORÇAMENTO!$AF$7)/$H54*OFFSET(ORÇAMENTO!$X$15,ROW(AK54)-ROW(AK$15),0),
              ROUND(ROUND(OFFSET($P54,0,AK$13),15-13*ORÇAMENTO!$AF$7)*OFFSET(ORÇAMENTO!$W$15,ROW(AK54)-ROW(AK$15),0),15-13*ORÇAMENTO!$AF$11)),
         0)</f>
        <v>0</v>
      </c>
      <c r="AM54" s="170">
        <f ca="1">IF(OR($D54&lt;&gt;"Serviço",AND(AUTOEVENTO="Manual",$M54=$A$15)),0,
         IF(OFFSET(CRONOPLE!$F$15,$M54-$A$15,AM$13)=0,10^12,OFFSET(CRONOPLE!$F$15,$M54-$A$15,AM$13)))</f>
        <v>1000000000000</v>
      </c>
      <c r="AN54" s="170">
        <f ca="1">IF(OR($D54&lt;&gt;"Serviço",AND(AUTOEVENTO="Manual",$M54=$A$15)),0,
         IF(OFFSET(CRONOPLE!$F$15,$M54-$A$15,AN$13)=0,10^12,OFFSET(CRONOPLE!$F$15,$M54-$A$15,AN$13)))</f>
        <v>1000000000000</v>
      </c>
      <c r="AO54" s="170">
        <f ca="1">IF(OR($D54&lt;&gt;"Serviço",AND(AUTOEVENTO="Manual",$M54=$A$15)),0,
         IF(OFFSET(CRONOPLE!$F$15,$M54-$A$15,AO$13)=0,10^12,OFFSET(CRONOPLE!$F$15,$M54-$A$15,AO$13)))</f>
        <v>1000000000000</v>
      </c>
      <c r="AP54" s="170">
        <f ca="1">IF(OR($D54&lt;&gt;"Serviço",AND(AUTOEVENTO="Manual",$M54=$A$15)),0,
         IF(OFFSET(CRONOPLE!$F$15,$M54-$A$15,AP$13)=0,10^12,OFFSET(CRONOPLE!$F$15,$M54-$A$15,AP$13)))</f>
        <v>4</v>
      </c>
      <c r="AQ54" s="170">
        <f ca="1">IF(OR($D54&lt;&gt;"Serviço",AND(AUTOEVENTO="Manual",$M54=$A$15)),0,
         IF(OFFSET(CRONOPLE!$F$15,$M54-$A$15,AQ$13)=0,10^12,OFFSET(CRONOPLE!$F$15,$M54-$A$15,AQ$13)))</f>
        <v>1000000000000</v>
      </c>
      <c r="AR54" s="170">
        <f ca="1">IF(OR($D54&lt;&gt;"Serviço",AND(AUTOEVENTO="Manual",$M54=$A$15)),0,
         IF(OFFSET(CRONOPLE!$F$15,$M54-$A$15,AR$13)=0,10^12,OFFSET(CRONOPLE!$F$15,$M54-$A$15,AR$13)))</f>
        <v>1000000000000</v>
      </c>
      <c r="AS54" s="170">
        <f ca="1">IF(OR($D54&lt;&gt;"Serviço",AND(AUTOEVENTO="Manual",$M54=$A$15)),0,
         IF(OFFSET(CRONOPLE!$F$15,$M54-$A$15,AS$13)=0,10^12,OFFSET(CRONOPLE!$F$15,$M54-$A$15,AS$13)))</f>
        <v>1000000000000</v>
      </c>
      <c r="AT54" s="170">
        <f ca="1">IF(OR($D54&lt;&gt;"Serviço",AND(AUTOEVENTO="Manual",$M54=$A$15)),0,
         IF(OFFSET(CRONOPLE!$F$15,$M54-$A$15,AT$13)=0,10^12,OFFSET(CRONOPLE!$F$15,$M54-$A$15,AT$13)))</f>
        <v>1000000000000</v>
      </c>
      <c r="AU54" s="170">
        <f ca="1">IF(OR($D54&lt;&gt;"Serviço",AND(AUTOEVENTO="Manual",$M54=$A$15)),0,
         IF(OFFSET(CRONOPLE!$F$15,$M54-$A$15,AU$13)=0,10^12,OFFSET(CRONOPLE!$F$15,$M54-$A$15,AU$13)))</f>
        <v>1000000000000</v>
      </c>
      <c r="AV54" s="170">
        <f ca="1">IF(OR($D54&lt;&gt;"Serviço",AND(AUTOEVENTO="Manual",$M54=$A$15)),0,
         IF(OFFSET(CRONOPLE!$F$15,$M54-$A$15,AV$13)=0,10^12,OFFSET(CRONOPLE!$F$15,$M54-$A$15,AV$13)))</f>
        <v>1000000000000</v>
      </c>
      <c r="AX54" s="171" cm="1">
        <f t="array" aca="1" ref="AX54" ca="1">IF(OR($D54&lt;&gt;"Serviço",AND(AUTOEVENTO="Manual",$M54=$A$15),$M54&gt;(ROW(PLE.lastrow)-ROW(PLE.firstrow))),0,
           IF(OFFSET(PLE!$G$15,$M54-$A$15,AX$13)="",10^12,OFFSET(PLE!$G$15,$M54-$A$15,AX$13)))</f>
        <v>1000000000000</v>
      </c>
      <c r="AY54" s="171" cm="1">
        <f t="array" aca="1" ref="AY54" ca="1">IF(OR($D54&lt;&gt;"Serviço",AND(AUTOEVENTO="Manual",$M54=$A$15),$M54&gt;(ROW(PLE.lastrow)-ROW(PLE.firstrow))),0,
           IF(OFFSET(PLE!$G$15,$M54-$A$15,AY$13)="",10^12,OFFSET(PLE!$G$15,$M54-$A$15,AY$13)))</f>
        <v>1000000000000</v>
      </c>
      <c r="AZ54" s="171" cm="1">
        <f t="array" aca="1" ref="AZ54" ca="1">IF(OR($D54&lt;&gt;"Serviço",AND(AUTOEVENTO="Manual",$M54=$A$15),$M54&gt;(ROW(PLE.lastrow)-ROW(PLE.firstrow))),0,
           IF(OFFSET(PLE!$G$15,$M54-$A$15,AZ$13)="",10^12,OFFSET(PLE!$G$15,$M54-$A$15,AZ$13)))</f>
        <v>1000000000000</v>
      </c>
      <c r="BA54" s="171" cm="1">
        <f t="array" aca="1" ref="BA54" ca="1">IF(OR($D54&lt;&gt;"Serviço",AND(AUTOEVENTO="Manual",$M54=$A$15),$M54&gt;(ROW(PLE.lastrow)-ROW(PLE.firstrow))),0,
           IF(OFFSET(PLE!$G$15,$M54-$A$15,BA$13)="",10^12,OFFSET(PLE!$G$15,$M54-$A$15,BA$13)))</f>
        <v>1000000000000</v>
      </c>
      <c r="BB54" s="171" cm="1">
        <f t="array" aca="1" ref="BB54" ca="1">IF(OR($D54&lt;&gt;"Serviço",AND(AUTOEVENTO="Manual",$M54=$A$15),$M54&gt;(ROW(PLE.lastrow)-ROW(PLE.firstrow))),0,
           IF(OFFSET(PLE!$G$15,$M54-$A$15,BB$13)="",10^12,OFFSET(PLE!$G$15,$M54-$A$15,BB$13)))</f>
        <v>1000000000000</v>
      </c>
      <c r="BC54" s="171" cm="1">
        <f t="array" aca="1" ref="BC54" ca="1">IF(OR($D54&lt;&gt;"Serviço",AND(AUTOEVENTO="Manual",$M54=$A$15),$M54&gt;(ROW(PLE.lastrow)-ROW(PLE.firstrow))),0,
           IF(OFFSET(PLE!$G$15,$M54-$A$15,BC$13)="",10^12,OFFSET(PLE!$G$15,$M54-$A$15,BC$13)))</f>
        <v>1000000000000</v>
      </c>
      <c r="BD54" s="171" cm="1">
        <f t="array" aca="1" ref="BD54" ca="1">IF(OR($D54&lt;&gt;"Serviço",AND(AUTOEVENTO="Manual",$M54=$A$15),$M54&gt;(ROW(PLE.lastrow)-ROW(PLE.firstrow))),0,
           IF(OFFSET(PLE!$G$15,$M54-$A$15,BD$13)="",10^12,OFFSET(PLE!$G$15,$M54-$A$15,BD$13)))</f>
        <v>1000000000000</v>
      </c>
      <c r="BE54" s="171" cm="1">
        <f t="array" aca="1" ref="BE54" ca="1">IF(OR($D54&lt;&gt;"Serviço",AND(AUTOEVENTO="Manual",$M54=$A$15),$M54&gt;(ROW(PLE.lastrow)-ROW(PLE.firstrow))),0,
           IF(OFFSET(PLE!$G$15,$M54-$A$15,BE$13)="",10^12,OFFSET(PLE!$G$15,$M54-$A$15,BE$13)))</f>
        <v>1000000000000</v>
      </c>
      <c r="BF54" s="171" cm="1">
        <f t="array" aca="1" ref="BF54" ca="1">IF(OR($D54&lt;&gt;"Serviço",AND(AUTOEVENTO="Manual",$M54=$A$15),$M54&gt;(ROW(PLE.lastrow)-ROW(PLE.firstrow))),0,
           IF(OFFSET(PLE!$G$15,$M54-$A$15,BF$13)="",10^12,OFFSET(PLE!$G$15,$M54-$A$15,BF$13)))</f>
        <v>1000000000000</v>
      </c>
      <c r="BG54" s="171" cm="1">
        <f t="array" aca="1" ref="BG54" ca="1">IF(OR($D54&lt;&gt;"Serviço",AND(AUTOEVENTO="Manual",$M54=$A$15),$M54&gt;(ROW(PLE.lastrow)-ROW(PLE.firstrow))),0,
           IF(OFFSET(PLE!$G$15,$M54-$A$15,BG$13)="",10^12,OFFSET(PLE!$G$15,$M54-$A$15,BG$13)))</f>
        <v>1000000000000</v>
      </c>
    </row>
    <row r="55" spans="1:59" ht="5.0999999999999996" customHeight="1" x14ac:dyDescent="0.2">
      <c r="B55" s="7">
        <f ca="1">OFFSET(ORÇAMENTO!C$15,ROW(B55)-ROW(B$15),0)</f>
        <v>-1</v>
      </c>
      <c r="C55" s="7" t="str">
        <f ca="1">OFFSET(ORÇAMENTO!L$15,ROW(C55)-ROW(C$15),0)</f>
        <v>F</v>
      </c>
      <c r="D55" s="633" t="s">
        <v>700</v>
      </c>
      <c r="E55" s="617"/>
      <c r="F55" s="618"/>
      <c r="G55" s="618"/>
      <c r="H55" s="618"/>
      <c r="I55" s="418"/>
      <c r="K55" s="568"/>
      <c r="L55" s="164">
        <f t="shared" ref="L55" ca="1" si="10">OFFSET(L55,-1,0)+1</f>
        <v>40</v>
      </c>
      <c r="M55" s="420"/>
      <c r="N55" s="419"/>
      <c r="O55" s="634"/>
      <c r="Q55" s="617"/>
      <c r="R55" s="618"/>
      <c r="S55" s="618"/>
      <c r="T55" s="618"/>
      <c r="U55" s="618"/>
      <c r="V55" s="618"/>
      <c r="W55" s="618"/>
      <c r="X55" s="618"/>
      <c r="Y55" s="618"/>
      <c r="Z55" s="418"/>
      <c r="AB55" s="635"/>
      <c r="AC55" s="636"/>
      <c r="AD55" s="636"/>
      <c r="AE55" s="636"/>
      <c r="AF55" s="636"/>
      <c r="AG55" s="636"/>
      <c r="AH55" s="636"/>
      <c r="AI55" s="636"/>
      <c r="AJ55" s="636"/>
      <c r="AK55" s="132"/>
      <c r="AM55" s="635"/>
      <c r="AN55" s="636"/>
      <c r="AO55" s="636"/>
      <c r="AP55" s="636"/>
      <c r="AQ55" s="636"/>
      <c r="AR55" s="636"/>
      <c r="AS55" s="636"/>
      <c r="AT55" s="636"/>
      <c r="AU55" s="636"/>
      <c r="AV55" s="132"/>
      <c r="AX55" s="635"/>
      <c r="AY55" s="636"/>
      <c r="AZ55" s="636"/>
      <c r="BA55" s="636"/>
      <c r="BB55" s="636"/>
      <c r="BC55" s="636"/>
      <c r="BD55" s="636"/>
      <c r="BE55" s="636"/>
      <c r="BF55" s="636"/>
      <c r="BG55" s="132"/>
    </row>
    <row r="56" spans="1:59" ht="12.75" customHeight="1" x14ac:dyDescent="0.2"/>
    <row r="57" spans="1:59" ht="12.75" customHeight="1" x14ac:dyDescent="0.2"/>
    <row r="58" spans="1:59" ht="12.75" customHeight="1" x14ac:dyDescent="0.2"/>
    <row r="59" spans="1:59" ht="15" customHeight="1" x14ac:dyDescent="0.2">
      <c r="F59" s="178" t="str">
        <f>Import.Município</f>
        <v>Liberdade - MG</v>
      </c>
      <c r="I59" s="459"/>
      <c r="J59" s="459"/>
      <c r="K59" s="459"/>
      <c r="L59" s="459"/>
      <c r="M59" s="460"/>
      <c r="N59" s="416"/>
      <c r="T59" s="138"/>
      <c r="U59" s="138"/>
      <c r="V59" s="179"/>
      <c r="W59" s="179"/>
      <c r="X59" s="179"/>
      <c r="Y59" s="179"/>
    </row>
    <row r="60" spans="1:59" ht="12.75" customHeight="1" x14ac:dyDescent="0.2">
      <c r="F60" s="9" t="s">
        <v>693</v>
      </c>
      <c r="I60" s="180" t="s">
        <v>696</v>
      </c>
      <c r="J60" s="180"/>
      <c r="K60" s="180"/>
      <c r="L60" s="180"/>
      <c r="T60" s="180" t="s">
        <v>696</v>
      </c>
      <c r="U60" s="180"/>
    </row>
    <row r="61" spans="1:59" ht="12.75" customHeight="1" x14ac:dyDescent="0.2">
      <c r="I61" s="397" t="str">
        <f t="array" aca="1" ref="I61:I63" ca="1">OFFSET(Import.RespOrçamento,0,-1) &amp; " " &amp; Import.RespOrçamento</f>
        <v>Nome: Antônio Carlos Sampaio Alves</v>
      </c>
      <c r="K61" s="78"/>
      <c r="L61" s="78"/>
      <c r="T61" s="397" t="str">
        <f t="array" aca="1" ref="T61:T63" ca="1">OFFSET(Import.RespOrçamento,0,-1) &amp; " " &amp; Import.RespOrçamento</f>
        <v>Nome: Antônio Carlos Sampaio Alves</v>
      </c>
      <c r="U61" s="77"/>
    </row>
    <row r="62" spans="1:59" ht="12.75" customHeight="1" x14ac:dyDescent="0.2">
      <c r="F62" s="458">
        <f>DADOS!$C$25</f>
        <v>45880</v>
      </c>
      <c r="I62" s="397" t="str">
        <f ca="1"/>
        <v>CREA/CAU: 214010-D</v>
      </c>
      <c r="K62" s="78"/>
      <c r="L62" s="78"/>
      <c r="T62" s="397" t="str">
        <f ca="1"/>
        <v>CREA/CAU: 214010-D</v>
      </c>
      <c r="U62" s="77"/>
    </row>
    <row r="63" spans="1:59" ht="12.75" customHeight="1" x14ac:dyDescent="0.2">
      <c r="F63" s="139" t="s">
        <v>694</v>
      </c>
      <c r="I63" s="397" t="str">
        <f ca="1"/>
        <v>ART/RRT: MG 20254192207</v>
      </c>
      <c r="K63" s="78"/>
      <c r="L63" s="78"/>
      <c r="T63" s="397" t="str">
        <f ca="1"/>
        <v>ART/RRT: MG 20254192207</v>
      </c>
      <c r="U63" s="77"/>
    </row>
    <row r="64" spans="1:59" ht="12.75" customHeight="1" x14ac:dyDescent="0.2">
      <c r="C64"/>
      <c r="M64"/>
    </row>
    <row r="65" spans="3:13" ht="12.75" customHeight="1" x14ac:dyDescent="0.2">
      <c r="C65"/>
      <c r="M65"/>
    </row>
    <row r="66" spans="3:13" ht="12.75" customHeight="1" x14ac:dyDescent="0.2">
      <c r="C66"/>
      <c r="M66"/>
    </row>
    <row r="67" spans="3:13" ht="12.75" customHeight="1" x14ac:dyDescent="0.2">
      <c r="C67"/>
      <c r="M67"/>
    </row>
    <row r="68" spans="3:13" ht="12.75" customHeight="1" x14ac:dyDescent="0.2">
      <c r="C68"/>
      <c r="M68"/>
    </row>
    <row r="69" spans="3:13" ht="12.75" customHeight="1" x14ac:dyDescent="0.2">
      <c r="C69"/>
      <c r="M69"/>
    </row>
    <row r="70" spans="3:13" ht="12.75" customHeight="1" x14ac:dyDescent="0.2">
      <c r="C70"/>
      <c r="M70"/>
    </row>
    <row r="71" spans="3:13" ht="12.75" customHeight="1" x14ac:dyDescent="0.2">
      <c r="C71"/>
      <c r="M71"/>
    </row>
    <row r="72" spans="3:13" ht="12.75" customHeight="1" x14ac:dyDescent="0.2">
      <c r="C72"/>
      <c r="M72"/>
    </row>
    <row r="73" spans="3:13" ht="12.75" customHeight="1" x14ac:dyDescent="0.2">
      <c r="C73"/>
      <c r="M73"/>
    </row>
    <row r="74" spans="3:13" ht="12.75" customHeight="1" x14ac:dyDescent="0.2">
      <c r="C74"/>
      <c r="M74"/>
    </row>
    <row r="75" spans="3:13" ht="12.75" customHeight="1" x14ac:dyDescent="0.2">
      <c r="C75"/>
      <c r="M75"/>
    </row>
    <row r="76" spans="3:13" ht="12.75" customHeight="1" x14ac:dyDescent="0.2">
      <c r="C76"/>
      <c r="M76"/>
    </row>
    <row r="77" spans="3:13" ht="12.75" customHeight="1" x14ac:dyDescent="0.2">
      <c r="C77"/>
      <c r="M77"/>
    </row>
    <row r="78" spans="3:13" ht="12.75" customHeight="1" x14ac:dyDescent="0.2">
      <c r="C78"/>
      <c r="M78"/>
    </row>
    <row r="79" spans="3:13" ht="12.75" customHeight="1" x14ac:dyDescent="0.2">
      <c r="C79"/>
      <c r="M79"/>
    </row>
    <row r="80" spans="3:13" ht="12.75" customHeight="1" x14ac:dyDescent="0.2">
      <c r="C80"/>
      <c r="M80"/>
    </row>
    <row r="81" spans="3:13" ht="12.75" customHeight="1" x14ac:dyDescent="0.2">
      <c r="C81"/>
      <c r="M81"/>
    </row>
    <row r="82" spans="3:13" ht="12.75" customHeight="1" x14ac:dyDescent="0.2">
      <c r="C82"/>
      <c r="M82"/>
    </row>
    <row r="83" spans="3:13" ht="12.75" customHeight="1" x14ac:dyDescent="0.2">
      <c r="C83"/>
      <c r="M83"/>
    </row>
    <row r="84" spans="3:13" ht="12.75" customHeight="1" x14ac:dyDescent="0.2">
      <c r="C84"/>
      <c r="M84"/>
    </row>
    <row r="85" spans="3:13" ht="12.75" customHeight="1" x14ac:dyDescent="0.2">
      <c r="C85"/>
      <c r="M85"/>
    </row>
    <row r="86" spans="3:13" ht="12.75" customHeight="1" x14ac:dyDescent="0.2">
      <c r="C86"/>
      <c r="M86"/>
    </row>
    <row r="87" spans="3:13" ht="12.75" customHeight="1" x14ac:dyDescent="0.2">
      <c r="C87"/>
      <c r="M87"/>
    </row>
    <row r="88" spans="3:13" ht="12.75" customHeight="1" x14ac:dyDescent="0.2">
      <c r="C88"/>
      <c r="M88"/>
    </row>
    <row r="89" spans="3:13" ht="12.75" customHeight="1" x14ac:dyDescent="0.2">
      <c r="C89"/>
      <c r="M89"/>
    </row>
    <row r="90" spans="3:13" ht="12.75" customHeight="1" x14ac:dyDescent="0.2">
      <c r="C90"/>
      <c r="M90"/>
    </row>
    <row r="91" spans="3:13" ht="12.75" customHeight="1" x14ac:dyDescent="0.2">
      <c r="C91"/>
      <c r="M91"/>
    </row>
    <row r="92" spans="3:13" ht="12.75" customHeight="1" x14ac:dyDescent="0.2">
      <c r="C92"/>
      <c r="M92"/>
    </row>
    <row r="93" spans="3:13" ht="12.75" customHeight="1" x14ac:dyDescent="0.2">
      <c r="C93"/>
      <c r="M93"/>
    </row>
    <row r="94" spans="3:13" ht="12.75" customHeight="1" x14ac:dyDescent="0.2">
      <c r="C94"/>
      <c r="M94"/>
    </row>
    <row r="95" spans="3:13" ht="12.75" customHeight="1" x14ac:dyDescent="0.2">
      <c r="C95"/>
      <c r="M95"/>
    </row>
    <row r="96" spans="3:13" ht="12.75" customHeight="1" x14ac:dyDescent="0.2">
      <c r="C96"/>
      <c r="M96"/>
    </row>
    <row r="97" spans="3:13" ht="12.75" customHeight="1" x14ac:dyDescent="0.2">
      <c r="C97"/>
      <c r="M97"/>
    </row>
    <row r="98" spans="3:13" ht="12.75" customHeight="1" x14ac:dyDescent="0.2">
      <c r="C98"/>
      <c r="M98"/>
    </row>
    <row r="99" spans="3:13" ht="12.75" customHeight="1" x14ac:dyDescent="0.2">
      <c r="C99"/>
      <c r="M99"/>
    </row>
    <row r="100" spans="3:13" ht="12.75" customHeight="1" x14ac:dyDescent="0.2">
      <c r="C100"/>
      <c r="M100"/>
    </row>
    <row r="101" spans="3:13" ht="12.75" customHeight="1" x14ac:dyDescent="0.2">
      <c r="C101"/>
      <c r="M101"/>
    </row>
    <row r="102" spans="3:13" ht="12.75" customHeight="1" x14ac:dyDescent="0.2">
      <c r="C102"/>
      <c r="M102"/>
    </row>
    <row r="103" spans="3:13" ht="12.75" customHeight="1" x14ac:dyDescent="0.2">
      <c r="C103"/>
      <c r="M103"/>
    </row>
    <row r="104" spans="3:13" ht="12.75" customHeight="1" x14ac:dyDescent="0.2">
      <c r="C104"/>
      <c r="M104"/>
    </row>
    <row r="105" spans="3:13" ht="12.75" customHeight="1" x14ac:dyDescent="0.2">
      <c r="C105"/>
      <c r="M105"/>
    </row>
    <row r="106" spans="3:13" ht="12.75" customHeight="1" x14ac:dyDescent="0.2">
      <c r="C106"/>
      <c r="M106"/>
    </row>
    <row r="107" spans="3:13" ht="12.75" customHeight="1" x14ac:dyDescent="0.2">
      <c r="C107"/>
      <c r="M107"/>
    </row>
    <row r="108" spans="3:13" ht="12.75" customHeight="1" x14ac:dyDescent="0.2">
      <c r="C108"/>
      <c r="M108"/>
    </row>
    <row r="109" spans="3:13" ht="12.75" customHeight="1" x14ac:dyDescent="0.2">
      <c r="C109"/>
      <c r="M109"/>
    </row>
    <row r="110" spans="3:13" ht="12.75" customHeight="1" x14ac:dyDescent="0.2">
      <c r="C110"/>
      <c r="M110"/>
    </row>
    <row r="111" spans="3:13" ht="12.75" customHeight="1" x14ac:dyDescent="0.2">
      <c r="C111"/>
      <c r="M111"/>
    </row>
    <row r="112" spans="3:13" ht="12.75" customHeight="1" x14ac:dyDescent="0.2">
      <c r="C112"/>
      <c r="M112"/>
    </row>
    <row r="113" spans="3:13" ht="12.75" customHeight="1" x14ac:dyDescent="0.2">
      <c r="C113"/>
      <c r="M113"/>
    </row>
    <row r="114" spans="3:13" ht="12.75" customHeight="1" x14ac:dyDescent="0.2">
      <c r="C114"/>
      <c r="M114"/>
    </row>
    <row r="115" spans="3:13" ht="12.75" customHeight="1" x14ac:dyDescent="0.2">
      <c r="C115"/>
      <c r="M115"/>
    </row>
    <row r="116" spans="3:13" ht="12.75" customHeight="1" x14ac:dyDescent="0.2">
      <c r="C116"/>
      <c r="M116"/>
    </row>
    <row r="117" spans="3:13" ht="12.75" customHeight="1" x14ac:dyDescent="0.2">
      <c r="C117"/>
      <c r="M117"/>
    </row>
    <row r="118" spans="3:13" ht="12.75" customHeight="1" x14ac:dyDescent="0.2">
      <c r="C118"/>
      <c r="M118"/>
    </row>
    <row r="119" spans="3:13" ht="12.75" customHeight="1" x14ac:dyDescent="0.2">
      <c r="C119"/>
      <c r="M119"/>
    </row>
    <row r="120" spans="3:13" ht="12.75" customHeight="1" x14ac:dyDescent="0.2">
      <c r="C120"/>
      <c r="M120"/>
    </row>
    <row r="121" spans="3:13" ht="12.75" customHeight="1" x14ac:dyDescent="0.2">
      <c r="C121"/>
      <c r="M121"/>
    </row>
    <row r="122" spans="3:13" ht="12.75" customHeight="1" x14ac:dyDescent="0.2">
      <c r="C122"/>
      <c r="M122"/>
    </row>
    <row r="123" spans="3:13" ht="12.75" customHeight="1" x14ac:dyDescent="0.2">
      <c r="C123"/>
      <c r="M123"/>
    </row>
    <row r="124" spans="3:13" ht="12.75" customHeight="1" x14ac:dyDescent="0.2">
      <c r="C124"/>
      <c r="M124"/>
    </row>
    <row r="125" spans="3:13" ht="12.75" customHeight="1" x14ac:dyDescent="0.2">
      <c r="C125"/>
      <c r="M125"/>
    </row>
    <row r="126" spans="3:13" ht="12.75" customHeight="1" x14ac:dyDescent="0.2">
      <c r="C126"/>
      <c r="M126"/>
    </row>
    <row r="127" spans="3:13" ht="12.75" customHeight="1" x14ac:dyDescent="0.2">
      <c r="C127"/>
      <c r="M127"/>
    </row>
    <row r="128" spans="3:13" ht="12.75" customHeight="1" x14ac:dyDescent="0.2">
      <c r="C128"/>
      <c r="M128"/>
    </row>
    <row r="129" spans="3:13" ht="12.75" customHeight="1" x14ac:dyDescent="0.2">
      <c r="C129"/>
      <c r="M129"/>
    </row>
    <row r="130" spans="3:13" ht="12.75" customHeight="1" x14ac:dyDescent="0.2">
      <c r="C130"/>
      <c r="M130"/>
    </row>
    <row r="131" spans="3:13" ht="12.75" customHeight="1" x14ac:dyDescent="0.2">
      <c r="C131"/>
      <c r="M131"/>
    </row>
    <row r="132" spans="3:13" ht="12.75" customHeight="1" x14ac:dyDescent="0.2">
      <c r="C132"/>
      <c r="M132"/>
    </row>
    <row r="133" spans="3:13" ht="12.75" customHeight="1" x14ac:dyDescent="0.2">
      <c r="C133"/>
      <c r="M133"/>
    </row>
    <row r="134" spans="3:13" ht="12.75" customHeight="1" x14ac:dyDescent="0.2">
      <c r="C134"/>
      <c r="M134"/>
    </row>
    <row r="135" spans="3:13" ht="12.75" customHeight="1" x14ac:dyDescent="0.2">
      <c r="C135"/>
      <c r="M135"/>
    </row>
    <row r="136" spans="3:13" ht="12.75" customHeight="1" x14ac:dyDescent="0.2">
      <c r="C136"/>
      <c r="M136"/>
    </row>
    <row r="137" spans="3:13" ht="12.75" customHeight="1" x14ac:dyDescent="0.2">
      <c r="C137"/>
      <c r="M137"/>
    </row>
    <row r="138" spans="3:13" ht="12.75" customHeight="1" x14ac:dyDescent="0.2">
      <c r="C138"/>
      <c r="M138"/>
    </row>
    <row r="139" spans="3:13" ht="12.75" customHeight="1" x14ac:dyDescent="0.2">
      <c r="C139"/>
      <c r="M139"/>
    </row>
    <row r="140" spans="3:13" ht="12.75" customHeight="1" x14ac:dyDescent="0.2">
      <c r="C140"/>
      <c r="M140"/>
    </row>
    <row r="141" spans="3:13" ht="12.75" customHeight="1" x14ac:dyDescent="0.2">
      <c r="C141"/>
      <c r="M141"/>
    </row>
    <row r="142" spans="3:13" ht="12.75" customHeight="1" x14ac:dyDescent="0.2">
      <c r="C142"/>
      <c r="M142"/>
    </row>
    <row r="143" spans="3:13" ht="12.75" customHeight="1" x14ac:dyDescent="0.2">
      <c r="C143"/>
      <c r="M143"/>
    </row>
    <row r="144" spans="3:13" ht="12.75" customHeight="1" x14ac:dyDescent="0.2">
      <c r="C144"/>
      <c r="M144"/>
    </row>
    <row r="145" spans="3:13" ht="12.75" customHeight="1" x14ac:dyDescent="0.2">
      <c r="C145"/>
      <c r="M145"/>
    </row>
    <row r="146" spans="3:13" ht="12.75" customHeight="1" x14ac:dyDescent="0.2">
      <c r="C146"/>
      <c r="M146"/>
    </row>
    <row r="147" spans="3:13" ht="12.75" customHeight="1" x14ac:dyDescent="0.2">
      <c r="C147"/>
      <c r="M147"/>
    </row>
    <row r="148" spans="3:13" ht="12.75" customHeight="1" x14ac:dyDescent="0.2">
      <c r="C148"/>
      <c r="M148"/>
    </row>
    <row r="149" spans="3:13" ht="12.75" customHeight="1" x14ac:dyDescent="0.2">
      <c r="C149"/>
      <c r="M149"/>
    </row>
    <row r="150" spans="3:13" ht="12.75" customHeight="1" x14ac:dyDescent="0.2">
      <c r="C150"/>
      <c r="M150"/>
    </row>
    <row r="151" spans="3:13" ht="12.75" customHeight="1" x14ac:dyDescent="0.2">
      <c r="C151"/>
      <c r="M151"/>
    </row>
    <row r="152" spans="3:13" ht="12.75" customHeight="1" x14ac:dyDescent="0.2">
      <c r="C152"/>
      <c r="M152"/>
    </row>
    <row r="153" spans="3:13" ht="12.75" customHeight="1" x14ac:dyDescent="0.2">
      <c r="C153"/>
      <c r="M153"/>
    </row>
    <row r="154" spans="3:13" ht="12.75" customHeight="1" x14ac:dyDescent="0.2">
      <c r="C154"/>
      <c r="M154"/>
    </row>
    <row r="155" spans="3:13" ht="12.75" customHeight="1" x14ac:dyDescent="0.2">
      <c r="C155"/>
      <c r="M155"/>
    </row>
    <row r="156" spans="3:13" ht="12.75" customHeight="1" x14ac:dyDescent="0.2">
      <c r="C156"/>
      <c r="M156"/>
    </row>
    <row r="157" spans="3:13" ht="12.75" customHeight="1" x14ac:dyDescent="0.2">
      <c r="C157"/>
      <c r="M157"/>
    </row>
    <row r="158" spans="3:13" ht="12.75" customHeight="1" x14ac:dyDescent="0.2">
      <c r="C158"/>
      <c r="M158"/>
    </row>
    <row r="159" spans="3:13" ht="12.75" customHeight="1" x14ac:dyDescent="0.2">
      <c r="C159"/>
      <c r="M159"/>
    </row>
    <row r="160" spans="3:13" ht="12.75" customHeight="1" x14ac:dyDescent="0.2">
      <c r="C160"/>
      <c r="M160"/>
    </row>
    <row r="161" spans="3:13" ht="12.75" customHeight="1" x14ac:dyDescent="0.2">
      <c r="C161"/>
      <c r="M161"/>
    </row>
    <row r="162" spans="3:13" ht="12.75" customHeight="1" x14ac:dyDescent="0.2">
      <c r="C162"/>
      <c r="M162"/>
    </row>
    <row r="163" spans="3:13" ht="12.75" customHeight="1" x14ac:dyDescent="0.2">
      <c r="C163"/>
      <c r="M163"/>
    </row>
    <row r="164" spans="3:13" ht="12.75" customHeight="1" x14ac:dyDescent="0.2">
      <c r="C164"/>
      <c r="M164"/>
    </row>
    <row r="165" spans="3:13" ht="12.75" customHeight="1" x14ac:dyDescent="0.2">
      <c r="C165"/>
      <c r="M165"/>
    </row>
    <row r="166" spans="3:13" ht="12.75" customHeight="1" x14ac:dyDescent="0.2">
      <c r="C166"/>
      <c r="M166"/>
    </row>
    <row r="167" spans="3:13" ht="12.75" customHeight="1" x14ac:dyDescent="0.2">
      <c r="C167"/>
      <c r="M167"/>
    </row>
    <row r="168" spans="3:13" ht="12.75" customHeight="1" x14ac:dyDescent="0.2">
      <c r="C168"/>
      <c r="M168"/>
    </row>
    <row r="169" spans="3:13" ht="12.75" customHeight="1" x14ac:dyDescent="0.2">
      <c r="C169"/>
      <c r="M169"/>
    </row>
    <row r="170" spans="3:13" ht="12.75" customHeight="1" x14ac:dyDescent="0.2">
      <c r="C170"/>
      <c r="M170"/>
    </row>
    <row r="171" spans="3:13" ht="12.75" customHeight="1" x14ac:dyDescent="0.2">
      <c r="C171"/>
      <c r="M171"/>
    </row>
    <row r="172" spans="3:13" ht="12.75" customHeight="1" x14ac:dyDescent="0.2">
      <c r="C172"/>
      <c r="M172"/>
    </row>
    <row r="173" spans="3:13" ht="12.75" customHeight="1" x14ac:dyDescent="0.2">
      <c r="C173"/>
      <c r="M173"/>
    </row>
    <row r="174" spans="3:13" ht="12.75" customHeight="1" x14ac:dyDescent="0.2">
      <c r="C174"/>
      <c r="M174"/>
    </row>
    <row r="175" spans="3:13" ht="12.75" customHeight="1" x14ac:dyDescent="0.2">
      <c r="C175"/>
      <c r="M175"/>
    </row>
    <row r="176" spans="3:13" ht="12.75" customHeight="1" x14ac:dyDescent="0.2">
      <c r="C176"/>
      <c r="M176"/>
    </row>
    <row r="177" spans="3:13" ht="12.75" customHeight="1" x14ac:dyDescent="0.2">
      <c r="C177"/>
      <c r="M177"/>
    </row>
    <row r="178" spans="3:13" ht="12.75" customHeight="1" x14ac:dyDescent="0.2">
      <c r="C178"/>
      <c r="M178"/>
    </row>
    <row r="179" spans="3:13" ht="12.75" customHeight="1" x14ac:dyDescent="0.2">
      <c r="C179"/>
      <c r="M179"/>
    </row>
    <row r="180" spans="3:13" ht="12.75" customHeight="1" x14ac:dyDescent="0.2">
      <c r="C180"/>
      <c r="M180"/>
    </row>
    <row r="181" spans="3:13" ht="12.75" customHeight="1" x14ac:dyDescent="0.2">
      <c r="C181"/>
      <c r="M181"/>
    </row>
    <row r="182" spans="3:13" ht="12.75" customHeight="1" x14ac:dyDescent="0.2">
      <c r="C182"/>
      <c r="M182"/>
    </row>
    <row r="183" spans="3:13" ht="12.75" customHeight="1" x14ac:dyDescent="0.2">
      <c r="C183"/>
      <c r="M183"/>
    </row>
    <row r="184" spans="3:13" ht="12.75" customHeight="1" x14ac:dyDescent="0.2">
      <c r="C184"/>
      <c r="M184"/>
    </row>
    <row r="185" spans="3:13" ht="12.75" customHeight="1" x14ac:dyDescent="0.2">
      <c r="C185"/>
      <c r="M185"/>
    </row>
    <row r="186" spans="3:13" ht="12.75" customHeight="1" x14ac:dyDescent="0.2">
      <c r="C186"/>
      <c r="M186"/>
    </row>
    <row r="187" spans="3:13" ht="12.75" customHeight="1" x14ac:dyDescent="0.2">
      <c r="C187"/>
      <c r="M187"/>
    </row>
    <row r="188" spans="3:13" ht="12.75" customHeight="1" x14ac:dyDescent="0.2">
      <c r="C188"/>
      <c r="M188"/>
    </row>
    <row r="189" spans="3:13" ht="12.75" customHeight="1" x14ac:dyDescent="0.2">
      <c r="C189"/>
      <c r="M189"/>
    </row>
    <row r="190" spans="3:13" ht="12.75" customHeight="1" x14ac:dyDescent="0.2">
      <c r="C190"/>
      <c r="M190"/>
    </row>
    <row r="191" spans="3:13" ht="12.75" customHeight="1" x14ac:dyDescent="0.2">
      <c r="C191"/>
      <c r="M191"/>
    </row>
    <row r="192" spans="3:13" ht="12.75" customHeight="1" x14ac:dyDescent="0.2">
      <c r="C192"/>
      <c r="M192"/>
    </row>
    <row r="193" spans="3:13" ht="12.75" customHeight="1" x14ac:dyDescent="0.2">
      <c r="C193"/>
      <c r="M193"/>
    </row>
    <row r="194" spans="3:13" ht="12.75" customHeight="1" x14ac:dyDescent="0.2">
      <c r="C194"/>
      <c r="M194"/>
    </row>
    <row r="195" spans="3:13" ht="12.75" customHeight="1" x14ac:dyDescent="0.2">
      <c r="C195"/>
      <c r="M195"/>
    </row>
    <row r="196" spans="3:13" ht="12.75" customHeight="1" x14ac:dyDescent="0.2">
      <c r="C196"/>
      <c r="M196"/>
    </row>
    <row r="197" spans="3:13" ht="12.75" customHeight="1" x14ac:dyDescent="0.2">
      <c r="C197"/>
      <c r="M197"/>
    </row>
    <row r="198" spans="3:13" ht="12.75" customHeight="1" x14ac:dyDescent="0.2">
      <c r="C198"/>
      <c r="M198"/>
    </row>
    <row r="199" spans="3:13" ht="12.75" customHeight="1" x14ac:dyDescent="0.2">
      <c r="C199"/>
      <c r="M199"/>
    </row>
    <row r="200" spans="3:13" ht="12.75" customHeight="1" x14ac:dyDescent="0.2">
      <c r="C200"/>
      <c r="M200"/>
    </row>
    <row r="201" spans="3:13" ht="12.75" customHeight="1" x14ac:dyDescent="0.2">
      <c r="C201"/>
      <c r="M201"/>
    </row>
    <row r="202" spans="3:13" ht="12.75" customHeight="1" x14ac:dyDescent="0.2">
      <c r="C202"/>
      <c r="M202"/>
    </row>
    <row r="203" spans="3:13" ht="12.75" customHeight="1" x14ac:dyDescent="0.2">
      <c r="C203"/>
      <c r="M203"/>
    </row>
    <row r="204" spans="3:13" ht="12.75" customHeight="1" x14ac:dyDescent="0.2">
      <c r="C204"/>
      <c r="M204"/>
    </row>
    <row r="205" spans="3:13" ht="12.75" customHeight="1" x14ac:dyDescent="0.2">
      <c r="C205"/>
      <c r="M205"/>
    </row>
    <row r="206" spans="3:13" ht="12.75" customHeight="1" x14ac:dyDescent="0.2">
      <c r="C206"/>
      <c r="M206"/>
    </row>
    <row r="207" spans="3:13" ht="12.75" customHeight="1" x14ac:dyDescent="0.2">
      <c r="C207"/>
      <c r="M207"/>
    </row>
    <row r="208" spans="3:13" ht="12.75" customHeight="1" x14ac:dyDescent="0.2">
      <c r="C208"/>
      <c r="M208"/>
    </row>
    <row r="209" spans="3:13" ht="12.75" customHeight="1" x14ac:dyDescent="0.2">
      <c r="C209"/>
      <c r="M209"/>
    </row>
    <row r="210" spans="3:13" ht="12.75" customHeight="1" x14ac:dyDescent="0.2">
      <c r="C210"/>
      <c r="M210"/>
    </row>
    <row r="211" spans="3:13" ht="12.75" customHeight="1" x14ac:dyDescent="0.2">
      <c r="C211"/>
      <c r="M211"/>
    </row>
    <row r="212" spans="3:13" ht="12.75" customHeight="1" x14ac:dyDescent="0.2">
      <c r="C212"/>
      <c r="M212"/>
    </row>
    <row r="213" spans="3:13" ht="12.75" customHeight="1" x14ac:dyDescent="0.2">
      <c r="C213"/>
      <c r="M213"/>
    </row>
    <row r="214" spans="3:13" ht="12.75" customHeight="1" x14ac:dyDescent="0.2">
      <c r="C214"/>
      <c r="M214"/>
    </row>
    <row r="215" spans="3:13" ht="12.75" customHeight="1" x14ac:dyDescent="0.2">
      <c r="C215"/>
      <c r="M215"/>
    </row>
    <row r="216" spans="3:13" ht="12.75" customHeight="1" x14ac:dyDescent="0.2">
      <c r="C216"/>
      <c r="M216"/>
    </row>
    <row r="217" spans="3:13" ht="12.75" customHeight="1" x14ac:dyDescent="0.2">
      <c r="C217"/>
      <c r="M217"/>
    </row>
    <row r="218" spans="3:13" ht="12.75" customHeight="1" x14ac:dyDescent="0.2">
      <c r="C218"/>
      <c r="M218"/>
    </row>
    <row r="219" spans="3:13" ht="12.75" customHeight="1" x14ac:dyDescent="0.2">
      <c r="C219"/>
      <c r="M219"/>
    </row>
    <row r="220" spans="3:13" ht="12.75" customHeight="1" x14ac:dyDescent="0.2">
      <c r="C220"/>
      <c r="M220"/>
    </row>
    <row r="221" spans="3:13" ht="12.75" customHeight="1" x14ac:dyDescent="0.2">
      <c r="C221"/>
      <c r="M221"/>
    </row>
    <row r="222" spans="3:13" ht="12.75" customHeight="1" x14ac:dyDescent="0.2">
      <c r="C222"/>
      <c r="M222"/>
    </row>
    <row r="223" spans="3:13" ht="12.75" customHeight="1" x14ac:dyDescent="0.2">
      <c r="C223"/>
      <c r="M223"/>
    </row>
    <row r="224" spans="3:13" ht="12.75" customHeight="1" x14ac:dyDescent="0.2">
      <c r="C224"/>
      <c r="M224"/>
    </row>
    <row r="225" spans="3:13" ht="12.75" customHeight="1" x14ac:dyDescent="0.2">
      <c r="C225"/>
      <c r="M225"/>
    </row>
    <row r="226" spans="3:13" ht="12.75" customHeight="1" x14ac:dyDescent="0.2">
      <c r="C226"/>
      <c r="M226"/>
    </row>
    <row r="227" spans="3:13" ht="12.75" customHeight="1" x14ac:dyDescent="0.2">
      <c r="C227"/>
      <c r="M227"/>
    </row>
    <row r="228" spans="3:13" ht="12.75" customHeight="1" x14ac:dyDescent="0.2">
      <c r="C228"/>
      <c r="M228"/>
    </row>
    <row r="229" spans="3:13" ht="12.75" customHeight="1" x14ac:dyDescent="0.2">
      <c r="C229"/>
      <c r="M229"/>
    </row>
    <row r="230" spans="3:13" ht="12.75" customHeight="1" x14ac:dyDescent="0.2">
      <c r="C230"/>
      <c r="M230"/>
    </row>
    <row r="231" spans="3:13" ht="12.75" customHeight="1" x14ac:dyDescent="0.2">
      <c r="C231"/>
      <c r="M231"/>
    </row>
    <row r="232" spans="3:13" ht="12.75" customHeight="1" x14ac:dyDescent="0.2">
      <c r="C232"/>
      <c r="M232"/>
    </row>
    <row r="233" spans="3:13" ht="12.75" customHeight="1" x14ac:dyDescent="0.2">
      <c r="C233"/>
      <c r="M233"/>
    </row>
    <row r="234" spans="3:13" ht="12.75" customHeight="1" x14ac:dyDescent="0.2">
      <c r="C234"/>
      <c r="M234"/>
    </row>
    <row r="235" spans="3:13" ht="12.75" customHeight="1" x14ac:dyDescent="0.2">
      <c r="C235"/>
      <c r="M235"/>
    </row>
    <row r="236" spans="3:13" ht="12.75" customHeight="1" x14ac:dyDescent="0.2">
      <c r="C236"/>
      <c r="M236"/>
    </row>
    <row r="237" spans="3:13" ht="12.75" customHeight="1" x14ac:dyDescent="0.2">
      <c r="C237"/>
      <c r="M237"/>
    </row>
    <row r="238" spans="3:13" ht="12.75" customHeight="1" x14ac:dyDescent="0.2">
      <c r="C238"/>
      <c r="M238"/>
    </row>
    <row r="239" spans="3:13" ht="12.75" customHeight="1" x14ac:dyDescent="0.2">
      <c r="C239"/>
      <c r="M239"/>
    </row>
    <row r="240" spans="3:13" ht="12.75" customHeight="1" x14ac:dyDescent="0.2">
      <c r="C240"/>
      <c r="M240"/>
    </row>
    <row r="241" spans="3:13" ht="12.75" customHeight="1" x14ac:dyDescent="0.2">
      <c r="C241"/>
      <c r="M241"/>
    </row>
    <row r="242" spans="3:13" ht="12.75" customHeight="1" x14ac:dyDescent="0.2">
      <c r="C242"/>
      <c r="M242"/>
    </row>
    <row r="243" spans="3:13" ht="12.75" customHeight="1" x14ac:dyDescent="0.2">
      <c r="C243"/>
      <c r="M243"/>
    </row>
    <row r="244" spans="3:13" ht="12.75" customHeight="1" x14ac:dyDescent="0.2">
      <c r="C244"/>
      <c r="M244"/>
    </row>
    <row r="245" spans="3:13" ht="12.75" customHeight="1" x14ac:dyDescent="0.2">
      <c r="C245"/>
      <c r="M245"/>
    </row>
    <row r="246" spans="3:13" ht="12.75" customHeight="1" x14ac:dyDescent="0.2">
      <c r="C246"/>
      <c r="M246"/>
    </row>
    <row r="247" spans="3:13" ht="12.75" customHeight="1" x14ac:dyDescent="0.2">
      <c r="C247"/>
      <c r="M247"/>
    </row>
    <row r="248" spans="3:13" ht="12.75" customHeight="1" x14ac:dyDescent="0.2">
      <c r="C248"/>
      <c r="M248"/>
    </row>
    <row r="249" spans="3:13" ht="12.75" customHeight="1" x14ac:dyDescent="0.2">
      <c r="C249"/>
      <c r="M249"/>
    </row>
    <row r="250" spans="3:13" ht="12.75" customHeight="1" x14ac:dyDescent="0.2">
      <c r="C250"/>
      <c r="M250"/>
    </row>
    <row r="251" spans="3:13" ht="12.75" customHeight="1" x14ac:dyDescent="0.2">
      <c r="C251"/>
      <c r="M251"/>
    </row>
    <row r="252" spans="3:13" ht="12.75" customHeight="1" x14ac:dyDescent="0.2">
      <c r="C252"/>
      <c r="M252"/>
    </row>
    <row r="253" spans="3:13" ht="12.75" customHeight="1" x14ac:dyDescent="0.2">
      <c r="C253"/>
      <c r="M253"/>
    </row>
    <row r="254" spans="3:13" ht="12.75" customHeight="1" x14ac:dyDescent="0.2">
      <c r="C254"/>
      <c r="M254"/>
    </row>
    <row r="255" spans="3:13" ht="12.75" customHeight="1" x14ac:dyDescent="0.2">
      <c r="C255"/>
      <c r="M255"/>
    </row>
    <row r="256" spans="3:13" ht="12.75" customHeight="1" x14ac:dyDescent="0.2">
      <c r="C256"/>
      <c r="M256"/>
    </row>
    <row r="257" spans="3:13" ht="12.75" customHeight="1" x14ac:dyDescent="0.2">
      <c r="C257"/>
      <c r="M257"/>
    </row>
    <row r="258" spans="3:13" ht="12.75" customHeight="1" x14ac:dyDescent="0.2">
      <c r="C258"/>
      <c r="M258"/>
    </row>
    <row r="259" spans="3:13" ht="12.75" customHeight="1" x14ac:dyDescent="0.2">
      <c r="C259"/>
      <c r="M259"/>
    </row>
    <row r="260" spans="3:13" ht="12.75" customHeight="1" x14ac:dyDescent="0.2">
      <c r="C260"/>
      <c r="M260"/>
    </row>
    <row r="261" spans="3:13" ht="12.75" customHeight="1" x14ac:dyDescent="0.2">
      <c r="C261"/>
      <c r="M261"/>
    </row>
    <row r="262" spans="3:13" ht="12.75" customHeight="1" x14ac:dyDescent="0.2">
      <c r="C262"/>
      <c r="M262"/>
    </row>
    <row r="263" spans="3:13" ht="12.75" customHeight="1" x14ac:dyDescent="0.2">
      <c r="C263"/>
      <c r="M263"/>
    </row>
    <row r="264" spans="3:13" ht="12.75" customHeight="1" x14ac:dyDescent="0.2">
      <c r="C264"/>
      <c r="M264"/>
    </row>
    <row r="265" spans="3:13" ht="12.75" customHeight="1" x14ac:dyDescent="0.2">
      <c r="C265"/>
      <c r="M265"/>
    </row>
    <row r="266" spans="3:13" ht="12.75" customHeight="1" x14ac:dyDescent="0.2">
      <c r="C266"/>
      <c r="M266"/>
    </row>
    <row r="267" spans="3:13" ht="12.75" customHeight="1" x14ac:dyDescent="0.2">
      <c r="C267"/>
      <c r="M267"/>
    </row>
    <row r="268" spans="3:13" ht="12.75" customHeight="1" x14ac:dyDescent="0.2">
      <c r="C268"/>
      <c r="M268"/>
    </row>
    <row r="269" spans="3:13" ht="12.75" customHeight="1" x14ac:dyDescent="0.2">
      <c r="C269"/>
      <c r="M269"/>
    </row>
    <row r="270" spans="3:13" ht="12.75" customHeight="1" x14ac:dyDescent="0.2">
      <c r="C270"/>
      <c r="M270"/>
    </row>
    <row r="271" spans="3:13" ht="12.75" customHeight="1" x14ac:dyDescent="0.2">
      <c r="C271"/>
      <c r="M271"/>
    </row>
    <row r="272" spans="3:13" ht="12.75" customHeight="1" x14ac:dyDescent="0.2">
      <c r="C272"/>
      <c r="M272"/>
    </row>
    <row r="273" spans="3:13" ht="12.75" customHeight="1" x14ac:dyDescent="0.2">
      <c r="C273"/>
      <c r="M273"/>
    </row>
    <row r="274" spans="3:13" ht="12.75" customHeight="1" x14ac:dyDescent="0.2">
      <c r="C274"/>
      <c r="M274"/>
    </row>
    <row r="275" spans="3:13" ht="12.75" customHeight="1" x14ac:dyDescent="0.2">
      <c r="C275"/>
      <c r="M275"/>
    </row>
    <row r="276" spans="3:13" ht="12.75" customHeight="1" x14ac:dyDescent="0.2">
      <c r="C276"/>
      <c r="M276"/>
    </row>
    <row r="277" spans="3:13" ht="12.75" customHeight="1" x14ac:dyDescent="0.2">
      <c r="C277"/>
      <c r="M277"/>
    </row>
    <row r="278" spans="3:13" ht="12.75" customHeight="1" x14ac:dyDescent="0.2">
      <c r="C278"/>
      <c r="M278"/>
    </row>
    <row r="279" spans="3:13" ht="12.75" customHeight="1" x14ac:dyDescent="0.2">
      <c r="C279"/>
      <c r="M279"/>
    </row>
    <row r="280" spans="3:13" ht="12.75" customHeight="1" x14ac:dyDescent="0.2">
      <c r="C280"/>
      <c r="M280"/>
    </row>
    <row r="281" spans="3:13" ht="12.75" customHeight="1" x14ac:dyDescent="0.2">
      <c r="C281"/>
      <c r="M281"/>
    </row>
    <row r="282" spans="3:13" ht="12.75" customHeight="1" x14ac:dyDescent="0.2">
      <c r="C282"/>
      <c r="M282"/>
    </row>
    <row r="283" spans="3:13" ht="12.75" customHeight="1" x14ac:dyDescent="0.2">
      <c r="C283"/>
      <c r="M283"/>
    </row>
    <row r="284" spans="3:13" ht="12.75" customHeight="1" x14ac:dyDescent="0.2">
      <c r="C284"/>
      <c r="M284"/>
    </row>
    <row r="285" spans="3:13" ht="12.75" customHeight="1" x14ac:dyDescent="0.2">
      <c r="C285"/>
      <c r="M285"/>
    </row>
    <row r="286" spans="3:13" ht="12.75" customHeight="1" x14ac:dyDescent="0.2">
      <c r="C286"/>
      <c r="M286"/>
    </row>
    <row r="287" spans="3:13" ht="12.75" customHeight="1" x14ac:dyDescent="0.2">
      <c r="C287"/>
      <c r="M287"/>
    </row>
    <row r="288" spans="3:13" ht="12.75" customHeight="1" x14ac:dyDescent="0.2">
      <c r="C288"/>
      <c r="M288"/>
    </row>
    <row r="289" spans="3:13" ht="12.75" customHeight="1" x14ac:dyDescent="0.2">
      <c r="C289"/>
      <c r="M289"/>
    </row>
    <row r="290" spans="3:13" ht="12.75" customHeight="1" x14ac:dyDescent="0.2">
      <c r="C290"/>
      <c r="M290"/>
    </row>
    <row r="291" spans="3:13" ht="12.75" customHeight="1" x14ac:dyDescent="0.2">
      <c r="C291"/>
      <c r="M291"/>
    </row>
    <row r="292" spans="3:13" ht="12.75" customHeight="1" x14ac:dyDescent="0.2">
      <c r="C292"/>
      <c r="M292"/>
    </row>
    <row r="293" spans="3:13" ht="12.75" customHeight="1" x14ac:dyDescent="0.2">
      <c r="C293"/>
      <c r="M293"/>
    </row>
    <row r="294" spans="3:13" ht="12.75" customHeight="1" x14ac:dyDescent="0.2">
      <c r="C294"/>
      <c r="M294"/>
    </row>
    <row r="295" spans="3:13" ht="12.75" customHeight="1" x14ac:dyDescent="0.2">
      <c r="C295"/>
      <c r="M295"/>
    </row>
    <row r="296" spans="3:13" ht="12.75" customHeight="1" x14ac:dyDescent="0.2">
      <c r="C296"/>
      <c r="M296"/>
    </row>
    <row r="297" spans="3:13" ht="12.75" customHeight="1" x14ac:dyDescent="0.2">
      <c r="C297"/>
      <c r="M297"/>
    </row>
    <row r="298" spans="3:13" ht="12.75" customHeight="1" x14ac:dyDescent="0.2">
      <c r="C298"/>
      <c r="M298"/>
    </row>
    <row r="299" spans="3:13" ht="12.75" customHeight="1" x14ac:dyDescent="0.2">
      <c r="C299"/>
      <c r="M299"/>
    </row>
    <row r="300" spans="3:13" ht="12.75" customHeight="1" x14ac:dyDescent="0.2">
      <c r="C300"/>
      <c r="M300"/>
    </row>
    <row r="301" spans="3:13" ht="12.75" customHeight="1" x14ac:dyDescent="0.2">
      <c r="C301"/>
      <c r="M301"/>
    </row>
    <row r="302" spans="3:13" ht="12.75" customHeight="1" x14ac:dyDescent="0.2">
      <c r="C302"/>
      <c r="M302"/>
    </row>
    <row r="303" spans="3:13" ht="12.75" customHeight="1" x14ac:dyDescent="0.2">
      <c r="C303"/>
      <c r="M303"/>
    </row>
    <row r="304" spans="3:13" ht="12.75" customHeight="1" x14ac:dyDescent="0.2">
      <c r="C304"/>
      <c r="M304"/>
    </row>
    <row r="305" spans="3:13" ht="12.75" customHeight="1" x14ac:dyDescent="0.2">
      <c r="C305"/>
      <c r="M305"/>
    </row>
    <row r="306" spans="3:13" ht="12.75" customHeight="1" x14ac:dyDescent="0.2">
      <c r="C306"/>
      <c r="M306"/>
    </row>
    <row r="307" spans="3:13" ht="12.75" customHeight="1" x14ac:dyDescent="0.2">
      <c r="C307"/>
      <c r="M307"/>
    </row>
    <row r="308" spans="3:13" ht="12.75" customHeight="1" x14ac:dyDescent="0.2">
      <c r="C308"/>
      <c r="M308"/>
    </row>
    <row r="309" spans="3:13" ht="12.75" customHeight="1" x14ac:dyDescent="0.2">
      <c r="C309"/>
      <c r="M309"/>
    </row>
    <row r="310" spans="3:13" ht="12.75" customHeight="1" x14ac:dyDescent="0.2">
      <c r="C310"/>
      <c r="M310"/>
    </row>
    <row r="311" spans="3:13" ht="12.75" customHeight="1" x14ac:dyDescent="0.2">
      <c r="C311"/>
      <c r="M311"/>
    </row>
    <row r="312" spans="3:13" ht="12.75" customHeight="1" x14ac:dyDescent="0.2">
      <c r="C312"/>
      <c r="M312"/>
    </row>
    <row r="313" spans="3:13" ht="12.75" customHeight="1" x14ac:dyDescent="0.2">
      <c r="C313"/>
      <c r="M313"/>
    </row>
    <row r="314" spans="3:13" ht="12.75" customHeight="1" x14ac:dyDescent="0.2">
      <c r="C314"/>
      <c r="M314"/>
    </row>
    <row r="315" spans="3:13" ht="12.75" customHeight="1" x14ac:dyDescent="0.2">
      <c r="C315"/>
      <c r="M315"/>
    </row>
    <row r="316" spans="3:13" ht="12.75" customHeight="1" x14ac:dyDescent="0.2">
      <c r="C316"/>
      <c r="M316"/>
    </row>
    <row r="317" spans="3:13" ht="12.75" customHeight="1" x14ac:dyDescent="0.2">
      <c r="C317"/>
      <c r="M317"/>
    </row>
    <row r="318" spans="3:13" ht="12.75" customHeight="1" x14ac:dyDescent="0.2">
      <c r="C318"/>
      <c r="M318"/>
    </row>
    <row r="319" spans="3:13" ht="12.75" customHeight="1" x14ac:dyDescent="0.2">
      <c r="C319"/>
      <c r="M319"/>
    </row>
    <row r="320" spans="3:13" ht="12.75" customHeight="1" x14ac:dyDescent="0.2">
      <c r="C320"/>
      <c r="M320"/>
    </row>
    <row r="321" spans="3:13" ht="12.75" customHeight="1" x14ac:dyDescent="0.2">
      <c r="C321"/>
      <c r="M321"/>
    </row>
    <row r="322" spans="3:13" ht="12.75" customHeight="1" x14ac:dyDescent="0.2">
      <c r="C322"/>
      <c r="M322"/>
    </row>
    <row r="323" spans="3:13" ht="12.75" customHeight="1" x14ac:dyDescent="0.2">
      <c r="C323"/>
      <c r="M323"/>
    </row>
    <row r="324" spans="3:13" ht="12.75" customHeight="1" x14ac:dyDescent="0.2">
      <c r="C324"/>
      <c r="M324"/>
    </row>
    <row r="325" spans="3:13" ht="12.75" customHeight="1" x14ac:dyDescent="0.2">
      <c r="C325"/>
      <c r="M325"/>
    </row>
    <row r="326" spans="3:13" ht="12.75" customHeight="1" x14ac:dyDescent="0.2">
      <c r="C326"/>
      <c r="M326"/>
    </row>
    <row r="327" spans="3:13" ht="12.75" customHeight="1" x14ac:dyDescent="0.2">
      <c r="C327"/>
      <c r="M327"/>
    </row>
    <row r="328" spans="3:13" ht="12.75" customHeight="1" x14ac:dyDescent="0.2">
      <c r="C328"/>
      <c r="M328"/>
    </row>
    <row r="329" spans="3:13" ht="12.75" customHeight="1" x14ac:dyDescent="0.2">
      <c r="C329"/>
      <c r="M329"/>
    </row>
    <row r="330" spans="3:13" ht="12.75" customHeight="1" x14ac:dyDescent="0.2">
      <c r="C330"/>
      <c r="M330"/>
    </row>
    <row r="331" spans="3:13" ht="12.75" customHeight="1" x14ac:dyDescent="0.2">
      <c r="C331"/>
      <c r="M331"/>
    </row>
    <row r="332" spans="3:13" ht="12.75" customHeight="1" x14ac:dyDescent="0.2">
      <c r="C332"/>
      <c r="M332"/>
    </row>
    <row r="333" spans="3:13" ht="12.75" customHeight="1" x14ac:dyDescent="0.2">
      <c r="C333"/>
      <c r="M333"/>
    </row>
    <row r="334" spans="3:13" ht="12.75" customHeight="1" x14ac:dyDescent="0.2">
      <c r="C334"/>
      <c r="M334"/>
    </row>
    <row r="335" spans="3:13" ht="12.75" customHeight="1" x14ac:dyDescent="0.2">
      <c r="C335"/>
      <c r="M335"/>
    </row>
    <row r="336" spans="3:13" ht="12.75" customHeight="1" x14ac:dyDescent="0.2">
      <c r="C336"/>
      <c r="M336"/>
    </row>
    <row r="337" spans="3:13" ht="12.75" customHeight="1" x14ac:dyDescent="0.2">
      <c r="C337"/>
      <c r="M337"/>
    </row>
    <row r="338" spans="3:13" ht="12.75" customHeight="1" x14ac:dyDescent="0.2">
      <c r="C338"/>
      <c r="M338"/>
    </row>
    <row r="339" spans="3:13" ht="12.75" customHeight="1" x14ac:dyDescent="0.2">
      <c r="C339"/>
      <c r="M339"/>
    </row>
    <row r="340" spans="3:13" ht="12.75" customHeight="1" x14ac:dyDescent="0.2">
      <c r="C340"/>
      <c r="M340"/>
    </row>
    <row r="341" spans="3:13" ht="12.75" customHeight="1" x14ac:dyDescent="0.2">
      <c r="C341"/>
      <c r="M341"/>
    </row>
    <row r="342" spans="3:13" ht="12.75" customHeight="1" x14ac:dyDescent="0.2">
      <c r="C342"/>
      <c r="M342"/>
    </row>
    <row r="343" spans="3:13" ht="12.75" customHeight="1" x14ac:dyDescent="0.2">
      <c r="C343"/>
      <c r="M343"/>
    </row>
    <row r="344" spans="3:13" ht="12.75" customHeight="1" x14ac:dyDescent="0.2">
      <c r="C344"/>
      <c r="M344"/>
    </row>
    <row r="345" spans="3:13" ht="12.75" customHeight="1" x14ac:dyDescent="0.2">
      <c r="C345"/>
      <c r="M345"/>
    </row>
    <row r="346" spans="3:13" ht="12.75" customHeight="1" x14ac:dyDescent="0.2">
      <c r="C346"/>
      <c r="M346"/>
    </row>
    <row r="347" spans="3:13" ht="12.75" customHeight="1" x14ac:dyDescent="0.2">
      <c r="C347"/>
      <c r="M347"/>
    </row>
    <row r="348" spans="3:13" ht="12.75" customHeight="1" x14ac:dyDescent="0.2">
      <c r="C348"/>
      <c r="M348"/>
    </row>
    <row r="349" spans="3:13" ht="12.75" customHeight="1" x14ac:dyDescent="0.2">
      <c r="C349"/>
      <c r="M349"/>
    </row>
    <row r="350" spans="3:13" ht="12.75" customHeight="1" x14ac:dyDescent="0.2">
      <c r="C350"/>
      <c r="M350"/>
    </row>
    <row r="351" spans="3:13" ht="12.75" customHeight="1" x14ac:dyDescent="0.2">
      <c r="C351"/>
      <c r="M351"/>
    </row>
    <row r="352" spans="3:13" ht="12.75" customHeight="1" x14ac:dyDescent="0.2">
      <c r="C352"/>
      <c r="M352"/>
    </row>
    <row r="353" spans="3:13" ht="12.75" customHeight="1" x14ac:dyDescent="0.2">
      <c r="C353"/>
      <c r="M353"/>
    </row>
    <row r="354" spans="3:13" ht="12.75" customHeight="1" x14ac:dyDescent="0.2">
      <c r="C354"/>
      <c r="M354"/>
    </row>
    <row r="355" spans="3:13" ht="12.75" customHeight="1" x14ac:dyDescent="0.2">
      <c r="C355"/>
      <c r="M355"/>
    </row>
    <row r="356" spans="3:13" ht="12.75" customHeight="1" x14ac:dyDescent="0.2">
      <c r="C356"/>
      <c r="M356"/>
    </row>
    <row r="357" spans="3:13" ht="12.75" customHeight="1" x14ac:dyDescent="0.2">
      <c r="C357"/>
      <c r="M357"/>
    </row>
    <row r="358" spans="3:13" ht="12.75" customHeight="1" x14ac:dyDescent="0.2">
      <c r="C358"/>
      <c r="M358"/>
    </row>
    <row r="359" spans="3:13" ht="12.75" customHeight="1" x14ac:dyDescent="0.2">
      <c r="C359"/>
      <c r="M359"/>
    </row>
    <row r="360" spans="3:13" ht="12.75" customHeight="1" x14ac:dyDescent="0.2">
      <c r="C360"/>
      <c r="M360"/>
    </row>
    <row r="361" spans="3:13" ht="12.75" customHeight="1" x14ac:dyDescent="0.2">
      <c r="C361"/>
      <c r="M361"/>
    </row>
    <row r="362" spans="3:13" ht="12.75" customHeight="1" x14ac:dyDescent="0.2">
      <c r="C362"/>
      <c r="M362"/>
    </row>
    <row r="363" spans="3:13" ht="12.75" customHeight="1" x14ac:dyDescent="0.2">
      <c r="C363"/>
      <c r="M363"/>
    </row>
    <row r="364" spans="3:13" ht="12.75" customHeight="1" x14ac:dyDescent="0.2">
      <c r="C364"/>
      <c r="M364"/>
    </row>
    <row r="365" spans="3:13" ht="12.75" customHeight="1" x14ac:dyDescent="0.2">
      <c r="C365"/>
      <c r="M365"/>
    </row>
    <row r="366" spans="3:13" ht="12.75" customHeight="1" x14ac:dyDescent="0.2">
      <c r="C366"/>
      <c r="M366"/>
    </row>
    <row r="367" spans="3:13" ht="12.75" customHeight="1" x14ac:dyDescent="0.2">
      <c r="C367"/>
      <c r="M367"/>
    </row>
    <row r="368" spans="3:13" ht="12.75" customHeight="1" x14ac:dyDescent="0.2">
      <c r="C368"/>
      <c r="M368"/>
    </row>
    <row r="369" spans="3:13" ht="12.75" customHeight="1" x14ac:dyDescent="0.2">
      <c r="C369"/>
      <c r="M369"/>
    </row>
    <row r="370" spans="3:13" ht="12.75" customHeight="1" x14ac:dyDescent="0.2">
      <c r="C370"/>
      <c r="M370"/>
    </row>
    <row r="371" spans="3:13" ht="12.75" customHeight="1" x14ac:dyDescent="0.2">
      <c r="C371"/>
      <c r="M371"/>
    </row>
    <row r="372" spans="3:13" ht="12.75" customHeight="1" x14ac:dyDescent="0.2">
      <c r="C372"/>
      <c r="M372"/>
    </row>
    <row r="373" spans="3:13" ht="12.75" customHeight="1" x14ac:dyDescent="0.2">
      <c r="C373"/>
      <c r="M373"/>
    </row>
    <row r="374" spans="3:13" ht="12.75" customHeight="1" x14ac:dyDescent="0.2">
      <c r="C374"/>
      <c r="M374"/>
    </row>
    <row r="375" spans="3:13" ht="12.75" customHeight="1" x14ac:dyDescent="0.2">
      <c r="C375"/>
      <c r="M375"/>
    </row>
    <row r="376" spans="3:13" ht="12.75" customHeight="1" x14ac:dyDescent="0.2">
      <c r="C376"/>
      <c r="M376"/>
    </row>
    <row r="377" spans="3:13" ht="12.75" customHeight="1" x14ac:dyDescent="0.2">
      <c r="C377"/>
      <c r="M377"/>
    </row>
    <row r="378" spans="3:13" ht="12.75" customHeight="1" x14ac:dyDescent="0.2">
      <c r="C378"/>
      <c r="M378"/>
    </row>
    <row r="379" spans="3:13" ht="12.75" customHeight="1" x14ac:dyDescent="0.2">
      <c r="C379"/>
      <c r="M379"/>
    </row>
    <row r="380" spans="3:13" ht="12.75" customHeight="1" x14ac:dyDescent="0.2">
      <c r="C380"/>
      <c r="M380"/>
    </row>
    <row r="381" spans="3:13" ht="12.75" customHeight="1" x14ac:dyDescent="0.2">
      <c r="C381"/>
      <c r="M381"/>
    </row>
    <row r="382" spans="3:13" ht="12.75" customHeight="1" x14ac:dyDescent="0.2">
      <c r="C382"/>
      <c r="M382"/>
    </row>
    <row r="383" spans="3:13" ht="12.75" customHeight="1" x14ac:dyDescent="0.2">
      <c r="C383"/>
      <c r="M383"/>
    </row>
    <row r="384" spans="3:13" ht="12.75" customHeight="1" x14ac:dyDescent="0.2">
      <c r="C384"/>
      <c r="M384"/>
    </row>
    <row r="385" spans="3:13" ht="12.75" customHeight="1" x14ac:dyDescent="0.2">
      <c r="C385"/>
      <c r="M385"/>
    </row>
    <row r="386" spans="3:13" ht="12.75" customHeight="1" x14ac:dyDescent="0.2">
      <c r="C386"/>
      <c r="M386"/>
    </row>
    <row r="387" spans="3:13" ht="12.75" customHeight="1" x14ac:dyDescent="0.2">
      <c r="C387"/>
      <c r="M387"/>
    </row>
    <row r="388" spans="3:13" ht="12.75" customHeight="1" x14ac:dyDescent="0.2">
      <c r="C388"/>
      <c r="M388"/>
    </row>
    <row r="389" spans="3:13" ht="12.75" customHeight="1" x14ac:dyDescent="0.2">
      <c r="C389"/>
      <c r="M389"/>
    </row>
    <row r="390" spans="3:13" ht="12.75" customHeight="1" x14ac:dyDescent="0.2">
      <c r="C390"/>
      <c r="M390"/>
    </row>
    <row r="391" spans="3:13" ht="12.75" customHeight="1" x14ac:dyDescent="0.2">
      <c r="C391"/>
      <c r="M391"/>
    </row>
    <row r="392" spans="3:13" ht="12.75" customHeight="1" x14ac:dyDescent="0.2">
      <c r="C392"/>
      <c r="M392"/>
    </row>
    <row r="393" spans="3:13" ht="12.75" customHeight="1" x14ac:dyDescent="0.2">
      <c r="C393"/>
      <c r="M393"/>
    </row>
    <row r="394" spans="3:13" ht="12.75" customHeight="1" x14ac:dyDescent="0.2">
      <c r="C394"/>
      <c r="M394"/>
    </row>
    <row r="395" spans="3:13" ht="12.75" customHeight="1" x14ac:dyDescent="0.2">
      <c r="C395"/>
      <c r="M395"/>
    </row>
    <row r="396" spans="3:13" ht="12.75" customHeight="1" x14ac:dyDescent="0.2">
      <c r="C396"/>
      <c r="M396"/>
    </row>
    <row r="397" spans="3:13" ht="12.75" customHeight="1" x14ac:dyDescent="0.2">
      <c r="C397"/>
      <c r="M397"/>
    </row>
    <row r="398" spans="3:13" ht="12.75" customHeight="1" x14ac:dyDescent="0.2">
      <c r="C398"/>
      <c r="M398"/>
    </row>
    <row r="399" spans="3:13" ht="12.75" customHeight="1" x14ac:dyDescent="0.2">
      <c r="C399"/>
      <c r="M399"/>
    </row>
    <row r="400" spans="3:13" ht="12.75" customHeight="1" x14ac:dyDescent="0.2">
      <c r="C400"/>
      <c r="M400"/>
    </row>
    <row r="401" spans="3:13" ht="12.75" customHeight="1" x14ac:dyDescent="0.2">
      <c r="C401"/>
      <c r="M401"/>
    </row>
    <row r="402" spans="3:13" ht="12.75" customHeight="1" x14ac:dyDescent="0.2">
      <c r="C402"/>
      <c r="M402"/>
    </row>
    <row r="403" spans="3:13" ht="12.75" customHeight="1" x14ac:dyDescent="0.2">
      <c r="C403"/>
      <c r="M403"/>
    </row>
    <row r="404" spans="3:13" ht="12.75" customHeight="1" x14ac:dyDescent="0.2">
      <c r="C404"/>
      <c r="M404"/>
    </row>
    <row r="405" spans="3:13" ht="12.75" customHeight="1" x14ac:dyDescent="0.2">
      <c r="C405"/>
      <c r="M405"/>
    </row>
    <row r="406" spans="3:13" ht="12.75" customHeight="1" x14ac:dyDescent="0.2">
      <c r="C406"/>
      <c r="M406"/>
    </row>
    <row r="407" spans="3:13" ht="12.75" customHeight="1" x14ac:dyDescent="0.2">
      <c r="C407"/>
      <c r="M407"/>
    </row>
    <row r="408" spans="3:13" ht="12.75" customHeight="1" x14ac:dyDescent="0.2">
      <c r="C408"/>
      <c r="M408"/>
    </row>
    <row r="409" spans="3:13" ht="12.75" customHeight="1" x14ac:dyDescent="0.2">
      <c r="C409"/>
      <c r="M409"/>
    </row>
    <row r="410" spans="3:13" ht="12.75" customHeight="1" x14ac:dyDescent="0.2">
      <c r="C410"/>
      <c r="M410"/>
    </row>
    <row r="411" spans="3:13" ht="12.75" customHeight="1" x14ac:dyDescent="0.2">
      <c r="C411"/>
      <c r="M411"/>
    </row>
    <row r="412" spans="3:13" ht="12.75" customHeight="1" x14ac:dyDescent="0.2">
      <c r="C412"/>
      <c r="M412"/>
    </row>
    <row r="413" spans="3:13" ht="12.75" customHeight="1" x14ac:dyDescent="0.2">
      <c r="C413"/>
      <c r="M413"/>
    </row>
    <row r="414" spans="3:13" ht="12.75" customHeight="1" x14ac:dyDescent="0.2">
      <c r="C414"/>
      <c r="M414"/>
    </row>
    <row r="415" spans="3:13" ht="12.75" customHeight="1" x14ac:dyDescent="0.2">
      <c r="C415"/>
      <c r="M415"/>
    </row>
    <row r="416" spans="3:13" ht="12.75" customHeight="1" x14ac:dyDescent="0.2">
      <c r="C416"/>
      <c r="M416"/>
    </row>
    <row r="417" spans="3:13" ht="12.75" customHeight="1" x14ac:dyDescent="0.2">
      <c r="C417"/>
      <c r="M417"/>
    </row>
    <row r="418" spans="3:13" ht="12.75" customHeight="1" x14ac:dyDescent="0.2">
      <c r="C418"/>
      <c r="M418"/>
    </row>
    <row r="419" spans="3:13" ht="12.75" customHeight="1" x14ac:dyDescent="0.2">
      <c r="C419"/>
      <c r="M419"/>
    </row>
    <row r="420" spans="3:13" ht="12.75" customHeight="1" x14ac:dyDescent="0.2">
      <c r="C420"/>
      <c r="M420"/>
    </row>
    <row r="421" spans="3:13" ht="12.75" customHeight="1" x14ac:dyDescent="0.2">
      <c r="C421"/>
      <c r="M421"/>
    </row>
    <row r="422" spans="3:13" ht="12.75" customHeight="1" x14ac:dyDescent="0.2">
      <c r="C422"/>
      <c r="M422"/>
    </row>
    <row r="423" spans="3:13" ht="12.75" customHeight="1" x14ac:dyDescent="0.2">
      <c r="C423"/>
      <c r="M423"/>
    </row>
    <row r="424" spans="3:13" ht="12.75" customHeight="1" x14ac:dyDescent="0.2">
      <c r="C424"/>
      <c r="M424"/>
    </row>
    <row r="425" spans="3:13" ht="12.75" customHeight="1" x14ac:dyDescent="0.2">
      <c r="C425"/>
      <c r="M425"/>
    </row>
    <row r="426" spans="3:13" ht="12.75" customHeight="1" x14ac:dyDescent="0.2">
      <c r="C426"/>
      <c r="M426"/>
    </row>
    <row r="427" spans="3:13" ht="12.75" customHeight="1" x14ac:dyDescent="0.2">
      <c r="C427"/>
      <c r="M427"/>
    </row>
    <row r="428" spans="3:13" ht="12.75" customHeight="1" x14ac:dyDescent="0.2">
      <c r="C428"/>
      <c r="M428"/>
    </row>
    <row r="429" spans="3:13" ht="12.75" customHeight="1" x14ac:dyDescent="0.2">
      <c r="C429"/>
      <c r="M429"/>
    </row>
    <row r="430" spans="3:13" ht="12.75" customHeight="1" x14ac:dyDescent="0.2">
      <c r="C430"/>
      <c r="M430"/>
    </row>
    <row r="431" spans="3:13" ht="12.75" customHeight="1" x14ac:dyDescent="0.2">
      <c r="C431"/>
      <c r="M431"/>
    </row>
    <row r="432" spans="3:13" ht="12.75" customHeight="1" x14ac:dyDescent="0.2">
      <c r="C432"/>
      <c r="M432"/>
    </row>
    <row r="433" spans="3:13" ht="12.75" customHeight="1" x14ac:dyDescent="0.2">
      <c r="C433"/>
      <c r="M433"/>
    </row>
    <row r="434" spans="3:13" ht="12.75" customHeight="1" x14ac:dyDescent="0.2">
      <c r="C434"/>
      <c r="M434"/>
    </row>
    <row r="435" spans="3:13" ht="12.75" customHeight="1" x14ac:dyDescent="0.2">
      <c r="C435"/>
      <c r="M435"/>
    </row>
    <row r="436" spans="3:13" ht="12.75" customHeight="1" x14ac:dyDescent="0.2">
      <c r="C436"/>
      <c r="M436"/>
    </row>
    <row r="437" spans="3:13" ht="12.75" customHeight="1" x14ac:dyDescent="0.2">
      <c r="C437"/>
      <c r="M437"/>
    </row>
    <row r="438" spans="3:13" ht="12.75" customHeight="1" x14ac:dyDescent="0.2">
      <c r="C438"/>
      <c r="M438"/>
    </row>
    <row r="439" spans="3:13" ht="12.75" customHeight="1" x14ac:dyDescent="0.2">
      <c r="C439"/>
      <c r="M439"/>
    </row>
    <row r="440" spans="3:13" ht="12.75" customHeight="1" x14ac:dyDescent="0.2">
      <c r="C440"/>
      <c r="M440"/>
    </row>
    <row r="441" spans="3:13" ht="12.75" customHeight="1" x14ac:dyDescent="0.2">
      <c r="C441"/>
      <c r="M441"/>
    </row>
    <row r="442" spans="3:13" ht="12.75" customHeight="1" x14ac:dyDescent="0.2">
      <c r="C442"/>
      <c r="M442"/>
    </row>
    <row r="443" spans="3:13" ht="12.75" customHeight="1" x14ac:dyDescent="0.2">
      <c r="C443"/>
      <c r="M443"/>
    </row>
    <row r="444" spans="3:13" ht="12.75" customHeight="1" x14ac:dyDescent="0.2">
      <c r="C444"/>
      <c r="M444"/>
    </row>
    <row r="445" spans="3:13" ht="12.75" customHeight="1" x14ac:dyDescent="0.2">
      <c r="C445"/>
      <c r="M445"/>
    </row>
    <row r="446" spans="3:13" ht="12.75" customHeight="1" x14ac:dyDescent="0.2">
      <c r="C446"/>
      <c r="M446"/>
    </row>
    <row r="447" spans="3:13" ht="12.75" customHeight="1" x14ac:dyDescent="0.2">
      <c r="C447"/>
      <c r="M447"/>
    </row>
    <row r="448" spans="3:13" ht="12.75" customHeight="1" x14ac:dyDescent="0.2">
      <c r="C448"/>
      <c r="M448"/>
    </row>
    <row r="449" spans="3:13" ht="12.75" customHeight="1" x14ac:dyDescent="0.2">
      <c r="C449"/>
      <c r="M449"/>
    </row>
    <row r="450" spans="3:13" ht="12.75" customHeight="1" x14ac:dyDescent="0.2">
      <c r="C450"/>
      <c r="M450"/>
    </row>
    <row r="451" spans="3:13" ht="12.75" customHeight="1" x14ac:dyDescent="0.2">
      <c r="C451"/>
      <c r="M451"/>
    </row>
    <row r="452" spans="3:13" ht="12.75" customHeight="1" x14ac:dyDescent="0.2">
      <c r="C452"/>
      <c r="M452"/>
    </row>
    <row r="453" spans="3:13" ht="12.75" customHeight="1" x14ac:dyDescent="0.2">
      <c r="C453"/>
      <c r="M453"/>
    </row>
    <row r="454" spans="3:13" ht="12.75" customHeight="1" x14ac:dyDescent="0.2">
      <c r="C454"/>
      <c r="M454"/>
    </row>
    <row r="455" spans="3:13" ht="12.75" customHeight="1" x14ac:dyDescent="0.2">
      <c r="C455"/>
      <c r="M455"/>
    </row>
    <row r="456" spans="3:13" ht="12.75" customHeight="1" x14ac:dyDescent="0.2">
      <c r="C456"/>
      <c r="M456"/>
    </row>
    <row r="457" spans="3:13" ht="12.75" customHeight="1" x14ac:dyDescent="0.2">
      <c r="C457"/>
      <c r="M457"/>
    </row>
    <row r="458" spans="3:13" ht="12.75" customHeight="1" x14ac:dyDescent="0.2">
      <c r="C458"/>
      <c r="M458"/>
    </row>
    <row r="459" spans="3:13" ht="12.75" customHeight="1" x14ac:dyDescent="0.2">
      <c r="C459"/>
      <c r="M459"/>
    </row>
    <row r="460" spans="3:13" ht="12.75" customHeight="1" x14ac:dyDescent="0.2">
      <c r="C460"/>
      <c r="M460"/>
    </row>
    <row r="461" spans="3:13" ht="12.75" customHeight="1" x14ac:dyDescent="0.2">
      <c r="C461"/>
      <c r="M461"/>
    </row>
    <row r="462" spans="3:13" ht="12.75" customHeight="1" x14ac:dyDescent="0.2">
      <c r="C462"/>
      <c r="M462"/>
    </row>
    <row r="463" spans="3:13" ht="12.75" customHeight="1" x14ac:dyDescent="0.2">
      <c r="C463"/>
      <c r="M463"/>
    </row>
    <row r="464" spans="3:13" ht="12.75" customHeight="1" x14ac:dyDescent="0.2">
      <c r="C464"/>
      <c r="M464"/>
    </row>
    <row r="465" spans="3:13" ht="12.75" customHeight="1" x14ac:dyDescent="0.2">
      <c r="C465"/>
      <c r="M465"/>
    </row>
    <row r="466" spans="3:13" ht="12.75" customHeight="1" x14ac:dyDescent="0.2">
      <c r="C466"/>
      <c r="M466"/>
    </row>
    <row r="467" spans="3:13" ht="12.75" customHeight="1" x14ac:dyDescent="0.2">
      <c r="C467"/>
      <c r="M467"/>
    </row>
    <row r="468" spans="3:13" ht="12.75" customHeight="1" x14ac:dyDescent="0.2">
      <c r="C468"/>
      <c r="M468"/>
    </row>
    <row r="469" spans="3:13" ht="12.75" customHeight="1" x14ac:dyDescent="0.2">
      <c r="C469"/>
      <c r="M469"/>
    </row>
    <row r="470" spans="3:13" ht="12.75" customHeight="1" x14ac:dyDescent="0.2">
      <c r="C470"/>
      <c r="M470"/>
    </row>
    <row r="471" spans="3:13" ht="12.75" customHeight="1" x14ac:dyDescent="0.2">
      <c r="C471"/>
      <c r="M471"/>
    </row>
    <row r="472" spans="3:13" ht="12.75" customHeight="1" x14ac:dyDescent="0.2">
      <c r="C472"/>
      <c r="M472"/>
    </row>
    <row r="473" spans="3:13" ht="12.75" customHeight="1" x14ac:dyDescent="0.2">
      <c r="C473"/>
      <c r="M473"/>
    </row>
    <row r="474" spans="3:13" ht="12.75" customHeight="1" x14ac:dyDescent="0.2">
      <c r="C474"/>
      <c r="M474"/>
    </row>
    <row r="475" spans="3:13" ht="12.75" customHeight="1" x14ac:dyDescent="0.2">
      <c r="C475"/>
      <c r="M475"/>
    </row>
    <row r="476" spans="3:13" ht="12.75" customHeight="1" x14ac:dyDescent="0.2">
      <c r="C476"/>
      <c r="M476"/>
    </row>
    <row r="477" spans="3:13" ht="12.75" customHeight="1" x14ac:dyDescent="0.2">
      <c r="C477"/>
      <c r="M477"/>
    </row>
    <row r="478" spans="3:13" ht="12.75" customHeight="1" x14ac:dyDescent="0.2">
      <c r="C478"/>
      <c r="M478"/>
    </row>
    <row r="479" spans="3:13" ht="12.75" customHeight="1" x14ac:dyDescent="0.2">
      <c r="C479"/>
      <c r="M479"/>
    </row>
    <row r="480" spans="3:13" ht="12.75" customHeight="1" x14ac:dyDescent="0.2">
      <c r="C480"/>
      <c r="M480"/>
    </row>
    <row r="481" spans="3:13" ht="12.75" customHeight="1" x14ac:dyDescent="0.2">
      <c r="C481"/>
      <c r="M481"/>
    </row>
    <row r="482" spans="3:13" ht="12.75" customHeight="1" x14ac:dyDescent="0.2">
      <c r="C482"/>
      <c r="M482"/>
    </row>
    <row r="483" spans="3:13" ht="12.75" customHeight="1" x14ac:dyDescent="0.2">
      <c r="C483"/>
      <c r="M483"/>
    </row>
    <row r="484" spans="3:13" ht="12.75" customHeight="1" x14ac:dyDescent="0.2">
      <c r="C484"/>
      <c r="M484"/>
    </row>
    <row r="485" spans="3:13" ht="12.75" customHeight="1" x14ac:dyDescent="0.2">
      <c r="C485"/>
      <c r="M485"/>
    </row>
    <row r="486" spans="3:13" ht="12.75" customHeight="1" x14ac:dyDescent="0.2">
      <c r="C486"/>
      <c r="M486"/>
    </row>
    <row r="487" spans="3:13" ht="12.75" customHeight="1" x14ac:dyDescent="0.2">
      <c r="C487"/>
      <c r="M487"/>
    </row>
    <row r="488" spans="3:13" ht="12.75" customHeight="1" x14ac:dyDescent="0.2">
      <c r="C488"/>
      <c r="M488"/>
    </row>
    <row r="489" spans="3:13" ht="12.75" customHeight="1" x14ac:dyDescent="0.2">
      <c r="C489"/>
      <c r="M489"/>
    </row>
    <row r="490" spans="3:13" ht="12.75" customHeight="1" x14ac:dyDescent="0.2">
      <c r="C490"/>
      <c r="M490"/>
    </row>
    <row r="491" spans="3:13" ht="12.75" customHeight="1" x14ac:dyDescent="0.2">
      <c r="C491"/>
      <c r="M491"/>
    </row>
    <row r="492" spans="3:13" ht="12.75" customHeight="1" x14ac:dyDescent="0.2">
      <c r="C492"/>
      <c r="M492"/>
    </row>
    <row r="493" spans="3:13" ht="12.75" customHeight="1" x14ac:dyDescent="0.2">
      <c r="C493"/>
      <c r="M493"/>
    </row>
    <row r="494" spans="3:13" ht="12.75" customHeight="1" x14ac:dyDescent="0.2">
      <c r="C494"/>
      <c r="M494"/>
    </row>
    <row r="495" spans="3:13" ht="12.75" customHeight="1" x14ac:dyDescent="0.2">
      <c r="C495"/>
      <c r="M495"/>
    </row>
    <row r="496" spans="3:13" ht="12.75" customHeight="1" x14ac:dyDescent="0.2">
      <c r="C496"/>
      <c r="M496"/>
    </row>
    <row r="497" spans="3:13" ht="12.75" customHeight="1" x14ac:dyDescent="0.2">
      <c r="C497"/>
      <c r="M497"/>
    </row>
    <row r="498" spans="3:13" ht="12.75" customHeight="1" x14ac:dyDescent="0.2">
      <c r="C498"/>
      <c r="M498"/>
    </row>
    <row r="499" spans="3:13" ht="12.75" customHeight="1" x14ac:dyDescent="0.2">
      <c r="C499"/>
      <c r="M499"/>
    </row>
    <row r="500" spans="3:13" ht="12.75" customHeight="1" x14ac:dyDescent="0.2">
      <c r="C500"/>
      <c r="M500"/>
    </row>
    <row r="501" spans="3:13" ht="12.75" customHeight="1" x14ac:dyDescent="0.2">
      <c r="C501"/>
      <c r="M501"/>
    </row>
    <row r="502" spans="3:13" ht="12.75" customHeight="1" x14ac:dyDescent="0.2">
      <c r="C502"/>
      <c r="M502"/>
    </row>
    <row r="503" spans="3:13" ht="12.75" customHeight="1" x14ac:dyDescent="0.2">
      <c r="C503"/>
      <c r="M503"/>
    </row>
    <row r="504" spans="3:13" ht="12.75" customHeight="1" x14ac:dyDescent="0.2">
      <c r="C504"/>
      <c r="M504"/>
    </row>
    <row r="505" spans="3:13" ht="12.75" customHeight="1" x14ac:dyDescent="0.2">
      <c r="C505"/>
      <c r="M505"/>
    </row>
    <row r="506" spans="3:13" ht="12.75" customHeight="1" x14ac:dyDescent="0.2">
      <c r="C506"/>
      <c r="M506"/>
    </row>
    <row r="507" spans="3:13" ht="12.75" customHeight="1" x14ac:dyDescent="0.2">
      <c r="C507"/>
      <c r="M507"/>
    </row>
    <row r="508" spans="3:13" ht="12.75" customHeight="1" x14ac:dyDescent="0.2">
      <c r="C508"/>
      <c r="M508"/>
    </row>
    <row r="509" spans="3:13" ht="12.75" customHeight="1" x14ac:dyDescent="0.2">
      <c r="C509"/>
      <c r="M509"/>
    </row>
    <row r="510" spans="3:13" ht="12.75" customHeight="1" x14ac:dyDescent="0.2">
      <c r="C510"/>
      <c r="M510"/>
    </row>
    <row r="511" spans="3:13" ht="12.75" customHeight="1" x14ac:dyDescent="0.2">
      <c r="C511"/>
      <c r="M511"/>
    </row>
    <row r="512" spans="3:13" ht="12.75" customHeight="1" x14ac:dyDescent="0.2">
      <c r="C512"/>
      <c r="M512"/>
    </row>
    <row r="513" spans="3:13" ht="12.75" customHeight="1" x14ac:dyDescent="0.2">
      <c r="C513"/>
      <c r="M513"/>
    </row>
    <row r="514" spans="3:13" ht="12.75" customHeight="1" x14ac:dyDescent="0.2">
      <c r="C514"/>
      <c r="M514"/>
    </row>
    <row r="515" spans="3:13" ht="12.75" customHeight="1" x14ac:dyDescent="0.2">
      <c r="C515"/>
      <c r="M515"/>
    </row>
    <row r="516" spans="3:13" ht="12.75" customHeight="1" x14ac:dyDescent="0.2">
      <c r="C516"/>
      <c r="M516"/>
    </row>
    <row r="517" spans="3:13" ht="12.75" customHeight="1" x14ac:dyDescent="0.2">
      <c r="C517"/>
      <c r="M517"/>
    </row>
    <row r="518" spans="3:13" ht="12.75" customHeight="1" x14ac:dyDescent="0.2">
      <c r="C518"/>
      <c r="M518"/>
    </row>
    <row r="519" spans="3:13" ht="12.75" customHeight="1" x14ac:dyDescent="0.2">
      <c r="C519"/>
      <c r="M519"/>
    </row>
    <row r="520" spans="3:13" ht="12.75" customHeight="1" x14ac:dyDescent="0.2">
      <c r="C520"/>
      <c r="M520"/>
    </row>
    <row r="521" spans="3:13" ht="12.75" customHeight="1" x14ac:dyDescent="0.2">
      <c r="C521"/>
      <c r="M521"/>
    </row>
    <row r="522" spans="3:13" ht="12.75" customHeight="1" x14ac:dyDescent="0.2">
      <c r="C522"/>
      <c r="M522"/>
    </row>
    <row r="523" spans="3:13" ht="12.75" customHeight="1" x14ac:dyDescent="0.2">
      <c r="C523"/>
      <c r="M523"/>
    </row>
    <row r="524" spans="3:13" ht="12.75" customHeight="1" x14ac:dyDescent="0.2">
      <c r="C524"/>
      <c r="M524"/>
    </row>
    <row r="525" spans="3:13" ht="12.75" customHeight="1" x14ac:dyDescent="0.2">
      <c r="C525"/>
      <c r="M525"/>
    </row>
    <row r="526" spans="3:13" ht="12.75" customHeight="1" x14ac:dyDescent="0.2">
      <c r="C526"/>
      <c r="M526"/>
    </row>
    <row r="527" spans="3:13" ht="12.75" customHeight="1" x14ac:dyDescent="0.2">
      <c r="C527"/>
      <c r="M527"/>
    </row>
    <row r="528" spans="3:13" ht="12.75" customHeight="1" x14ac:dyDescent="0.2">
      <c r="C528"/>
      <c r="M528"/>
    </row>
    <row r="529" spans="3:13" ht="12.75" customHeight="1" x14ac:dyDescent="0.2">
      <c r="C529"/>
      <c r="M529"/>
    </row>
    <row r="530" spans="3:13" ht="12.75" customHeight="1" x14ac:dyDescent="0.2">
      <c r="C530"/>
      <c r="M530"/>
    </row>
    <row r="531" spans="3:13" ht="12.75" customHeight="1" x14ac:dyDescent="0.2">
      <c r="C531"/>
      <c r="M531"/>
    </row>
    <row r="532" spans="3:13" ht="12.75" customHeight="1" x14ac:dyDescent="0.2">
      <c r="C532"/>
      <c r="M532"/>
    </row>
    <row r="533" spans="3:13" ht="12.75" customHeight="1" x14ac:dyDescent="0.2">
      <c r="C533"/>
      <c r="M533"/>
    </row>
    <row r="534" spans="3:13" ht="12.75" customHeight="1" x14ac:dyDescent="0.2">
      <c r="C534"/>
      <c r="M534"/>
    </row>
    <row r="535" spans="3:13" ht="12.75" customHeight="1" x14ac:dyDescent="0.2">
      <c r="C535"/>
      <c r="M535"/>
    </row>
    <row r="536" spans="3:13" ht="12.75" customHeight="1" x14ac:dyDescent="0.2">
      <c r="C536"/>
      <c r="M536"/>
    </row>
    <row r="537" spans="3:13" ht="12.75" customHeight="1" x14ac:dyDescent="0.2">
      <c r="C537"/>
      <c r="M537"/>
    </row>
    <row r="538" spans="3:13" ht="12.75" customHeight="1" x14ac:dyDescent="0.2">
      <c r="C538"/>
      <c r="M538"/>
    </row>
    <row r="539" spans="3:13" ht="12.75" customHeight="1" x14ac:dyDescent="0.2">
      <c r="C539"/>
      <c r="M539"/>
    </row>
    <row r="540" spans="3:13" ht="12.75" customHeight="1" x14ac:dyDescent="0.2">
      <c r="C540"/>
      <c r="M540"/>
    </row>
    <row r="541" spans="3:13" ht="12.75" customHeight="1" x14ac:dyDescent="0.2">
      <c r="C541"/>
      <c r="M541"/>
    </row>
    <row r="542" spans="3:13" ht="12.75" customHeight="1" x14ac:dyDescent="0.2">
      <c r="C542"/>
      <c r="M542"/>
    </row>
    <row r="543" spans="3:13" ht="12.75" customHeight="1" x14ac:dyDescent="0.2">
      <c r="C543"/>
      <c r="M543"/>
    </row>
    <row r="544" spans="3:13" ht="12.75" customHeight="1" x14ac:dyDescent="0.2">
      <c r="C544"/>
      <c r="M544"/>
    </row>
    <row r="545" spans="3:13" ht="12.75" customHeight="1" x14ac:dyDescent="0.2">
      <c r="C545"/>
      <c r="M545"/>
    </row>
    <row r="546" spans="3:13" ht="12.75" customHeight="1" x14ac:dyDescent="0.2">
      <c r="C546"/>
      <c r="M546"/>
    </row>
    <row r="547" spans="3:13" ht="12.75" customHeight="1" x14ac:dyDescent="0.2">
      <c r="C547"/>
      <c r="M547"/>
    </row>
    <row r="548" spans="3:13" ht="12.75" customHeight="1" x14ac:dyDescent="0.2">
      <c r="C548"/>
      <c r="M548"/>
    </row>
    <row r="549" spans="3:13" ht="12.75" customHeight="1" x14ac:dyDescent="0.2">
      <c r="C549"/>
      <c r="M549"/>
    </row>
    <row r="550" spans="3:13" ht="12.75" customHeight="1" x14ac:dyDescent="0.2">
      <c r="C550"/>
      <c r="M550"/>
    </row>
    <row r="551" spans="3:13" ht="12.75" customHeight="1" x14ac:dyDescent="0.2">
      <c r="C551"/>
      <c r="M551"/>
    </row>
    <row r="552" spans="3:13" ht="12.75" customHeight="1" x14ac:dyDescent="0.2">
      <c r="C552"/>
      <c r="M552"/>
    </row>
    <row r="553" spans="3:13" ht="12.75" customHeight="1" x14ac:dyDescent="0.2">
      <c r="C553"/>
      <c r="M553"/>
    </row>
    <row r="554" spans="3:13" ht="12.75" customHeight="1" x14ac:dyDescent="0.2">
      <c r="C554"/>
      <c r="M554"/>
    </row>
    <row r="555" spans="3:13" ht="12.75" customHeight="1" x14ac:dyDescent="0.2">
      <c r="C555"/>
      <c r="M555"/>
    </row>
    <row r="556" spans="3:13" ht="12.75" customHeight="1" x14ac:dyDescent="0.2">
      <c r="C556"/>
      <c r="M556"/>
    </row>
    <row r="557" spans="3:13" ht="12.75" customHeight="1" x14ac:dyDescent="0.2">
      <c r="C557"/>
      <c r="M557"/>
    </row>
    <row r="558" spans="3:13" ht="12.75" customHeight="1" x14ac:dyDescent="0.2">
      <c r="C558"/>
      <c r="M558"/>
    </row>
    <row r="559" spans="3:13" ht="12.75" customHeight="1" x14ac:dyDescent="0.2">
      <c r="C559"/>
      <c r="M559"/>
    </row>
    <row r="560" spans="3:13" ht="12.75" customHeight="1" x14ac:dyDescent="0.2">
      <c r="C560"/>
      <c r="M560"/>
    </row>
    <row r="561" spans="3:13" ht="12.75" customHeight="1" x14ac:dyDescent="0.2">
      <c r="C561"/>
      <c r="M561"/>
    </row>
    <row r="562" spans="3:13" ht="12.75" customHeight="1" x14ac:dyDescent="0.2">
      <c r="C562"/>
      <c r="M562"/>
    </row>
    <row r="563" spans="3:13" ht="12.75" customHeight="1" x14ac:dyDescent="0.2">
      <c r="C563"/>
      <c r="M563"/>
    </row>
    <row r="564" spans="3:13" ht="12.75" customHeight="1" x14ac:dyDescent="0.2">
      <c r="C564"/>
      <c r="M564"/>
    </row>
    <row r="565" spans="3:13" ht="12.75" customHeight="1" x14ac:dyDescent="0.2">
      <c r="C565"/>
      <c r="M565"/>
    </row>
    <row r="566" spans="3:13" ht="12.75" customHeight="1" x14ac:dyDescent="0.2">
      <c r="C566"/>
      <c r="M566"/>
    </row>
    <row r="567" spans="3:13" ht="12.75" customHeight="1" x14ac:dyDescent="0.2">
      <c r="C567"/>
      <c r="M567"/>
    </row>
    <row r="568" spans="3:13" ht="12.75" customHeight="1" x14ac:dyDescent="0.2">
      <c r="C568"/>
      <c r="M568"/>
    </row>
    <row r="569" spans="3:13" ht="12.75" customHeight="1" x14ac:dyDescent="0.2">
      <c r="C569"/>
      <c r="M569"/>
    </row>
    <row r="570" spans="3:13" ht="12.75" customHeight="1" x14ac:dyDescent="0.2">
      <c r="C570"/>
      <c r="M570"/>
    </row>
    <row r="571" spans="3:13" ht="12.75" customHeight="1" x14ac:dyDescent="0.2">
      <c r="C571"/>
      <c r="M571"/>
    </row>
    <row r="572" spans="3:13" ht="12.75" customHeight="1" x14ac:dyDescent="0.2">
      <c r="C572"/>
      <c r="M572"/>
    </row>
    <row r="573" spans="3:13" ht="12.75" customHeight="1" x14ac:dyDescent="0.2">
      <c r="C573"/>
      <c r="M573"/>
    </row>
    <row r="574" spans="3:13" ht="12.75" customHeight="1" x14ac:dyDescent="0.2">
      <c r="C574"/>
      <c r="M574"/>
    </row>
    <row r="575" spans="3:13" ht="12.75" customHeight="1" x14ac:dyDescent="0.2">
      <c r="C575"/>
      <c r="M575"/>
    </row>
    <row r="576" spans="3:13" ht="12.75" customHeight="1" x14ac:dyDescent="0.2">
      <c r="C576"/>
      <c r="M576"/>
    </row>
    <row r="577" spans="3:13" ht="12.75" customHeight="1" x14ac:dyDescent="0.2">
      <c r="C577"/>
      <c r="M577"/>
    </row>
    <row r="578" spans="3:13" ht="12.75" customHeight="1" x14ac:dyDescent="0.2">
      <c r="C578"/>
      <c r="M578"/>
    </row>
    <row r="579" spans="3:13" ht="12.75" customHeight="1" x14ac:dyDescent="0.2">
      <c r="C579"/>
      <c r="M579"/>
    </row>
    <row r="580" spans="3:13" ht="12.75" customHeight="1" x14ac:dyDescent="0.2">
      <c r="C580"/>
      <c r="M580"/>
    </row>
    <row r="581" spans="3:13" ht="12.75" customHeight="1" x14ac:dyDescent="0.2">
      <c r="C581"/>
      <c r="M581"/>
    </row>
    <row r="582" spans="3:13" ht="12.75" customHeight="1" x14ac:dyDescent="0.2">
      <c r="C582"/>
      <c r="M582"/>
    </row>
    <row r="583" spans="3:13" ht="12.75" customHeight="1" x14ac:dyDescent="0.2">
      <c r="C583"/>
      <c r="M583"/>
    </row>
    <row r="584" spans="3:13" ht="12.75" customHeight="1" x14ac:dyDescent="0.2">
      <c r="C584"/>
      <c r="M584"/>
    </row>
    <row r="585" spans="3:13" ht="12.75" customHeight="1" x14ac:dyDescent="0.2">
      <c r="C585"/>
      <c r="M585"/>
    </row>
    <row r="586" spans="3:13" ht="12.75" customHeight="1" x14ac:dyDescent="0.2">
      <c r="C586"/>
      <c r="M586"/>
    </row>
    <row r="587" spans="3:13" ht="12.75" customHeight="1" x14ac:dyDescent="0.2">
      <c r="C587"/>
      <c r="M587"/>
    </row>
    <row r="588" spans="3:13" ht="12.75" customHeight="1" x14ac:dyDescent="0.2">
      <c r="C588"/>
      <c r="M588"/>
    </row>
    <row r="589" spans="3:13" ht="12.75" customHeight="1" x14ac:dyDescent="0.2">
      <c r="C589"/>
      <c r="M589"/>
    </row>
    <row r="590" spans="3:13" ht="12.75" customHeight="1" x14ac:dyDescent="0.2">
      <c r="C590"/>
      <c r="M590"/>
    </row>
    <row r="591" spans="3:13" ht="12.75" customHeight="1" x14ac:dyDescent="0.2">
      <c r="C591"/>
      <c r="M591"/>
    </row>
    <row r="592" spans="3:13" ht="12.75" customHeight="1" x14ac:dyDescent="0.2">
      <c r="C592"/>
      <c r="M592"/>
    </row>
    <row r="593" spans="3:13" ht="12.75" customHeight="1" x14ac:dyDescent="0.2">
      <c r="C593"/>
      <c r="M593"/>
    </row>
    <row r="594" spans="3:13" ht="12.75" customHeight="1" x14ac:dyDescent="0.2">
      <c r="C594"/>
      <c r="M594"/>
    </row>
    <row r="595" spans="3:13" ht="12.75" customHeight="1" x14ac:dyDescent="0.2">
      <c r="C595"/>
      <c r="M595"/>
    </row>
    <row r="596" spans="3:13" ht="12.75" customHeight="1" x14ac:dyDescent="0.2">
      <c r="C596"/>
      <c r="M596"/>
    </row>
    <row r="597" spans="3:13" ht="12.75" customHeight="1" x14ac:dyDescent="0.2">
      <c r="C597"/>
      <c r="M597"/>
    </row>
    <row r="598" spans="3:13" ht="12.75" customHeight="1" x14ac:dyDescent="0.2">
      <c r="C598"/>
      <c r="M598"/>
    </row>
    <row r="599" spans="3:13" ht="12.75" customHeight="1" x14ac:dyDescent="0.2">
      <c r="C599"/>
      <c r="M599"/>
    </row>
    <row r="600" spans="3:13" ht="12.75" customHeight="1" x14ac:dyDescent="0.2">
      <c r="C600"/>
      <c r="M600"/>
    </row>
    <row r="601" spans="3:13" ht="12.75" customHeight="1" x14ac:dyDescent="0.2">
      <c r="C601"/>
      <c r="M601"/>
    </row>
    <row r="602" spans="3:13" ht="12.75" customHeight="1" x14ac:dyDescent="0.2">
      <c r="C602"/>
      <c r="M602"/>
    </row>
    <row r="603" spans="3:13" ht="12.75" customHeight="1" x14ac:dyDescent="0.2">
      <c r="C603"/>
      <c r="M603"/>
    </row>
    <row r="604" spans="3:13" ht="12.75" customHeight="1" x14ac:dyDescent="0.2">
      <c r="C604"/>
      <c r="M604"/>
    </row>
    <row r="605" spans="3:13" ht="12.75" customHeight="1" x14ac:dyDescent="0.2">
      <c r="C605"/>
      <c r="M605"/>
    </row>
    <row r="606" spans="3:13" ht="12.75" customHeight="1" x14ac:dyDescent="0.2">
      <c r="C606"/>
      <c r="M606"/>
    </row>
    <row r="607" spans="3:13" ht="12.75" customHeight="1" x14ac:dyDescent="0.2">
      <c r="C607"/>
      <c r="M607"/>
    </row>
    <row r="608" spans="3:13" ht="12.75" customHeight="1" x14ac:dyDescent="0.2">
      <c r="C608"/>
      <c r="M608"/>
    </row>
    <row r="609" spans="3:13" ht="12.75" customHeight="1" x14ac:dyDescent="0.2">
      <c r="C609"/>
      <c r="M609"/>
    </row>
    <row r="610" spans="3:13" ht="12.75" customHeight="1" x14ac:dyDescent="0.2">
      <c r="C610"/>
      <c r="M610"/>
    </row>
    <row r="611" spans="3:13" ht="12.75" customHeight="1" x14ac:dyDescent="0.2">
      <c r="C611"/>
      <c r="M611"/>
    </row>
    <row r="612" spans="3:13" ht="12.75" customHeight="1" x14ac:dyDescent="0.2">
      <c r="C612"/>
      <c r="M612"/>
    </row>
    <row r="613" spans="3:13" ht="12.75" customHeight="1" x14ac:dyDescent="0.2">
      <c r="C613"/>
      <c r="M613"/>
    </row>
    <row r="614" spans="3:13" ht="12.75" customHeight="1" x14ac:dyDescent="0.2">
      <c r="C614"/>
      <c r="M614"/>
    </row>
    <row r="615" spans="3:13" ht="12.75" customHeight="1" x14ac:dyDescent="0.2">
      <c r="C615"/>
      <c r="M615"/>
    </row>
    <row r="616" spans="3:13" ht="12.75" customHeight="1" x14ac:dyDescent="0.2">
      <c r="C616"/>
      <c r="M616"/>
    </row>
    <row r="617" spans="3:13" ht="12.75" customHeight="1" x14ac:dyDescent="0.2">
      <c r="C617"/>
      <c r="M617"/>
    </row>
    <row r="618" spans="3:13" ht="12.75" customHeight="1" x14ac:dyDescent="0.2">
      <c r="C618"/>
      <c r="M618"/>
    </row>
    <row r="619" spans="3:13" ht="12.75" customHeight="1" x14ac:dyDescent="0.2">
      <c r="C619"/>
      <c r="M619"/>
    </row>
    <row r="620" spans="3:13" ht="12.75" customHeight="1" x14ac:dyDescent="0.2">
      <c r="C620"/>
      <c r="M620"/>
    </row>
    <row r="621" spans="3:13" ht="12.75" customHeight="1" x14ac:dyDescent="0.2">
      <c r="C621"/>
      <c r="M621"/>
    </row>
    <row r="622" spans="3:13" ht="12.75" customHeight="1" x14ac:dyDescent="0.2">
      <c r="C622"/>
      <c r="M622"/>
    </row>
    <row r="623" spans="3:13" ht="12.75" customHeight="1" x14ac:dyDescent="0.2">
      <c r="C623"/>
      <c r="M623"/>
    </row>
    <row r="624" spans="3:13" ht="12.75" customHeight="1" x14ac:dyDescent="0.2">
      <c r="C624"/>
      <c r="M624"/>
    </row>
    <row r="625" spans="3:13" ht="12.75" customHeight="1" x14ac:dyDescent="0.2">
      <c r="C625"/>
      <c r="M625"/>
    </row>
    <row r="626" spans="3:13" ht="12.75" customHeight="1" x14ac:dyDescent="0.2">
      <c r="C626"/>
      <c r="M626"/>
    </row>
    <row r="627" spans="3:13" ht="12.75" customHeight="1" x14ac:dyDescent="0.2">
      <c r="C627"/>
      <c r="M627"/>
    </row>
    <row r="628" spans="3:13" ht="12.75" customHeight="1" x14ac:dyDescent="0.2">
      <c r="C628"/>
      <c r="M628"/>
    </row>
    <row r="629" spans="3:13" ht="12.75" customHeight="1" x14ac:dyDescent="0.2">
      <c r="C629"/>
      <c r="M629"/>
    </row>
    <row r="630" spans="3:13" ht="12.75" customHeight="1" x14ac:dyDescent="0.2">
      <c r="C630"/>
      <c r="M630"/>
    </row>
    <row r="631" spans="3:13" ht="12.75" customHeight="1" x14ac:dyDescent="0.2">
      <c r="C631"/>
      <c r="M631"/>
    </row>
    <row r="632" spans="3:13" ht="12.75" customHeight="1" x14ac:dyDescent="0.2">
      <c r="C632"/>
      <c r="M632"/>
    </row>
    <row r="633" spans="3:13" ht="12.75" customHeight="1" x14ac:dyDescent="0.2">
      <c r="C633"/>
      <c r="M633"/>
    </row>
    <row r="634" spans="3:13" ht="12.75" customHeight="1" x14ac:dyDescent="0.2">
      <c r="C634"/>
      <c r="M634"/>
    </row>
    <row r="635" spans="3:13" ht="12.75" customHeight="1" x14ac:dyDescent="0.2">
      <c r="C635"/>
      <c r="M635"/>
    </row>
    <row r="636" spans="3:13" ht="12.75" customHeight="1" x14ac:dyDescent="0.2">
      <c r="C636"/>
      <c r="M636"/>
    </row>
    <row r="637" spans="3:13" ht="12.75" customHeight="1" x14ac:dyDescent="0.2">
      <c r="C637"/>
      <c r="M637"/>
    </row>
    <row r="638" spans="3:13" ht="12.75" customHeight="1" x14ac:dyDescent="0.2">
      <c r="C638"/>
      <c r="M638"/>
    </row>
    <row r="639" spans="3:13" ht="12.75" customHeight="1" x14ac:dyDescent="0.2">
      <c r="C639"/>
      <c r="M639"/>
    </row>
    <row r="640" spans="3:13" ht="12.75" customHeight="1" x14ac:dyDescent="0.2">
      <c r="C640"/>
      <c r="M640"/>
    </row>
    <row r="641" spans="3:13" ht="12.75" customHeight="1" x14ac:dyDescent="0.2">
      <c r="C641"/>
      <c r="M641"/>
    </row>
    <row r="642" spans="3:13" ht="12.75" customHeight="1" x14ac:dyDescent="0.2">
      <c r="C642"/>
      <c r="M642"/>
    </row>
    <row r="643" spans="3:13" ht="12.75" customHeight="1" x14ac:dyDescent="0.2">
      <c r="C643"/>
      <c r="M643"/>
    </row>
    <row r="644" spans="3:13" ht="12.75" customHeight="1" x14ac:dyDescent="0.2">
      <c r="C644"/>
      <c r="M644"/>
    </row>
    <row r="645" spans="3:13" ht="12.75" customHeight="1" x14ac:dyDescent="0.2">
      <c r="C645"/>
      <c r="M645"/>
    </row>
    <row r="646" spans="3:13" ht="12.75" customHeight="1" x14ac:dyDescent="0.2">
      <c r="C646"/>
      <c r="M646"/>
    </row>
    <row r="647" spans="3:13" ht="12.75" customHeight="1" x14ac:dyDescent="0.2">
      <c r="C647"/>
      <c r="M647"/>
    </row>
    <row r="648" spans="3:13" ht="12.75" customHeight="1" x14ac:dyDescent="0.2">
      <c r="C648"/>
      <c r="M648"/>
    </row>
    <row r="649" spans="3:13" ht="12.75" customHeight="1" x14ac:dyDescent="0.2">
      <c r="C649"/>
      <c r="M649"/>
    </row>
    <row r="650" spans="3:13" ht="12.75" customHeight="1" x14ac:dyDescent="0.2">
      <c r="C650"/>
      <c r="M650"/>
    </row>
    <row r="651" spans="3:13" ht="12.75" customHeight="1" x14ac:dyDescent="0.2">
      <c r="C651"/>
      <c r="M651"/>
    </row>
    <row r="652" spans="3:13" ht="12.75" customHeight="1" x14ac:dyDescent="0.2">
      <c r="C652"/>
      <c r="M652"/>
    </row>
    <row r="653" spans="3:13" ht="12.75" customHeight="1" x14ac:dyDescent="0.2">
      <c r="C653"/>
      <c r="M653"/>
    </row>
    <row r="654" spans="3:13" ht="12.75" customHeight="1" x14ac:dyDescent="0.2">
      <c r="C654"/>
      <c r="M654"/>
    </row>
    <row r="655" spans="3:13" ht="12.75" customHeight="1" x14ac:dyDescent="0.2">
      <c r="C655"/>
      <c r="M655"/>
    </row>
    <row r="656" spans="3:13" ht="12.75" customHeight="1" x14ac:dyDescent="0.2">
      <c r="C656"/>
      <c r="M656"/>
    </row>
    <row r="657" spans="3:13" ht="12.75" customHeight="1" x14ac:dyDescent="0.2">
      <c r="C657"/>
      <c r="M657"/>
    </row>
    <row r="658" spans="3:13" ht="12.75" customHeight="1" x14ac:dyDescent="0.2">
      <c r="C658"/>
      <c r="M658"/>
    </row>
    <row r="659" spans="3:13" ht="12.75" customHeight="1" x14ac:dyDescent="0.2">
      <c r="C659"/>
      <c r="M659"/>
    </row>
    <row r="660" spans="3:13" ht="12.75" customHeight="1" x14ac:dyDescent="0.2">
      <c r="C660"/>
      <c r="M660"/>
    </row>
    <row r="661" spans="3:13" ht="12.75" customHeight="1" x14ac:dyDescent="0.2">
      <c r="C661"/>
      <c r="M661"/>
    </row>
    <row r="662" spans="3:13" ht="12.75" customHeight="1" x14ac:dyDescent="0.2">
      <c r="C662"/>
      <c r="M662"/>
    </row>
    <row r="663" spans="3:13" ht="12.75" customHeight="1" x14ac:dyDescent="0.2">
      <c r="C663"/>
      <c r="M663"/>
    </row>
    <row r="664" spans="3:13" ht="12.75" customHeight="1" x14ac:dyDescent="0.2">
      <c r="C664"/>
      <c r="M664"/>
    </row>
    <row r="665" spans="3:13" ht="12.75" customHeight="1" x14ac:dyDescent="0.2">
      <c r="C665"/>
      <c r="M665"/>
    </row>
    <row r="666" spans="3:13" ht="12.75" customHeight="1" x14ac:dyDescent="0.2">
      <c r="C666"/>
      <c r="M666"/>
    </row>
    <row r="667" spans="3:13" ht="12.75" customHeight="1" x14ac:dyDescent="0.2">
      <c r="C667"/>
      <c r="M667"/>
    </row>
    <row r="668" spans="3:13" ht="12.75" customHeight="1" x14ac:dyDescent="0.2">
      <c r="C668"/>
      <c r="M668"/>
    </row>
    <row r="669" spans="3:13" ht="12.75" customHeight="1" x14ac:dyDescent="0.2">
      <c r="C669"/>
      <c r="M669"/>
    </row>
    <row r="670" spans="3:13" ht="12.75" customHeight="1" x14ac:dyDescent="0.2">
      <c r="C670"/>
      <c r="M670"/>
    </row>
    <row r="671" spans="3:13" ht="12.75" customHeight="1" x14ac:dyDescent="0.2">
      <c r="C671"/>
      <c r="M671"/>
    </row>
    <row r="672" spans="3:13" ht="12.75" customHeight="1" x14ac:dyDescent="0.2">
      <c r="C672"/>
      <c r="M672"/>
    </row>
    <row r="673" spans="3:13" ht="12.75" customHeight="1" x14ac:dyDescent="0.2">
      <c r="C673"/>
      <c r="M673"/>
    </row>
    <row r="674" spans="3:13" ht="12.75" customHeight="1" x14ac:dyDescent="0.2">
      <c r="C674"/>
      <c r="M674"/>
    </row>
    <row r="675" spans="3:13" ht="12.75" customHeight="1" x14ac:dyDescent="0.2">
      <c r="C675"/>
      <c r="M675"/>
    </row>
    <row r="676" spans="3:13" ht="12.75" customHeight="1" x14ac:dyDescent="0.2">
      <c r="C676"/>
      <c r="M676"/>
    </row>
    <row r="677" spans="3:13" ht="12.75" customHeight="1" x14ac:dyDescent="0.2">
      <c r="C677"/>
      <c r="M677"/>
    </row>
    <row r="678" spans="3:13" ht="12.75" customHeight="1" x14ac:dyDescent="0.2">
      <c r="C678"/>
      <c r="M678"/>
    </row>
    <row r="679" spans="3:13" ht="12.75" customHeight="1" x14ac:dyDescent="0.2">
      <c r="C679"/>
      <c r="M679"/>
    </row>
    <row r="680" spans="3:13" ht="12.75" customHeight="1" x14ac:dyDescent="0.2">
      <c r="C680"/>
      <c r="M680"/>
    </row>
    <row r="681" spans="3:13" ht="12.75" customHeight="1" x14ac:dyDescent="0.2">
      <c r="C681"/>
      <c r="M681"/>
    </row>
    <row r="682" spans="3:13" ht="12.75" customHeight="1" x14ac:dyDescent="0.2">
      <c r="C682"/>
      <c r="M682"/>
    </row>
    <row r="683" spans="3:13" ht="12.75" customHeight="1" x14ac:dyDescent="0.2">
      <c r="C683"/>
      <c r="M683"/>
    </row>
    <row r="684" spans="3:13" ht="12.75" customHeight="1" x14ac:dyDescent="0.2">
      <c r="C684"/>
      <c r="M684"/>
    </row>
    <row r="685" spans="3:13" ht="12.75" customHeight="1" x14ac:dyDescent="0.2">
      <c r="C685"/>
      <c r="M685"/>
    </row>
    <row r="686" spans="3:13" ht="12.75" customHeight="1" x14ac:dyDescent="0.2">
      <c r="C686"/>
      <c r="M686"/>
    </row>
    <row r="687" spans="3:13" ht="12.75" customHeight="1" x14ac:dyDescent="0.2">
      <c r="C687"/>
      <c r="M687"/>
    </row>
    <row r="688" spans="3:13" ht="12.75" customHeight="1" x14ac:dyDescent="0.2">
      <c r="C688"/>
      <c r="M688"/>
    </row>
    <row r="689" spans="3:13" ht="12.75" customHeight="1" x14ac:dyDescent="0.2">
      <c r="C689"/>
      <c r="M689"/>
    </row>
    <row r="690" spans="3:13" ht="12.75" customHeight="1" x14ac:dyDescent="0.2">
      <c r="C690"/>
      <c r="M690"/>
    </row>
    <row r="691" spans="3:13" ht="12.75" customHeight="1" x14ac:dyDescent="0.2">
      <c r="C691"/>
      <c r="M691"/>
    </row>
    <row r="692" spans="3:13" ht="12.75" customHeight="1" x14ac:dyDescent="0.2">
      <c r="C692"/>
      <c r="M692"/>
    </row>
    <row r="693" spans="3:13" ht="12.75" customHeight="1" x14ac:dyDescent="0.2">
      <c r="C693"/>
      <c r="M693"/>
    </row>
    <row r="694" spans="3:13" ht="12.75" customHeight="1" x14ac:dyDescent="0.2">
      <c r="C694"/>
      <c r="M694"/>
    </row>
    <row r="695" spans="3:13" ht="12.75" customHeight="1" x14ac:dyDescent="0.2">
      <c r="C695"/>
      <c r="M695"/>
    </row>
    <row r="696" spans="3:13" ht="12.75" customHeight="1" x14ac:dyDescent="0.2">
      <c r="C696"/>
      <c r="M696"/>
    </row>
    <row r="697" spans="3:13" ht="12.75" customHeight="1" x14ac:dyDescent="0.2">
      <c r="C697"/>
      <c r="M697"/>
    </row>
    <row r="698" spans="3:13" ht="12.75" customHeight="1" x14ac:dyDescent="0.2">
      <c r="C698"/>
      <c r="M698"/>
    </row>
    <row r="699" spans="3:13" ht="12.75" customHeight="1" x14ac:dyDescent="0.2">
      <c r="C699"/>
      <c r="M699"/>
    </row>
    <row r="700" spans="3:13" ht="12.75" customHeight="1" x14ac:dyDescent="0.2">
      <c r="C700"/>
      <c r="M700"/>
    </row>
    <row r="701" spans="3:13" ht="12.75" customHeight="1" x14ac:dyDescent="0.2">
      <c r="C701"/>
      <c r="M701"/>
    </row>
    <row r="702" spans="3:13" ht="12.75" customHeight="1" x14ac:dyDescent="0.2">
      <c r="C702"/>
      <c r="M702"/>
    </row>
    <row r="703" spans="3:13" ht="12.75" customHeight="1" x14ac:dyDescent="0.2">
      <c r="C703"/>
      <c r="M703"/>
    </row>
    <row r="704" spans="3:13" ht="12.75" customHeight="1" x14ac:dyDescent="0.2">
      <c r="C704"/>
      <c r="M704"/>
    </row>
    <row r="705" spans="3:13" ht="12.75" customHeight="1" x14ac:dyDescent="0.2">
      <c r="C705"/>
      <c r="M705"/>
    </row>
    <row r="706" spans="3:13" ht="12.75" customHeight="1" x14ac:dyDescent="0.2">
      <c r="C706"/>
      <c r="M706"/>
    </row>
    <row r="707" spans="3:13" ht="12.75" customHeight="1" x14ac:dyDescent="0.2">
      <c r="C707"/>
      <c r="M707"/>
    </row>
    <row r="708" spans="3:13" ht="12.75" customHeight="1" x14ac:dyDescent="0.2">
      <c r="C708"/>
      <c r="M708"/>
    </row>
    <row r="709" spans="3:13" ht="12.75" customHeight="1" x14ac:dyDescent="0.2">
      <c r="C709"/>
      <c r="M709"/>
    </row>
    <row r="710" spans="3:13" ht="12.75" customHeight="1" x14ac:dyDescent="0.2">
      <c r="C710"/>
      <c r="M710"/>
    </row>
    <row r="711" spans="3:13" ht="12.75" customHeight="1" x14ac:dyDescent="0.2">
      <c r="C711"/>
      <c r="M711"/>
    </row>
    <row r="712" spans="3:13" ht="12.75" customHeight="1" x14ac:dyDescent="0.2">
      <c r="C712"/>
      <c r="M712"/>
    </row>
    <row r="713" spans="3:13" ht="12.75" customHeight="1" x14ac:dyDescent="0.2">
      <c r="C713"/>
      <c r="M713"/>
    </row>
    <row r="714" spans="3:13" ht="12.75" customHeight="1" x14ac:dyDescent="0.2">
      <c r="C714"/>
      <c r="M714"/>
    </row>
    <row r="715" spans="3:13" ht="12.75" customHeight="1" x14ac:dyDescent="0.2">
      <c r="C715"/>
      <c r="M715"/>
    </row>
    <row r="716" spans="3:13" ht="12.75" customHeight="1" x14ac:dyDescent="0.2">
      <c r="C716"/>
      <c r="M716"/>
    </row>
    <row r="717" spans="3:13" ht="12.75" customHeight="1" x14ac:dyDescent="0.2">
      <c r="C717"/>
      <c r="M717"/>
    </row>
    <row r="718" spans="3:13" ht="12.75" customHeight="1" x14ac:dyDescent="0.2">
      <c r="C718"/>
      <c r="M718"/>
    </row>
    <row r="719" spans="3:13" ht="12.75" customHeight="1" x14ac:dyDescent="0.2">
      <c r="C719"/>
      <c r="M719"/>
    </row>
    <row r="720" spans="3:13" ht="12.75" customHeight="1" x14ac:dyDescent="0.2">
      <c r="C720"/>
      <c r="M720"/>
    </row>
    <row r="721" spans="3:13" ht="12.75" customHeight="1" x14ac:dyDescent="0.2">
      <c r="C721"/>
      <c r="M721"/>
    </row>
    <row r="722" spans="3:13" ht="12.75" customHeight="1" x14ac:dyDescent="0.2">
      <c r="C722"/>
      <c r="M722"/>
    </row>
    <row r="723" spans="3:13" ht="12.75" customHeight="1" x14ac:dyDescent="0.2">
      <c r="C723"/>
      <c r="M723"/>
    </row>
    <row r="724" spans="3:13" ht="12.75" customHeight="1" x14ac:dyDescent="0.2">
      <c r="C724"/>
      <c r="M724"/>
    </row>
    <row r="725" spans="3:13" ht="12.75" customHeight="1" x14ac:dyDescent="0.2">
      <c r="C725"/>
      <c r="M725"/>
    </row>
    <row r="726" spans="3:13" ht="12.75" customHeight="1" x14ac:dyDescent="0.2">
      <c r="C726"/>
      <c r="M726"/>
    </row>
    <row r="727" spans="3:13" ht="12.75" customHeight="1" x14ac:dyDescent="0.2">
      <c r="C727"/>
      <c r="M727"/>
    </row>
    <row r="728" spans="3:13" ht="12.75" customHeight="1" x14ac:dyDescent="0.2">
      <c r="C728"/>
      <c r="M728"/>
    </row>
    <row r="729" spans="3:13" ht="12.75" customHeight="1" x14ac:dyDescent="0.2">
      <c r="C729"/>
      <c r="M729"/>
    </row>
    <row r="730" spans="3:13" ht="12.75" customHeight="1" x14ac:dyDescent="0.2">
      <c r="C730"/>
      <c r="M730"/>
    </row>
    <row r="731" spans="3:13" ht="12.75" customHeight="1" x14ac:dyDescent="0.2">
      <c r="C731"/>
      <c r="M731"/>
    </row>
    <row r="732" spans="3:13" ht="12.75" customHeight="1" x14ac:dyDescent="0.2">
      <c r="C732"/>
      <c r="M732"/>
    </row>
    <row r="733" spans="3:13" ht="12.75" customHeight="1" x14ac:dyDescent="0.2">
      <c r="C733"/>
      <c r="M733"/>
    </row>
    <row r="734" spans="3:13" ht="12.75" customHeight="1" x14ac:dyDescent="0.2">
      <c r="C734"/>
      <c r="M734"/>
    </row>
    <row r="735" spans="3:13" ht="12.75" customHeight="1" x14ac:dyDescent="0.2">
      <c r="C735"/>
      <c r="M735"/>
    </row>
    <row r="736" spans="3:13" ht="12.75" customHeight="1" x14ac:dyDescent="0.2">
      <c r="C736"/>
      <c r="M736"/>
    </row>
    <row r="737" spans="3:13" ht="12.75" customHeight="1" x14ac:dyDescent="0.2">
      <c r="C737"/>
      <c r="M737"/>
    </row>
    <row r="738" spans="3:13" ht="12.75" customHeight="1" x14ac:dyDescent="0.2">
      <c r="C738"/>
      <c r="M738"/>
    </row>
    <row r="739" spans="3:13" ht="12.75" customHeight="1" x14ac:dyDescent="0.2">
      <c r="C739"/>
      <c r="M739"/>
    </row>
    <row r="740" spans="3:13" ht="12.75" customHeight="1" x14ac:dyDescent="0.2">
      <c r="C740"/>
      <c r="M740"/>
    </row>
    <row r="741" spans="3:13" ht="12.75" customHeight="1" x14ac:dyDescent="0.2">
      <c r="C741"/>
      <c r="M741"/>
    </row>
    <row r="742" spans="3:13" ht="12.75" customHeight="1" x14ac:dyDescent="0.2">
      <c r="C742"/>
      <c r="M742"/>
    </row>
    <row r="743" spans="3:13" ht="12.75" customHeight="1" x14ac:dyDescent="0.2">
      <c r="C743"/>
      <c r="M743"/>
    </row>
    <row r="744" spans="3:13" ht="12.75" customHeight="1" x14ac:dyDescent="0.2">
      <c r="C744"/>
      <c r="M744"/>
    </row>
    <row r="745" spans="3:13" ht="12.75" customHeight="1" x14ac:dyDescent="0.2">
      <c r="C745"/>
      <c r="M745"/>
    </row>
    <row r="746" spans="3:13" ht="12.75" customHeight="1" x14ac:dyDescent="0.2">
      <c r="C746"/>
      <c r="M746"/>
    </row>
    <row r="747" spans="3:13" ht="12.75" customHeight="1" x14ac:dyDescent="0.2">
      <c r="C747"/>
      <c r="M747"/>
    </row>
    <row r="748" spans="3:13" ht="12.75" customHeight="1" x14ac:dyDescent="0.2">
      <c r="C748"/>
      <c r="M748"/>
    </row>
    <row r="749" spans="3:13" ht="12.75" customHeight="1" x14ac:dyDescent="0.2">
      <c r="C749"/>
      <c r="M749"/>
    </row>
    <row r="750" spans="3:13" ht="12.75" customHeight="1" x14ac:dyDescent="0.2">
      <c r="C750"/>
      <c r="M750"/>
    </row>
    <row r="751" spans="3:13" ht="12.75" customHeight="1" x14ac:dyDescent="0.2">
      <c r="C751"/>
      <c r="M751"/>
    </row>
    <row r="752" spans="3:13" ht="12.75" customHeight="1" x14ac:dyDescent="0.2">
      <c r="C752"/>
      <c r="M752"/>
    </row>
    <row r="753" spans="3:13" ht="12.75" customHeight="1" x14ac:dyDescent="0.2">
      <c r="C753"/>
      <c r="M753"/>
    </row>
    <row r="754" spans="3:13" ht="12.75" customHeight="1" x14ac:dyDescent="0.2">
      <c r="C754"/>
      <c r="M754"/>
    </row>
    <row r="755" spans="3:13" ht="12.75" customHeight="1" x14ac:dyDescent="0.2">
      <c r="C755"/>
      <c r="M755"/>
    </row>
    <row r="756" spans="3:13" ht="12.75" customHeight="1" x14ac:dyDescent="0.2">
      <c r="C756"/>
      <c r="M756"/>
    </row>
    <row r="757" spans="3:13" ht="12.75" customHeight="1" x14ac:dyDescent="0.2">
      <c r="C757"/>
      <c r="M757"/>
    </row>
    <row r="758" spans="3:13" ht="12.75" customHeight="1" x14ac:dyDescent="0.2">
      <c r="C758"/>
      <c r="M758"/>
    </row>
    <row r="759" spans="3:13" ht="12.75" customHeight="1" x14ac:dyDescent="0.2">
      <c r="C759"/>
      <c r="M759"/>
    </row>
    <row r="760" spans="3:13" ht="12.75" customHeight="1" x14ac:dyDescent="0.2">
      <c r="C760"/>
      <c r="M760"/>
    </row>
    <row r="761" spans="3:13" ht="12.75" customHeight="1" x14ac:dyDescent="0.2">
      <c r="C761"/>
      <c r="M761"/>
    </row>
    <row r="762" spans="3:13" ht="12.75" customHeight="1" x14ac:dyDescent="0.2">
      <c r="C762"/>
      <c r="M762"/>
    </row>
    <row r="763" spans="3:13" ht="12.75" customHeight="1" x14ac:dyDescent="0.2">
      <c r="C763"/>
      <c r="M763"/>
    </row>
    <row r="764" spans="3:13" ht="12.75" customHeight="1" x14ac:dyDescent="0.2">
      <c r="C764"/>
      <c r="M764"/>
    </row>
    <row r="765" spans="3:13" ht="12.75" customHeight="1" x14ac:dyDescent="0.2">
      <c r="C765"/>
      <c r="M765"/>
    </row>
    <row r="766" spans="3:13" ht="12.75" customHeight="1" x14ac:dyDescent="0.2">
      <c r="C766"/>
      <c r="M766"/>
    </row>
    <row r="767" spans="3:13" ht="12.75" customHeight="1" x14ac:dyDescent="0.2">
      <c r="C767"/>
      <c r="M767"/>
    </row>
    <row r="768" spans="3:13" ht="12.75" customHeight="1" x14ac:dyDescent="0.2">
      <c r="C768"/>
      <c r="M768"/>
    </row>
    <row r="769" spans="3:13" ht="12.75" customHeight="1" x14ac:dyDescent="0.2">
      <c r="C769"/>
      <c r="M769"/>
    </row>
    <row r="770" spans="3:13" ht="12.75" customHeight="1" x14ac:dyDescent="0.2">
      <c r="C770"/>
      <c r="M770"/>
    </row>
    <row r="771" spans="3:13" ht="12.75" customHeight="1" x14ac:dyDescent="0.2">
      <c r="C771"/>
      <c r="M771"/>
    </row>
    <row r="772" spans="3:13" ht="12.75" customHeight="1" x14ac:dyDescent="0.2">
      <c r="C772"/>
      <c r="M772"/>
    </row>
    <row r="773" spans="3:13" ht="12.75" customHeight="1" x14ac:dyDescent="0.2">
      <c r="C773"/>
      <c r="M773"/>
    </row>
    <row r="774" spans="3:13" ht="12.75" customHeight="1" x14ac:dyDescent="0.2">
      <c r="C774"/>
      <c r="M774"/>
    </row>
    <row r="775" spans="3:13" ht="12.75" customHeight="1" x14ac:dyDescent="0.2">
      <c r="C775"/>
      <c r="M775"/>
    </row>
    <row r="776" spans="3:13" ht="12.75" customHeight="1" x14ac:dyDescent="0.2">
      <c r="C776"/>
      <c r="M776"/>
    </row>
    <row r="777" spans="3:13" ht="12.75" customHeight="1" x14ac:dyDescent="0.2">
      <c r="C777"/>
      <c r="M777"/>
    </row>
    <row r="778" spans="3:13" ht="12.75" customHeight="1" x14ac:dyDescent="0.2">
      <c r="C778"/>
      <c r="M778"/>
    </row>
    <row r="779" spans="3:13" ht="12.75" customHeight="1" x14ac:dyDescent="0.2">
      <c r="C779"/>
      <c r="M779"/>
    </row>
    <row r="780" spans="3:13" ht="12.75" customHeight="1" x14ac:dyDescent="0.2">
      <c r="C780"/>
      <c r="M780"/>
    </row>
    <row r="781" spans="3:13" ht="12.75" customHeight="1" x14ac:dyDescent="0.2">
      <c r="C781"/>
      <c r="M781"/>
    </row>
    <row r="782" spans="3:13" ht="12.75" customHeight="1" x14ac:dyDescent="0.2">
      <c r="C782"/>
      <c r="M782"/>
    </row>
    <row r="783" spans="3:13" ht="12.75" customHeight="1" x14ac:dyDescent="0.2">
      <c r="C783"/>
      <c r="M783"/>
    </row>
    <row r="784" spans="3:13" ht="12.75" customHeight="1" x14ac:dyDescent="0.2">
      <c r="C784"/>
      <c r="M784"/>
    </row>
    <row r="785" spans="3:13" ht="12.75" customHeight="1" x14ac:dyDescent="0.2">
      <c r="C785"/>
      <c r="M785"/>
    </row>
    <row r="786" spans="3:13" ht="12.75" customHeight="1" x14ac:dyDescent="0.2">
      <c r="C786"/>
      <c r="M786"/>
    </row>
    <row r="787" spans="3:13" ht="12.75" customHeight="1" x14ac:dyDescent="0.2">
      <c r="C787"/>
      <c r="M787"/>
    </row>
    <row r="788" spans="3:13" ht="12.75" customHeight="1" x14ac:dyDescent="0.2">
      <c r="C788"/>
      <c r="M788"/>
    </row>
    <row r="789" spans="3:13" ht="12.75" customHeight="1" x14ac:dyDescent="0.2">
      <c r="C789"/>
      <c r="M789"/>
    </row>
    <row r="790" spans="3:13" ht="12.75" customHeight="1" x14ac:dyDescent="0.2">
      <c r="C790"/>
      <c r="M790"/>
    </row>
    <row r="791" spans="3:13" ht="12.75" customHeight="1" x14ac:dyDescent="0.2">
      <c r="C791"/>
      <c r="M791"/>
    </row>
    <row r="792" spans="3:13" ht="12.75" customHeight="1" x14ac:dyDescent="0.2">
      <c r="C792"/>
      <c r="M792"/>
    </row>
    <row r="793" spans="3:13" ht="12.75" customHeight="1" x14ac:dyDescent="0.2">
      <c r="C793"/>
      <c r="M793"/>
    </row>
    <row r="794" spans="3:13" ht="12.75" customHeight="1" x14ac:dyDescent="0.2">
      <c r="C794"/>
      <c r="M794"/>
    </row>
    <row r="795" spans="3:13" ht="12.75" customHeight="1" x14ac:dyDescent="0.2">
      <c r="C795"/>
      <c r="M795"/>
    </row>
    <row r="796" spans="3:13" ht="12.75" customHeight="1" x14ac:dyDescent="0.2">
      <c r="C796"/>
      <c r="M796"/>
    </row>
    <row r="797" spans="3:13" ht="12.75" customHeight="1" x14ac:dyDescent="0.2">
      <c r="C797"/>
      <c r="M797"/>
    </row>
    <row r="798" spans="3:13" ht="12.75" customHeight="1" x14ac:dyDescent="0.2">
      <c r="C798"/>
      <c r="M798"/>
    </row>
    <row r="799" spans="3:13" ht="12.75" customHeight="1" x14ac:dyDescent="0.2">
      <c r="C799"/>
      <c r="M799"/>
    </row>
    <row r="800" spans="3:13" ht="12.75" customHeight="1" x14ac:dyDescent="0.2">
      <c r="C800"/>
      <c r="M800"/>
    </row>
    <row r="801" spans="3:13" ht="12.75" customHeight="1" x14ac:dyDescent="0.2">
      <c r="C801"/>
      <c r="M801"/>
    </row>
    <row r="802" spans="3:13" ht="12.75" customHeight="1" x14ac:dyDescent="0.2">
      <c r="C802"/>
      <c r="M802"/>
    </row>
    <row r="803" spans="3:13" ht="12.75" customHeight="1" x14ac:dyDescent="0.2">
      <c r="C803"/>
      <c r="M803"/>
    </row>
    <row r="804" spans="3:13" ht="12.75" customHeight="1" x14ac:dyDescent="0.2">
      <c r="C804"/>
      <c r="M804"/>
    </row>
    <row r="805" spans="3:13" ht="12.75" customHeight="1" x14ac:dyDescent="0.2">
      <c r="C805"/>
      <c r="M805"/>
    </row>
    <row r="806" spans="3:13" ht="12.75" customHeight="1" x14ac:dyDescent="0.2">
      <c r="C806"/>
      <c r="M806"/>
    </row>
    <row r="807" spans="3:13" ht="12.75" customHeight="1" x14ac:dyDescent="0.2">
      <c r="C807"/>
      <c r="M807"/>
    </row>
    <row r="808" spans="3:13" ht="12.75" customHeight="1" x14ac:dyDescent="0.2">
      <c r="C808"/>
      <c r="M808"/>
    </row>
    <row r="809" spans="3:13" ht="12.75" customHeight="1" x14ac:dyDescent="0.2">
      <c r="C809"/>
      <c r="M809"/>
    </row>
    <row r="810" spans="3:13" ht="12.75" customHeight="1" x14ac:dyDescent="0.2">
      <c r="C810"/>
      <c r="M810"/>
    </row>
    <row r="811" spans="3:13" ht="12.75" customHeight="1" x14ac:dyDescent="0.2">
      <c r="C811"/>
      <c r="M811"/>
    </row>
    <row r="812" spans="3:13" ht="12.75" customHeight="1" x14ac:dyDescent="0.2">
      <c r="C812"/>
      <c r="M812"/>
    </row>
    <row r="813" spans="3:13" ht="12.75" customHeight="1" x14ac:dyDescent="0.2">
      <c r="C813"/>
      <c r="M813"/>
    </row>
    <row r="814" spans="3:13" ht="12.75" customHeight="1" x14ac:dyDescent="0.2">
      <c r="C814"/>
      <c r="M814"/>
    </row>
    <row r="815" spans="3:13" ht="12.75" customHeight="1" x14ac:dyDescent="0.2">
      <c r="C815"/>
      <c r="M815"/>
    </row>
    <row r="816" spans="3:13" ht="12.75" customHeight="1" x14ac:dyDescent="0.2">
      <c r="C816"/>
      <c r="M816"/>
    </row>
    <row r="817" spans="3:13" ht="12.75" customHeight="1" x14ac:dyDescent="0.2">
      <c r="C817"/>
      <c r="M817"/>
    </row>
    <row r="818" spans="3:13" ht="12.75" customHeight="1" x14ac:dyDescent="0.2">
      <c r="C818"/>
      <c r="M818"/>
    </row>
    <row r="819" spans="3:13" ht="12.75" customHeight="1" x14ac:dyDescent="0.2">
      <c r="C819"/>
      <c r="M819"/>
    </row>
    <row r="820" spans="3:13" ht="12.75" customHeight="1" x14ac:dyDescent="0.2">
      <c r="C820"/>
      <c r="M820"/>
    </row>
    <row r="821" spans="3:13" ht="12.75" customHeight="1" x14ac:dyDescent="0.2">
      <c r="C821"/>
      <c r="M821"/>
    </row>
    <row r="822" spans="3:13" ht="12.75" customHeight="1" x14ac:dyDescent="0.2">
      <c r="C822"/>
      <c r="M822"/>
    </row>
    <row r="823" spans="3:13" ht="12.75" customHeight="1" x14ac:dyDescent="0.2">
      <c r="C823"/>
      <c r="M823"/>
    </row>
    <row r="824" spans="3:13" ht="12.75" customHeight="1" x14ac:dyDescent="0.2">
      <c r="C824"/>
      <c r="M824"/>
    </row>
    <row r="825" spans="3:13" ht="12.75" customHeight="1" x14ac:dyDescent="0.2">
      <c r="C825"/>
      <c r="M825"/>
    </row>
    <row r="826" spans="3:13" ht="12.75" customHeight="1" x14ac:dyDescent="0.2">
      <c r="C826"/>
      <c r="M826"/>
    </row>
    <row r="827" spans="3:13" ht="12.75" customHeight="1" x14ac:dyDescent="0.2">
      <c r="C827"/>
      <c r="M827"/>
    </row>
    <row r="828" spans="3:13" ht="12.75" customHeight="1" x14ac:dyDescent="0.2">
      <c r="C828"/>
      <c r="M828"/>
    </row>
    <row r="829" spans="3:13" ht="12.75" customHeight="1" x14ac:dyDescent="0.2">
      <c r="C829"/>
      <c r="M829"/>
    </row>
    <row r="830" spans="3:13" ht="12.75" customHeight="1" x14ac:dyDescent="0.2">
      <c r="C830"/>
      <c r="M830"/>
    </row>
    <row r="831" spans="3:13" ht="12.75" customHeight="1" x14ac:dyDescent="0.2">
      <c r="C831"/>
      <c r="M831"/>
    </row>
    <row r="832" spans="3:13" ht="12.75" customHeight="1" x14ac:dyDescent="0.2">
      <c r="C832"/>
      <c r="M832"/>
    </row>
    <row r="833" spans="3:13" ht="12.75" customHeight="1" x14ac:dyDescent="0.2">
      <c r="C833"/>
      <c r="M833"/>
    </row>
    <row r="834" spans="3:13" ht="12.75" customHeight="1" x14ac:dyDescent="0.2">
      <c r="C834"/>
      <c r="M834"/>
    </row>
    <row r="835" spans="3:13" ht="12.75" customHeight="1" x14ac:dyDescent="0.2">
      <c r="C835"/>
      <c r="M835"/>
    </row>
    <row r="836" spans="3:13" ht="12.75" customHeight="1" x14ac:dyDescent="0.2">
      <c r="C836"/>
      <c r="M836"/>
    </row>
    <row r="837" spans="3:13" ht="12.75" customHeight="1" x14ac:dyDescent="0.2">
      <c r="C837"/>
      <c r="M837"/>
    </row>
    <row r="838" spans="3:13" ht="12.75" customHeight="1" x14ac:dyDescent="0.2">
      <c r="C838"/>
      <c r="M838"/>
    </row>
    <row r="839" spans="3:13" ht="12.75" customHeight="1" x14ac:dyDescent="0.2">
      <c r="C839"/>
      <c r="M839"/>
    </row>
    <row r="840" spans="3:13" ht="12.75" customHeight="1" x14ac:dyDescent="0.2">
      <c r="C840"/>
      <c r="M840"/>
    </row>
    <row r="841" spans="3:13" ht="12.75" customHeight="1" x14ac:dyDescent="0.2">
      <c r="C841"/>
      <c r="M841"/>
    </row>
    <row r="842" spans="3:13" ht="12.75" customHeight="1" x14ac:dyDescent="0.2">
      <c r="C842"/>
      <c r="M842"/>
    </row>
    <row r="843" spans="3:13" ht="12.75" customHeight="1" x14ac:dyDescent="0.2">
      <c r="C843"/>
      <c r="M843"/>
    </row>
    <row r="844" spans="3:13" ht="12.75" customHeight="1" x14ac:dyDescent="0.2">
      <c r="C844"/>
      <c r="M844"/>
    </row>
    <row r="845" spans="3:13" ht="12.75" customHeight="1" x14ac:dyDescent="0.2">
      <c r="C845"/>
      <c r="M845"/>
    </row>
    <row r="846" spans="3:13" ht="12.75" customHeight="1" x14ac:dyDescent="0.2">
      <c r="C846"/>
      <c r="M846"/>
    </row>
    <row r="847" spans="3:13" ht="12.75" customHeight="1" x14ac:dyDescent="0.2">
      <c r="C847"/>
      <c r="M847"/>
    </row>
    <row r="848" spans="3:13" ht="12.75" customHeight="1" x14ac:dyDescent="0.2">
      <c r="C848"/>
      <c r="M848"/>
    </row>
    <row r="849" spans="3:13" ht="12.75" customHeight="1" x14ac:dyDescent="0.2">
      <c r="C849"/>
      <c r="M849"/>
    </row>
    <row r="850" spans="3:13" ht="12.75" customHeight="1" x14ac:dyDescent="0.2">
      <c r="C850"/>
      <c r="M850"/>
    </row>
    <row r="851" spans="3:13" ht="12.75" customHeight="1" x14ac:dyDescent="0.2">
      <c r="C851"/>
      <c r="M851"/>
    </row>
    <row r="852" spans="3:13" ht="12.75" customHeight="1" x14ac:dyDescent="0.2">
      <c r="C852"/>
      <c r="M852"/>
    </row>
    <row r="853" spans="3:13" ht="12.75" customHeight="1" x14ac:dyDescent="0.2">
      <c r="C853"/>
      <c r="M853"/>
    </row>
    <row r="854" spans="3:13" ht="12.75" customHeight="1" x14ac:dyDescent="0.2">
      <c r="C854"/>
      <c r="M854"/>
    </row>
    <row r="855" spans="3:13" ht="12.75" customHeight="1" x14ac:dyDescent="0.2">
      <c r="C855"/>
      <c r="M855"/>
    </row>
    <row r="856" spans="3:13" ht="12.75" customHeight="1" x14ac:dyDescent="0.2">
      <c r="C856"/>
      <c r="M856"/>
    </row>
    <row r="857" spans="3:13" ht="12.75" customHeight="1" x14ac:dyDescent="0.2">
      <c r="C857"/>
      <c r="M857"/>
    </row>
    <row r="858" spans="3:13" ht="12.75" customHeight="1" x14ac:dyDescent="0.2">
      <c r="C858"/>
      <c r="M858"/>
    </row>
    <row r="859" spans="3:13" ht="12.75" customHeight="1" x14ac:dyDescent="0.2">
      <c r="C859"/>
      <c r="M859"/>
    </row>
    <row r="860" spans="3:13" ht="12.75" customHeight="1" x14ac:dyDescent="0.2">
      <c r="C860"/>
      <c r="M860"/>
    </row>
    <row r="861" spans="3:13" ht="12.75" customHeight="1" x14ac:dyDescent="0.2">
      <c r="C861"/>
      <c r="M861"/>
    </row>
    <row r="862" spans="3:13" ht="12.75" customHeight="1" x14ac:dyDescent="0.2">
      <c r="C862"/>
      <c r="M862"/>
    </row>
    <row r="863" spans="3:13" ht="12.75" customHeight="1" x14ac:dyDescent="0.2">
      <c r="C863"/>
      <c r="M863"/>
    </row>
    <row r="864" spans="3:13" ht="12.75" customHeight="1" x14ac:dyDescent="0.2">
      <c r="C864"/>
      <c r="M864"/>
    </row>
    <row r="865" spans="3:13" ht="12.75" customHeight="1" x14ac:dyDescent="0.2">
      <c r="C865"/>
      <c r="M865"/>
    </row>
    <row r="866" spans="3:13" ht="12.75" customHeight="1" x14ac:dyDescent="0.2">
      <c r="C866"/>
      <c r="M866"/>
    </row>
    <row r="867" spans="3:13" ht="12.75" customHeight="1" x14ac:dyDescent="0.2">
      <c r="C867"/>
      <c r="M867"/>
    </row>
    <row r="868" spans="3:13" ht="12.75" customHeight="1" x14ac:dyDescent="0.2">
      <c r="C868"/>
      <c r="M868"/>
    </row>
    <row r="869" spans="3:13" ht="12.75" customHeight="1" x14ac:dyDescent="0.2">
      <c r="C869"/>
      <c r="M869"/>
    </row>
    <row r="870" spans="3:13" ht="12.75" customHeight="1" x14ac:dyDescent="0.2">
      <c r="C870"/>
      <c r="M870"/>
    </row>
    <row r="871" spans="3:13" ht="12.75" customHeight="1" x14ac:dyDescent="0.2">
      <c r="C871"/>
      <c r="M871"/>
    </row>
    <row r="872" spans="3:13" ht="12.75" customHeight="1" x14ac:dyDescent="0.2">
      <c r="C872"/>
      <c r="M872"/>
    </row>
    <row r="873" spans="3:13" ht="12.75" customHeight="1" x14ac:dyDescent="0.2">
      <c r="C873"/>
      <c r="M873"/>
    </row>
    <row r="874" spans="3:13" ht="12.75" customHeight="1" x14ac:dyDescent="0.2">
      <c r="C874"/>
      <c r="M874"/>
    </row>
    <row r="875" spans="3:13" ht="12.75" customHeight="1" x14ac:dyDescent="0.2">
      <c r="C875"/>
      <c r="M875"/>
    </row>
    <row r="876" spans="3:13" ht="12.75" customHeight="1" x14ac:dyDescent="0.2">
      <c r="C876"/>
      <c r="M876"/>
    </row>
    <row r="877" spans="3:13" ht="12.75" customHeight="1" x14ac:dyDescent="0.2">
      <c r="C877"/>
      <c r="M877"/>
    </row>
    <row r="878" spans="3:13" ht="12.75" customHeight="1" x14ac:dyDescent="0.2">
      <c r="C878"/>
      <c r="M878"/>
    </row>
    <row r="879" spans="3:13" ht="12.75" customHeight="1" x14ac:dyDescent="0.2">
      <c r="C879"/>
      <c r="M879"/>
    </row>
    <row r="880" spans="3:13" ht="12.75" customHeight="1" x14ac:dyDescent="0.2">
      <c r="C880"/>
      <c r="M880"/>
    </row>
    <row r="881" spans="3:13" ht="12.75" customHeight="1" x14ac:dyDescent="0.2">
      <c r="C881"/>
      <c r="M881"/>
    </row>
    <row r="882" spans="3:13" ht="12.75" customHeight="1" x14ac:dyDescent="0.2">
      <c r="C882"/>
      <c r="M882"/>
    </row>
    <row r="883" spans="3:13" ht="12.75" customHeight="1" x14ac:dyDescent="0.2">
      <c r="C883"/>
      <c r="M883"/>
    </row>
    <row r="884" spans="3:13" ht="12.75" customHeight="1" x14ac:dyDescent="0.2">
      <c r="C884"/>
      <c r="M884"/>
    </row>
    <row r="885" spans="3:13" ht="12.75" customHeight="1" x14ac:dyDescent="0.2">
      <c r="C885"/>
      <c r="M885"/>
    </row>
    <row r="886" spans="3:13" ht="12.75" customHeight="1" x14ac:dyDescent="0.2">
      <c r="C886"/>
      <c r="M886"/>
    </row>
    <row r="887" spans="3:13" ht="12.75" customHeight="1" x14ac:dyDescent="0.2">
      <c r="C887"/>
      <c r="M887"/>
    </row>
    <row r="888" spans="3:13" ht="12.75" customHeight="1" x14ac:dyDescent="0.2">
      <c r="C888"/>
      <c r="M888"/>
    </row>
    <row r="889" spans="3:13" ht="12.75" customHeight="1" x14ac:dyDescent="0.2">
      <c r="C889"/>
      <c r="M889"/>
    </row>
    <row r="890" spans="3:13" ht="12.75" customHeight="1" x14ac:dyDescent="0.2">
      <c r="C890"/>
      <c r="M890"/>
    </row>
    <row r="891" spans="3:13" ht="12.75" customHeight="1" x14ac:dyDescent="0.2">
      <c r="C891"/>
      <c r="M891"/>
    </row>
    <row r="892" spans="3:13" ht="12.75" customHeight="1" x14ac:dyDescent="0.2">
      <c r="C892"/>
      <c r="M892"/>
    </row>
    <row r="893" spans="3:13" ht="12.75" customHeight="1" x14ac:dyDescent="0.2">
      <c r="C893"/>
      <c r="M893"/>
    </row>
    <row r="894" spans="3:13" ht="12.75" customHeight="1" x14ac:dyDescent="0.2">
      <c r="C894"/>
      <c r="M894"/>
    </row>
    <row r="895" spans="3:13" ht="12.75" customHeight="1" x14ac:dyDescent="0.2">
      <c r="C895"/>
      <c r="M895"/>
    </row>
    <row r="896" spans="3:13" ht="12.75" customHeight="1" x14ac:dyDescent="0.2">
      <c r="C896"/>
      <c r="M896"/>
    </row>
    <row r="897" spans="3:13" ht="12.75" customHeight="1" x14ac:dyDescent="0.2">
      <c r="C897"/>
      <c r="M897"/>
    </row>
    <row r="898" spans="3:13" ht="12.75" customHeight="1" x14ac:dyDescent="0.2">
      <c r="C898"/>
      <c r="M898"/>
    </row>
    <row r="899" spans="3:13" ht="12.75" customHeight="1" x14ac:dyDescent="0.2">
      <c r="C899"/>
      <c r="M899"/>
    </row>
    <row r="900" spans="3:13" ht="12.75" customHeight="1" x14ac:dyDescent="0.2">
      <c r="C900"/>
      <c r="M900"/>
    </row>
    <row r="901" spans="3:13" ht="12.75" customHeight="1" x14ac:dyDescent="0.2">
      <c r="C901"/>
      <c r="M901"/>
    </row>
    <row r="902" spans="3:13" ht="12.75" customHeight="1" x14ac:dyDescent="0.2">
      <c r="C902"/>
      <c r="M902"/>
    </row>
    <row r="903" spans="3:13" ht="12.75" customHeight="1" x14ac:dyDescent="0.2">
      <c r="C903"/>
      <c r="M903"/>
    </row>
    <row r="904" spans="3:13" ht="12.75" customHeight="1" x14ac:dyDescent="0.2">
      <c r="C904"/>
      <c r="M904"/>
    </row>
    <row r="905" spans="3:13" ht="12.75" customHeight="1" x14ac:dyDescent="0.2">
      <c r="C905"/>
      <c r="M905"/>
    </row>
    <row r="906" spans="3:13" ht="12.75" customHeight="1" x14ac:dyDescent="0.2">
      <c r="C906"/>
      <c r="M906"/>
    </row>
    <row r="907" spans="3:13" ht="12.75" customHeight="1" x14ac:dyDescent="0.2">
      <c r="C907"/>
      <c r="M907"/>
    </row>
    <row r="908" spans="3:13" ht="12.75" customHeight="1" x14ac:dyDescent="0.2">
      <c r="C908"/>
      <c r="M908"/>
    </row>
    <row r="909" spans="3:13" ht="12.75" customHeight="1" x14ac:dyDescent="0.2">
      <c r="C909"/>
      <c r="M909"/>
    </row>
    <row r="910" spans="3:13" ht="12.75" customHeight="1" x14ac:dyDescent="0.2">
      <c r="C910"/>
      <c r="M910"/>
    </row>
    <row r="911" spans="3:13" ht="12.75" customHeight="1" x14ac:dyDescent="0.2">
      <c r="C911"/>
      <c r="M911"/>
    </row>
    <row r="912" spans="3:13" ht="12.75" customHeight="1" x14ac:dyDescent="0.2">
      <c r="C912"/>
      <c r="M912"/>
    </row>
    <row r="913" spans="3:13" ht="12.75" customHeight="1" x14ac:dyDescent="0.2">
      <c r="C913"/>
      <c r="M913"/>
    </row>
    <row r="914" spans="3:13" ht="12.75" customHeight="1" x14ac:dyDescent="0.2">
      <c r="C914"/>
      <c r="M914"/>
    </row>
    <row r="915" spans="3:13" ht="12.75" customHeight="1" x14ac:dyDescent="0.2">
      <c r="C915"/>
      <c r="M915"/>
    </row>
    <row r="916" spans="3:13" ht="12.75" customHeight="1" x14ac:dyDescent="0.2">
      <c r="C916"/>
      <c r="M916"/>
    </row>
    <row r="917" spans="3:13" ht="12.75" customHeight="1" x14ac:dyDescent="0.2">
      <c r="C917"/>
      <c r="M917"/>
    </row>
    <row r="918" spans="3:13" ht="12.75" customHeight="1" x14ac:dyDescent="0.2">
      <c r="C918"/>
      <c r="M918"/>
    </row>
    <row r="919" spans="3:13" ht="12.75" customHeight="1" x14ac:dyDescent="0.2">
      <c r="C919"/>
      <c r="M919"/>
    </row>
    <row r="920" spans="3:13" ht="12.75" customHeight="1" x14ac:dyDescent="0.2">
      <c r="C920"/>
      <c r="M920"/>
    </row>
    <row r="921" spans="3:13" ht="12.75" customHeight="1" x14ac:dyDescent="0.2">
      <c r="C921"/>
      <c r="M921"/>
    </row>
    <row r="922" spans="3:13" ht="12.75" customHeight="1" x14ac:dyDescent="0.2">
      <c r="C922"/>
      <c r="M922"/>
    </row>
    <row r="923" spans="3:13" ht="12.75" customHeight="1" x14ac:dyDescent="0.2">
      <c r="C923"/>
      <c r="M923"/>
    </row>
    <row r="924" spans="3:13" ht="12.75" customHeight="1" x14ac:dyDescent="0.2">
      <c r="C924"/>
      <c r="M924"/>
    </row>
    <row r="925" spans="3:13" ht="12.75" customHeight="1" x14ac:dyDescent="0.2">
      <c r="C925"/>
      <c r="M925"/>
    </row>
    <row r="926" spans="3:13" ht="12.75" customHeight="1" x14ac:dyDescent="0.2">
      <c r="C926"/>
      <c r="M926"/>
    </row>
    <row r="927" spans="3:13" ht="12.75" customHeight="1" x14ac:dyDescent="0.2">
      <c r="C927"/>
      <c r="M927"/>
    </row>
    <row r="928" spans="3:13" ht="12.75" customHeight="1" x14ac:dyDescent="0.2">
      <c r="C928"/>
      <c r="M928"/>
    </row>
    <row r="929" spans="3:13" ht="12.75" customHeight="1" x14ac:dyDescent="0.2">
      <c r="C929"/>
      <c r="M929"/>
    </row>
    <row r="930" spans="3:13" ht="12.75" customHeight="1" x14ac:dyDescent="0.2">
      <c r="C930"/>
      <c r="M930"/>
    </row>
    <row r="931" spans="3:13" ht="12.75" customHeight="1" x14ac:dyDescent="0.2">
      <c r="C931"/>
      <c r="M931"/>
    </row>
    <row r="932" spans="3:13" ht="12.75" customHeight="1" x14ac:dyDescent="0.2">
      <c r="C932"/>
      <c r="M932"/>
    </row>
    <row r="933" spans="3:13" ht="12.75" customHeight="1" x14ac:dyDescent="0.2">
      <c r="C933"/>
      <c r="M933"/>
    </row>
    <row r="934" spans="3:13" ht="12.75" customHeight="1" x14ac:dyDescent="0.2">
      <c r="C934"/>
      <c r="M934"/>
    </row>
    <row r="935" spans="3:13" ht="12.75" customHeight="1" x14ac:dyDescent="0.2">
      <c r="C935"/>
      <c r="M935"/>
    </row>
    <row r="936" spans="3:13" ht="12.75" customHeight="1" x14ac:dyDescent="0.2">
      <c r="C936"/>
      <c r="M936"/>
    </row>
    <row r="937" spans="3:13" ht="12.75" customHeight="1" x14ac:dyDescent="0.2">
      <c r="C937"/>
      <c r="M937"/>
    </row>
    <row r="938" spans="3:13" ht="12.75" customHeight="1" x14ac:dyDescent="0.2">
      <c r="C938"/>
      <c r="M938"/>
    </row>
    <row r="939" spans="3:13" ht="12.75" customHeight="1" x14ac:dyDescent="0.2">
      <c r="C939"/>
      <c r="M939"/>
    </row>
    <row r="940" spans="3:13" ht="12.75" customHeight="1" x14ac:dyDescent="0.2">
      <c r="C940"/>
      <c r="M940"/>
    </row>
    <row r="941" spans="3:13" ht="12.75" customHeight="1" x14ac:dyDescent="0.2">
      <c r="C941"/>
      <c r="M941"/>
    </row>
    <row r="942" spans="3:13" ht="12.75" customHeight="1" x14ac:dyDescent="0.2">
      <c r="C942"/>
      <c r="M942"/>
    </row>
    <row r="943" spans="3:13" ht="12.75" customHeight="1" x14ac:dyDescent="0.2">
      <c r="C943"/>
      <c r="M943"/>
    </row>
    <row r="944" spans="3:13" ht="12.75" customHeight="1" x14ac:dyDescent="0.2">
      <c r="C944"/>
      <c r="M944"/>
    </row>
    <row r="945" spans="3:13" ht="12.75" customHeight="1" x14ac:dyDescent="0.2">
      <c r="C945"/>
      <c r="M945"/>
    </row>
    <row r="946" spans="3:13" ht="12.75" customHeight="1" x14ac:dyDescent="0.2">
      <c r="C946"/>
      <c r="M946"/>
    </row>
    <row r="947" spans="3:13" ht="12.75" customHeight="1" x14ac:dyDescent="0.2">
      <c r="C947"/>
      <c r="M947"/>
    </row>
    <row r="948" spans="3:13" ht="12.75" customHeight="1" x14ac:dyDescent="0.2">
      <c r="C948"/>
      <c r="M948"/>
    </row>
    <row r="949" spans="3:13" ht="12.75" customHeight="1" x14ac:dyDescent="0.2">
      <c r="C949"/>
      <c r="M949"/>
    </row>
    <row r="950" spans="3:13" ht="12.75" customHeight="1" x14ac:dyDescent="0.2">
      <c r="C950"/>
      <c r="M950"/>
    </row>
    <row r="951" spans="3:13" ht="12.75" customHeight="1" x14ac:dyDescent="0.2">
      <c r="C951"/>
      <c r="M951"/>
    </row>
    <row r="952" spans="3:13" ht="12.75" customHeight="1" x14ac:dyDescent="0.2">
      <c r="C952"/>
      <c r="M952"/>
    </row>
    <row r="953" spans="3:13" ht="12.75" customHeight="1" x14ac:dyDescent="0.2">
      <c r="C953"/>
      <c r="M953"/>
    </row>
    <row r="954" spans="3:13" ht="12.75" customHeight="1" x14ac:dyDescent="0.2">
      <c r="C954"/>
      <c r="M954"/>
    </row>
    <row r="955" spans="3:13" ht="12.75" customHeight="1" x14ac:dyDescent="0.2">
      <c r="C955"/>
      <c r="M955"/>
    </row>
    <row r="956" spans="3:13" ht="12.75" customHeight="1" x14ac:dyDescent="0.2">
      <c r="C956"/>
      <c r="M956"/>
    </row>
    <row r="957" spans="3:13" ht="12.75" customHeight="1" x14ac:dyDescent="0.2">
      <c r="C957"/>
      <c r="M957"/>
    </row>
    <row r="958" spans="3:13" ht="12.75" customHeight="1" x14ac:dyDescent="0.2">
      <c r="C958"/>
      <c r="M958"/>
    </row>
    <row r="959" spans="3:13" ht="12.75" customHeight="1" x14ac:dyDescent="0.2">
      <c r="C959"/>
      <c r="M959"/>
    </row>
    <row r="960" spans="3:13" ht="12.75" customHeight="1" x14ac:dyDescent="0.2">
      <c r="C960"/>
      <c r="M960"/>
    </row>
    <row r="961" spans="3:13" ht="12.75" customHeight="1" x14ac:dyDescent="0.2">
      <c r="C961"/>
      <c r="M961"/>
    </row>
    <row r="962" spans="3:13" ht="12.75" customHeight="1" x14ac:dyDescent="0.2">
      <c r="C962"/>
      <c r="M962"/>
    </row>
    <row r="963" spans="3:13" ht="12.75" customHeight="1" x14ac:dyDescent="0.2">
      <c r="C963"/>
      <c r="M963"/>
    </row>
    <row r="964" spans="3:13" ht="12.75" customHeight="1" x14ac:dyDescent="0.2">
      <c r="C964"/>
      <c r="M964"/>
    </row>
    <row r="965" spans="3:13" ht="12.75" customHeight="1" x14ac:dyDescent="0.2">
      <c r="C965"/>
      <c r="M965"/>
    </row>
    <row r="966" spans="3:13" ht="12.75" customHeight="1" x14ac:dyDescent="0.2">
      <c r="C966"/>
      <c r="M966"/>
    </row>
    <row r="967" spans="3:13" ht="12.75" customHeight="1" x14ac:dyDescent="0.2">
      <c r="C967"/>
      <c r="M967"/>
    </row>
    <row r="968" spans="3:13" ht="12.75" customHeight="1" x14ac:dyDescent="0.2">
      <c r="C968"/>
      <c r="M968"/>
    </row>
    <row r="969" spans="3:13" ht="12.75" customHeight="1" x14ac:dyDescent="0.2">
      <c r="C969"/>
      <c r="M969"/>
    </row>
    <row r="970" spans="3:13" ht="12.75" customHeight="1" x14ac:dyDescent="0.2">
      <c r="C970"/>
      <c r="M970"/>
    </row>
    <row r="971" spans="3:13" ht="12.75" customHeight="1" x14ac:dyDescent="0.2">
      <c r="C971"/>
      <c r="M971"/>
    </row>
    <row r="972" spans="3:13" ht="12.75" customHeight="1" x14ac:dyDescent="0.2">
      <c r="C972"/>
      <c r="M972"/>
    </row>
    <row r="973" spans="3:13" ht="12.75" customHeight="1" x14ac:dyDescent="0.2">
      <c r="C973"/>
      <c r="M973"/>
    </row>
    <row r="974" spans="3:13" ht="12.75" customHeight="1" x14ac:dyDescent="0.2">
      <c r="C974"/>
      <c r="M974"/>
    </row>
    <row r="975" spans="3:13" ht="12.75" customHeight="1" x14ac:dyDescent="0.2">
      <c r="C975"/>
      <c r="M975"/>
    </row>
    <row r="976" spans="3:13" ht="12.75" customHeight="1" x14ac:dyDescent="0.2">
      <c r="C976"/>
      <c r="M976"/>
    </row>
    <row r="977" spans="3:13" ht="12.75" customHeight="1" x14ac:dyDescent="0.2">
      <c r="C977"/>
      <c r="M977"/>
    </row>
    <row r="978" spans="3:13" ht="12.75" customHeight="1" x14ac:dyDescent="0.2">
      <c r="C978"/>
      <c r="M978"/>
    </row>
    <row r="979" spans="3:13" ht="12.75" customHeight="1" x14ac:dyDescent="0.2">
      <c r="C979"/>
      <c r="M979"/>
    </row>
    <row r="980" spans="3:13" ht="12.75" customHeight="1" x14ac:dyDescent="0.2">
      <c r="C980"/>
      <c r="M980"/>
    </row>
    <row r="981" spans="3:13" ht="12.75" customHeight="1" x14ac:dyDescent="0.2">
      <c r="C981"/>
      <c r="M981"/>
    </row>
    <row r="982" spans="3:13" ht="12.75" customHeight="1" x14ac:dyDescent="0.2">
      <c r="C982"/>
      <c r="M982"/>
    </row>
    <row r="983" spans="3:13" ht="12.75" customHeight="1" x14ac:dyDescent="0.2">
      <c r="C983"/>
      <c r="M983"/>
    </row>
    <row r="984" spans="3:13" ht="12.75" customHeight="1" x14ac:dyDescent="0.2">
      <c r="C984"/>
      <c r="M984"/>
    </row>
    <row r="985" spans="3:13" ht="12.75" customHeight="1" x14ac:dyDescent="0.2">
      <c r="C985"/>
      <c r="M985"/>
    </row>
    <row r="986" spans="3:13" ht="12.75" customHeight="1" x14ac:dyDescent="0.2">
      <c r="C986"/>
      <c r="M986"/>
    </row>
    <row r="987" spans="3:13" ht="12.75" customHeight="1" x14ac:dyDescent="0.2">
      <c r="C987"/>
      <c r="M987"/>
    </row>
    <row r="988" spans="3:13" ht="12.75" customHeight="1" x14ac:dyDescent="0.2">
      <c r="C988"/>
      <c r="M988"/>
    </row>
    <row r="989" spans="3:13" ht="12.75" customHeight="1" x14ac:dyDescent="0.2">
      <c r="C989"/>
      <c r="M989"/>
    </row>
    <row r="990" spans="3:13" ht="12.75" customHeight="1" x14ac:dyDescent="0.2">
      <c r="C990"/>
      <c r="M990"/>
    </row>
    <row r="991" spans="3:13" ht="12.75" customHeight="1" x14ac:dyDescent="0.2">
      <c r="C991"/>
      <c r="M991"/>
    </row>
    <row r="992" spans="3:13" ht="12.75" customHeight="1" x14ac:dyDescent="0.2">
      <c r="C992"/>
      <c r="M992"/>
    </row>
    <row r="993" spans="3:13" ht="12.75" customHeight="1" x14ac:dyDescent="0.2">
      <c r="C993"/>
      <c r="M993"/>
    </row>
    <row r="994" spans="3:13" ht="12.75" customHeight="1" x14ac:dyDescent="0.2">
      <c r="C994"/>
      <c r="M994"/>
    </row>
    <row r="995" spans="3:13" ht="12.75" customHeight="1" x14ac:dyDescent="0.2">
      <c r="C995"/>
      <c r="M995"/>
    </row>
    <row r="996" spans="3:13" ht="12.75" customHeight="1" x14ac:dyDescent="0.2">
      <c r="C996"/>
      <c r="M996"/>
    </row>
    <row r="997" spans="3:13" ht="12.75" customHeight="1" x14ac:dyDescent="0.2">
      <c r="C997"/>
      <c r="M997"/>
    </row>
    <row r="998" spans="3:13" ht="12.75" customHeight="1" x14ac:dyDescent="0.2">
      <c r="C998"/>
      <c r="M998"/>
    </row>
    <row r="999" spans="3:13" ht="12.75" customHeight="1" x14ac:dyDescent="0.2">
      <c r="C999"/>
      <c r="M999"/>
    </row>
    <row r="1000" spans="3:13" ht="12.75" customHeight="1" x14ac:dyDescent="0.2">
      <c r="C1000"/>
      <c r="M1000"/>
    </row>
    <row r="1001" spans="3:13" ht="12.75" customHeight="1" x14ac:dyDescent="0.2">
      <c r="C1001"/>
      <c r="M1001"/>
    </row>
    <row r="1002" spans="3:13" ht="12.75" customHeight="1" x14ac:dyDescent="0.2">
      <c r="C1002"/>
      <c r="M1002"/>
    </row>
    <row r="1003" spans="3:13" ht="12.75" customHeight="1" x14ac:dyDescent="0.2">
      <c r="C1003"/>
      <c r="M1003"/>
    </row>
    <row r="1004" spans="3:13" ht="12.75" customHeight="1" x14ac:dyDescent="0.2">
      <c r="C1004"/>
      <c r="M1004"/>
    </row>
    <row r="1005" spans="3:13" ht="12.75" customHeight="1" x14ac:dyDescent="0.2">
      <c r="C1005"/>
      <c r="M1005"/>
    </row>
    <row r="1006" spans="3:13" ht="12.75" customHeight="1" x14ac:dyDescent="0.2">
      <c r="C1006"/>
      <c r="M1006"/>
    </row>
    <row r="1007" spans="3:13" ht="12.75" customHeight="1" x14ac:dyDescent="0.2">
      <c r="C1007"/>
      <c r="M1007"/>
    </row>
    <row r="1008" spans="3:13" ht="12.75" customHeight="1" x14ac:dyDescent="0.2">
      <c r="C1008"/>
      <c r="M1008"/>
    </row>
    <row r="1009" spans="3:13" ht="12.75" customHeight="1" x14ac:dyDescent="0.2">
      <c r="C1009"/>
      <c r="M1009"/>
    </row>
    <row r="1010" spans="3:13" ht="12.75" customHeight="1" x14ac:dyDescent="0.2">
      <c r="C1010"/>
      <c r="M1010"/>
    </row>
    <row r="1011" spans="3:13" ht="12.75" customHeight="1" x14ac:dyDescent="0.2">
      <c r="C1011"/>
      <c r="M1011"/>
    </row>
    <row r="1012" spans="3:13" ht="12.75" customHeight="1" x14ac:dyDescent="0.2">
      <c r="C1012"/>
      <c r="M1012"/>
    </row>
    <row r="1013" spans="3:13" ht="12.75" customHeight="1" x14ac:dyDescent="0.2">
      <c r="C1013"/>
      <c r="M1013"/>
    </row>
    <row r="1014" spans="3:13" ht="12.75" customHeight="1" x14ac:dyDescent="0.2">
      <c r="C1014"/>
      <c r="M1014"/>
    </row>
    <row r="1015" spans="3:13" ht="12.75" customHeight="1" x14ac:dyDescent="0.2">
      <c r="C1015"/>
      <c r="M1015"/>
    </row>
    <row r="1016" spans="3:13" ht="12.75" customHeight="1" x14ac:dyDescent="0.2">
      <c r="C1016"/>
      <c r="M1016"/>
    </row>
    <row r="1017" spans="3:13" ht="12.75" customHeight="1" x14ac:dyDescent="0.2">
      <c r="C1017"/>
      <c r="M1017"/>
    </row>
    <row r="1018" spans="3:13" ht="12.75" customHeight="1" x14ac:dyDescent="0.2">
      <c r="C1018"/>
      <c r="M1018"/>
    </row>
    <row r="1019" spans="3:13" ht="12.75" customHeight="1" x14ac:dyDescent="0.2">
      <c r="C1019"/>
      <c r="M1019"/>
    </row>
    <row r="1020" spans="3:13" ht="12.75" customHeight="1" x14ac:dyDescent="0.2">
      <c r="C1020"/>
      <c r="M1020"/>
    </row>
    <row r="1021" spans="3:13" ht="12.75" customHeight="1" x14ac:dyDescent="0.2">
      <c r="C1021"/>
      <c r="M1021"/>
    </row>
    <row r="1022" spans="3:13" ht="12.75" customHeight="1" x14ac:dyDescent="0.2">
      <c r="C1022"/>
      <c r="M1022"/>
    </row>
    <row r="1023" spans="3:13" ht="12.75" customHeight="1" x14ac:dyDescent="0.2">
      <c r="C1023"/>
      <c r="M1023"/>
    </row>
    <row r="1024" spans="3:13" ht="12.75" customHeight="1" x14ac:dyDescent="0.2">
      <c r="C1024"/>
      <c r="M1024"/>
    </row>
    <row r="1025" spans="3:13" ht="12.75" customHeight="1" x14ac:dyDescent="0.2">
      <c r="C1025"/>
      <c r="M1025"/>
    </row>
    <row r="1026" spans="3:13" ht="12.75" customHeight="1" x14ac:dyDescent="0.2">
      <c r="C1026"/>
      <c r="M1026"/>
    </row>
    <row r="1027" spans="3:13" ht="12.75" customHeight="1" x14ac:dyDescent="0.2">
      <c r="C1027"/>
      <c r="M1027"/>
    </row>
    <row r="1028" spans="3:13" ht="12.75" customHeight="1" x14ac:dyDescent="0.2">
      <c r="C1028"/>
      <c r="M1028"/>
    </row>
    <row r="1029" spans="3:13" ht="12.75" customHeight="1" x14ac:dyDescent="0.2">
      <c r="C1029"/>
      <c r="M1029"/>
    </row>
    <row r="1030" spans="3:13" ht="12.75" customHeight="1" x14ac:dyDescent="0.2">
      <c r="C1030"/>
      <c r="M1030"/>
    </row>
    <row r="1031" spans="3:13" ht="12.75" customHeight="1" x14ac:dyDescent="0.2">
      <c r="C1031"/>
      <c r="M1031"/>
    </row>
    <row r="1032" spans="3:13" ht="12.75" customHeight="1" x14ac:dyDescent="0.2">
      <c r="C1032"/>
      <c r="M1032"/>
    </row>
    <row r="1033" spans="3:13" ht="12.75" customHeight="1" x14ac:dyDescent="0.2">
      <c r="C1033"/>
      <c r="M1033"/>
    </row>
    <row r="1034" spans="3:13" ht="12.75" customHeight="1" x14ac:dyDescent="0.2">
      <c r="C1034"/>
      <c r="M1034"/>
    </row>
    <row r="1035" spans="3:13" ht="12.75" customHeight="1" x14ac:dyDescent="0.2">
      <c r="C1035"/>
      <c r="M1035"/>
    </row>
    <row r="1036" spans="3:13" ht="12.75" customHeight="1" x14ac:dyDescent="0.2">
      <c r="C1036"/>
      <c r="M1036"/>
    </row>
    <row r="1037" spans="3:13" ht="12.75" customHeight="1" x14ac:dyDescent="0.2">
      <c r="C1037"/>
      <c r="M1037"/>
    </row>
    <row r="1038" spans="3:13" ht="12.75" customHeight="1" x14ac:dyDescent="0.2">
      <c r="C1038"/>
      <c r="M1038"/>
    </row>
    <row r="1039" spans="3:13" ht="12.75" customHeight="1" x14ac:dyDescent="0.2">
      <c r="C1039"/>
      <c r="M1039"/>
    </row>
    <row r="1040" spans="3:13" ht="12.75" customHeight="1" x14ac:dyDescent="0.2">
      <c r="C1040"/>
      <c r="M1040"/>
    </row>
    <row r="1041" spans="3:13" ht="12.75" customHeight="1" x14ac:dyDescent="0.2">
      <c r="C1041"/>
      <c r="M1041"/>
    </row>
    <row r="1042" spans="3:13" ht="12.75" customHeight="1" x14ac:dyDescent="0.2">
      <c r="C1042"/>
      <c r="M1042"/>
    </row>
    <row r="1043" spans="3:13" ht="12.75" customHeight="1" x14ac:dyDescent="0.2">
      <c r="C1043"/>
      <c r="M1043"/>
    </row>
    <row r="1044" spans="3:13" ht="12.75" customHeight="1" x14ac:dyDescent="0.2">
      <c r="C1044"/>
      <c r="M1044"/>
    </row>
    <row r="1045" spans="3:13" ht="12.75" customHeight="1" x14ac:dyDescent="0.2">
      <c r="C1045"/>
      <c r="M1045"/>
    </row>
    <row r="1046" spans="3:13" ht="12.75" customHeight="1" x14ac:dyDescent="0.2">
      <c r="C1046"/>
      <c r="M1046"/>
    </row>
    <row r="1047" spans="3:13" ht="12.75" customHeight="1" x14ac:dyDescent="0.2">
      <c r="C1047"/>
      <c r="M1047"/>
    </row>
    <row r="1048" spans="3:13" ht="12.75" customHeight="1" x14ac:dyDescent="0.2">
      <c r="C1048"/>
      <c r="M1048"/>
    </row>
    <row r="1049" spans="3:13" ht="12.75" customHeight="1" x14ac:dyDescent="0.2">
      <c r="C1049"/>
      <c r="M1049"/>
    </row>
    <row r="1050" spans="3:13" ht="12.75" customHeight="1" x14ac:dyDescent="0.2">
      <c r="C1050"/>
      <c r="M1050"/>
    </row>
    <row r="1051" spans="3:13" ht="12.75" customHeight="1" x14ac:dyDescent="0.2">
      <c r="C1051"/>
      <c r="M1051"/>
    </row>
    <row r="1052" spans="3:13" ht="12.75" customHeight="1" x14ac:dyDescent="0.2">
      <c r="C1052"/>
      <c r="M1052"/>
    </row>
    <row r="1053" spans="3:13" ht="12.75" customHeight="1" x14ac:dyDescent="0.2">
      <c r="C1053"/>
      <c r="M1053"/>
    </row>
    <row r="1054" spans="3:13" ht="12.75" customHeight="1" x14ac:dyDescent="0.2">
      <c r="C1054"/>
      <c r="M1054"/>
    </row>
    <row r="1055" spans="3:13" ht="12.75" customHeight="1" x14ac:dyDescent="0.2">
      <c r="C1055"/>
      <c r="M1055"/>
    </row>
    <row r="1056" spans="3:13" ht="12.75" customHeight="1" x14ac:dyDescent="0.2">
      <c r="C1056"/>
      <c r="M1056"/>
    </row>
    <row r="1057" spans="3:13" ht="12.75" customHeight="1" x14ac:dyDescent="0.2">
      <c r="C1057"/>
      <c r="M1057"/>
    </row>
    <row r="1058" spans="3:13" ht="12.75" customHeight="1" x14ac:dyDescent="0.2">
      <c r="C1058"/>
      <c r="M1058"/>
    </row>
    <row r="1059" spans="3:13" ht="12.75" customHeight="1" x14ac:dyDescent="0.2">
      <c r="C1059"/>
      <c r="M1059"/>
    </row>
    <row r="1060" spans="3:13" ht="12.75" customHeight="1" x14ac:dyDescent="0.2">
      <c r="C1060"/>
      <c r="M1060"/>
    </row>
    <row r="1061" spans="3:13" ht="12.75" customHeight="1" x14ac:dyDescent="0.2">
      <c r="C1061"/>
      <c r="M1061"/>
    </row>
    <row r="1062" spans="3:13" ht="12.75" customHeight="1" x14ac:dyDescent="0.2">
      <c r="C1062"/>
      <c r="M1062"/>
    </row>
    <row r="1063" spans="3:13" ht="12.75" customHeight="1" x14ac:dyDescent="0.2">
      <c r="C1063"/>
      <c r="M1063"/>
    </row>
    <row r="1064" spans="3:13" ht="12.75" customHeight="1" x14ac:dyDescent="0.2">
      <c r="C1064"/>
      <c r="M1064"/>
    </row>
    <row r="1065" spans="3:13" ht="12.75" customHeight="1" x14ac:dyDescent="0.2">
      <c r="C1065"/>
      <c r="M1065"/>
    </row>
    <row r="1066" spans="3:13" ht="12.75" customHeight="1" x14ac:dyDescent="0.2">
      <c r="C1066"/>
      <c r="M1066"/>
    </row>
    <row r="1067" spans="3:13" ht="12.75" customHeight="1" x14ac:dyDescent="0.2">
      <c r="C1067"/>
      <c r="M1067"/>
    </row>
    <row r="1068" spans="3:13" ht="12.75" customHeight="1" x14ac:dyDescent="0.2">
      <c r="C1068"/>
      <c r="M1068"/>
    </row>
    <row r="1069" spans="3:13" ht="12.75" customHeight="1" x14ac:dyDescent="0.2">
      <c r="C1069"/>
      <c r="M1069"/>
    </row>
    <row r="1070" spans="3:13" ht="12.75" customHeight="1" x14ac:dyDescent="0.2">
      <c r="C1070"/>
      <c r="M1070"/>
    </row>
    <row r="1071" spans="3:13" ht="12.75" customHeight="1" x14ac:dyDescent="0.2">
      <c r="C1071"/>
      <c r="M1071"/>
    </row>
    <row r="1072" spans="3:13" ht="12.75" customHeight="1" x14ac:dyDescent="0.2">
      <c r="C1072"/>
      <c r="M1072"/>
    </row>
    <row r="1073" spans="3:13" ht="12.75" customHeight="1" x14ac:dyDescent="0.2">
      <c r="C1073"/>
      <c r="M1073"/>
    </row>
    <row r="1074" spans="3:13" ht="12.75" customHeight="1" x14ac:dyDescent="0.2">
      <c r="C1074"/>
      <c r="M1074"/>
    </row>
    <row r="1075" spans="3:13" ht="12.75" customHeight="1" x14ac:dyDescent="0.2">
      <c r="C1075"/>
      <c r="M1075"/>
    </row>
    <row r="1076" spans="3:13" ht="12.75" customHeight="1" x14ac:dyDescent="0.2">
      <c r="C1076"/>
      <c r="M1076"/>
    </row>
    <row r="1077" spans="3:13" ht="12.75" customHeight="1" x14ac:dyDescent="0.2">
      <c r="C1077"/>
      <c r="M1077"/>
    </row>
    <row r="1078" spans="3:13" ht="12.75" customHeight="1" x14ac:dyDescent="0.2">
      <c r="C1078"/>
      <c r="M1078"/>
    </row>
    <row r="1079" spans="3:13" ht="12.75" customHeight="1" x14ac:dyDescent="0.2">
      <c r="C1079"/>
      <c r="M1079"/>
    </row>
    <row r="1080" spans="3:13" ht="12.75" customHeight="1" x14ac:dyDescent="0.2">
      <c r="C1080"/>
      <c r="M1080"/>
    </row>
    <row r="1081" spans="3:13" ht="12.75" customHeight="1" x14ac:dyDescent="0.2">
      <c r="C1081"/>
      <c r="M1081"/>
    </row>
    <row r="1082" spans="3:13" ht="12.75" customHeight="1" x14ac:dyDescent="0.2">
      <c r="C1082"/>
      <c r="M1082"/>
    </row>
    <row r="1083" spans="3:13" ht="12.75" customHeight="1" x14ac:dyDescent="0.2">
      <c r="C1083"/>
      <c r="M1083"/>
    </row>
    <row r="1084" spans="3:13" ht="12.75" customHeight="1" x14ac:dyDescent="0.2">
      <c r="C1084"/>
      <c r="M1084"/>
    </row>
    <row r="1085" spans="3:13" ht="12.75" customHeight="1" x14ac:dyDescent="0.2">
      <c r="C1085"/>
      <c r="M1085"/>
    </row>
    <row r="1086" spans="3:13" ht="12.75" customHeight="1" x14ac:dyDescent="0.2">
      <c r="C1086"/>
      <c r="M1086"/>
    </row>
    <row r="1087" spans="3:13" ht="12.75" customHeight="1" x14ac:dyDescent="0.2">
      <c r="C1087"/>
      <c r="M1087"/>
    </row>
    <row r="1088" spans="3:13" ht="12.75" customHeight="1" x14ac:dyDescent="0.2">
      <c r="C1088"/>
      <c r="M1088"/>
    </row>
    <row r="1089" spans="3:13" ht="12.75" customHeight="1" x14ac:dyDescent="0.2">
      <c r="C1089"/>
      <c r="M1089"/>
    </row>
    <row r="1090" spans="3:13" ht="12.75" customHeight="1" x14ac:dyDescent="0.2">
      <c r="C1090"/>
      <c r="M1090"/>
    </row>
    <row r="1091" spans="3:13" ht="12.75" customHeight="1" x14ac:dyDescent="0.2">
      <c r="C1091"/>
      <c r="M1091"/>
    </row>
    <row r="1092" spans="3:13" ht="12.75" customHeight="1" x14ac:dyDescent="0.2">
      <c r="C1092"/>
      <c r="M1092"/>
    </row>
    <row r="1093" spans="3:13" ht="12.75" customHeight="1" x14ac:dyDescent="0.2">
      <c r="C1093"/>
      <c r="M1093"/>
    </row>
    <row r="1094" spans="3:13" ht="12.75" customHeight="1" x14ac:dyDescent="0.2">
      <c r="C1094"/>
      <c r="M1094"/>
    </row>
    <row r="1095" spans="3:13" ht="12.75" customHeight="1" x14ac:dyDescent="0.2">
      <c r="C1095"/>
      <c r="M1095"/>
    </row>
    <row r="1096" spans="3:13" ht="12.75" customHeight="1" x14ac:dyDescent="0.2">
      <c r="C1096"/>
      <c r="M1096"/>
    </row>
    <row r="1097" spans="3:13" ht="12.75" customHeight="1" x14ac:dyDescent="0.2">
      <c r="C1097"/>
      <c r="M1097"/>
    </row>
    <row r="1098" spans="3:13" ht="12.75" customHeight="1" x14ac:dyDescent="0.2">
      <c r="C1098"/>
      <c r="M1098"/>
    </row>
    <row r="1099" spans="3:13" ht="12.75" customHeight="1" x14ac:dyDescent="0.2">
      <c r="C1099"/>
      <c r="M1099"/>
    </row>
    <row r="1100" spans="3:13" ht="12.75" customHeight="1" x14ac:dyDescent="0.2">
      <c r="C1100"/>
      <c r="M1100"/>
    </row>
    <row r="1101" spans="3:13" ht="12.75" customHeight="1" x14ac:dyDescent="0.2">
      <c r="C1101"/>
      <c r="M1101"/>
    </row>
    <row r="1102" spans="3:13" ht="12.75" customHeight="1" x14ac:dyDescent="0.2">
      <c r="C1102"/>
      <c r="M1102"/>
    </row>
    <row r="1103" spans="3:13" ht="12.75" customHeight="1" x14ac:dyDescent="0.2">
      <c r="C1103"/>
      <c r="M1103"/>
    </row>
    <row r="1104" spans="3:13" ht="12.75" customHeight="1" x14ac:dyDescent="0.2">
      <c r="C1104"/>
      <c r="M1104"/>
    </row>
    <row r="1105" spans="3:13" ht="12.75" customHeight="1" x14ac:dyDescent="0.2">
      <c r="C1105"/>
      <c r="M1105"/>
    </row>
    <row r="1106" spans="3:13" ht="12.75" customHeight="1" x14ac:dyDescent="0.2">
      <c r="C1106"/>
      <c r="M1106"/>
    </row>
    <row r="1107" spans="3:13" ht="12.75" customHeight="1" x14ac:dyDescent="0.2">
      <c r="C1107"/>
      <c r="M1107"/>
    </row>
    <row r="1108" spans="3:13" ht="12.75" customHeight="1" x14ac:dyDescent="0.2">
      <c r="C1108"/>
      <c r="M1108"/>
    </row>
    <row r="1109" spans="3:13" ht="12.75" customHeight="1" x14ac:dyDescent="0.2">
      <c r="C1109"/>
      <c r="M1109"/>
    </row>
    <row r="1110" spans="3:13" ht="12.75" customHeight="1" x14ac:dyDescent="0.2">
      <c r="C1110"/>
      <c r="M1110"/>
    </row>
    <row r="1111" spans="3:13" ht="12.75" customHeight="1" x14ac:dyDescent="0.2">
      <c r="C1111"/>
      <c r="M1111"/>
    </row>
    <row r="1112" spans="3:13" ht="12.75" customHeight="1" x14ac:dyDescent="0.2">
      <c r="C1112"/>
      <c r="M1112"/>
    </row>
    <row r="1113" spans="3:13" ht="12.75" customHeight="1" x14ac:dyDescent="0.2">
      <c r="C1113"/>
      <c r="M1113"/>
    </row>
    <row r="1114" spans="3:13" ht="12.75" customHeight="1" x14ac:dyDescent="0.2">
      <c r="C1114"/>
      <c r="M1114"/>
    </row>
    <row r="1115" spans="3:13" ht="12.75" customHeight="1" x14ac:dyDescent="0.2">
      <c r="C1115"/>
      <c r="M1115"/>
    </row>
    <row r="1116" spans="3:13" ht="12.75" customHeight="1" x14ac:dyDescent="0.2">
      <c r="C1116"/>
      <c r="M1116"/>
    </row>
    <row r="1117" spans="3:13" ht="12.75" customHeight="1" x14ac:dyDescent="0.2">
      <c r="C1117"/>
      <c r="M1117"/>
    </row>
    <row r="1118" spans="3:13" ht="12.75" customHeight="1" x14ac:dyDescent="0.2">
      <c r="C1118"/>
      <c r="M1118"/>
    </row>
    <row r="1119" spans="3:13" ht="12.75" customHeight="1" x14ac:dyDescent="0.2">
      <c r="C1119"/>
      <c r="M1119"/>
    </row>
    <row r="1120" spans="3:13" ht="12.75" customHeight="1" x14ac:dyDescent="0.2">
      <c r="C1120"/>
      <c r="M1120"/>
    </row>
    <row r="1121" spans="3:13" ht="12.75" customHeight="1" x14ac:dyDescent="0.2">
      <c r="C1121"/>
      <c r="M1121"/>
    </row>
    <row r="1122" spans="3:13" ht="12.75" customHeight="1" x14ac:dyDescent="0.2">
      <c r="C1122"/>
      <c r="M1122"/>
    </row>
    <row r="1123" spans="3:13" ht="12.75" customHeight="1" x14ac:dyDescent="0.2">
      <c r="C1123"/>
      <c r="M1123"/>
    </row>
    <row r="1124" spans="3:13" ht="12.75" customHeight="1" x14ac:dyDescent="0.2">
      <c r="C1124"/>
      <c r="M1124"/>
    </row>
    <row r="1125" spans="3:13" ht="12.75" customHeight="1" x14ac:dyDescent="0.2">
      <c r="C1125"/>
      <c r="M1125"/>
    </row>
    <row r="1126" spans="3:13" ht="12.75" customHeight="1" x14ac:dyDescent="0.2">
      <c r="C1126"/>
      <c r="M1126"/>
    </row>
    <row r="1127" spans="3:13" ht="12.75" customHeight="1" x14ac:dyDescent="0.2">
      <c r="C1127"/>
      <c r="M1127"/>
    </row>
    <row r="1128" spans="3:13" ht="12.75" customHeight="1" x14ac:dyDescent="0.2">
      <c r="C1128"/>
      <c r="M1128"/>
    </row>
    <row r="1129" spans="3:13" ht="12.75" customHeight="1" x14ac:dyDescent="0.2">
      <c r="C1129"/>
      <c r="M1129"/>
    </row>
    <row r="1130" spans="3:13" ht="12.75" customHeight="1" x14ac:dyDescent="0.2">
      <c r="C1130"/>
      <c r="M1130"/>
    </row>
    <row r="1131" spans="3:13" ht="12.75" customHeight="1" x14ac:dyDescent="0.2">
      <c r="C1131"/>
      <c r="M1131"/>
    </row>
    <row r="1132" spans="3:13" ht="12.75" customHeight="1" x14ac:dyDescent="0.2">
      <c r="C1132"/>
      <c r="M1132"/>
    </row>
    <row r="1133" spans="3:13" ht="12.75" customHeight="1" x14ac:dyDescent="0.2">
      <c r="C1133"/>
      <c r="M1133"/>
    </row>
    <row r="1134" spans="3:13" ht="12.75" customHeight="1" x14ac:dyDescent="0.2">
      <c r="C1134"/>
      <c r="M1134"/>
    </row>
    <row r="1135" spans="3:13" ht="12.75" customHeight="1" x14ac:dyDescent="0.2">
      <c r="C1135"/>
      <c r="M1135"/>
    </row>
    <row r="1136" spans="3:13" ht="12.75" customHeight="1" x14ac:dyDescent="0.2">
      <c r="C1136"/>
      <c r="M1136"/>
    </row>
    <row r="1137" spans="3:13" ht="12.75" customHeight="1" x14ac:dyDescent="0.2">
      <c r="C1137"/>
      <c r="M1137"/>
    </row>
    <row r="1138" spans="3:13" ht="12.75" customHeight="1" x14ac:dyDescent="0.2">
      <c r="C1138"/>
      <c r="M1138"/>
    </row>
    <row r="1139" spans="3:13" ht="12.75" customHeight="1" x14ac:dyDescent="0.2">
      <c r="C1139"/>
      <c r="M1139"/>
    </row>
    <row r="1140" spans="3:13" ht="12.75" customHeight="1" x14ac:dyDescent="0.2">
      <c r="C1140"/>
      <c r="M1140"/>
    </row>
    <row r="1141" spans="3:13" ht="12.75" customHeight="1" x14ac:dyDescent="0.2">
      <c r="C1141"/>
      <c r="M1141"/>
    </row>
    <row r="1142" spans="3:13" ht="12.75" customHeight="1" x14ac:dyDescent="0.2">
      <c r="C1142"/>
      <c r="M1142"/>
    </row>
    <row r="1143" spans="3:13" ht="12.75" customHeight="1" x14ac:dyDescent="0.2">
      <c r="C1143"/>
      <c r="M1143"/>
    </row>
    <row r="1144" spans="3:13" ht="12.75" customHeight="1" x14ac:dyDescent="0.2">
      <c r="C1144"/>
      <c r="M1144"/>
    </row>
    <row r="1145" spans="3:13" ht="12.75" customHeight="1" x14ac:dyDescent="0.2">
      <c r="C1145"/>
      <c r="M1145"/>
    </row>
    <row r="1146" spans="3:13" ht="12.75" customHeight="1" x14ac:dyDescent="0.2">
      <c r="C1146"/>
      <c r="M1146"/>
    </row>
    <row r="1147" spans="3:13" ht="12.75" customHeight="1" x14ac:dyDescent="0.2">
      <c r="C1147"/>
      <c r="M1147"/>
    </row>
    <row r="1148" spans="3:13" ht="12.75" customHeight="1" x14ac:dyDescent="0.2">
      <c r="C1148"/>
      <c r="M1148"/>
    </row>
    <row r="1149" spans="3:13" ht="12.75" customHeight="1" x14ac:dyDescent="0.2">
      <c r="C1149"/>
      <c r="M1149"/>
    </row>
    <row r="1150" spans="3:13" ht="12.75" customHeight="1" x14ac:dyDescent="0.2">
      <c r="C1150"/>
      <c r="M1150"/>
    </row>
    <row r="1151" spans="3:13" ht="12.75" customHeight="1" x14ac:dyDescent="0.2">
      <c r="C1151"/>
      <c r="M1151"/>
    </row>
    <row r="1152" spans="3:13" ht="12.75" customHeight="1" x14ac:dyDescent="0.2">
      <c r="C1152"/>
      <c r="M1152"/>
    </row>
    <row r="1153" spans="3:13" ht="12.75" customHeight="1" x14ac:dyDescent="0.2">
      <c r="C1153"/>
      <c r="M1153"/>
    </row>
    <row r="1154" spans="3:13" ht="12.75" customHeight="1" x14ac:dyDescent="0.2">
      <c r="C1154"/>
      <c r="M1154"/>
    </row>
    <row r="1155" spans="3:13" ht="12.75" customHeight="1" x14ac:dyDescent="0.2">
      <c r="C1155"/>
      <c r="M1155"/>
    </row>
    <row r="1156" spans="3:13" ht="12.75" customHeight="1" x14ac:dyDescent="0.2">
      <c r="C1156"/>
      <c r="M1156"/>
    </row>
    <row r="1157" spans="3:13" ht="12.75" customHeight="1" x14ac:dyDescent="0.2">
      <c r="C1157"/>
      <c r="M1157"/>
    </row>
    <row r="1158" spans="3:13" ht="12.75" customHeight="1" x14ac:dyDescent="0.2">
      <c r="C1158"/>
      <c r="M1158"/>
    </row>
    <row r="1159" spans="3:13" ht="12.75" customHeight="1" x14ac:dyDescent="0.2">
      <c r="C1159"/>
      <c r="M1159"/>
    </row>
    <row r="1160" spans="3:13" ht="12.75" customHeight="1" x14ac:dyDescent="0.2">
      <c r="C1160"/>
      <c r="M1160"/>
    </row>
    <row r="1161" spans="3:13" ht="12.75" customHeight="1" x14ac:dyDescent="0.2">
      <c r="C1161"/>
      <c r="M1161"/>
    </row>
    <row r="1162" spans="3:13" ht="12.75" customHeight="1" x14ac:dyDescent="0.2">
      <c r="C1162"/>
      <c r="M1162"/>
    </row>
    <row r="1163" spans="3:13" ht="12.75" customHeight="1" x14ac:dyDescent="0.2">
      <c r="C1163"/>
      <c r="M1163"/>
    </row>
    <row r="1164" spans="3:13" ht="12.75" customHeight="1" x14ac:dyDescent="0.2">
      <c r="C1164"/>
      <c r="M1164"/>
    </row>
    <row r="1165" spans="3:13" ht="12.75" customHeight="1" x14ac:dyDescent="0.2">
      <c r="C1165"/>
      <c r="M1165"/>
    </row>
    <row r="1166" spans="3:13" ht="12.75" customHeight="1" x14ac:dyDescent="0.2">
      <c r="C1166"/>
      <c r="M1166"/>
    </row>
    <row r="1167" spans="3:13" ht="12.75" customHeight="1" x14ac:dyDescent="0.2">
      <c r="C1167"/>
      <c r="M1167"/>
    </row>
    <row r="1168" spans="3:13" ht="12.75" customHeight="1" x14ac:dyDescent="0.2">
      <c r="C1168"/>
      <c r="M1168"/>
    </row>
    <row r="1169" spans="3:13" ht="12.75" customHeight="1" x14ac:dyDescent="0.2">
      <c r="C1169"/>
      <c r="M1169"/>
    </row>
    <row r="1170" spans="3:13" ht="12.75" customHeight="1" x14ac:dyDescent="0.2">
      <c r="C1170"/>
      <c r="M1170"/>
    </row>
    <row r="1171" spans="3:13" ht="12.75" customHeight="1" x14ac:dyDescent="0.2">
      <c r="C1171"/>
      <c r="M1171"/>
    </row>
    <row r="1172" spans="3:13" ht="12.75" customHeight="1" x14ac:dyDescent="0.2">
      <c r="C1172"/>
      <c r="M1172"/>
    </row>
    <row r="1173" spans="3:13" ht="12.75" customHeight="1" x14ac:dyDescent="0.2">
      <c r="C1173"/>
      <c r="M1173"/>
    </row>
    <row r="1174" spans="3:13" ht="12.75" customHeight="1" x14ac:dyDescent="0.2">
      <c r="C1174"/>
      <c r="M1174"/>
    </row>
    <row r="1175" spans="3:13" ht="12.75" customHeight="1" x14ac:dyDescent="0.2">
      <c r="C1175"/>
      <c r="M1175"/>
    </row>
    <row r="1176" spans="3:13" ht="12.75" customHeight="1" x14ac:dyDescent="0.2">
      <c r="C1176"/>
      <c r="M1176"/>
    </row>
    <row r="1177" spans="3:13" ht="12.75" customHeight="1" x14ac:dyDescent="0.2">
      <c r="C1177"/>
      <c r="M1177"/>
    </row>
    <row r="1178" spans="3:13" ht="12.75" customHeight="1" x14ac:dyDescent="0.2">
      <c r="C1178"/>
      <c r="M1178"/>
    </row>
    <row r="1179" spans="3:13" ht="12.75" customHeight="1" x14ac:dyDescent="0.2">
      <c r="C1179"/>
      <c r="M1179"/>
    </row>
    <row r="1180" spans="3:13" ht="12.75" customHeight="1" x14ac:dyDescent="0.2">
      <c r="C1180"/>
      <c r="M1180"/>
    </row>
    <row r="1181" spans="3:13" ht="12.75" customHeight="1" x14ac:dyDescent="0.2">
      <c r="C1181"/>
      <c r="M1181"/>
    </row>
    <row r="1182" spans="3:13" ht="12.75" customHeight="1" x14ac:dyDescent="0.2">
      <c r="C1182"/>
      <c r="M1182"/>
    </row>
    <row r="1183" spans="3:13" ht="12.75" customHeight="1" x14ac:dyDescent="0.2">
      <c r="C1183"/>
      <c r="M1183"/>
    </row>
    <row r="1184" spans="3:13" ht="12.75" customHeight="1" x14ac:dyDescent="0.2">
      <c r="C1184"/>
      <c r="M1184"/>
    </row>
    <row r="1185" spans="3:13" ht="12.75" customHeight="1" x14ac:dyDescent="0.2">
      <c r="C1185"/>
      <c r="M1185"/>
    </row>
    <row r="1186" spans="3:13" ht="12.75" customHeight="1" x14ac:dyDescent="0.2">
      <c r="C1186"/>
      <c r="M1186"/>
    </row>
    <row r="1187" spans="3:13" ht="12.75" customHeight="1" x14ac:dyDescent="0.2">
      <c r="C1187"/>
      <c r="M1187"/>
    </row>
    <row r="1188" spans="3:13" ht="12.75" customHeight="1" x14ac:dyDescent="0.2">
      <c r="C1188"/>
      <c r="M1188"/>
    </row>
    <row r="1189" spans="3:13" ht="12.75" customHeight="1" x14ac:dyDescent="0.2">
      <c r="C1189"/>
      <c r="M1189"/>
    </row>
    <row r="1190" spans="3:13" ht="12.75" customHeight="1" x14ac:dyDescent="0.2">
      <c r="C1190"/>
      <c r="M1190"/>
    </row>
    <row r="1191" spans="3:13" ht="12.75" customHeight="1" x14ac:dyDescent="0.2">
      <c r="C1191"/>
      <c r="M1191"/>
    </row>
    <row r="1192" spans="3:13" ht="12.75" customHeight="1" x14ac:dyDescent="0.2">
      <c r="C1192"/>
      <c r="M1192"/>
    </row>
    <row r="1193" spans="3:13" ht="12.75" customHeight="1" x14ac:dyDescent="0.2">
      <c r="C1193"/>
      <c r="M1193"/>
    </row>
    <row r="1194" spans="3:13" ht="12.75" customHeight="1" x14ac:dyDescent="0.2">
      <c r="C1194"/>
      <c r="M1194"/>
    </row>
    <row r="1195" spans="3:13" ht="12.75" customHeight="1" x14ac:dyDescent="0.2">
      <c r="C1195"/>
      <c r="M1195"/>
    </row>
    <row r="1196" spans="3:13" ht="12.75" customHeight="1" x14ac:dyDescent="0.2">
      <c r="C1196"/>
      <c r="M1196"/>
    </row>
    <row r="1197" spans="3:13" ht="12.75" customHeight="1" x14ac:dyDescent="0.2">
      <c r="C1197"/>
      <c r="M1197"/>
    </row>
    <row r="1198" spans="3:13" ht="12.75" customHeight="1" x14ac:dyDescent="0.2">
      <c r="C1198"/>
      <c r="M1198"/>
    </row>
    <row r="1199" spans="3:13" ht="12.75" customHeight="1" x14ac:dyDescent="0.2">
      <c r="C1199"/>
      <c r="M1199"/>
    </row>
    <row r="1200" spans="3:13" ht="12.75" customHeight="1" x14ac:dyDescent="0.2">
      <c r="C1200"/>
      <c r="M1200"/>
    </row>
    <row r="1201" spans="3:13" ht="12.75" customHeight="1" x14ac:dyDescent="0.2">
      <c r="C1201"/>
      <c r="M1201"/>
    </row>
    <row r="1202" spans="3:13" ht="12.75" customHeight="1" x14ac:dyDescent="0.2">
      <c r="C1202"/>
      <c r="M1202"/>
    </row>
    <row r="1203" spans="3:13" ht="12.75" customHeight="1" x14ac:dyDescent="0.2">
      <c r="C1203"/>
      <c r="M1203"/>
    </row>
    <row r="1204" spans="3:13" ht="12.75" customHeight="1" x14ac:dyDescent="0.2">
      <c r="C1204"/>
      <c r="M1204"/>
    </row>
    <row r="1205" spans="3:13" ht="12.75" customHeight="1" x14ac:dyDescent="0.2">
      <c r="C1205"/>
      <c r="M1205"/>
    </row>
    <row r="1206" spans="3:13" ht="12.75" customHeight="1" x14ac:dyDescent="0.2">
      <c r="C1206"/>
      <c r="M1206"/>
    </row>
    <row r="1207" spans="3:13" ht="12.75" customHeight="1" x14ac:dyDescent="0.2">
      <c r="C1207"/>
      <c r="M1207"/>
    </row>
    <row r="1208" spans="3:13" ht="12.75" customHeight="1" x14ac:dyDescent="0.2">
      <c r="C1208"/>
      <c r="M1208"/>
    </row>
    <row r="1209" spans="3:13" ht="12.75" customHeight="1" x14ac:dyDescent="0.2">
      <c r="C1209"/>
      <c r="M1209"/>
    </row>
    <row r="1210" spans="3:13" ht="12.75" customHeight="1" x14ac:dyDescent="0.2">
      <c r="C1210"/>
      <c r="M1210"/>
    </row>
    <row r="1211" spans="3:13" ht="12.75" customHeight="1" x14ac:dyDescent="0.2">
      <c r="C1211"/>
      <c r="M1211"/>
    </row>
    <row r="1212" spans="3:13" ht="12.75" customHeight="1" x14ac:dyDescent="0.2">
      <c r="C1212"/>
      <c r="M1212"/>
    </row>
    <row r="1213" spans="3:13" ht="12.75" customHeight="1" x14ac:dyDescent="0.2">
      <c r="C1213"/>
      <c r="M1213"/>
    </row>
    <row r="1214" spans="3:13" ht="12.75" customHeight="1" x14ac:dyDescent="0.2">
      <c r="C1214"/>
      <c r="M1214"/>
    </row>
    <row r="1215" spans="3:13" ht="12.75" customHeight="1" x14ac:dyDescent="0.2">
      <c r="C1215"/>
      <c r="M1215"/>
    </row>
    <row r="1216" spans="3:13" ht="12.75" customHeight="1" x14ac:dyDescent="0.2">
      <c r="C1216"/>
      <c r="M1216"/>
    </row>
    <row r="1217" spans="3:13" ht="12.75" customHeight="1" x14ac:dyDescent="0.2">
      <c r="C1217"/>
      <c r="M1217"/>
    </row>
    <row r="1218" spans="3:13" ht="12.75" customHeight="1" x14ac:dyDescent="0.2">
      <c r="C1218"/>
      <c r="M1218"/>
    </row>
    <row r="1219" spans="3:13" ht="12.75" customHeight="1" x14ac:dyDescent="0.2">
      <c r="C1219"/>
      <c r="M1219"/>
    </row>
    <row r="1220" spans="3:13" ht="12.75" customHeight="1" x14ac:dyDescent="0.2">
      <c r="C1220"/>
      <c r="M1220"/>
    </row>
    <row r="1221" spans="3:13" ht="12.75" customHeight="1" x14ac:dyDescent="0.2">
      <c r="C1221"/>
      <c r="M1221"/>
    </row>
    <row r="1222" spans="3:13" ht="12.75" customHeight="1" x14ac:dyDescent="0.2">
      <c r="C1222"/>
      <c r="M1222"/>
    </row>
    <row r="1223" spans="3:13" ht="12.75" customHeight="1" x14ac:dyDescent="0.2">
      <c r="C1223"/>
      <c r="M1223"/>
    </row>
    <row r="1224" spans="3:13" ht="12.75" customHeight="1" x14ac:dyDescent="0.2">
      <c r="C1224"/>
      <c r="M1224"/>
    </row>
    <row r="1225" spans="3:13" ht="12.75" customHeight="1" x14ac:dyDescent="0.2">
      <c r="C1225"/>
      <c r="M1225"/>
    </row>
    <row r="1226" spans="3:13" ht="12.75" customHeight="1" x14ac:dyDescent="0.2">
      <c r="C1226"/>
      <c r="M1226"/>
    </row>
    <row r="1227" spans="3:13" ht="12.75" customHeight="1" x14ac:dyDescent="0.2">
      <c r="C1227"/>
      <c r="M1227"/>
    </row>
    <row r="1228" spans="3:13" ht="12.75" customHeight="1" x14ac:dyDescent="0.2">
      <c r="C1228"/>
      <c r="M1228"/>
    </row>
    <row r="1229" spans="3:13" ht="12.75" customHeight="1" x14ac:dyDescent="0.2">
      <c r="C1229"/>
      <c r="M1229"/>
    </row>
    <row r="1230" spans="3:13" ht="12.75" customHeight="1" x14ac:dyDescent="0.2">
      <c r="C1230"/>
      <c r="M1230"/>
    </row>
    <row r="1231" spans="3:13" ht="12.75" customHeight="1" x14ac:dyDescent="0.2">
      <c r="C1231"/>
      <c r="M1231"/>
    </row>
    <row r="1232" spans="3:13" ht="12.75" customHeight="1" x14ac:dyDescent="0.2">
      <c r="C1232"/>
      <c r="M1232"/>
    </row>
    <row r="1233" spans="3:13" ht="12.75" customHeight="1" x14ac:dyDescent="0.2">
      <c r="C1233"/>
      <c r="M1233"/>
    </row>
    <row r="1234" spans="3:13" ht="12.75" customHeight="1" x14ac:dyDescent="0.2">
      <c r="C1234"/>
      <c r="M1234"/>
    </row>
    <row r="1235" spans="3:13" ht="12.75" customHeight="1" x14ac:dyDescent="0.2">
      <c r="C1235"/>
      <c r="M1235"/>
    </row>
    <row r="1236" spans="3:13" ht="12.75" customHeight="1" x14ac:dyDescent="0.2">
      <c r="C1236"/>
      <c r="M1236"/>
    </row>
    <row r="1237" spans="3:13" ht="12.75" customHeight="1" x14ac:dyDescent="0.2">
      <c r="C1237"/>
      <c r="M1237"/>
    </row>
    <row r="1238" spans="3:13" ht="12.75" customHeight="1" x14ac:dyDescent="0.2">
      <c r="C1238"/>
      <c r="M1238"/>
    </row>
    <row r="1239" spans="3:13" ht="12.75" customHeight="1" x14ac:dyDescent="0.2">
      <c r="C1239"/>
      <c r="M1239"/>
    </row>
    <row r="1240" spans="3:13" ht="12.75" customHeight="1" x14ac:dyDescent="0.2">
      <c r="C1240"/>
      <c r="M1240"/>
    </row>
    <row r="1241" spans="3:13" ht="12.75" customHeight="1" x14ac:dyDescent="0.2">
      <c r="C1241"/>
      <c r="M1241"/>
    </row>
    <row r="1242" spans="3:13" ht="12.75" customHeight="1" x14ac:dyDescent="0.2">
      <c r="C1242"/>
      <c r="M1242"/>
    </row>
    <row r="1243" spans="3:13" ht="12.75" customHeight="1" x14ac:dyDescent="0.2">
      <c r="C1243"/>
      <c r="M1243"/>
    </row>
    <row r="1244" spans="3:13" ht="12.75" customHeight="1" x14ac:dyDescent="0.2">
      <c r="C1244"/>
      <c r="M1244"/>
    </row>
    <row r="1245" spans="3:13" ht="12.75" customHeight="1" x14ac:dyDescent="0.2">
      <c r="C1245"/>
      <c r="M1245"/>
    </row>
    <row r="1246" spans="3:13" ht="12.75" customHeight="1" x14ac:dyDescent="0.2">
      <c r="C1246"/>
      <c r="M1246"/>
    </row>
    <row r="1247" spans="3:13" ht="12.75" customHeight="1" x14ac:dyDescent="0.2">
      <c r="C1247"/>
      <c r="M1247"/>
    </row>
    <row r="1248" spans="3:13" ht="12.75" customHeight="1" x14ac:dyDescent="0.2">
      <c r="C1248"/>
      <c r="M1248"/>
    </row>
    <row r="1249" spans="3:13" ht="12.75" customHeight="1" x14ac:dyDescent="0.2">
      <c r="C1249"/>
      <c r="M1249"/>
    </row>
    <row r="1250" spans="3:13" ht="12.75" customHeight="1" x14ac:dyDescent="0.2">
      <c r="C1250"/>
      <c r="M1250"/>
    </row>
    <row r="1251" spans="3:13" ht="12.75" customHeight="1" x14ac:dyDescent="0.2">
      <c r="C1251"/>
      <c r="M1251"/>
    </row>
    <row r="1252" spans="3:13" ht="12.75" customHeight="1" x14ac:dyDescent="0.2">
      <c r="C1252"/>
      <c r="M1252"/>
    </row>
    <row r="1253" spans="3:13" ht="12.75" customHeight="1" x14ac:dyDescent="0.2">
      <c r="C1253"/>
      <c r="M1253"/>
    </row>
    <row r="1254" spans="3:13" ht="12.75" customHeight="1" x14ac:dyDescent="0.2">
      <c r="C1254"/>
      <c r="M1254"/>
    </row>
    <row r="1255" spans="3:13" ht="12.75" customHeight="1" x14ac:dyDescent="0.2">
      <c r="C1255"/>
      <c r="M1255"/>
    </row>
    <row r="1256" spans="3:13" ht="12.75" customHeight="1" x14ac:dyDescent="0.2">
      <c r="C1256"/>
      <c r="M1256"/>
    </row>
    <row r="1257" spans="3:13" ht="12.75" customHeight="1" x14ac:dyDescent="0.2">
      <c r="C1257"/>
      <c r="M1257"/>
    </row>
    <row r="1258" spans="3:13" ht="12.75" customHeight="1" x14ac:dyDescent="0.2">
      <c r="C1258"/>
      <c r="M1258"/>
    </row>
    <row r="1259" spans="3:13" ht="12.75" customHeight="1" x14ac:dyDescent="0.2">
      <c r="C1259"/>
      <c r="M1259"/>
    </row>
    <row r="1260" spans="3:13" ht="12.75" customHeight="1" x14ac:dyDescent="0.2">
      <c r="C1260"/>
      <c r="M1260"/>
    </row>
    <row r="1261" spans="3:13" ht="12.75" customHeight="1" x14ac:dyDescent="0.2">
      <c r="C1261"/>
      <c r="M1261"/>
    </row>
    <row r="1262" spans="3:13" ht="12.75" customHeight="1" x14ac:dyDescent="0.2">
      <c r="C1262"/>
      <c r="M1262"/>
    </row>
    <row r="1263" spans="3:13" ht="12.75" customHeight="1" x14ac:dyDescent="0.2">
      <c r="C1263"/>
      <c r="M1263"/>
    </row>
    <row r="1264" spans="3:13" ht="12.75" customHeight="1" x14ac:dyDescent="0.2">
      <c r="C1264"/>
      <c r="M1264"/>
    </row>
    <row r="1265" spans="3:13" ht="12.75" customHeight="1" x14ac:dyDescent="0.2">
      <c r="C1265"/>
      <c r="M1265"/>
    </row>
    <row r="1266" spans="3:13" ht="12.75" customHeight="1" x14ac:dyDescent="0.2">
      <c r="C1266"/>
      <c r="M1266"/>
    </row>
    <row r="1267" spans="3:13" ht="12.75" customHeight="1" x14ac:dyDescent="0.2">
      <c r="C1267"/>
      <c r="M1267"/>
    </row>
    <row r="1268" spans="3:13" ht="12.75" customHeight="1" x14ac:dyDescent="0.2">
      <c r="C1268"/>
      <c r="M1268"/>
    </row>
    <row r="1269" spans="3:13" ht="12.75" customHeight="1" x14ac:dyDescent="0.2">
      <c r="C1269"/>
      <c r="M1269"/>
    </row>
    <row r="1270" spans="3:13" ht="12.75" customHeight="1" x14ac:dyDescent="0.2">
      <c r="C1270"/>
      <c r="M1270"/>
    </row>
    <row r="1271" spans="3:13" ht="12.75" customHeight="1" x14ac:dyDescent="0.2">
      <c r="C1271"/>
      <c r="M1271"/>
    </row>
    <row r="1272" spans="3:13" ht="12.75" customHeight="1" x14ac:dyDescent="0.2">
      <c r="C1272"/>
      <c r="M1272"/>
    </row>
    <row r="1273" spans="3:13" ht="12.75" customHeight="1" x14ac:dyDescent="0.2">
      <c r="C1273"/>
      <c r="M1273"/>
    </row>
    <row r="1274" spans="3:13" ht="12.75" customHeight="1" x14ac:dyDescent="0.2">
      <c r="C1274"/>
      <c r="M1274"/>
    </row>
    <row r="1275" spans="3:13" ht="12.75" customHeight="1" x14ac:dyDescent="0.2">
      <c r="C1275"/>
      <c r="M1275"/>
    </row>
    <row r="1276" spans="3:13" ht="12.75" customHeight="1" x14ac:dyDescent="0.2">
      <c r="C1276"/>
      <c r="M1276"/>
    </row>
    <row r="1277" spans="3:13" ht="12.75" customHeight="1" x14ac:dyDescent="0.2">
      <c r="C1277"/>
      <c r="M1277"/>
    </row>
    <row r="1278" spans="3:13" ht="12.75" customHeight="1" x14ac:dyDescent="0.2">
      <c r="C1278"/>
      <c r="M1278"/>
    </row>
    <row r="1279" spans="3:13" ht="12.75" customHeight="1" x14ac:dyDescent="0.2">
      <c r="C1279"/>
      <c r="M1279"/>
    </row>
    <row r="1280" spans="3:13" ht="12.75" customHeight="1" x14ac:dyDescent="0.2">
      <c r="C1280"/>
      <c r="M1280"/>
    </row>
    <row r="1281" spans="3:13" ht="12.75" customHeight="1" x14ac:dyDescent="0.2">
      <c r="C1281"/>
      <c r="M1281"/>
    </row>
    <row r="1282" spans="3:13" ht="12.75" customHeight="1" x14ac:dyDescent="0.2">
      <c r="C1282"/>
      <c r="M1282"/>
    </row>
    <row r="1283" spans="3:13" ht="12.75" customHeight="1" x14ac:dyDescent="0.2">
      <c r="C1283"/>
      <c r="M1283"/>
    </row>
    <row r="1284" spans="3:13" ht="12.75" customHeight="1" x14ac:dyDescent="0.2">
      <c r="C1284"/>
      <c r="M1284"/>
    </row>
    <row r="1285" spans="3:13" ht="12.75" customHeight="1" x14ac:dyDescent="0.2">
      <c r="C1285"/>
      <c r="M1285"/>
    </row>
    <row r="1286" spans="3:13" ht="12.75" customHeight="1" x14ac:dyDescent="0.2">
      <c r="C1286"/>
      <c r="M1286"/>
    </row>
    <row r="1287" spans="3:13" ht="12.75" customHeight="1" x14ac:dyDescent="0.2">
      <c r="C1287"/>
      <c r="M1287"/>
    </row>
    <row r="1288" spans="3:13" ht="12.75" customHeight="1" x14ac:dyDescent="0.2">
      <c r="C1288"/>
      <c r="M1288"/>
    </row>
    <row r="1289" spans="3:13" ht="12.75" customHeight="1" x14ac:dyDescent="0.2">
      <c r="C1289"/>
      <c r="M1289"/>
    </row>
    <row r="1290" spans="3:13" ht="12.75" customHeight="1" x14ac:dyDescent="0.2">
      <c r="C1290"/>
      <c r="M1290"/>
    </row>
    <row r="1291" spans="3:13" ht="12.75" customHeight="1" x14ac:dyDescent="0.2">
      <c r="C1291"/>
      <c r="M1291"/>
    </row>
    <row r="1292" spans="3:13" ht="12.75" customHeight="1" x14ac:dyDescent="0.2">
      <c r="C1292"/>
      <c r="M1292"/>
    </row>
    <row r="1293" spans="3:13" ht="12.75" customHeight="1" x14ac:dyDescent="0.2">
      <c r="C1293"/>
      <c r="M1293"/>
    </row>
    <row r="1294" spans="3:13" ht="12.75" customHeight="1" x14ac:dyDescent="0.2">
      <c r="C1294"/>
      <c r="M1294"/>
    </row>
    <row r="1295" spans="3:13" ht="12.75" customHeight="1" x14ac:dyDescent="0.2">
      <c r="C1295"/>
      <c r="M1295"/>
    </row>
    <row r="1296" spans="3:13" ht="12.75" customHeight="1" x14ac:dyDescent="0.2">
      <c r="C1296"/>
      <c r="M1296"/>
    </row>
    <row r="1297" spans="3:13" ht="12.75" customHeight="1" x14ac:dyDescent="0.2">
      <c r="C1297"/>
      <c r="M1297"/>
    </row>
    <row r="1298" spans="3:13" ht="12.75" customHeight="1" x14ac:dyDescent="0.2">
      <c r="C1298"/>
      <c r="M1298"/>
    </row>
    <row r="1299" spans="3:13" ht="12.75" customHeight="1" x14ac:dyDescent="0.2">
      <c r="C1299"/>
      <c r="M1299"/>
    </row>
    <row r="1300" spans="3:13" ht="12.75" customHeight="1" x14ac:dyDescent="0.2">
      <c r="C1300"/>
      <c r="M1300"/>
    </row>
    <row r="1301" spans="3:13" ht="12.75" customHeight="1" x14ac:dyDescent="0.2">
      <c r="C1301"/>
      <c r="M1301"/>
    </row>
    <row r="1302" spans="3:13" ht="12.75" customHeight="1" x14ac:dyDescent="0.2">
      <c r="C1302"/>
      <c r="M1302"/>
    </row>
    <row r="1303" spans="3:13" ht="12.75" customHeight="1" x14ac:dyDescent="0.2">
      <c r="C1303"/>
      <c r="M1303"/>
    </row>
    <row r="1304" spans="3:13" ht="12.75" customHeight="1" x14ac:dyDescent="0.2">
      <c r="C1304"/>
      <c r="M1304"/>
    </row>
    <row r="1305" spans="3:13" ht="12.75" customHeight="1" x14ac:dyDescent="0.2">
      <c r="C1305"/>
      <c r="M1305"/>
    </row>
    <row r="1306" spans="3:13" ht="12.75" customHeight="1" x14ac:dyDescent="0.2">
      <c r="C1306"/>
      <c r="M1306"/>
    </row>
    <row r="1307" spans="3:13" ht="12.75" customHeight="1" x14ac:dyDescent="0.2">
      <c r="C1307"/>
      <c r="M1307"/>
    </row>
    <row r="1308" spans="3:13" ht="12.75" customHeight="1" x14ac:dyDescent="0.2">
      <c r="C1308"/>
      <c r="M1308"/>
    </row>
    <row r="1309" spans="3:13" ht="12.75" customHeight="1" x14ac:dyDescent="0.2">
      <c r="C1309"/>
      <c r="M1309"/>
    </row>
    <row r="1310" spans="3:13" ht="12.75" customHeight="1" x14ac:dyDescent="0.2">
      <c r="C1310"/>
      <c r="M1310"/>
    </row>
    <row r="1311" spans="3:13" ht="12.75" customHeight="1" x14ac:dyDescent="0.2">
      <c r="C1311"/>
      <c r="M1311"/>
    </row>
    <row r="1312" spans="3:13" ht="12.75" customHeight="1" x14ac:dyDescent="0.2">
      <c r="C1312"/>
      <c r="M1312"/>
    </row>
    <row r="1313" spans="3:13" ht="12.75" customHeight="1" x14ac:dyDescent="0.2">
      <c r="C1313"/>
      <c r="M1313"/>
    </row>
    <row r="1314" spans="3:13" ht="12.75" customHeight="1" x14ac:dyDescent="0.2">
      <c r="C1314"/>
      <c r="M1314"/>
    </row>
    <row r="1315" spans="3:13" ht="12.75" customHeight="1" x14ac:dyDescent="0.2">
      <c r="C1315"/>
      <c r="M1315"/>
    </row>
    <row r="1316" spans="3:13" ht="12.75" customHeight="1" x14ac:dyDescent="0.2">
      <c r="C1316"/>
      <c r="M1316"/>
    </row>
    <row r="1317" spans="3:13" ht="12.75" customHeight="1" x14ac:dyDescent="0.2">
      <c r="C1317"/>
      <c r="M1317"/>
    </row>
    <row r="1318" spans="3:13" ht="12.75" customHeight="1" x14ac:dyDescent="0.2">
      <c r="C1318"/>
      <c r="M1318"/>
    </row>
    <row r="1319" spans="3:13" ht="12.75" customHeight="1" x14ac:dyDescent="0.2">
      <c r="C1319"/>
      <c r="M1319"/>
    </row>
    <row r="1320" spans="3:13" ht="12.75" customHeight="1" x14ac:dyDescent="0.2">
      <c r="C1320"/>
      <c r="M1320"/>
    </row>
    <row r="1321" spans="3:13" ht="12.75" customHeight="1" x14ac:dyDescent="0.2">
      <c r="C1321"/>
      <c r="M1321"/>
    </row>
    <row r="1322" spans="3:13" ht="12.75" customHeight="1" x14ac:dyDescent="0.2">
      <c r="C1322"/>
      <c r="M1322"/>
    </row>
    <row r="1323" spans="3:13" ht="12.75" customHeight="1" x14ac:dyDescent="0.2">
      <c r="C1323"/>
      <c r="M1323"/>
    </row>
    <row r="1324" spans="3:13" ht="12.75" customHeight="1" x14ac:dyDescent="0.2">
      <c r="C1324"/>
      <c r="M1324"/>
    </row>
    <row r="1325" spans="3:13" ht="12.75" customHeight="1" x14ac:dyDescent="0.2">
      <c r="C1325"/>
      <c r="M1325"/>
    </row>
    <row r="1326" spans="3:13" ht="12.75" customHeight="1" x14ac:dyDescent="0.2">
      <c r="C1326"/>
      <c r="M1326"/>
    </row>
    <row r="1327" spans="3:13" ht="12.75" customHeight="1" x14ac:dyDescent="0.2">
      <c r="C1327"/>
      <c r="M1327"/>
    </row>
    <row r="1328" spans="3:13" ht="12.75" customHeight="1" x14ac:dyDescent="0.2">
      <c r="C1328"/>
      <c r="M1328"/>
    </row>
    <row r="1329" spans="3:13" ht="12.75" customHeight="1" x14ac:dyDescent="0.2">
      <c r="C1329"/>
      <c r="M1329"/>
    </row>
    <row r="1330" spans="3:13" ht="12.75" customHeight="1" x14ac:dyDescent="0.2">
      <c r="C1330"/>
      <c r="M1330"/>
    </row>
    <row r="1331" spans="3:13" ht="12.75" customHeight="1" x14ac:dyDescent="0.2">
      <c r="C1331"/>
      <c r="M1331"/>
    </row>
    <row r="1332" spans="3:13" ht="12.75" customHeight="1" x14ac:dyDescent="0.2">
      <c r="C1332"/>
      <c r="M1332"/>
    </row>
    <row r="1333" spans="3:13" ht="12.75" customHeight="1" x14ac:dyDescent="0.2">
      <c r="C1333"/>
      <c r="M1333"/>
    </row>
    <row r="1334" spans="3:13" ht="12.75" customHeight="1" x14ac:dyDescent="0.2">
      <c r="C1334"/>
      <c r="M1334"/>
    </row>
    <row r="1335" spans="3:13" ht="12.75" customHeight="1" x14ac:dyDescent="0.2">
      <c r="C1335"/>
      <c r="M1335"/>
    </row>
    <row r="1336" spans="3:13" ht="12.75" customHeight="1" x14ac:dyDescent="0.2">
      <c r="C1336"/>
      <c r="M1336"/>
    </row>
    <row r="1337" spans="3:13" ht="12.75" customHeight="1" x14ac:dyDescent="0.2">
      <c r="C1337"/>
      <c r="M1337"/>
    </row>
    <row r="1338" spans="3:13" ht="12.75" customHeight="1" x14ac:dyDescent="0.2">
      <c r="C1338"/>
      <c r="M1338"/>
    </row>
    <row r="1339" spans="3:13" ht="12.75" customHeight="1" x14ac:dyDescent="0.2">
      <c r="C1339"/>
      <c r="M1339"/>
    </row>
    <row r="1340" spans="3:13" ht="12.75" customHeight="1" x14ac:dyDescent="0.2">
      <c r="C1340"/>
      <c r="M1340"/>
    </row>
    <row r="1341" spans="3:13" ht="12.75" customHeight="1" x14ac:dyDescent="0.2">
      <c r="C1341"/>
      <c r="M1341"/>
    </row>
    <row r="1342" spans="3:13" ht="12.75" customHeight="1" x14ac:dyDescent="0.2">
      <c r="C1342"/>
      <c r="M1342"/>
    </row>
    <row r="1343" spans="3:13" ht="12.75" customHeight="1" x14ac:dyDescent="0.2">
      <c r="C1343"/>
      <c r="M1343"/>
    </row>
    <row r="1344" spans="3:13" ht="12.75" customHeight="1" x14ac:dyDescent="0.2">
      <c r="C1344"/>
      <c r="M1344"/>
    </row>
    <row r="1345" spans="3:13" ht="12.75" customHeight="1" x14ac:dyDescent="0.2">
      <c r="C1345"/>
      <c r="M1345"/>
    </row>
    <row r="1346" spans="3:13" ht="12.75" customHeight="1" x14ac:dyDescent="0.2">
      <c r="C1346"/>
      <c r="M1346"/>
    </row>
    <row r="1347" spans="3:13" ht="12.75" customHeight="1" x14ac:dyDescent="0.2">
      <c r="C1347"/>
      <c r="M1347"/>
    </row>
    <row r="1348" spans="3:13" ht="12.75" customHeight="1" x14ac:dyDescent="0.2">
      <c r="C1348"/>
      <c r="M1348"/>
    </row>
    <row r="1349" spans="3:13" ht="12.75" customHeight="1" x14ac:dyDescent="0.2">
      <c r="C1349"/>
      <c r="M1349"/>
    </row>
    <row r="1350" spans="3:13" ht="12.75" customHeight="1" x14ac:dyDescent="0.2">
      <c r="C1350"/>
      <c r="M1350"/>
    </row>
    <row r="1351" spans="3:13" ht="12.75" customHeight="1" x14ac:dyDescent="0.2">
      <c r="C1351"/>
      <c r="M1351"/>
    </row>
    <row r="1352" spans="3:13" ht="12.75" customHeight="1" x14ac:dyDescent="0.2">
      <c r="C1352"/>
      <c r="M1352"/>
    </row>
    <row r="1353" spans="3:13" ht="12.75" customHeight="1" x14ac:dyDescent="0.2">
      <c r="C1353"/>
      <c r="M1353"/>
    </row>
    <row r="1354" spans="3:13" ht="12.75" customHeight="1" x14ac:dyDescent="0.2">
      <c r="C1354"/>
      <c r="M1354"/>
    </row>
    <row r="1355" spans="3:13" ht="12.75" customHeight="1" x14ac:dyDescent="0.2">
      <c r="C1355"/>
      <c r="M1355"/>
    </row>
    <row r="1356" spans="3:13" ht="12.75" customHeight="1" x14ac:dyDescent="0.2">
      <c r="C1356"/>
      <c r="M1356"/>
    </row>
    <row r="1357" spans="3:13" ht="12.75" customHeight="1" x14ac:dyDescent="0.2">
      <c r="C1357"/>
      <c r="M1357"/>
    </row>
    <row r="1358" spans="3:13" ht="12.75" customHeight="1" x14ac:dyDescent="0.2">
      <c r="C1358"/>
      <c r="M1358"/>
    </row>
    <row r="1359" spans="3:13" ht="12.75" customHeight="1" x14ac:dyDescent="0.2">
      <c r="C1359"/>
      <c r="M1359"/>
    </row>
    <row r="1360" spans="3:13" ht="12.75" customHeight="1" x14ac:dyDescent="0.2">
      <c r="C1360"/>
      <c r="M1360"/>
    </row>
    <row r="1361" spans="3:13" ht="12.75" customHeight="1" x14ac:dyDescent="0.2">
      <c r="C1361"/>
      <c r="M1361"/>
    </row>
    <row r="1362" spans="3:13" ht="12.75" customHeight="1" x14ac:dyDescent="0.2">
      <c r="C1362"/>
      <c r="M1362"/>
    </row>
    <row r="1363" spans="3:13" ht="12.75" customHeight="1" x14ac:dyDescent="0.2">
      <c r="C1363"/>
      <c r="M1363"/>
    </row>
    <row r="1364" spans="3:13" ht="12.75" customHeight="1" x14ac:dyDescent="0.2">
      <c r="C1364"/>
      <c r="M1364"/>
    </row>
    <row r="1365" spans="3:13" ht="12.75" customHeight="1" x14ac:dyDescent="0.2">
      <c r="C1365"/>
      <c r="M1365"/>
    </row>
    <row r="1366" spans="3:13" ht="12.75" customHeight="1" x14ac:dyDescent="0.2">
      <c r="C1366"/>
      <c r="M1366"/>
    </row>
    <row r="1367" spans="3:13" ht="12.75" customHeight="1" x14ac:dyDescent="0.2">
      <c r="C1367"/>
      <c r="M1367"/>
    </row>
    <row r="1368" spans="3:13" ht="12.75" customHeight="1" x14ac:dyDescent="0.2">
      <c r="C1368"/>
      <c r="M1368"/>
    </row>
    <row r="1369" spans="3:13" ht="12.75" customHeight="1" x14ac:dyDescent="0.2">
      <c r="C1369"/>
      <c r="M1369"/>
    </row>
    <row r="1370" spans="3:13" ht="12.75" customHeight="1" x14ac:dyDescent="0.2">
      <c r="C1370"/>
      <c r="M1370"/>
    </row>
    <row r="1371" spans="3:13" ht="12.75" customHeight="1" x14ac:dyDescent="0.2">
      <c r="C1371"/>
      <c r="M1371"/>
    </row>
    <row r="1372" spans="3:13" ht="12.75" customHeight="1" x14ac:dyDescent="0.2">
      <c r="C1372"/>
      <c r="M1372"/>
    </row>
    <row r="1373" spans="3:13" ht="12.75" customHeight="1" x14ac:dyDescent="0.2">
      <c r="C1373"/>
      <c r="M1373"/>
    </row>
    <row r="1374" spans="3:13" ht="12.75" customHeight="1" x14ac:dyDescent="0.2">
      <c r="C1374"/>
      <c r="M1374"/>
    </row>
    <row r="1375" spans="3:13" ht="12.75" customHeight="1" x14ac:dyDescent="0.2">
      <c r="C1375"/>
      <c r="M1375"/>
    </row>
    <row r="1376" spans="3:13" ht="12.75" customHeight="1" x14ac:dyDescent="0.2">
      <c r="C1376"/>
      <c r="M1376"/>
    </row>
    <row r="1377" spans="3:13" ht="12.75" customHeight="1" x14ac:dyDescent="0.2">
      <c r="C1377"/>
      <c r="M1377"/>
    </row>
    <row r="1378" spans="3:13" ht="12.75" customHeight="1" x14ac:dyDescent="0.2">
      <c r="C1378"/>
      <c r="M1378"/>
    </row>
    <row r="1379" spans="3:13" ht="12.75" customHeight="1" x14ac:dyDescent="0.2">
      <c r="C1379"/>
      <c r="M1379"/>
    </row>
    <row r="1380" spans="3:13" ht="12.75" customHeight="1" x14ac:dyDescent="0.2">
      <c r="C1380"/>
      <c r="M1380"/>
    </row>
    <row r="1381" spans="3:13" ht="12.75" customHeight="1" x14ac:dyDescent="0.2">
      <c r="C1381"/>
      <c r="M1381"/>
    </row>
    <row r="1382" spans="3:13" ht="12.75" customHeight="1" x14ac:dyDescent="0.2">
      <c r="C1382"/>
      <c r="M1382"/>
    </row>
    <row r="1383" spans="3:13" ht="12.75" customHeight="1" x14ac:dyDescent="0.2">
      <c r="C1383"/>
      <c r="M1383"/>
    </row>
    <row r="1384" spans="3:13" ht="12.75" customHeight="1" x14ac:dyDescent="0.2">
      <c r="C1384"/>
      <c r="M1384"/>
    </row>
    <row r="1385" spans="3:13" ht="12.75" customHeight="1" x14ac:dyDescent="0.2">
      <c r="C1385"/>
      <c r="M1385"/>
    </row>
    <row r="1386" spans="3:13" ht="12.75" customHeight="1" x14ac:dyDescent="0.2">
      <c r="C1386"/>
      <c r="M1386"/>
    </row>
    <row r="1387" spans="3:13" ht="12.75" customHeight="1" x14ac:dyDescent="0.2">
      <c r="C1387"/>
      <c r="M1387"/>
    </row>
    <row r="1388" spans="3:13" ht="12.75" customHeight="1" x14ac:dyDescent="0.2">
      <c r="C1388"/>
      <c r="M1388"/>
    </row>
    <row r="1389" spans="3:13" ht="12.75" customHeight="1" x14ac:dyDescent="0.2">
      <c r="C1389"/>
      <c r="M1389"/>
    </row>
    <row r="1390" spans="3:13" ht="12.75" customHeight="1" x14ac:dyDescent="0.2">
      <c r="C1390"/>
      <c r="M1390"/>
    </row>
    <row r="1391" spans="3:13" ht="12.75" customHeight="1" x14ac:dyDescent="0.2">
      <c r="C1391"/>
      <c r="M1391"/>
    </row>
    <row r="1392" spans="3:13" ht="12.75" customHeight="1" x14ac:dyDescent="0.2">
      <c r="C1392"/>
      <c r="M1392"/>
    </row>
    <row r="1393" spans="3:13" ht="12.75" customHeight="1" x14ac:dyDescent="0.2">
      <c r="C1393"/>
      <c r="M1393"/>
    </row>
    <row r="1394" spans="3:13" ht="12.75" customHeight="1" x14ac:dyDescent="0.2">
      <c r="C1394"/>
      <c r="M1394"/>
    </row>
    <row r="1395" spans="3:13" ht="12.75" customHeight="1" x14ac:dyDescent="0.2">
      <c r="C1395"/>
      <c r="M1395"/>
    </row>
    <row r="1396" spans="3:13" ht="12.75" customHeight="1" x14ac:dyDescent="0.2">
      <c r="C1396"/>
      <c r="M1396"/>
    </row>
    <row r="1397" spans="3:13" ht="12.75" customHeight="1" x14ac:dyDescent="0.2">
      <c r="C1397"/>
      <c r="M1397"/>
    </row>
    <row r="1398" spans="3:13" ht="12.75" customHeight="1" x14ac:dyDescent="0.2">
      <c r="C1398"/>
      <c r="M1398"/>
    </row>
    <row r="1399" spans="3:13" ht="12.75" customHeight="1" x14ac:dyDescent="0.2">
      <c r="C1399"/>
      <c r="M1399"/>
    </row>
    <row r="1400" spans="3:13" ht="12.75" customHeight="1" x14ac:dyDescent="0.2">
      <c r="C1400"/>
      <c r="M1400"/>
    </row>
    <row r="1401" spans="3:13" ht="12.75" customHeight="1" x14ac:dyDescent="0.2">
      <c r="C1401"/>
      <c r="M1401"/>
    </row>
    <row r="1402" spans="3:13" ht="12.75" customHeight="1" x14ac:dyDescent="0.2">
      <c r="C1402"/>
      <c r="M1402"/>
    </row>
    <row r="1403" spans="3:13" ht="12.75" customHeight="1" x14ac:dyDescent="0.2">
      <c r="C1403"/>
      <c r="M1403"/>
    </row>
    <row r="1404" spans="3:13" ht="12.75" customHeight="1" x14ac:dyDescent="0.2">
      <c r="C1404"/>
      <c r="M1404"/>
    </row>
    <row r="1405" spans="3:13" ht="12.75" customHeight="1" x14ac:dyDescent="0.2">
      <c r="C1405"/>
      <c r="M1405"/>
    </row>
    <row r="1406" spans="3:13" ht="12.75" customHeight="1" x14ac:dyDescent="0.2">
      <c r="C1406"/>
      <c r="M1406"/>
    </row>
    <row r="1407" spans="3:13" ht="12.75" customHeight="1" x14ac:dyDescent="0.2">
      <c r="C1407"/>
      <c r="M1407"/>
    </row>
    <row r="1408" spans="3:13" ht="12.75" customHeight="1" x14ac:dyDescent="0.2">
      <c r="C1408"/>
      <c r="M1408"/>
    </row>
    <row r="1409" spans="3:13" ht="12.75" customHeight="1" x14ac:dyDescent="0.2">
      <c r="C1409"/>
      <c r="M1409"/>
    </row>
    <row r="1410" spans="3:13" ht="12.75" customHeight="1" x14ac:dyDescent="0.2">
      <c r="C1410"/>
      <c r="M1410"/>
    </row>
    <row r="1411" spans="3:13" ht="12.75" customHeight="1" x14ac:dyDescent="0.2">
      <c r="C1411"/>
      <c r="M1411"/>
    </row>
    <row r="1412" spans="3:13" ht="12.75" customHeight="1" x14ac:dyDescent="0.2">
      <c r="C1412"/>
      <c r="M1412"/>
    </row>
    <row r="1413" spans="3:13" ht="12.75" customHeight="1" x14ac:dyDescent="0.2">
      <c r="C1413"/>
      <c r="M1413"/>
    </row>
    <row r="1414" spans="3:13" ht="12.75" customHeight="1" x14ac:dyDescent="0.2">
      <c r="C1414"/>
      <c r="M1414"/>
    </row>
    <row r="1415" spans="3:13" ht="12.75" customHeight="1" x14ac:dyDescent="0.2">
      <c r="C1415"/>
      <c r="M1415"/>
    </row>
    <row r="1416" spans="3:13" ht="12.75" customHeight="1" x14ac:dyDescent="0.2">
      <c r="C1416"/>
      <c r="M1416"/>
    </row>
    <row r="1417" spans="3:13" ht="12.75" customHeight="1" x14ac:dyDescent="0.2">
      <c r="C1417"/>
      <c r="M1417"/>
    </row>
    <row r="1418" spans="3:13" ht="12.75" customHeight="1" x14ac:dyDescent="0.2">
      <c r="C1418"/>
      <c r="M1418"/>
    </row>
    <row r="1419" spans="3:13" ht="12.75" customHeight="1" x14ac:dyDescent="0.2">
      <c r="C1419"/>
      <c r="M1419"/>
    </row>
    <row r="1420" spans="3:13" ht="12.75" customHeight="1" x14ac:dyDescent="0.2">
      <c r="C1420"/>
      <c r="M1420"/>
    </row>
    <row r="1421" spans="3:13" ht="12.75" customHeight="1" x14ac:dyDescent="0.2">
      <c r="C1421"/>
      <c r="M1421"/>
    </row>
    <row r="1422" spans="3:13" ht="12.75" customHeight="1" x14ac:dyDescent="0.2">
      <c r="C1422"/>
      <c r="M1422"/>
    </row>
    <row r="1423" spans="3:13" ht="12.75" customHeight="1" x14ac:dyDescent="0.2">
      <c r="C1423"/>
      <c r="M1423"/>
    </row>
    <row r="1424" spans="3:13" ht="12.75" customHeight="1" x14ac:dyDescent="0.2">
      <c r="C1424"/>
      <c r="M1424"/>
    </row>
    <row r="1425" spans="3:13" ht="12.75" customHeight="1" x14ac:dyDescent="0.2">
      <c r="C1425"/>
      <c r="M1425"/>
    </row>
    <row r="1426" spans="3:13" ht="12.75" customHeight="1" x14ac:dyDescent="0.2">
      <c r="C1426"/>
      <c r="M1426"/>
    </row>
    <row r="1427" spans="3:13" ht="12.75" customHeight="1" x14ac:dyDescent="0.2">
      <c r="C1427"/>
      <c r="M1427"/>
    </row>
    <row r="1428" spans="3:13" ht="12.75" customHeight="1" x14ac:dyDescent="0.2">
      <c r="C1428"/>
      <c r="M1428"/>
    </row>
    <row r="1429" spans="3:13" ht="12.75" customHeight="1" x14ac:dyDescent="0.2">
      <c r="C1429"/>
      <c r="M1429"/>
    </row>
    <row r="1430" spans="3:13" ht="12.75" customHeight="1" x14ac:dyDescent="0.2">
      <c r="C1430"/>
      <c r="M1430"/>
    </row>
    <row r="1431" spans="3:13" ht="12.75" customHeight="1" x14ac:dyDescent="0.2">
      <c r="C1431"/>
      <c r="M1431"/>
    </row>
    <row r="1432" spans="3:13" ht="12.75" customHeight="1" x14ac:dyDescent="0.2">
      <c r="C1432"/>
      <c r="M1432"/>
    </row>
    <row r="1433" spans="3:13" ht="12.75" customHeight="1" x14ac:dyDescent="0.2">
      <c r="C1433"/>
      <c r="M1433"/>
    </row>
    <row r="1434" spans="3:13" ht="12.75" customHeight="1" x14ac:dyDescent="0.2">
      <c r="C1434"/>
      <c r="M1434"/>
    </row>
    <row r="1435" spans="3:13" ht="12.75" customHeight="1" x14ac:dyDescent="0.2">
      <c r="C1435"/>
      <c r="M1435"/>
    </row>
    <row r="1436" spans="3:13" ht="12.75" customHeight="1" x14ac:dyDescent="0.2">
      <c r="C1436"/>
      <c r="M1436"/>
    </row>
    <row r="1437" spans="3:13" ht="12.75" customHeight="1" x14ac:dyDescent="0.2">
      <c r="C1437"/>
      <c r="M1437"/>
    </row>
    <row r="1438" spans="3:13" ht="12.75" customHeight="1" x14ac:dyDescent="0.2">
      <c r="C1438"/>
      <c r="M1438"/>
    </row>
    <row r="1439" spans="3:13" ht="12.75" customHeight="1" x14ac:dyDescent="0.2">
      <c r="C1439"/>
      <c r="M1439"/>
    </row>
    <row r="1440" spans="3:13" ht="12.75" customHeight="1" x14ac:dyDescent="0.2">
      <c r="C1440"/>
      <c r="M1440"/>
    </row>
    <row r="1441" spans="3:13" ht="12.75" customHeight="1" x14ac:dyDescent="0.2">
      <c r="C1441"/>
      <c r="M1441"/>
    </row>
    <row r="1442" spans="3:13" ht="12.75" customHeight="1" x14ac:dyDescent="0.2">
      <c r="C1442"/>
      <c r="M1442"/>
    </row>
    <row r="1443" spans="3:13" ht="12.75" customHeight="1" x14ac:dyDescent="0.2">
      <c r="C1443"/>
      <c r="M1443"/>
    </row>
    <row r="1444" spans="3:13" ht="12.75" customHeight="1" x14ac:dyDescent="0.2">
      <c r="C1444"/>
      <c r="M1444"/>
    </row>
    <row r="1445" spans="3:13" ht="12.75" customHeight="1" x14ac:dyDescent="0.2">
      <c r="C1445"/>
      <c r="M1445"/>
    </row>
    <row r="1446" spans="3:13" ht="12.75" customHeight="1" x14ac:dyDescent="0.2">
      <c r="C1446"/>
      <c r="M1446"/>
    </row>
    <row r="1447" spans="3:13" ht="12.75" customHeight="1" x14ac:dyDescent="0.2">
      <c r="C1447"/>
      <c r="M1447"/>
    </row>
    <row r="1448" spans="3:13" ht="12.75" customHeight="1" x14ac:dyDescent="0.2">
      <c r="C1448"/>
      <c r="M1448"/>
    </row>
    <row r="1449" spans="3:13" ht="12.75" customHeight="1" x14ac:dyDescent="0.2">
      <c r="C1449"/>
      <c r="M1449"/>
    </row>
    <row r="1450" spans="3:13" ht="12.75" customHeight="1" x14ac:dyDescent="0.2">
      <c r="C1450"/>
      <c r="M1450"/>
    </row>
    <row r="1451" spans="3:13" ht="12.75" customHeight="1" x14ac:dyDescent="0.2">
      <c r="C1451"/>
      <c r="M1451"/>
    </row>
    <row r="1452" spans="3:13" ht="12.75" customHeight="1" x14ac:dyDescent="0.2">
      <c r="C1452"/>
      <c r="M1452"/>
    </row>
    <row r="1453" spans="3:13" ht="12.75" customHeight="1" x14ac:dyDescent="0.2">
      <c r="C1453"/>
      <c r="M1453"/>
    </row>
    <row r="1454" spans="3:13" ht="12.75" customHeight="1" x14ac:dyDescent="0.2">
      <c r="C1454"/>
      <c r="M1454"/>
    </row>
    <row r="1455" spans="3:13" ht="12.75" customHeight="1" x14ac:dyDescent="0.2">
      <c r="C1455"/>
      <c r="M1455"/>
    </row>
    <row r="1456" spans="3:13" ht="12.75" customHeight="1" x14ac:dyDescent="0.2">
      <c r="C1456"/>
      <c r="M1456"/>
    </row>
    <row r="1457" spans="3:13" ht="12.75" customHeight="1" x14ac:dyDescent="0.2">
      <c r="C1457"/>
      <c r="M1457"/>
    </row>
    <row r="1458" spans="3:13" ht="12.75" customHeight="1" x14ac:dyDescent="0.2">
      <c r="C1458"/>
      <c r="M1458"/>
    </row>
    <row r="1459" spans="3:13" ht="12.75" customHeight="1" x14ac:dyDescent="0.2">
      <c r="C1459"/>
      <c r="M1459"/>
    </row>
    <row r="1460" spans="3:13" ht="12.75" customHeight="1" x14ac:dyDescent="0.2">
      <c r="C1460"/>
      <c r="M1460"/>
    </row>
    <row r="1461" spans="3:13" ht="12.75" customHeight="1" x14ac:dyDescent="0.2">
      <c r="C1461"/>
      <c r="M1461"/>
    </row>
    <row r="1462" spans="3:13" ht="12.75" customHeight="1" x14ac:dyDescent="0.2">
      <c r="C1462"/>
      <c r="M1462"/>
    </row>
    <row r="1463" spans="3:13" ht="12.75" customHeight="1" x14ac:dyDescent="0.2">
      <c r="C1463"/>
      <c r="M1463"/>
    </row>
    <row r="1464" spans="3:13" ht="12.75" customHeight="1" x14ac:dyDescent="0.2">
      <c r="C1464"/>
      <c r="M1464"/>
    </row>
    <row r="1465" spans="3:13" ht="12.75" customHeight="1" x14ac:dyDescent="0.2">
      <c r="C1465"/>
      <c r="M1465"/>
    </row>
    <row r="1466" spans="3:13" ht="12.75" customHeight="1" x14ac:dyDescent="0.2">
      <c r="C1466"/>
      <c r="M1466"/>
    </row>
    <row r="1467" spans="3:13" ht="12.75" customHeight="1" x14ac:dyDescent="0.2">
      <c r="C1467"/>
      <c r="M1467"/>
    </row>
    <row r="1468" spans="3:13" ht="12.75" customHeight="1" x14ac:dyDescent="0.2">
      <c r="C1468"/>
      <c r="M1468"/>
    </row>
    <row r="1469" spans="3:13" ht="12.75" customHeight="1" x14ac:dyDescent="0.2">
      <c r="C1469"/>
      <c r="M1469"/>
    </row>
    <row r="1470" spans="3:13" ht="12.75" customHeight="1" x14ac:dyDescent="0.2">
      <c r="C1470"/>
      <c r="M1470"/>
    </row>
    <row r="1471" spans="3:13" ht="12.75" customHeight="1" x14ac:dyDescent="0.2">
      <c r="C1471"/>
      <c r="M1471"/>
    </row>
    <row r="1472" spans="3:13" ht="12.75" customHeight="1" x14ac:dyDescent="0.2">
      <c r="C1472"/>
      <c r="M1472"/>
    </row>
    <row r="1473" spans="3:13" ht="12.75" customHeight="1" x14ac:dyDescent="0.2">
      <c r="C1473"/>
      <c r="M1473"/>
    </row>
    <row r="1474" spans="3:13" ht="12.75" customHeight="1" x14ac:dyDescent="0.2">
      <c r="C1474"/>
      <c r="M1474"/>
    </row>
    <row r="1475" spans="3:13" ht="12.75" customHeight="1" x14ac:dyDescent="0.2">
      <c r="C1475"/>
      <c r="M1475"/>
    </row>
    <row r="1476" spans="3:13" ht="12.75" customHeight="1" x14ac:dyDescent="0.2">
      <c r="C1476"/>
      <c r="M1476"/>
    </row>
    <row r="1477" spans="3:13" ht="12.75" customHeight="1" x14ac:dyDescent="0.2">
      <c r="C1477"/>
      <c r="M1477"/>
    </row>
    <row r="1478" spans="3:13" ht="12.75" customHeight="1" x14ac:dyDescent="0.2">
      <c r="C1478"/>
      <c r="M1478"/>
    </row>
    <row r="1479" spans="3:13" ht="12.75" customHeight="1" x14ac:dyDescent="0.2">
      <c r="C1479"/>
      <c r="M1479"/>
    </row>
    <row r="1480" spans="3:13" ht="12.75" customHeight="1" x14ac:dyDescent="0.2">
      <c r="C1480"/>
      <c r="M1480"/>
    </row>
    <row r="1481" spans="3:13" ht="12.75" customHeight="1" x14ac:dyDescent="0.2">
      <c r="C1481"/>
      <c r="M1481"/>
    </row>
    <row r="1482" spans="3:13" ht="12.75" customHeight="1" x14ac:dyDescent="0.2">
      <c r="C1482"/>
      <c r="M1482"/>
    </row>
    <row r="1483" spans="3:13" ht="12.75" customHeight="1" x14ac:dyDescent="0.2">
      <c r="C1483"/>
      <c r="M1483"/>
    </row>
    <row r="1484" spans="3:13" ht="12.75" customHeight="1" x14ac:dyDescent="0.2">
      <c r="C1484"/>
      <c r="M1484"/>
    </row>
    <row r="1485" spans="3:13" ht="12.75" customHeight="1" x14ac:dyDescent="0.2">
      <c r="C1485"/>
      <c r="M1485"/>
    </row>
    <row r="1486" spans="3:13" ht="12.75" customHeight="1" x14ac:dyDescent="0.2">
      <c r="C1486"/>
      <c r="M1486"/>
    </row>
    <row r="1487" spans="3:13" ht="12.75" customHeight="1" x14ac:dyDescent="0.2">
      <c r="C1487"/>
      <c r="M1487"/>
    </row>
    <row r="1488" spans="3:13" ht="12.75" customHeight="1" x14ac:dyDescent="0.2">
      <c r="C1488"/>
      <c r="M1488"/>
    </row>
    <row r="1489" spans="3:13" ht="12.75" customHeight="1" x14ac:dyDescent="0.2">
      <c r="C1489"/>
      <c r="M1489"/>
    </row>
    <row r="1490" spans="3:13" ht="12.75" customHeight="1" x14ac:dyDescent="0.2">
      <c r="C1490"/>
      <c r="M1490"/>
    </row>
    <row r="1491" spans="3:13" ht="12.75" customHeight="1" x14ac:dyDescent="0.2">
      <c r="C1491"/>
      <c r="M1491"/>
    </row>
    <row r="1492" spans="3:13" ht="12.75" customHeight="1" x14ac:dyDescent="0.2">
      <c r="C1492"/>
      <c r="M1492"/>
    </row>
    <row r="1493" spans="3:13" ht="12.75" customHeight="1" x14ac:dyDescent="0.2">
      <c r="C1493"/>
      <c r="M1493"/>
    </row>
    <row r="1494" spans="3:13" ht="12.75" customHeight="1" x14ac:dyDescent="0.2">
      <c r="C1494"/>
      <c r="M1494"/>
    </row>
    <row r="1495" spans="3:13" ht="12.75" customHeight="1" x14ac:dyDescent="0.2">
      <c r="C1495"/>
      <c r="M1495"/>
    </row>
    <row r="1496" spans="3:13" ht="12.75" customHeight="1" x14ac:dyDescent="0.2">
      <c r="C1496"/>
      <c r="M1496"/>
    </row>
    <row r="1497" spans="3:13" ht="12.75" customHeight="1" x14ac:dyDescent="0.2">
      <c r="C1497"/>
      <c r="M1497"/>
    </row>
    <row r="1498" spans="3:13" ht="12.75" customHeight="1" x14ac:dyDescent="0.2">
      <c r="C1498"/>
      <c r="M1498"/>
    </row>
    <row r="1499" spans="3:13" ht="12.75" customHeight="1" x14ac:dyDescent="0.2">
      <c r="C1499"/>
      <c r="M1499"/>
    </row>
    <row r="1500" spans="3:13" ht="12.75" customHeight="1" x14ac:dyDescent="0.2">
      <c r="C1500"/>
      <c r="M1500"/>
    </row>
    <row r="1501" spans="3:13" ht="12.75" customHeight="1" x14ac:dyDescent="0.2">
      <c r="C1501"/>
      <c r="M1501"/>
    </row>
    <row r="1502" spans="3:13" ht="12.75" customHeight="1" x14ac:dyDescent="0.2">
      <c r="C1502"/>
      <c r="M1502"/>
    </row>
    <row r="1503" spans="3:13" ht="12.75" customHeight="1" x14ac:dyDescent="0.2">
      <c r="C1503"/>
      <c r="M1503"/>
    </row>
    <row r="1504" spans="3:13" ht="12.75" customHeight="1" x14ac:dyDescent="0.2">
      <c r="C1504"/>
      <c r="M1504"/>
    </row>
    <row r="1505" spans="3:13" ht="12.75" customHeight="1" x14ac:dyDescent="0.2">
      <c r="C1505"/>
      <c r="M1505"/>
    </row>
    <row r="1506" spans="3:13" ht="12.75" customHeight="1" x14ac:dyDescent="0.2">
      <c r="C1506"/>
      <c r="M1506"/>
    </row>
    <row r="1507" spans="3:13" ht="12.75" customHeight="1" x14ac:dyDescent="0.2">
      <c r="C1507"/>
      <c r="M1507"/>
    </row>
    <row r="1508" spans="3:13" ht="12.75" customHeight="1" x14ac:dyDescent="0.2">
      <c r="C1508"/>
      <c r="M1508"/>
    </row>
    <row r="1509" spans="3:13" ht="12.75" customHeight="1" x14ac:dyDescent="0.2">
      <c r="C1509"/>
      <c r="M1509"/>
    </row>
    <row r="1510" spans="3:13" ht="12.75" customHeight="1" x14ac:dyDescent="0.2">
      <c r="C1510"/>
      <c r="M1510"/>
    </row>
    <row r="1511" spans="3:13" ht="12.75" customHeight="1" x14ac:dyDescent="0.2">
      <c r="C1511"/>
      <c r="M1511"/>
    </row>
    <row r="1512" spans="3:13" ht="12.75" customHeight="1" x14ac:dyDescent="0.2">
      <c r="C1512"/>
      <c r="M1512"/>
    </row>
    <row r="1513" spans="3:13" ht="12.75" customHeight="1" x14ac:dyDescent="0.2">
      <c r="C1513"/>
      <c r="M1513"/>
    </row>
    <row r="1514" spans="3:13" ht="12.75" customHeight="1" x14ac:dyDescent="0.2">
      <c r="C1514"/>
      <c r="M1514"/>
    </row>
    <row r="1515" spans="3:13" ht="12.75" customHeight="1" x14ac:dyDescent="0.2">
      <c r="C1515"/>
      <c r="M1515"/>
    </row>
    <row r="1516" spans="3:13" ht="12.75" customHeight="1" x14ac:dyDescent="0.2">
      <c r="C1516"/>
      <c r="M1516"/>
    </row>
    <row r="1517" spans="3:13" ht="12.75" customHeight="1" x14ac:dyDescent="0.2">
      <c r="C1517"/>
      <c r="M1517"/>
    </row>
    <row r="1518" spans="3:13" ht="12.75" customHeight="1" x14ac:dyDescent="0.2">
      <c r="C1518"/>
      <c r="M1518"/>
    </row>
    <row r="1519" spans="3:13" ht="12.75" customHeight="1" x14ac:dyDescent="0.2">
      <c r="C1519"/>
      <c r="M1519"/>
    </row>
    <row r="1520" spans="3:13" ht="12.75" customHeight="1" x14ac:dyDescent="0.2">
      <c r="C1520"/>
      <c r="M1520"/>
    </row>
    <row r="1521" spans="3:13" ht="12.75" customHeight="1" x14ac:dyDescent="0.2">
      <c r="C1521"/>
      <c r="M1521"/>
    </row>
    <row r="1522" spans="3:13" ht="12.75" customHeight="1" x14ac:dyDescent="0.2">
      <c r="C1522"/>
      <c r="M1522"/>
    </row>
    <row r="1523" spans="3:13" ht="12.75" customHeight="1" x14ac:dyDescent="0.2">
      <c r="C1523"/>
      <c r="M1523"/>
    </row>
    <row r="1524" spans="3:13" ht="12.75" customHeight="1" x14ac:dyDescent="0.2">
      <c r="C1524"/>
      <c r="M1524"/>
    </row>
    <row r="1525" spans="3:13" ht="12.75" customHeight="1" x14ac:dyDescent="0.2">
      <c r="C1525"/>
      <c r="M1525"/>
    </row>
    <row r="1526" spans="3:13" ht="12.75" customHeight="1" x14ac:dyDescent="0.2">
      <c r="C1526"/>
      <c r="M1526"/>
    </row>
    <row r="1527" spans="3:13" ht="12.75" customHeight="1" x14ac:dyDescent="0.2">
      <c r="C1527"/>
      <c r="M1527"/>
    </row>
    <row r="1528" spans="3:13" ht="12.75" customHeight="1" x14ac:dyDescent="0.2">
      <c r="C1528"/>
      <c r="M1528"/>
    </row>
    <row r="1529" spans="3:13" ht="12.75" customHeight="1" x14ac:dyDescent="0.2">
      <c r="C1529"/>
      <c r="M1529"/>
    </row>
    <row r="1530" spans="3:13" ht="12.75" customHeight="1" x14ac:dyDescent="0.2">
      <c r="C1530"/>
      <c r="M1530"/>
    </row>
    <row r="1531" spans="3:13" ht="12.75" customHeight="1" x14ac:dyDescent="0.2">
      <c r="C1531"/>
      <c r="M1531"/>
    </row>
    <row r="1532" spans="3:13" ht="12.75" customHeight="1" x14ac:dyDescent="0.2">
      <c r="C1532"/>
      <c r="M1532"/>
    </row>
    <row r="1533" spans="3:13" ht="12.75" customHeight="1" x14ac:dyDescent="0.2">
      <c r="C1533"/>
      <c r="M1533"/>
    </row>
    <row r="1534" spans="3:13" ht="12.75" customHeight="1" x14ac:dyDescent="0.2">
      <c r="C1534"/>
      <c r="M1534"/>
    </row>
    <row r="1535" spans="3:13" ht="12.75" customHeight="1" x14ac:dyDescent="0.2">
      <c r="C1535"/>
      <c r="M1535"/>
    </row>
    <row r="1536" spans="3:13" ht="12.75" customHeight="1" x14ac:dyDescent="0.2">
      <c r="C1536"/>
      <c r="M1536"/>
    </row>
    <row r="1537" spans="3:13" ht="12.75" customHeight="1" x14ac:dyDescent="0.2">
      <c r="C1537"/>
      <c r="M1537"/>
    </row>
    <row r="1538" spans="3:13" ht="12.75" customHeight="1" x14ac:dyDescent="0.2">
      <c r="C1538"/>
      <c r="M1538"/>
    </row>
    <row r="1539" spans="3:13" ht="12.75" customHeight="1" x14ac:dyDescent="0.2">
      <c r="C1539"/>
      <c r="M1539"/>
    </row>
    <row r="1540" spans="3:13" ht="12.75" customHeight="1" x14ac:dyDescent="0.2">
      <c r="C1540"/>
      <c r="M1540"/>
    </row>
    <row r="1541" spans="3:13" ht="12.75" customHeight="1" x14ac:dyDescent="0.2">
      <c r="C1541"/>
      <c r="M1541"/>
    </row>
    <row r="1542" spans="3:13" ht="12.75" customHeight="1" x14ac:dyDescent="0.2">
      <c r="C1542"/>
      <c r="M1542"/>
    </row>
    <row r="1543" spans="3:13" ht="12.75" customHeight="1" x14ac:dyDescent="0.2">
      <c r="C1543"/>
      <c r="M1543"/>
    </row>
    <row r="1544" spans="3:13" ht="12.75" customHeight="1" x14ac:dyDescent="0.2">
      <c r="C1544"/>
      <c r="M1544"/>
    </row>
    <row r="1545" spans="3:13" ht="12.75" customHeight="1" x14ac:dyDescent="0.2">
      <c r="C1545"/>
      <c r="M1545"/>
    </row>
    <row r="1546" spans="3:13" ht="12.75" customHeight="1" x14ac:dyDescent="0.2">
      <c r="C1546"/>
      <c r="M1546"/>
    </row>
    <row r="1547" spans="3:13" ht="12.75" customHeight="1" x14ac:dyDescent="0.2">
      <c r="C1547"/>
      <c r="M1547"/>
    </row>
    <row r="1548" spans="3:13" ht="12.75" customHeight="1" x14ac:dyDescent="0.2">
      <c r="C1548"/>
      <c r="M1548"/>
    </row>
    <row r="1549" spans="3:13" ht="12.75" customHeight="1" x14ac:dyDescent="0.2">
      <c r="C1549"/>
      <c r="M1549"/>
    </row>
    <row r="1550" spans="3:13" ht="12.75" customHeight="1" x14ac:dyDescent="0.2">
      <c r="C1550"/>
      <c r="M1550"/>
    </row>
    <row r="1551" spans="3:13" ht="12.75" customHeight="1" x14ac:dyDescent="0.2">
      <c r="C1551"/>
      <c r="M1551"/>
    </row>
    <row r="1552" spans="3:13" ht="12.75" customHeight="1" x14ac:dyDescent="0.2">
      <c r="C1552"/>
      <c r="M1552"/>
    </row>
    <row r="1553" spans="3:13" ht="12.75" customHeight="1" x14ac:dyDescent="0.2">
      <c r="C1553"/>
      <c r="M1553"/>
    </row>
    <row r="1554" spans="3:13" ht="12.75" customHeight="1" x14ac:dyDescent="0.2">
      <c r="C1554"/>
      <c r="M1554"/>
    </row>
    <row r="1555" spans="3:13" ht="12.75" customHeight="1" x14ac:dyDescent="0.2">
      <c r="C1555"/>
      <c r="M1555"/>
    </row>
    <row r="1556" spans="3:13" ht="12.75" customHeight="1" x14ac:dyDescent="0.2">
      <c r="C1556"/>
      <c r="M1556"/>
    </row>
    <row r="1557" spans="3:13" ht="12.75" customHeight="1" x14ac:dyDescent="0.2">
      <c r="C1557"/>
      <c r="M1557"/>
    </row>
    <row r="1558" spans="3:13" ht="12.75" customHeight="1" x14ac:dyDescent="0.2">
      <c r="C1558"/>
      <c r="M1558"/>
    </row>
    <row r="1559" spans="3:13" ht="12.75" customHeight="1" x14ac:dyDescent="0.2">
      <c r="C1559"/>
      <c r="M1559"/>
    </row>
    <row r="1560" spans="3:13" ht="12.75" customHeight="1" x14ac:dyDescent="0.2">
      <c r="C1560"/>
      <c r="M1560"/>
    </row>
    <row r="1561" spans="3:13" ht="12.75" customHeight="1" x14ac:dyDescent="0.2">
      <c r="C1561"/>
      <c r="M1561"/>
    </row>
    <row r="1562" spans="3:13" ht="12.75" customHeight="1" x14ac:dyDescent="0.2">
      <c r="C1562"/>
      <c r="M1562"/>
    </row>
    <row r="1563" spans="3:13" ht="12.75" customHeight="1" x14ac:dyDescent="0.2">
      <c r="C1563"/>
      <c r="M1563"/>
    </row>
    <row r="1564" spans="3:13" ht="12.75" customHeight="1" x14ac:dyDescent="0.2">
      <c r="C1564"/>
      <c r="M1564"/>
    </row>
    <row r="1565" spans="3:13" ht="12.75" customHeight="1" x14ac:dyDescent="0.2">
      <c r="C1565"/>
      <c r="M1565"/>
    </row>
    <row r="1566" spans="3:13" ht="12.75" customHeight="1" x14ac:dyDescent="0.2">
      <c r="C1566"/>
      <c r="M1566"/>
    </row>
    <row r="1567" spans="3:13" ht="12.75" customHeight="1" x14ac:dyDescent="0.2">
      <c r="C1567"/>
      <c r="M1567"/>
    </row>
    <row r="1568" spans="3:13" ht="12.75" customHeight="1" x14ac:dyDescent="0.2">
      <c r="C1568"/>
      <c r="M1568"/>
    </row>
    <row r="1569" spans="3:13" ht="12.75" customHeight="1" x14ac:dyDescent="0.2">
      <c r="C1569"/>
      <c r="M1569"/>
    </row>
    <row r="1570" spans="3:13" ht="12.75" customHeight="1" x14ac:dyDescent="0.2">
      <c r="C1570"/>
      <c r="M1570"/>
    </row>
    <row r="1571" spans="3:13" ht="12.75" customHeight="1" x14ac:dyDescent="0.2">
      <c r="C1571"/>
      <c r="M1571"/>
    </row>
    <row r="1572" spans="3:13" ht="12.75" customHeight="1" x14ac:dyDescent="0.2">
      <c r="C1572"/>
      <c r="M1572"/>
    </row>
    <row r="1573" spans="3:13" ht="12.75" customHeight="1" x14ac:dyDescent="0.2">
      <c r="C1573"/>
      <c r="M1573"/>
    </row>
    <row r="1574" spans="3:13" ht="12.75" customHeight="1" x14ac:dyDescent="0.2">
      <c r="C1574"/>
      <c r="M1574"/>
    </row>
    <row r="1575" spans="3:13" ht="12.75" customHeight="1" x14ac:dyDescent="0.2">
      <c r="C1575"/>
      <c r="M1575"/>
    </row>
    <row r="1576" spans="3:13" ht="12.75" customHeight="1" x14ac:dyDescent="0.2">
      <c r="C1576"/>
      <c r="M1576"/>
    </row>
    <row r="1577" spans="3:13" ht="12.75" customHeight="1" x14ac:dyDescent="0.2">
      <c r="C1577"/>
      <c r="M1577"/>
    </row>
    <row r="1578" spans="3:13" ht="12.75" customHeight="1" x14ac:dyDescent="0.2">
      <c r="C1578"/>
      <c r="M1578"/>
    </row>
    <row r="1579" spans="3:13" ht="12.75" customHeight="1" x14ac:dyDescent="0.2">
      <c r="C1579"/>
      <c r="M1579"/>
    </row>
    <row r="1580" spans="3:13" ht="12.75" customHeight="1" x14ac:dyDescent="0.2">
      <c r="C1580"/>
      <c r="M1580"/>
    </row>
    <row r="1581" spans="3:13" ht="12.75" customHeight="1" x14ac:dyDescent="0.2">
      <c r="C1581"/>
      <c r="M1581"/>
    </row>
    <row r="1582" spans="3:13" ht="12.75" customHeight="1" x14ac:dyDescent="0.2">
      <c r="C1582"/>
      <c r="M1582"/>
    </row>
    <row r="1583" spans="3:13" ht="12.75" customHeight="1" x14ac:dyDescent="0.2">
      <c r="C1583"/>
      <c r="M1583"/>
    </row>
    <row r="1584" spans="3:13" ht="12.75" customHeight="1" x14ac:dyDescent="0.2">
      <c r="C1584"/>
      <c r="M1584"/>
    </row>
    <row r="1585" spans="3:13" ht="12.75" customHeight="1" x14ac:dyDescent="0.2">
      <c r="C1585"/>
      <c r="M1585"/>
    </row>
    <row r="1586" spans="3:13" ht="12.75" customHeight="1" x14ac:dyDescent="0.2">
      <c r="C1586"/>
      <c r="M1586"/>
    </row>
    <row r="1587" spans="3:13" ht="12.75" customHeight="1" x14ac:dyDescent="0.2">
      <c r="C1587"/>
      <c r="M1587"/>
    </row>
    <row r="1588" spans="3:13" ht="12.75" customHeight="1" x14ac:dyDescent="0.2">
      <c r="C1588"/>
      <c r="M1588"/>
    </row>
    <row r="1589" spans="3:13" ht="12.75" customHeight="1" x14ac:dyDescent="0.2">
      <c r="C1589"/>
      <c r="M1589"/>
    </row>
    <row r="1590" spans="3:13" ht="12.75" customHeight="1" x14ac:dyDescent="0.2">
      <c r="C1590"/>
      <c r="M1590"/>
    </row>
    <row r="1591" spans="3:13" ht="12.75" customHeight="1" x14ac:dyDescent="0.2">
      <c r="C1591"/>
      <c r="M1591"/>
    </row>
    <row r="1592" spans="3:13" ht="12.75" customHeight="1" x14ac:dyDescent="0.2">
      <c r="C1592"/>
      <c r="M1592"/>
    </row>
    <row r="1593" spans="3:13" ht="12.75" customHeight="1" x14ac:dyDescent="0.2">
      <c r="C1593"/>
      <c r="M1593"/>
    </row>
    <row r="1594" spans="3:13" ht="12.75" customHeight="1" x14ac:dyDescent="0.2">
      <c r="C1594"/>
      <c r="M1594"/>
    </row>
    <row r="1595" spans="3:13" ht="12.75" customHeight="1" x14ac:dyDescent="0.2">
      <c r="C1595"/>
      <c r="M1595"/>
    </row>
    <row r="1596" spans="3:13" ht="12.75" customHeight="1" x14ac:dyDescent="0.2">
      <c r="C1596"/>
      <c r="M1596"/>
    </row>
    <row r="1597" spans="3:13" ht="12.75" customHeight="1" x14ac:dyDescent="0.2">
      <c r="C1597"/>
      <c r="M1597"/>
    </row>
    <row r="1598" spans="3:13" ht="12.75" customHeight="1" x14ac:dyDescent="0.2">
      <c r="C1598"/>
      <c r="M1598"/>
    </row>
    <row r="1599" spans="3:13" ht="12.75" customHeight="1" x14ac:dyDescent="0.2">
      <c r="C1599"/>
      <c r="M1599"/>
    </row>
    <row r="1600" spans="3:13" ht="12.75" customHeight="1" x14ac:dyDescent="0.2">
      <c r="C1600"/>
      <c r="M1600"/>
    </row>
    <row r="1601" spans="3:13" ht="12.75" customHeight="1" x14ac:dyDescent="0.2">
      <c r="C1601"/>
      <c r="M1601"/>
    </row>
    <row r="1602" spans="3:13" ht="12.75" customHeight="1" x14ac:dyDescent="0.2">
      <c r="C1602"/>
      <c r="M1602"/>
    </row>
    <row r="1603" spans="3:13" ht="12.75" customHeight="1" x14ac:dyDescent="0.2">
      <c r="C1603"/>
      <c r="M1603"/>
    </row>
    <row r="1604" spans="3:13" ht="12.75" customHeight="1" x14ac:dyDescent="0.2">
      <c r="C1604"/>
      <c r="M1604"/>
    </row>
    <row r="1605" spans="3:13" ht="12.75" customHeight="1" x14ac:dyDescent="0.2">
      <c r="C1605"/>
      <c r="M1605"/>
    </row>
    <row r="1606" spans="3:13" ht="12.75" customHeight="1" x14ac:dyDescent="0.2">
      <c r="C1606"/>
      <c r="M1606"/>
    </row>
    <row r="1607" spans="3:13" ht="12.75" customHeight="1" x14ac:dyDescent="0.2">
      <c r="C1607"/>
      <c r="M1607"/>
    </row>
    <row r="1608" spans="3:13" ht="12.75" customHeight="1" x14ac:dyDescent="0.2">
      <c r="C1608"/>
      <c r="M1608"/>
    </row>
    <row r="1609" spans="3:13" ht="12.75" customHeight="1" x14ac:dyDescent="0.2">
      <c r="C1609"/>
      <c r="M1609"/>
    </row>
    <row r="1610" spans="3:13" ht="12.75" customHeight="1" x14ac:dyDescent="0.2">
      <c r="C1610"/>
      <c r="M1610"/>
    </row>
    <row r="1611" spans="3:13" ht="12.75" customHeight="1" x14ac:dyDescent="0.2">
      <c r="C1611"/>
      <c r="M1611"/>
    </row>
    <row r="1612" spans="3:13" ht="12.75" customHeight="1" x14ac:dyDescent="0.2">
      <c r="C1612"/>
      <c r="M1612"/>
    </row>
    <row r="1613" spans="3:13" ht="12.75" customHeight="1" x14ac:dyDescent="0.2">
      <c r="C1613"/>
      <c r="M1613"/>
    </row>
    <row r="1614" spans="3:13" ht="12.75" customHeight="1" x14ac:dyDescent="0.2">
      <c r="C1614"/>
      <c r="M1614"/>
    </row>
    <row r="1615" spans="3:13" ht="12.75" customHeight="1" x14ac:dyDescent="0.2">
      <c r="C1615"/>
      <c r="M1615"/>
    </row>
    <row r="1616" spans="3:13" ht="12.75" customHeight="1" x14ac:dyDescent="0.2">
      <c r="C1616"/>
      <c r="M1616"/>
    </row>
    <row r="1617" spans="3:13" ht="12.75" customHeight="1" x14ac:dyDescent="0.2">
      <c r="C1617"/>
      <c r="M1617"/>
    </row>
    <row r="1618" spans="3:13" ht="12.75" customHeight="1" x14ac:dyDescent="0.2">
      <c r="C1618"/>
      <c r="M1618"/>
    </row>
    <row r="1619" spans="3:13" ht="12.75" customHeight="1" x14ac:dyDescent="0.2">
      <c r="C1619"/>
      <c r="M1619"/>
    </row>
    <row r="1620" spans="3:13" ht="12.75" customHeight="1" x14ac:dyDescent="0.2">
      <c r="C1620"/>
      <c r="M1620"/>
    </row>
    <row r="1621" spans="3:13" ht="12.75" customHeight="1" x14ac:dyDescent="0.2">
      <c r="C1621"/>
      <c r="M1621"/>
    </row>
    <row r="1622" spans="3:13" ht="12.75" customHeight="1" x14ac:dyDescent="0.2">
      <c r="C1622"/>
      <c r="M1622"/>
    </row>
    <row r="1623" spans="3:13" ht="12.75" customHeight="1" x14ac:dyDescent="0.2">
      <c r="C1623"/>
      <c r="M1623"/>
    </row>
    <row r="1624" spans="3:13" ht="12.75" customHeight="1" x14ac:dyDescent="0.2">
      <c r="C1624"/>
      <c r="M1624"/>
    </row>
    <row r="1625" spans="3:13" ht="12.75" customHeight="1" x14ac:dyDescent="0.2">
      <c r="C1625"/>
      <c r="M1625"/>
    </row>
    <row r="1626" spans="3:13" ht="12.75" customHeight="1" x14ac:dyDescent="0.2">
      <c r="C1626"/>
      <c r="M1626"/>
    </row>
    <row r="1627" spans="3:13" ht="12.75" customHeight="1" x14ac:dyDescent="0.2">
      <c r="C1627"/>
      <c r="M1627"/>
    </row>
    <row r="1628" spans="3:13" ht="12.75" customHeight="1" x14ac:dyDescent="0.2">
      <c r="C1628"/>
      <c r="M1628"/>
    </row>
    <row r="1629" spans="3:13" ht="12.75" customHeight="1" x14ac:dyDescent="0.2">
      <c r="C1629"/>
      <c r="M1629"/>
    </row>
    <row r="1630" spans="3:13" ht="12.75" customHeight="1" x14ac:dyDescent="0.2">
      <c r="C1630"/>
      <c r="M1630"/>
    </row>
    <row r="1631" spans="3:13" ht="12.75" customHeight="1" x14ac:dyDescent="0.2">
      <c r="C1631"/>
      <c r="M1631"/>
    </row>
    <row r="1632" spans="3:13" ht="12.75" customHeight="1" x14ac:dyDescent="0.2">
      <c r="C1632"/>
      <c r="M1632"/>
    </row>
    <row r="1633" spans="3:13" ht="12.75" customHeight="1" x14ac:dyDescent="0.2">
      <c r="C1633"/>
      <c r="M1633"/>
    </row>
    <row r="1634" spans="3:13" ht="12.75" customHeight="1" x14ac:dyDescent="0.2">
      <c r="C1634"/>
      <c r="M1634"/>
    </row>
    <row r="1635" spans="3:13" ht="12.75" customHeight="1" x14ac:dyDescent="0.2">
      <c r="C1635"/>
      <c r="M1635"/>
    </row>
    <row r="1636" spans="3:13" ht="12.75" customHeight="1" x14ac:dyDescent="0.2">
      <c r="C1636"/>
      <c r="M1636"/>
    </row>
    <row r="1637" spans="3:13" ht="12.75" customHeight="1" x14ac:dyDescent="0.2">
      <c r="C1637"/>
      <c r="M1637"/>
    </row>
    <row r="1638" spans="3:13" ht="12.75" customHeight="1" x14ac:dyDescent="0.2">
      <c r="C1638"/>
      <c r="M1638"/>
    </row>
    <row r="1639" spans="3:13" ht="12.75" customHeight="1" x14ac:dyDescent="0.2">
      <c r="C1639"/>
      <c r="M1639"/>
    </row>
    <row r="1640" spans="3:13" ht="12.75" customHeight="1" x14ac:dyDescent="0.2">
      <c r="C1640"/>
      <c r="M1640"/>
    </row>
    <row r="1641" spans="3:13" ht="12.75" customHeight="1" x14ac:dyDescent="0.2">
      <c r="C1641"/>
      <c r="M1641"/>
    </row>
    <row r="1642" spans="3:13" ht="12.75" customHeight="1" x14ac:dyDescent="0.2">
      <c r="C1642"/>
      <c r="M1642"/>
    </row>
    <row r="1643" spans="3:13" ht="12.75" customHeight="1" x14ac:dyDescent="0.2">
      <c r="C1643"/>
      <c r="M1643"/>
    </row>
    <row r="1644" spans="3:13" ht="12.75" customHeight="1" x14ac:dyDescent="0.2">
      <c r="C1644"/>
      <c r="M1644"/>
    </row>
    <row r="1645" spans="3:13" ht="12.75" customHeight="1" x14ac:dyDescent="0.2">
      <c r="C1645"/>
      <c r="M1645"/>
    </row>
    <row r="1646" spans="3:13" ht="12.75" customHeight="1" x14ac:dyDescent="0.2">
      <c r="C1646"/>
      <c r="M1646"/>
    </row>
    <row r="1647" spans="3:13" ht="12.75" customHeight="1" x14ac:dyDescent="0.2">
      <c r="C1647"/>
      <c r="M1647"/>
    </row>
    <row r="1648" spans="3:13" ht="12.75" customHeight="1" x14ac:dyDescent="0.2">
      <c r="C1648"/>
      <c r="M1648"/>
    </row>
    <row r="1649" spans="3:13" ht="12.75" customHeight="1" x14ac:dyDescent="0.2">
      <c r="C1649"/>
      <c r="M1649"/>
    </row>
    <row r="1650" spans="3:13" ht="12.75" customHeight="1" x14ac:dyDescent="0.2">
      <c r="C1650"/>
      <c r="M1650"/>
    </row>
    <row r="1651" spans="3:13" ht="12.75" customHeight="1" x14ac:dyDescent="0.2">
      <c r="C1651"/>
      <c r="M1651"/>
    </row>
    <row r="1652" spans="3:13" ht="12.75" customHeight="1" x14ac:dyDescent="0.2">
      <c r="C1652"/>
      <c r="M1652"/>
    </row>
    <row r="1653" spans="3:13" ht="12.75" customHeight="1" x14ac:dyDescent="0.2">
      <c r="C1653"/>
      <c r="M1653"/>
    </row>
    <row r="1654" spans="3:13" ht="12.75" customHeight="1" x14ac:dyDescent="0.2">
      <c r="C1654"/>
      <c r="M1654"/>
    </row>
    <row r="1655" spans="3:13" ht="12.75" customHeight="1" x14ac:dyDescent="0.2">
      <c r="C1655"/>
      <c r="M1655"/>
    </row>
    <row r="1656" spans="3:13" ht="12.75" customHeight="1" x14ac:dyDescent="0.2">
      <c r="C1656"/>
      <c r="M1656"/>
    </row>
    <row r="1657" spans="3:13" ht="12.75" customHeight="1" x14ac:dyDescent="0.2">
      <c r="C1657"/>
      <c r="M1657"/>
    </row>
    <row r="1658" spans="3:13" ht="12.75" customHeight="1" x14ac:dyDescent="0.2">
      <c r="C1658"/>
      <c r="M1658"/>
    </row>
    <row r="1659" spans="3:13" ht="12.75" customHeight="1" x14ac:dyDescent="0.2">
      <c r="C1659"/>
      <c r="M1659"/>
    </row>
    <row r="1660" spans="3:13" ht="12.75" customHeight="1" x14ac:dyDescent="0.2">
      <c r="C1660"/>
      <c r="M1660"/>
    </row>
    <row r="1661" spans="3:13" ht="12.75" customHeight="1" x14ac:dyDescent="0.2">
      <c r="C1661"/>
      <c r="M1661"/>
    </row>
    <row r="1662" spans="3:13" ht="12.75" customHeight="1" x14ac:dyDescent="0.2">
      <c r="C1662"/>
      <c r="M1662"/>
    </row>
    <row r="1663" spans="3:13" ht="12.75" customHeight="1" x14ac:dyDescent="0.2">
      <c r="C1663"/>
      <c r="M1663"/>
    </row>
    <row r="1664" spans="3:13" ht="12.75" customHeight="1" x14ac:dyDescent="0.2">
      <c r="C1664"/>
      <c r="M1664"/>
    </row>
    <row r="1665" spans="3:13" ht="12.75" customHeight="1" x14ac:dyDescent="0.2">
      <c r="C1665"/>
      <c r="M1665"/>
    </row>
    <row r="1666" spans="3:13" ht="12.75" customHeight="1" x14ac:dyDescent="0.2">
      <c r="C1666"/>
      <c r="M1666"/>
    </row>
    <row r="1667" spans="3:13" ht="12.75" customHeight="1" x14ac:dyDescent="0.2">
      <c r="C1667"/>
      <c r="M1667"/>
    </row>
    <row r="1668" spans="3:13" ht="12.75" customHeight="1" x14ac:dyDescent="0.2">
      <c r="C1668"/>
      <c r="M1668"/>
    </row>
    <row r="1669" spans="3:13" ht="12.75" customHeight="1" x14ac:dyDescent="0.2">
      <c r="C1669"/>
      <c r="M1669"/>
    </row>
    <row r="1670" spans="3:13" ht="12.75" customHeight="1" x14ac:dyDescent="0.2">
      <c r="C1670"/>
      <c r="M1670"/>
    </row>
    <row r="1671" spans="3:13" ht="12.75" customHeight="1" x14ac:dyDescent="0.2">
      <c r="C1671"/>
      <c r="M1671"/>
    </row>
    <row r="1672" spans="3:13" ht="12.75" customHeight="1" x14ac:dyDescent="0.2">
      <c r="C1672"/>
      <c r="M1672"/>
    </row>
    <row r="1673" spans="3:13" ht="12.75" customHeight="1" x14ac:dyDescent="0.2">
      <c r="C1673"/>
      <c r="M1673"/>
    </row>
    <row r="1674" spans="3:13" ht="12.75" customHeight="1" x14ac:dyDescent="0.2">
      <c r="C1674"/>
      <c r="M1674"/>
    </row>
    <row r="1675" spans="3:13" ht="12.75" customHeight="1" x14ac:dyDescent="0.2">
      <c r="C1675"/>
      <c r="M1675"/>
    </row>
    <row r="1676" spans="3:13" ht="12.75" customHeight="1" x14ac:dyDescent="0.2">
      <c r="C1676"/>
      <c r="M1676"/>
    </row>
    <row r="1677" spans="3:13" ht="12.75" customHeight="1" x14ac:dyDescent="0.2">
      <c r="C1677"/>
      <c r="M1677"/>
    </row>
    <row r="1678" spans="3:13" ht="12.75" customHeight="1" x14ac:dyDescent="0.2">
      <c r="C1678"/>
      <c r="M1678"/>
    </row>
    <row r="1679" spans="3:13" ht="12.75" customHeight="1" x14ac:dyDescent="0.2">
      <c r="C1679"/>
      <c r="M1679"/>
    </row>
    <row r="1680" spans="3:13" ht="12.75" customHeight="1" x14ac:dyDescent="0.2">
      <c r="C1680"/>
      <c r="M1680"/>
    </row>
    <row r="1681" spans="3:13" ht="12.75" customHeight="1" x14ac:dyDescent="0.2">
      <c r="C1681"/>
      <c r="M1681"/>
    </row>
    <row r="1682" spans="3:13" ht="12.75" customHeight="1" x14ac:dyDescent="0.2">
      <c r="C1682"/>
      <c r="M1682"/>
    </row>
    <row r="1683" spans="3:13" ht="12.75" customHeight="1" x14ac:dyDescent="0.2">
      <c r="C1683"/>
      <c r="M1683"/>
    </row>
    <row r="1684" spans="3:13" ht="12.75" customHeight="1" x14ac:dyDescent="0.2">
      <c r="C1684"/>
      <c r="M1684"/>
    </row>
    <row r="1685" spans="3:13" ht="12.75" customHeight="1" x14ac:dyDescent="0.2">
      <c r="C1685"/>
      <c r="M1685"/>
    </row>
    <row r="1686" spans="3:13" ht="12.75" customHeight="1" x14ac:dyDescent="0.2">
      <c r="C1686"/>
      <c r="M1686"/>
    </row>
    <row r="1687" spans="3:13" ht="12.75" customHeight="1" x14ac:dyDescent="0.2">
      <c r="C1687"/>
      <c r="M1687"/>
    </row>
    <row r="1688" spans="3:13" ht="12.75" customHeight="1" x14ac:dyDescent="0.2">
      <c r="C1688"/>
      <c r="M1688"/>
    </row>
    <row r="1689" spans="3:13" ht="12.75" customHeight="1" x14ac:dyDescent="0.2">
      <c r="C1689"/>
      <c r="M1689"/>
    </row>
    <row r="1690" spans="3:13" ht="12.75" customHeight="1" x14ac:dyDescent="0.2">
      <c r="C1690"/>
      <c r="M1690"/>
    </row>
    <row r="1691" spans="3:13" ht="12.75" customHeight="1" x14ac:dyDescent="0.2">
      <c r="C1691"/>
      <c r="M1691"/>
    </row>
    <row r="1692" spans="3:13" ht="12.75" customHeight="1" x14ac:dyDescent="0.2">
      <c r="C1692"/>
      <c r="M1692"/>
    </row>
    <row r="1693" spans="3:13" ht="12.75" customHeight="1" x14ac:dyDescent="0.2">
      <c r="C1693"/>
      <c r="M1693"/>
    </row>
    <row r="1694" spans="3:13" ht="12.75" customHeight="1" x14ac:dyDescent="0.2">
      <c r="C1694"/>
      <c r="M1694"/>
    </row>
    <row r="1695" spans="3:13" ht="12.75" customHeight="1" x14ac:dyDescent="0.2">
      <c r="C1695"/>
      <c r="M1695"/>
    </row>
    <row r="1696" spans="3:13" ht="12.75" customHeight="1" x14ac:dyDescent="0.2">
      <c r="C1696"/>
      <c r="M1696"/>
    </row>
    <row r="1697" spans="3:13" ht="12.75" customHeight="1" x14ac:dyDescent="0.2">
      <c r="C1697"/>
      <c r="M1697"/>
    </row>
    <row r="1698" spans="3:13" ht="12.75" customHeight="1" x14ac:dyDescent="0.2">
      <c r="C1698"/>
      <c r="M1698"/>
    </row>
    <row r="1699" spans="3:13" ht="12.75" customHeight="1" x14ac:dyDescent="0.2">
      <c r="C1699"/>
      <c r="M1699"/>
    </row>
    <row r="1700" spans="3:13" ht="12.75" customHeight="1" x14ac:dyDescent="0.2">
      <c r="C1700"/>
      <c r="M1700"/>
    </row>
    <row r="1701" spans="3:13" ht="12.75" customHeight="1" x14ac:dyDescent="0.2">
      <c r="C1701"/>
      <c r="M1701"/>
    </row>
    <row r="1702" spans="3:13" ht="12.75" customHeight="1" x14ac:dyDescent="0.2">
      <c r="C1702"/>
      <c r="M1702"/>
    </row>
    <row r="1703" spans="3:13" ht="12.75" customHeight="1" x14ac:dyDescent="0.2">
      <c r="C1703"/>
      <c r="M1703"/>
    </row>
    <row r="1704" spans="3:13" ht="12.75" customHeight="1" x14ac:dyDescent="0.2">
      <c r="C1704"/>
      <c r="M1704"/>
    </row>
    <row r="1705" spans="3:13" ht="12.75" customHeight="1" x14ac:dyDescent="0.2">
      <c r="C1705"/>
      <c r="M1705"/>
    </row>
    <row r="1706" spans="3:13" ht="12.75" customHeight="1" x14ac:dyDescent="0.2">
      <c r="C1706"/>
      <c r="M1706"/>
    </row>
    <row r="1707" spans="3:13" ht="12.75" customHeight="1" x14ac:dyDescent="0.2">
      <c r="C1707"/>
      <c r="M1707"/>
    </row>
    <row r="1708" spans="3:13" ht="12.75" customHeight="1" x14ac:dyDescent="0.2">
      <c r="C1708"/>
      <c r="M1708"/>
    </row>
    <row r="1709" spans="3:13" ht="12.75" customHeight="1" x14ac:dyDescent="0.2">
      <c r="C1709"/>
      <c r="M1709"/>
    </row>
    <row r="1710" spans="3:13" ht="12.75" customHeight="1" x14ac:dyDescent="0.2">
      <c r="C1710"/>
      <c r="M1710"/>
    </row>
    <row r="1711" spans="3:13" ht="12.75" customHeight="1" x14ac:dyDescent="0.2">
      <c r="C1711"/>
      <c r="M1711"/>
    </row>
    <row r="1712" spans="3:13" ht="12.75" customHeight="1" x14ac:dyDescent="0.2">
      <c r="C1712"/>
      <c r="M1712"/>
    </row>
    <row r="1713" spans="3:13" ht="12.75" customHeight="1" x14ac:dyDescent="0.2">
      <c r="C1713"/>
      <c r="M1713"/>
    </row>
    <row r="1714" spans="3:13" ht="12.75" customHeight="1" x14ac:dyDescent="0.2">
      <c r="C1714"/>
      <c r="M1714"/>
    </row>
    <row r="1715" spans="3:13" ht="12.75" customHeight="1" x14ac:dyDescent="0.2">
      <c r="C1715"/>
      <c r="M1715"/>
    </row>
    <row r="1716" spans="3:13" ht="12.75" customHeight="1" x14ac:dyDescent="0.2">
      <c r="C1716"/>
      <c r="M1716"/>
    </row>
    <row r="1717" spans="3:13" ht="12.75" customHeight="1" x14ac:dyDescent="0.2">
      <c r="C1717"/>
      <c r="M1717"/>
    </row>
    <row r="1718" spans="3:13" ht="12.75" customHeight="1" x14ac:dyDescent="0.2">
      <c r="C1718"/>
      <c r="M1718"/>
    </row>
    <row r="1719" spans="3:13" ht="12.75" customHeight="1" x14ac:dyDescent="0.2">
      <c r="C1719"/>
      <c r="M1719"/>
    </row>
    <row r="1720" spans="3:13" ht="12.75" customHeight="1" x14ac:dyDescent="0.2">
      <c r="C1720"/>
      <c r="M1720"/>
    </row>
    <row r="1721" spans="3:13" ht="12.75" customHeight="1" x14ac:dyDescent="0.2">
      <c r="C1721"/>
      <c r="M1721"/>
    </row>
    <row r="1722" spans="3:13" ht="12.75" customHeight="1" x14ac:dyDescent="0.2">
      <c r="C1722"/>
      <c r="M1722"/>
    </row>
    <row r="1723" spans="3:13" ht="12.75" customHeight="1" x14ac:dyDescent="0.2">
      <c r="C1723"/>
      <c r="M1723"/>
    </row>
    <row r="1724" spans="3:13" ht="12.75" customHeight="1" x14ac:dyDescent="0.2">
      <c r="C1724"/>
      <c r="M1724"/>
    </row>
    <row r="1725" spans="3:13" ht="12.75" customHeight="1" x14ac:dyDescent="0.2">
      <c r="C1725"/>
      <c r="M1725"/>
    </row>
    <row r="1726" spans="3:13" ht="12.75" customHeight="1" x14ac:dyDescent="0.2">
      <c r="C1726"/>
      <c r="M1726"/>
    </row>
    <row r="1727" spans="3:13" ht="12.75" customHeight="1" x14ac:dyDescent="0.2">
      <c r="C1727"/>
      <c r="M1727"/>
    </row>
    <row r="1728" spans="3:13" ht="12.75" customHeight="1" x14ac:dyDescent="0.2">
      <c r="C1728"/>
      <c r="M1728"/>
    </row>
    <row r="1729" spans="3:13" ht="12.75" customHeight="1" x14ac:dyDescent="0.2">
      <c r="C1729"/>
      <c r="M1729"/>
    </row>
    <row r="1730" spans="3:13" ht="12.75" customHeight="1" x14ac:dyDescent="0.2">
      <c r="C1730"/>
      <c r="M1730"/>
    </row>
    <row r="1731" spans="3:13" ht="12.75" customHeight="1" x14ac:dyDescent="0.2">
      <c r="C1731"/>
      <c r="M1731"/>
    </row>
    <row r="1732" spans="3:13" ht="12.75" customHeight="1" x14ac:dyDescent="0.2">
      <c r="C1732"/>
      <c r="M1732"/>
    </row>
    <row r="1733" spans="3:13" ht="12.75" customHeight="1" x14ac:dyDescent="0.2">
      <c r="C1733"/>
      <c r="M1733"/>
    </row>
    <row r="1734" spans="3:13" ht="12.75" customHeight="1" x14ac:dyDescent="0.2">
      <c r="C1734"/>
      <c r="M1734"/>
    </row>
    <row r="1735" spans="3:13" ht="12.75" customHeight="1" x14ac:dyDescent="0.2">
      <c r="C1735"/>
      <c r="M1735"/>
    </row>
    <row r="1736" spans="3:13" ht="12.75" customHeight="1" x14ac:dyDescent="0.2">
      <c r="C1736"/>
      <c r="M1736"/>
    </row>
    <row r="1737" spans="3:13" ht="12.75" customHeight="1" x14ac:dyDescent="0.2">
      <c r="C1737"/>
      <c r="M1737"/>
    </row>
    <row r="1738" spans="3:13" ht="12.75" customHeight="1" x14ac:dyDescent="0.2">
      <c r="C1738"/>
      <c r="M1738"/>
    </row>
    <row r="1739" spans="3:13" ht="12.75" customHeight="1" x14ac:dyDescent="0.2">
      <c r="C1739"/>
      <c r="M1739"/>
    </row>
    <row r="1740" spans="3:13" ht="12.75" customHeight="1" x14ac:dyDescent="0.2">
      <c r="C1740"/>
      <c r="M1740"/>
    </row>
    <row r="1741" spans="3:13" ht="12.75" customHeight="1" x14ac:dyDescent="0.2">
      <c r="C1741"/>
      <c r="M1741"/>
    </row>
    <row r="1742" spans="3:13" ht="12.75" customHeight="1" x14ac:dyDescent="0.2">
      <c r="C1742"/>
      <c r="M1742"/>
    </row>
    <row r="1743" spans="3:13" ht="12.75" customHeight="1" x14ac:dyDescent="0.2">
      <c r="C1743"/>
      <c r="M1743"/>
    </row>
    <row r="1744" spans="3:13" ht="12.75" customHeight="1" x14ac:dyDescent="0.2">
      <c r="C1744"/>
      <c r="M1744"/>
    </row>
    <row r="1745" spans="3:13" ht="12.75" customHeight="1" x14ac:dyDescent="0.2">
      <c r="C1745"/>
      <c r="M1745"/>
    </row>
    <row r="1746" spans="3:13" ht="12.75" customHeight="1" x14ac:dyDescent="0.2">
      <c r="C1746"/>
      <c r="M1746"/>
    </row>
    <row r="1747" spans="3:13" ht="12.75" customHeight="1" x14ac:dyDescent="0.2">
      <c r="C1747"/>
      <c r="M1747"/>
    </row>
    <row r="1748" spans="3:13" ht="12.75" customHeight="1" x14ac:dyDescent="0.2">
      <c r="C1748"/>
      <c r="M1748"/>
    </row>
    <row r="1749" spans="3:13" ht="12.75" customHeight="1" x14ac:dyDescent="0.2">
      <c r="C1749"/>
      <c r="M1749"/>
    </row>
    <row r="1750" spans="3:13" ht="12.75" customHeight="1" x14ac:dyDescent="0.2">
      <c r="C1750"/>
      <c r="M1750"/>
    </row>
    <row r="1751" spans="3:13" ht="12.75" customHeight="1" x14ac:dyDescent="0.2">
      <c r="C1751"/>
      <c r="M1751"/>
    </row>
    <row r="1752" spans="3:13" ht="12.75" customHeight="1" x14ac:dyDescent="0.2">
      <c r="C1752"/>
      <c r="M1752"/>
    </row>
    <row r="1753" spans="3:13" ht="12.75" customHeight="1" x14ac:dyDescent="0.2">
      <c r="C1753"/>
      <c r="M1753"/>
    </row>
    <row r="1754" spans="3:13" ht="12.75" customHeight="1" x14ac:dyDescent="0.2">
      <c r="C1754"/>
      <c r="M1754"/>
    </row>
    <row r="1755" spans="3:13" ht="12.75" customHeight="1" x14ac:dyDescent="0.2">
      <c r="C1755"/>
      <c r="M1755"/>
    </row>
    <row r="1756" spans="3:13" ht="12.75" customHeight="1" x14ac:dyDescent="0.2">
      <c r="C1756"/>
      <c r="M1756"/>
    </row>
    <row r="1757" spans="3:13" ht="12.75" customHeight="1" x14ac:dyDescent="0.2">
      <c r="C1757"/>
      <c r="M1757"/>
    </row>
    <row r="1758" spans="3:13" ht="12.75" customHeight="1" x14ac:dyDescent="0.2">
      <c r="C1758"/>
      <c r="M1758"/>
    </row>
    <row r="1759" spans="3:13" ht="12.75" customHeight="1" x14ac:dyDescent="0.2">
      <c r="C1759"/>
      <c r="M1759"/>
    </row>
    <row r="1760" spans="3:13" ht="12.75" customHeight="1" x14ac:dyDescent="0.2">
      <c r="C1760"/>
      <c r="M1760"/>
    </row>
    <row r="1761" spans="3:13" ht="12.75" customHeight="1" x14ac:dyDescent="0.2">
      <c r="C1761"/>
      <c r="M1761"/>
    </row>
    <row r="1762" spans="3:13" ht="12.75" customHeight="1" x14ac:dyDescent="0.2">
      <c r="C1762"/>
      <c r="M1762"/>
    </row>
    <row r="1763" spans="3:13" ht="12.75" customHeight="1" x14ac:dyDescent="0.2">
      <c r="C1763"/>
      <c r="M1763"/>
    </row>
    <row r="1764" spans="3:13" ht="12.75" customHeight="1" x14ac:dyDescent="0.2">
      <c r="C1764"/>
      <c r="M1764"/>
    </row>
    <row r="1765" spans="3:13" ht="12.75" customHeight="1" x14ac:dyDescent="0.2">
      <c r="C1765"/>
      <c r="M1765"/>
    </row>
    <row r="1766" spans="3:13" ht="12.75" customHeight="1" x14ac:dyDescent="0.2">
      <c r="C1766"/>
      <c r="M1766"/>
    </row>
    <row r="1767" spans="3:13" ht="12.75" customHeight="1" x14ac:dyDescent="0.2">
      <c r="C1767"/>
      <c r="M1767"/>
    </row>
    <row r="1768" spans="3:13" ht="12.75" customHeight="1" x14ac:dyDescent="0.2">
      <c r="C1768"/>
      <c r="M1768"/>
    </row>
    <row r="1769" spans="3:13" ht="12.75" customHeight="1" x14ac:dyDescent="0.2">
      <c r="C1769"/>
      <c r="M1769"/>
    </row>
    <row r="1770" spans="3:13" ht="12.75" customHeight="1" x14ac:dyDescent="0.2">
      <c r="C1770"/>
      <c r="M1770"/>
    </row>
    <row r="1771" spans="3:13" ht="12.75" customHeight="1" x14ac:dyDescent="0.2">
      <c r="C1771"/>
      <c r="M1771"/>
    </row>
    <row r="1772" spans="3:13" ht="12.75" customHeight="1" x14ac:dyDescent="0.2">
      <c r="C1772"/>
      <c r="M1772"/>
    </row>
    <row r="1773" spans="3:13" ht="12.75" customHeight="1" x14ac:dyDescent="0.2">
      <c r="C1773"/>
      <c r="M1773"/>
    </row>
    <row r="1774" spans="3:13" ht="12.75" customHeight="1" x14ac:dyDescent="0.2">
      <c r="C1774"/>
      <c r="M1774"/>
    </row>
    <row r="1775" spans="3:13" ht="12.75" customHeight="1" x14ac:dyDescent="0.2">
      <c r="C1775"/>
      <c r="M1775"/>
    </row>
    <row r="1776" spans="3:13" ht="12.75" customHeight="1" x14ac:dyDescent="0.2">
      <c r="C1776"/>
      <c r="M1776"/>
    </row>
    <row r="1777" spans="3:13" ht="12.75" customHeight="1" x14ac:dyDescent="0.2">
      <c r="C1777"/>
      <c r="M1777"/>
    </row>
    <row r="1778" spans="3:13" ht="12.75" customHeight="1" x14ac:dyDescent="0.2">
      <c r="C1778"/>
      <c r="M1778"/>
    </row>
    <row r="1779" spans="3:13" ht="12.75" customHeight="1" x14ac:dyDescent="0.2">
      <c r="C1779"/>
      <c r="M1779"/>
    </row>
    <row r="1780" spans="3:13" ht="12.75" customHeight="1" x14ac:dyDescent="0.2">
      <c r="C1780"/>
      <c r="M1780"/>
    </row>
    <row r="1781" spans="3:13" ht="12.75" customHeight="1" x14ac:dyDescent="0.2">
      <c r="C1781"/>
      <c r="M1781"/>
    </row>
    <row r="1782" spans="3:13" ht="12.75" customHeight="1" x14ac:dyDescent="0.2">
      <c r="C1782"/>
      <c r="M1782"/>
    </row>
    <row r="1783" spans="3:13" ht="12.75" customHeight="1" x14ac:dyDescent="0.2">
      <c r="C1783"/>
      <c r="M1783"/>
    </row>
    <row r="1784" spans="3:13" ht="12.75" customHeight="1" x14ac:dyDescent="0.2">
      <c r="C1784"/>
      <c r="M1784"/>
    </row>
    <row r="1785" spans="3:13" ht="12.75" customHeight="1" x14ac:dyDescent="0.2">
      <c r="C1785"/>
      <c r="M1785"/>
    </row>
    <row r="1786" spans="3:13" ht="12.75" customHeight="1" x14ac:dyDescent="0.2">
      <c r="C1786"/>
      <c r="M1786"/>
    </row>
    <row r="1787" spans="3:13" ht="12.75" customHeight="1" x14ac:dyDescent="0.2">
      <c r="C1787"/>
      <c r="M1787"/>
    </row>
    <row r="1788" spans="3:13" ht="12.75" customHeight="1" x14ac:dyDescent="0.2">
      <c r="C1788"/>
      <c r="M1788"/>
    </row>
    <row r="1789" spans="3:13" ht="12.75" customHeight="1" x14ac:dyDescent="0.2">
      <c r="C1789"/>
      <c r="M1789"/>
    </row>
    <row r="1790" spans="3:13" ht="12.75" customHeight="1" x14ac:dyDescent="0.2">
      <c r="C1790"/>
      <c r="M1790"/>
    </row>
    <row r="1791" spans="3:13" ht="12.75" customHeight="1" x14ac:dyDescent="0.2">
      <c r="C1791"/>
      <c r="M1791"/>
    </row>
    <row r="1792" spans="3:13" ht="12.75" customHeight="1" x14ac:dyDescent="0.2">
      <c r="C1792"/>
      <c r="M1792"/>
    </row>
    <row r="1793" spans="3:13" ht="12.75" customHeight="1" x14ac:dyDescent="0.2">
      <c r="C1793"/>
      <c r="M1793"/>
    </row>
    <row r="1794" spans="3:13" ht="12.75" customHeight="1" x14ac:dyDescent="0.2">
      <c r="C1794"/>
      <c r="M1794"/>
    </row>
    <row r="1795" spans="3:13" ht="12.75" customHeight="1" x14ac:dyDescent="0.2">
      <c r="C1795"/>
      <c r="M1795"/>
    </row>
    <row r="1796" spans="3:13" ht="12.75" customHeight="1" x14ac:dyDescent="0.2">
      <c r="C1796"/>
      <c r="M1796"/>
    </row>
    <row r="1797" spans="3:13" ht="12.75" customHeight="1" x14ac:dyDescent="0.2">
      <c r="C1797"/>
      <c r="M1797"/>
    </row>
    <row r="1798" spans="3:13" ht="12.75" customHeight="1" x14ac:dyDescent="0.2">
      <c r="C1798"/>
      <c r="M1798"/>
    </row>
    <row r="1799" spans="3:13" ht="12.75" customHeight="1" x14ac:dyDescent="0.2">
      <c r="C1799"/>
      <c r="M1799"/>
    </row>
    <row r="1800" spans="3:13" ht="12.75" customHeight="1" x14ac:dyDescent="0.2">
      <c r="C1800"/>
      <c r="M1800"/>
    </row>
    <row r="1801" spans="3:13" ht="12.75" customHeight="1" x14ac:dyDescent="0.2">
      <c r="C1801"/>
      <c r="M1801"/>
    </row>
    <row r="1802" spans="3:13" ht="12.75" customHeight="1" x14ac:dyDescent="0.2">
      <c r="C1802"/>
      <c r="M1802"/>
    </row>
    <row r="1803" spans="3:13" ht="12.75" customHeight="1" x14ac:dyDescent="0.2">
      <c r="C1803"/>
      <c r="M1803"/>
    </row>
    <row r="1804" spans="3:13" ht="12.75" customHeight="1" x14ac:dyDescent="0.2">
      <c r="C1804"/>
      <c r="M1804"/>
    </row>
    <row r="1805" spans="3:13" ht="12.75" customHeight="1" x14ac:dyDescent="0.2">
      <c r="C1805"/>
      <c r="M1805"/>
    </row>
    <row r="1806" spans="3:13" ht="12.75" customHeight="1" x14ac:dyDescent="0.2">
      <c r="C1806"/>
      <c r="M1806"/>
    </row>
    <row r="1807" spans="3:13" ht="12.75" customHeight="1" x14ac:dyDescent="0.2">
      <c r="C1807"/>
      <c r="M1807"/>
    </row>
    <row r="1808" spans="3:13" ht="12.75" customHeight="1" x14ac:dyDescent="0.2">
      <c r="C1808"/>
      <c r="M1808"/>
    </row>
    <row r="1809" spans="3:13" ht="12.75" customHeight="1" x14ac:dyDescent="0.2">
      <c r="C1809"/>
      <c r="M1809"/>
    </row>
    <row r="1810" spans="3:13" ht="12.75" customHeight="1" x14ac:dyDescent="0.2">
      <c r="C1810"/>
      <c r="M1810"/>
    </row>
    <row r="1811" spans="3:13" ht="12.75" customHeight="1" x14ac:dyDescent="0.2">
      <c r="C1811"/>
      <c r="M1811"/>
    </row>
    <row r="1812" spans="3:13" ht="12.75" customHeight="1" x14ac:dyDescent="0.2">
      <c r="C1812"/>
      <c r="M1812"/>
    </row>
    <row r="1813" spans="3:13" ht="12.75" customHeight="1" x14ac:dyDescent="0.2">
      <c r="C1813"/>
      <c r="M1813"/>
    </row>
    <row r="1814" spans="3:13" ht="12.75" customHeight="1" x14ac:dyDescent="0.2">
      <c r="C1814"/>
      <c r="M1814"/>
    </row>
    <row r="1815" spans="3:13" ht="12.75" customHeight="1" x14ac:dyDescent="0.2">
      <c r="C1815"/>
      <c r="M1815"/>
    </row>
    <row r="1816" spans="3:13" ht="12.75" customHeight="1" x14ac:dyDescent="0.2">
      <c r="C1816"/>
      <c r="M1816"/>
    </row>
    <row r="1817" spans="3:13" ht="12.75" customHeight="1" x14ac:dyDescent="0.2">
      <c r="C1817"/>
      <c r="M1817"/>
    </row>
    <row r="1818" spans="3:13" ht="12.75" customHeight="1" x14ac:dyDescent="0.2">
      <c r="C1818"/>
      <c r="M1818"/>
    </row>
    <row r="1819" spans="3:13" ht="12.75" customHeight="1" x14ac:dyDescent="0.2">
      <c r="C1819"/>
      <c r="M1819"/>
    </row>
    <row r="1820" spans="3:13" ht="12.75" customHeight="1" x14ac:dyDescent="0.2">
      <c r="C1820"/>
      <c r="M1820"/>
    </row>
    <row r="1821" spans="3:13" ht="12.75" customHeight="1" x14ac:dyDescent="0.2">
      <c r="C1821"/>
      <c r="M1821"/>
    </row>
    <row r="1822" spans="3:13" ht="12.75" customHeight="1" x14ac:dyDescent="0.2">
      <c r="C1822"/>
      <c r="M1822"/>
    </row>
    <row r="1823" spans="3:13" ht="12.75" customHeight="1" x14ac:dyDescent="0.2">
      <c r="C1823"/>
      <c r="M1823"/>
    </row>
    <row r="1824" spans="3:13" ht="12.75" customHeight="1" x14ac:dyDescent="0.2">
      <c r="C1824"/>
      <c r="M1824"/>
    </row>
    <row r="1825" spans="3:13" ht="12.75" customHeight="1" x14ac:dyDescent="0.2">
      <c r="C1825"/>
      <c r="M1825"/>
    </row>
    <row r="1826" spans="3:13" ht="12.75" customHeight="1" x14ac:dyDescent="0.2">
      <c r="C1826"/>
      <c r="M1826"/>
    </row>
    <row r="1827" spans="3:13" ht="12.75" customHeight="1" x14ac:dyDescent="0.2">
      <c r="C1827"/>
      <c r="M1827"/>
    </row>
    <row r="1828" spans="3:13" ht="12.75" customHeight="1" x14ac:dyDescent="0.2">
      <c r="C1828"/>
      <c r="M1828"/>
    </row>
    <row r="1829" spans="3:13" ht="12.75" customHeight="1" x14ac:dyDescent="0.2">
      <c r="C1829"/>
      <c r="M1829"/>
    </row>
    <row r="1830" spans="3:13" ht="12.75" customHeight="1" x14ac:dyDescent="0.2">
      <c r="C1830"/>
      <c r="M1830"/>
    </row>
    <row r="1831" spans="3:13" ht="12.75" customHeight="1" x14ac:dyDescent="0.2">
      <c r="C1831"/>
      <c r="M1831"/>
    </row>
    <row r="1832" spans="3:13" ht="12.75" customHeight="1" x14ac:dyDescent="0.2">
      <c r="C1832"/>
      <c r="M1832"/>
    </row>
    <row r="1833" spans="3:13" ht="12.75" customHeight="1" x14ac:dyDescent="0.2">
      <c r="C1833"/>
      <c r="M1833"/>
    </row>
    <row r="1834" spans="3:13" ht="12.75" customHeight="1" x14ac:dyDescent="0.2">
      <c r="C1834"/>
      <c r="M1834"/>
    </row>
    <row r="1835" spans="3:13" ht="12.75" customHeight="1" x14ac:dyDescent="0.2">
      <c r="C1835"/>
      <c r="M1835"/>
    </row>
    <row r="1836" spans="3:13" ht="12.75" customHeight="1" x14ac:dyDescent="0.2">
      <c r="C1836"/>
      <c r="M1836"/>
    </row>
    <row r="1837" spans="3:13" ht="12.75" customHeight="1" x14ac:dyDescent="0.2">
      <c r="C1837"/>
      <c r="M1837"/>
    </row>
    <row r="1838" spans="3:13" ht="12.75" customHeight="1" x14ac:dyDescent="0.2">
      <c r="C1838"/>
      <c r="M1838"/>
    </row>
    <row r="1839" spans="3:13" ht="12.75" customHeight="1" x14ac:dyDescent="0.2">
      <c r="C1839"/>
      <c r="M1839"/>
    </row>
    <row r="1840" spans="3:13" ht="12.75" customHeight="1" x14ac:dyDescent="0.2">
      <c r="C1840"/>
      <c r="M1840"/>
    </row>
    <row r="1841" spans="3:13" ht="12.75" customHeight="1" x14ac:dyDescent="0.2">
      <c r="C1841"/>
      <c r="M1841"/>
    </row>
    <row r="1842" spans="3:13" ht="12.75" customHeight="1" x14ac:dyDescent="0.2">
      <c r="C1842"/>
      <c r="M1842"/>
    </row>
    <row r="1843" spans="3:13" ht="12.75" customHeight="1" x14ac:dyDescent="0.2">
      <c r="C1843"/>
      <c r="M1843"/>
    </row>
    <row r="1844" spans="3:13" ht="12.75" customHeight="1" x14ac:dyDescent="0.2">
      <c r="C1844"/>
      <c r="M1844"/>
    </row>
    <row r="1845" spans="3:13" ht="12.75" customHeight="1" x14ac:dyDescent="0.2">
      <c r="C1845"/>
      <c r="M1845"/>
    </row>
    <row r="1846" spans="3:13" ht="12.75" customHeight="1" x14ac:dyDescent="0.2">
      <c r="C1846"/>
      <c r="M1846"/>
    </row>
    <row r="1847" spans="3:13" ht="12.75" customHeight="1" x14ac:dyDescent="0.2">
      <c r="C1847"/>
      <c r="M1847"/>
    </row>
    <row r="1848" spans="3:13" ht="12.75" customHeight="1" x14ac:dyDescent="0.2">
      <c r="C1848"/>
      <c r="M1848"/>
    </row>
    <row r="1849" spans="3:13" ht="12.75" customHeight="1" x14ac:dyDescent="0.2">
      <c r="C1849"/>
      <c r="M1849"/>
    </row>
    <row r="1850" spans="3:13" ht="12.75" customHeight="1" x14ac:dyDescent="0.2">
      <c r="C1850"/>
      <c r="M1850"/>
    </row>
    <row r="1851" spans="3:13" ht="12.75" customHeight="1" x14ac:dyDescent="0.2">
      <c r="C1851"/>
      <c r="M1851"/>
    </row>
    <row r="1852" spans="3:13" ht="12.75" customHeight="1" x14ac:dyDescent="0.2">
      <c r="C1852"/>
      <c r="M1852"/>
    </row>
    <row r="1853" spans="3:13" ht="12.75" customHeight="1" x14ac:dyDescent="0.2">
      <c r="C1853"/>
      <c r="M1853"/>
    </row>
    <row r="1854" spans="3:13" ht="12.75" customHeight="1" x14ac:dyDescent="0.2">
      <c r="C1854"/>
      <c r="M1854"/>
    </row>
    <row r="1855" spans="3:13" ht="12.75" customHeight="1" x14ac:dyDescent="0.2">
      <c r="C1855"/>
      <c r="M1855"/>
    </row>
    <row r="1856" spans="3:13" ht="12.75" customHeight="1" x14ac:dyDescent="0.2">
      <c r="C1856"/>
      <c r="M1856"/>
    </row>
    <row r="1857" spans="3:13" ht="12.75" customHeight="1" x14ac:dyDescent="0.2">
      <c r="C1857"/>
      <c r="M1857"/>
    </row>
    <row r="1858" spans="3:13" ht="12.75" customHeight="1" x14ac:dyDescent="0.2">
      <c r="C1858"/>
      <c r="M1858"/>
    </row>
    <row r="1859" spans="3:13" ht="12.75" customHeight="1" x14ac:dyDescent="0.2">
      <c r="C1859"/>
      <c r="M1859"/>
    </row>
    <row r="1860" spans="3:13" ht="12.75" customHeight="1" x14ac:dyDescent="0.2">
      <c r="C1860"/>
      <c r="M1860"/>
    </row>
    <row r="1861" spans="3:13" ht="12.75" customHeight="1" x14ac:dyDescent="0.2">
      <c r="C1861"/>
      <c r="M1861"/>
    </row>
    <row r="1862" spans="3:13" ht="12.75" customHeight="1" x14ac:dyDescent="0.2">
      <c r="C1862"/>
      <c r="M1862"/>
    </row>
    <row r="1863" spans="3:13" ht="12.75" customHeight="1" x14ac:dyDescent="0.2">
      <c r="C1863"/>
      <c r="M1863"/>
    </row>
    <row r="1864" spans="3:13" ht="12.75" customHeight="1" x14ac:dyDescent="0.2">
      <c r="C1864"/>
      <c r="M1864"/>
    </row>
    <row r="1865" spans="3:13" ht="12.75" customHeight="1" x14ac:dyDescent="0.2">
      <c r="C1865"/>
      <c r="M1865"/>
    </row>
    <row r="1866" spans="3:13" ht="12.75" customHeight="1" x14ac:dyDescent="0.2">
      <c r="C1866"/>
      <c r="M1866"/>
    </row>
    <row r="1867" spans="3:13" ht="12.75" customHeight="1" x14ac:dyDescent="0.2">
      <c r="C1867"/>
      <c r="M1867"/>
    </row>
    <row r="1868" spans="3:13" ht="12.75" customHeight="1" x14ac:dyDescent="0.2">
      <c r="C1868"/>
      <c r="M1868"/>
    </row>
    <row r="1869" spans="3:13" ht="12.75" customHeight="1" x14ac:dyDescent="0.2">
      <c r="C1869"/>
      <c r="M1869"/>
    </row>
    <row r="1870" spans="3:13" ht="12.75" customHeight="1" x14ac:dyDescent="0.2">
      <c r="C1870"/>
      <c r="M1870"/>
    </row>
    <row r="1871" spans="3:13" ht="12.75" customHeight="1" x14ac:dyDescent="0.2">
      <c r="C1871"/>
      <c r="M1871"/>
    </row>
    <row r="1872" spans="3:13" ht="12.75" customHeight="1" x14ac:dyDescent="0.2">
      <c r="C1872"/>
      <c r="M1872"/>
    </row>
    <row r="1873" spans="3:13" ht="12.75" customHeight="1" x14ac:dyDescent="0.2">
      <c r="C1873"/>
      <c r="M1873"/>
    </row>
    <row r="1874" spans="3:13" ht="12.75" customHeight="1" x14ac:dyDescent="0.2">
      <c r="C1874"/>
      <c r="M1874"/>
    </row>
    <row r="1875" spans="3:13" ht="12.75" customHeight="1" x14ac:dyDescent="0.2">
      <c r="C1875"/>
      <c r="M1875"/>
    </row>
    <row r="1876" spans="3:13" ht="12.75" customHeight="1" x14ac:dyDescent="0.2">
      <c r="C1876"/>
      <c r="M1876"/>
    </row>
    <row r="1877" spans="3:13" ht="12.75" customHeight="1" x14ac:dyDescent="0.2">
      <c r="C1877"/>
      <c r="M1877"/>
    </row>
    <row r="1878" spans="3:13" ht="12.75" customHeight="1" x14ac:dyDescent="0.2">
      <c r="C1878"/>
      <c r="M1878"/>
    </row>
    <row r="1879" spans="3:13" ht="12.75" customHeight="1" x14ac:dyDescent="0.2">
      <c r="C1879"/>
      <c r="M1879"/>
    </row>
    <row r="1880" spans="3:13" ht="12.75" customHeight="1" x14ac:dyDescent="0.2">
      <c r="C1880"/>
      <c r="M1880"/>
    </row>
    <row r="1881" spans="3:13" ht="12.75" customHeight="1" x14ac:dyDescent="0.2">
      <c r="C1881"/>
      <c r="M1881"/>
    </row>
    <row r="1882" spans="3:13" ht="12.75" customHeight="1" x14ac:dyDescent="0.2">
      <c r="C1882"/>
      <c r="M1882"/>
    </row>
    <row r="1883" spans="3:13" ht="12.75" customHeight="1" x14ac:dyDescent="0.2">
      <c r="C1883"/>
      <c r="M1883"/>
    </row>
    <row r="1884" spans="3:13" ht="12.75" customHeight="1" x14ac:dyDescent="0.2">
      <c r="C1884"/>
      <c r="M1884"/>
    </row>
    <row r="1885" spans="3:13" ht="12.75" customHeight="1" x14ac:dyDescent="0.2">
      <c r="C1885"/>
      <c r="M1885"/>
    </row>
    <row r="1886" spans="3:13" ht="12.75" customHeight="1" x14ac:dyDescent="0.2">
      <c r="C1886"/>
      <c r="M1886"/>
    </row>
    <row r="1887" spans="3:13" ht="12.75" customHeight="1" x14ac:dyDescent="0.2">
      <c r="C1887"/>
      <c r="M1887"/>
    </row>
    <row r="1888" spans="3:13" ht="12.75" customHeight="1" x14ac:dyDescent="0.2">
      <c r="C1888"/>
      <c r="M1888"/>
    </row>
    <row r="1889" spans="3:13" ht="12.75" customHeight="1" x14ac:dyDescent="0.2">
      <c r="C1889"/>
      <c r="M1889"/>
    </row>
    <row r="1890" spans="3:13" ht="12.75" customHeight="1" x14ac:dyDescent="0.2">
      <c r="C1890"/>
      <c r="M1890"/>
    </row>
    <row r="1891" spans="3:13" ht="12.75" customHeight="1" x14ac:dyDescent="0.2">
      <c r="C1891"/>
      <c r="M1891"/>
    </row>
    <row r="1892" spans="3:13" ht="12.75" customHeight="1" x14ac:dyDescent="0.2">
      <c r="C1892"/>
      <c r="M1892"/>
    </row>
    <row r="1893" spans="3:13" ht="12.75" customHeight="1" x14ac:dyDescent="0.2">
      <c r="C1893"/>
      <c r="M1893"/>
    </row>
    <row r="1894" spans="3:13" ht="12.75" customHeight="1" x14ac:dyDescent="0.2">
      <c r="C1894"/>
      <c r="M1894"/>
    </row>
    <row r="1895" spans="3:13" ht="12.75" customHeight="1" x14ac:dyDescent="0.2">
      <c r="C1895"/>
      <c r="M1895"/>
    </row>
    <row r="1896" spans="3:13" ht="12.75" customHeight="1" x14ac:dyDescent="0.2">
      <c r="C1896"/>
      <c r="M1896"/>
    </row>
    <row r="1897" spans="3:13" ht="12.75" customHeight="1" x14ac:dyDescent="0.2">
      <c r="C1897"/>
      <c r="M1897"/>
    </row>
    <row r="1898" spans="3:13" ht="12.75" customHeight="1" x14ac:dyDescent="0.2">
      <c r="C1898"/>
      <c r="M1898"/>
    </row>
    <row r="1899" spans="3:13" ht="12.75" customHeight="1" x14ac:dyDescent="0.2">
      <c r="C1899"/>
      <c r="M1899"/>
    </row>
    <row r="1900" spans="3:13" ht="12.75" customHeight="1" x14ac:dyDescent="0.2">
      <c r="C1900"/>
      <c r="M1900"/>
    </row>
    <row r="1901" spans="3:13" ht="12.75" customHeight="1" x14ac:dyDescent="0.2">
      <c r="C1901"/>
      <c r="M1901"/>
    </row>
    <row r="1902" spans="3:13" ht="12.75" customHeight="1" x14ac:dyDescent="0.2">
      <c r="C1902"/>
      <c r="M1902"/>
    </row>
    <row r="1903" spans="3:13" ht="12.75" customHeight="1" x14ac:dyDescent="0.2">
      <c r="C1903"/>
      <c r="M1903"/>
    </row>
    <row r="1904" spans="3:13" ht="12.75" customHeight="1" x14ac:dyDescent="0.2">
      <c r="C1904"/>
      <c r="M1904"/>
    </row>
    <row r="1905" spans="3:13" ht="12.75" customHeight="1" x14ac:dyDescent="0.2">
      <c r="C1905"/>
      <c r="M1905"/>
    </row>
    <row r="1906" spans="3:13" ht="12.75" customHeight="1" x14ac:dyDescent="0.2">
      <c r="C1906"/>
      <c r="M1906"/>
    </row>
    <row r="1907" spans="3:13" ht="12.75" customHeight="1" x14ac:dyDescent="0.2">
      <c r="C1907"/>
      <c r="M1907"/>
    </row>
    <row r="1908" spans="3:13" ht="12.75" customHeight="1" x14ac:dyDescent="0.2">
      <c r="C1908"/>
      <c r="M1908"/>
    </row>
    <row r="1909" spans="3:13" ht="12.75" customHeight="1" x14ac:dyDescent="0.2">
      <c r="C1909"/>
      <c r="M1909"/>
    </row>
    <row r="1910" spans="3:13" ht="12.75" customHeight="1" x14ac:dyDescent="0.2">
      <c r="C1910"/>
      <c r="M1910"/>
    </row>
    <row r="1911" spans="3:13" ht="12.75" customHeight="1" x14ac:dyDescent="0.2">
      <c r="C1911"/>
      <c r="M1911"/>
    </row>
    <row r="1912" spans="3:13" ht="12.75" customHeight="1" x14ac:dyDescent="0.2">
      <c r="C1912"/>
      <c r="M1912"/>
    </row>
    <row r="1913" spans="3:13" ht="12.75" customHeight="1" x14ac:dyDescent="0.2">
      <c r="C1913"/>
      <c r="M1913"/>
    </row>
    <row r="1914" spans="3:13" ht="12.75" customHeight="1" x14ac:dyDescent="0.2">
      <c r="C1914"/>
      <c r="M1914"/>
    </row>
    <row r="1915" spans="3:13" ht="12.75" customHeight="1" x14ac:dyDescent="0.2">
      <c r="C1915"/>
      <c r="M1915"/>
    </row>
    <row r="1916" spans="3:13" ht="12.75" customHeight="1" x14ac:dyDescent="0.2">
      <c r="C1916"/>
      <c r="M1916"/>
    </row>
    <row r="1917" spans="3:13" ht="12.75" customHeight="1" x14ac:dyDescent="0.2">
      <c r="C1917"/>
      <c r="M1917"/>
    </row>
    <row r="1918" spans="3:13" ht="12.75" customHeight="1" x14ac:dyDescent="0.2">
      <c r="C1918"/>
      <c r="M1918"/>
    </row>
    <row r="1919" spans="3:13" ht="12.75" customHeight="1" x14ac:dyDescent="0.2">
      <c r="C1919"/>
      <c r="M1919"/>
    </row>
    <row r="1920" spans="3:13" ht="12.75" customHeight="1" x14ac:dyDescent="0.2">
      <c r="C1920"/>
      <c r="M1920"/>
    </row>
    <row r="1921" spans="3:13" ht="12.75" customHeight="1" x14ac:dyDescent="0.2">
      <c r="C1921"/>
      <c r="M1921"/>
    </row>
    <row r="1922" spans="3:13" ht="12.75" customHeight="1" x14ac:dyDescent="0.2">
      <c r="C1922"/>
      <c r="M1922"/>
    </row>
    <row r="1923" spans="3:13" ht="12.75" customHeight="1" x14ac:dyDescent="0.2">
      <c r="C1923"/>
      <c r="M1923"/>
    </row>
    <row r="1924" spans="3:13" ht="12.75" customHeight="1" x14ac:dyDescent="0.2">
      <c r="C1924"/>
      <c r="M1924"/>
    </row>
    <row r="1925" spans="3:13" ht="12.75" customHeight="1" x14ac:dyDescent="0.2">
      <c r="C1925"/>
      <c r="M1925"/>
    </row>
    <row r="1926" spans="3:13" ht="12.75" customHeight="1" x14ac:dyDescent="0.2">
      <c r="C1926"/>
      <c r="M1926"/>
    </row>
    <row r="1927" spans="3:13" ht="12.75" customHeight="1" x14ac:dyDescent="0.2">
      <c r="C1927"/>
      <c r="M1927"/>
    </row>
    <row r="1928" spans="3:13" ht="12.75" customHeight="1" x14ac:dyDescent="0.2">
      <c r="C1928"/>
      <c r="M1928"/>
    </row>
    <row r="1929" spans="3:13" ht="12.75" customHeight="1" x14ac:dyDescent="0.2">
      <c r="C1929"/>
      <c r="M1929"/>
    </row>
    <row r="1930" spans="3:13" ht="12.75" customHeight="1" x14ac:dyDescent="0.2">
      <c r="C1930"/>
      <c r="M1930"/>
    </row>
    <row r="1931" spans="3:13" ht="12.75" customHeight="1" x14ac:dyDescent="0.2">
      <c r="C1931"/>
      <c r="M1931"/>
    </row>
    <row r="1932" spans="3:13" ht="12.75" customHeight="1" x14ac:dyDescent="0.2">
      <c r="C1932"/>
      <c r="M1932"/>
    </row>
    <row r="1933" spans="3:13" ht="12.75" customHeight="1" x14ac:dyDescent="0.2">
      <c r="C1933"/>
      <c r="M1933"/>
    </row>
    <row r="1934" spans="3:13" ht="12.75" customHeight="1" x14ac:dyDescent="0.2">
      <c r="C1934"/>
      <c r="M1934"/>
    </row>
    <row r="1935" spans="3:13" ht="12.75" customHeight="1" x14ac:dyDescent="0.2">
      <c r="C1935"/>
      <c r="M1935"/>
    </row>
    <row r="1936" spans="3:13" ht="12.75" customHeight="1" x14ac:dyDescent="0.2">
      <c r="C1936"/>
      <c r="M1936"/>
    </row>
    <row r="1937" spans="3:13" ht="12.75" customHeight="1" x14ac:dyDescent="0.2">
      <c r="C1937"/>
      <c r="M1937"/>
    </row>
    <row r="1938" spans="3:13" ht="12.75" customHeight="1" x14ac:dyDescent="0.2">
      <c r="C1938"/>
      <c r="M1938"/>
    </row>
    <row r="1939" spans="3:13" ht="12.75" customHeight="1" x14ac:dyDescent="0.2">
      <c r="C1939"/>
      <c r="M1939"/>
    </row>
    <row r="1940" spans="3:13" ht="12.75" customHeight="1" x14ac:dyDescent="0.2">
      <c r="C1940"/>
      <c r="M1940"/>
    </row>
    <row r="1941" spans="3:13" ht="12.75" customHeight="1" x14ac:dyDescent="0.2">
      <c r="C1941"/>
      <c r="M1941"/>
    </row>
    <row r="1942" spans="3:13" ht="12.75" customHeight="1" x14ac:dyDescent="0.2">
      <c r="C1942"/>
      <c r="M1942"/>
    </row>
    <row r="1943" spans="3:13" ht="12.75" customHeight="1" x14ac:dyDescent="0.2">
      <c r="C1943"/>
      <c r="M1943"/>
    </row>
    <row r="1944" spans="3:13" ht="12.75" customHeight="1" x14ac:dyDescent="0.2">
      <c r="C1944"/>
      <c r="M1944"/>
    </row>
    <row r="1945" spans="3:13" ht="12.75" customHeight="1" x14ac:dyDescent="0.2">
      <c r="C1945"/>
      <c r="M1945"/>
    </row>
    <row r="1946" spans="3:13" ht="12.75" customHeight="1" x14ac:dyDescent="0.2">
      <c r="C1946"/>
      <c r="M1946"/>
    </row>
    <row r="1947" spans="3:13" ht="12.75" customHeight="1" x14ac:dyDescent="0.2">
      <c r="C1947"/>
      <c r="M1947"/>
    </row>
    <row r="1948" spans="3:13" ht="12.75" customHeight="1" x14ac:dyDescent="0.2">
      <c r="C1948"/>
      <c r="M1948"/>
    </row>
    <row r="1949" spans="3:13" ht="12.75" customHeight="1" x14ac:dyDescent="0.2">
      <c r="C1949"/>
      <c r="M1949"/>
    </row>
    <row r="1950" spans="3:13" ht="12.75" customHeight="1" x14ac:dyDescent="0.2">
      <c r="C1950"/>
      <c r="M1950"/>
    </row>
    <row r="1951" spans="3:13" ht="12.75" customHeight="1" x14ac:dyDescent="0.2">
      <c r="C1951"/>
      <c r="M1951"/>
    </row>
    <row r="1952" spans="3:13" ht="12.75" customHeight="1" x14ac:dyDescent="0.2">
      <c r="C1952"/>
      <c r="M1952"/>
    </row>
    <row r="1953" spans="3:13" ht="12.75" customHeight="1" x14ac:dyDescent="0.2">
      <c r="C1953"/>
      <c r="M1953"/>
    </row>
    <row r="1954" spans="3:13" ht="12.75" customHeight="1" x14ac:dyDescent="0.2">
      <c r="C1954"/>
      <c r="M1954"/>
    </row>
    <row r="1955" spans="3:13" ht="12.75" customHeight="1" x14ac:dyDescent="0.2">
      <c r="C1955"/>
      <c r="M1955"/>
    </row>
    <row r="1956" spans="3:13" ht="12.75" customHeight="1" x14ac:dyDescent="0.2">
      <c r="C1956"/>
      <c r="M1956"/>
    </row>
    <row r="1957" spans="3:13" ht="12.75" customHeight="1" x14ac:dyDescent="0.2">
      <c r="C1957"/>
      <c r="M1957"/>
    </row>
    <row r="1958" spans="3:13" ht="12.75" customHeight="1" x14ac:dyDescent="0.2">
      <c r="C1958"/>
      <c r="M1958"/>
    </row>
    <row r="1959" spans="3:13" ht="12.75" customHeight="1" x14ac:dyDescent="0.2">
      <c r="C1959"/>
      <c r="M1959"/>
    </row>
    <row r="1960" spans="3:13" ht="12.75" customHeight="1" x14ac:dyDescent="0.2">
      <c r="C1960"/>
      <c r="M1960"/>
    </row>
    <row r="1961" spans="3:13" ht="12.75" customHeight="1" x14ac:dyDescent="0.2">
      <c r="C1961"/>
      <c r="M1961"/>
    </row>
    <row r="1962" spans="3:13" ht="12.75" customHeight="1" x14ac:dyDescent="0.2">
      <c r="C1962"/>
      <c r="M1962"/>
    </row>
    <row r="1963" spans="3:13" ht="12.75" customHeight="1" x14ac:dyDescent="0.2">
      <c r="C1963"/>
      <c r="M1963"/>
    </row>
    <row r="1964" spans="3:13" ht="12.75" customHeight="1" x14ac:dyDescent="0.2">
      <c r="C1964"/>
      <c r="M1964"/>
    </row>
    <row r="1965" spans="3:13" ht="12.75" customHeight="1" x14ac:dyDescent="0.2">
      <c r="C1965"/>
      <c r="M1965"/>
    </row>
    <row r="1966" spans="3:13" ht="12.75" customHeight="1" x14ac:dyDescent="0.2">
      <c r="C1966"/>
      <c r="M1966"/>
    </row>
    <row r="1967" spans="3:13" ht="12.75" customHeight="1" x14ac:dyDescent="0.2">
      <c r="C1967"/>
      <c r="M1967"/>
    </row>
    <row r="1968" spans="3:13" ht="12.75" customHeight="1" x14ac:dyDescent="0.2">
      <c r="C1968"/>
      <c r="M1968"/>
    </row>
    <row r="1969" spans="3:13" ht="12.75" customHeight="1" x14ac:dyDescent="0.2">
      <c r="C1969"/>
      <c r="M1969"/>
    </row>
    <row r="1970" spans="3:13" ht="12.75" customHeight="1" x14ac:dyDescent="0.2">
      <c r="C1970"/>
      <c r="M1970"/>
    </row>
    <row r="1971" spans="3:13" ht="12.75" customHeight="1" x14ac:dyDescent="0.2">
      <c r="C1971"/>
      <c r="M1971"/>
    </row>
    <row r="1972" spans="3:13" ht="12.75" customHeight="1" x14ac:dyDescent="0.2">
      <c r="C1972"/>
      <c r="M1972"/>
    </row>
    <row r="1973" spans="3:13" ht="12.75" customHeight="1" x14ac:dyDescent="0.2">
      <c r="C1973"/>
      <c r="M1973"/>
    </row>
    <row r="1974" spans="3:13" ht="12.75" customHeight="1" x14ac:dyDescent="0.2">
      <c r="C1974"/>
      <c r="M1974"/>
    </row>
    <row r="1975" spans="3:13" ht="12.75" customHeight="1" x14ac:dyDescent="0.2">
      <c r="C1975"/>
      <c r="M1975"/>
    </row>
    <row r="1976" spans="3:13" ht="12.75" customHeight="1" x14ac:dyDescent="0.2">
      <c r="C1976"/>
      <c r="M1976"/>
    </row>
    <row r="1977" spans="3:13" ht="12.75" customHeight="1" x14ac:dyDescent="0.2">
      <c r="C1977"/>
      <c r="M1977"/>
    </row>
    <row r="1978" spans="3:13" ht="12.75" customHeight="1" x14ac:dyDescent="0.2">
      <c r="C1978"/>
      <c r="M1978"/>
    </row>
    <row r="1979" spans="3:13" ht="12.75" customHeight="1" x14ac:dyDescent="0.2">
      <c r="C1979"/>
      <c r="M1979"/>
    </row>
    <row r="1980" spans="3:13" ht="12.75" customHeight="1" x14ac:dyDescent="0.2">
      <c r="C1980"/>
      <c r="M1980"/>
    </row>
    <row r="1981" spans="3:13" ht="12.75" customHeight="1" x14ac:dyDescent="0.2">
      <c r="C1981"/>
      <c r="M1981"/>
    </row>
    <row r="1982" spans="3:13" ht="12.75" customHeight="1" x14ac:dyDescent="0.2">
      <c r="C1982"/>
      <c r="M1982"/>
    </row>
    <row r="1983" spans="3:13" ht="12.75" customHeight="1" x14ac:dyDescent="0.2">
      <c r="C1983"/>
      <c r="M1983"/>
    </row>
    <row r="1984" spans="3:13" ht="12.75" customHeight="1" x14ac:dyDescent="0.2">
      <c r="C1984"/>
      <c r="M1984"/>
    </row>
    <row r="1985" spans="3:13" ht="12.75" customHeight="1" x14ac:dyDescent="0.2">
      <c r="C1985"/>
      <c r="M1985"/>
    </row>
    <row r="1986" spans="3:13" ht="12.75" customHeight="1" x14ac:dyDescent="0.2">
      <c r="C1986"/>
      <c r="M1986"/>
    </row>
    <row r="1987" spans="3:13" ht="12.75" customHeight="1" x14ac:dyDescent="0.2">
      <c r="C1987"/>
      <c r="M1987"/>
    </row>
    <row r="1988" spans="3:13" ht="12.75" customHeight="1" x14ac:dyDescent="0.2">
      <c r="C1988"/>
      <c r="M1988"/>
    </row>
    <row r="1989" spans="3:13" ht="12.75" customHeight="1" x14ac:dyDescent="0.2">
      <c r="C1989"/>
      <c r="M1989"/>
    </row>
    <row r="1990" spans="3:13" ht="12.75" customHeight="1" x14ac:dyDescent="0.2">
      <c r="C1990"/>
      <c r="M1990"/>
    </row>
    <row r="1991" spans="3:13" ht="12.75" customHeight="1" x14ac:dyDescent="0.2">
      <c r="C1991"/>
      <c r="M1991"/>
    </row>
    <row r="1992" spans="3:13" ht="12.75" customHeight="1" x14ac:dyDescent="0.2">
      <c r="C1992"/>
      <c r="M1992"/>
    </row>
    <row r="1993" spans="3:13" ht="12.75" customHeight="1" x14ac:dyDescent="0.2">
      <c r="C1993"/>
      <c r="M1993"/>
    </row>
    <row r="1994" spans="3:13" ht="12.75" customHeight="1" x14ac:dyDescent="0.2">
      <c r="C1994"/>
      <c r="M1994"/>
    </row>
    <row r="1995" spans="3:13" ht="12.75" customHeight="1" x14ac:dyDescent="0.2">
      <c r="C1995"/>
      <c r="M1995"/>
    </row>
    <row r="1996" spans="3:13" ht="12.75" customHeight="1" x14ac:dyDescent="0.2">
      <c r="C1996"/>
      <c r="M1996"/>
    </row>
    <row r="1997" spans="3:13" ht="12.75" customHeight="1" x14ac:dyDescent="0.2">
      <c r="C1997"/>
      <c r="M1997"/>
    </row>
    <row r="1998" spans="3:13" ht="12.75" customHeight="1" x14ac:dyDescent="0.2">
      <c r="C1998"/>
      <c r="M1998"/>
    </row>
    <row r="1999" spans="3:13" ht="12.75" customHeight="1" x14ac:dyDescent="0.2">
      <c r="C1999"/>
      <c r="M1999"/>
    </row>
    <row r="2000" spans="3:13" ht="12.75" customHeight="1" x14ac:dyDescent="0.2">
      <c r="C2000"/>
      <c r="M2000"/>
    </row>
    <row r="2001" spans="3:13" ht="12.75" customHeight="1" x14ac:dyDescent="0.2">
      <c r="C2001"/>
      <c r="M2001"/>
    </row>
    <row r="2002" spans="3:13" ht="12.75" customHeight="1" x14ac:dyDescent="0.2">
      <c r="C2002"/>
      <c r="M2002"/>
    </row>
    <row r="2003" spans="3:13" ht="12.75" customHeight="1" x14ac:dyDescent="0.2">
      <c r="C2003"/>
      <c r="M2003"/>
    </row>
    <row r="2004" spans="3:13" ht="12.75" customHeight="1" x14ac:dyDescent="0.2">
      <c r="C2004"/>
      <c r="M2004"/>
    </row>
    <row r="2005" spans="3:13" ht="12.75" customHeight="1" x14ac:dyDescent="0.2">
      <c r="C2005"/>
      <c r="M2005"/>
    </row>
    <row r="2006" spans="3:13" ht="12.75" customHeight="1" x14ac:dyDescent="0.2">
      <c r="C2006"/>
      <c r="M2006"/>
    </row>
    <row r="2007" spans="3:13" ht="12.75" customHeight="1" x14ac:dyDescent="0.2">
      <c r="C2007"/>
      <c r="M2007"/>
    </row>
    <row r="2008" spans="3:13" ht="12.75" customHeight="1" x14ac:dyDescent="0.2">
      <c r="C2008"/>
      <c r="M2008"/>
    </row>
    <row r="2009" spans="3:13" ht="12.75" customHeight="1" x14ac:dyDescent="0.2">
      <c r="C2009"/>
      <c r="M2009"/>
    </row>
    <row r="2010" spans="3:13" ht="12.75" customHeight="1" x14ac:dyDescent="0.2">
      <c r="C2010"/>
      <c r="M2010"/>
    </row>
    <row r="2011" spans="3:13" ht="12.75" customHeight="1" x14ac:dyDescent="0.2">
      <c r="C2011"/>
      <c r="M2011"/>
    </row>
    <row r="2012" spans="3:13" ht="12.75" customHeight="1" x14ac:dyDescent="0.2">
      <c r="C2012"/>
      <c r="M2012"/>
    </row>
    <row r="2013" spans="3:13" ht="12.75" customHeight="1" x14ac:dyDescent="0.2">
      <c r="C2013"/>
      <c r="M2013"/>
    </row>
    <row r="2014" spans="3:13" ht="12.75" customHeight="1" x14ac:dyDescent="0.2">
      <c r="C2014"/>
      <c r="M2014"/>
    </row>
    <row r="2015" spans="3:13" ht="12.75" customHeight="1" x14ac:dyDescent="0.2">
      <c r="C2015"/>
      <c r="M2015"/>
    </row>
    <row r="2016" spans="3:13" ht="12.75" customHeight="1" x14ac:dyDescent="0.2">
      <c r="C2016"/>
      <c r="M2016"/>
    </row>
    <row r="2017" spans="3:13" ht="12.75" customHeight="1" x14ac:dyDescent="0.2">
      <c r="C2017"/>
      <c r="M2017"/>
    </row>
    <row r="2018" spans="3:13" ht="12.75" customHeight="1" x14ac:dyDescent="0.2">
      <c r="C2018"/>
      <c r="M2018"/>
    </row>
    <row r="2019" spans="3:13" ht="12.75" customHeight="1" x14ac:dyDescent="0.2">
      <c r="C2019"/>
      <c r="M2019"/>
    </row>
    <row r="2020" spans="3:13" ht="12.75" customHeight="1" x14ac:dyDescent="0.2">
      <c r="C2020"/>
      <c r="M2020"/>
    </row>
    <row r="2021" spans="3:13" ht="12.75" customHeight="1" x14ac:dyDescent="0.2">
      <c r="C2021"/>
      <c r="M2021"/>
    </row>
    <row r="2022" spans="3:13" ht="12.75" customHeight="1" x14ac:dyDescent="0.2">
      <c r="C2022"/>
      <c r="M2022"/>
    </row>
    <row r="2023" spans="3:13" ht="12.75" customHeight="1" x14ac:dyDescent="0.2">
      <c r="C2023"/>
      <c r="M2023"/>
    </row>
    <row r="2024" spans="3:13" ht="12.75" customHeight="1" x14ac:dyDescent="0.2">
      <c r="C2024"/>
      <c r="M2024"/>
    </row>
    <row r="2025" spans="3:13" ht="12.75" customHeight="1" x14ac:dyDescent="0.2">
      <c r="C2025"/>
      <c r="M2025"/>
    </row>
    <row r="2026" spans="3:13" ht="12.75" customHeight="1" x14ac:dyDescent="0.2">
      <c r="C2026"/>
      <c r="M2026"/>
    </row>
    <row r="2027" spans="3:13" ht="12.75" customHeight="1" x14ac:dyDescent="0.2">
      <c r="C2027"/>
      <c r="M2027"/>
    </row>
    <row r="2028" spans="3:13" ht="12.75" customHeight="1" x14ac:dyDescent="0.2">
      <c r="C2028"/>
      <c r="M2028"/>
    </row>
    <row r="2029" spans="3:13" ht="12.75" customHeight="1" x14ac:dyDescent="0.2">
      <c r="C2029"/>
      <c r="M2029"/>
    </row>
    <row r="2030" spans="3:13" ht="12.75" customHeight="1" x14ac:dyDescent="0.2">
      <c r="C2030"/>
      <c r="M2030"/>
    </row>
    <row r="2031" spans="3:13" ht="12.75" customHeight="1" x14ac:dyDescent="0.2">
      <c r="C2031"/>
      <c r="M2031"/>
    </row>
    <row r="2032" spans="3:13" ht="12.75" customHeight="1" x14ac:dyDescent="0.2">
      <c r="C2032"/>
      <c r="M2032"/>
    </row>
    <row r="2033" spans="3:13" ht="12.75" customHeight="1" x14ac:dyDescent="0.2">
      <c r="C2033"/>
      <c r="M2033"/>
    </row>
    <row r="2034" spans="3:13" ht="12.75" customHeight="1" x14ac:dyDescent="0.2">
      <c r="C2034"/>
      <c r="M2034"/>
    </row>
    <row r="2035" spans="3:13" ht="12.75" customHeight="1" x14ac:dyDescent="0.2">
      <c r="C2035"/>
      <c r="M2035"/>
    </row>
    <row r="2036" spans="3:13" ht="12.75" customHeight="1" x14ac:dyDescent="0.2">
      <c r="C2036"/>
      <c r="M2036"/>
    </row>
    <row r="2037" spans="3:13" ht="12.75" customHeight="1" x14ac:dyDescent="0.2">
      <c r="C2037"/>
      <c r="M2037"/>
    </row>
    <row r="2038" spans="3:13" ht="12.75" customHeight="1" x14ac:dyDescent="0.2">
      <c r="C2038"/>
      <c r="M2038"/>
    </row>
    <row r="2039" spans="3:13" ht="12.75" customHeight="1" x14ac:dyDescent="0.2">
      <c r="C2039"/>
      <c r="M2039"/>
    </row>
    <row r="2040" spans="3:13" ht="12.75" customHeight="1" x14ac:dyDescent="0.2">
      <c r="C2040"/>
      <c r="M2040"/>
    </row>
    <row r="2041" spans="3:13" ht="12.75" customHeight="1" x14ac:dyDescent="0.2">
      <c r="C2041"/>
      <c r="M2041"/>
    </row>
    <row r="2042" spans="3:13" ht="12.75" customHeight="1" x14ac:dyDescent="0.2">
      <c r="C2042"/>
      <c r="M2042"/>
    </row>
    <row r="2043" spans="3:13" ht="12.75" customHeight="1" x14ac:dyDescent="0.2">
      <c r="C2043"/>
      <c r="M2043"/>
    </row>
    <row r="2044" spans="3:13" ht="12.75" customHeight="1" x14ac:dyDescent="0.2">
      <c r="C2044"/>
      <c r="M2044"/>
    </row>
    <row r="2045" spans="3:13" ht="12.75" customHeight="1" x14ac:dyDescent="0.2">
      <c r="C2045"/>
      <c r="M2045"/>
    </row>
    <row r="2046" spans="3:13" ht="12.75" customHeight="1" x14ac:dyDescent="0.2">
      <c r="C2046"/>
      <c r="M2046"/>
    </row>
    <row r="2047" spans="3:13" ht="12.75" customHeight="1" x14ac:dyDescent="0.2">
      <c r="C2047"/>
      <c r="M2047"/>
    </row>
    <row r="2048" spans="3:13" ht="12.75" customHeight="1" x14ac:dyDescent="0.2">
      <c r="C2048"/>
      <c r="M2048"/>
    </row>
    <row r="2049" spans="3:13" ht="12.75" customHeight="1" x14ac:dyDescent="0.2">
      <c r="C2049"/>
      <c r="M2049"/>
    </row>
    <row r="2050" spans="3:13" ht="12.75" customHeight="1" x14ac:dyDescent="0.2">
      <c r="C2050"/>
      <c r="M2050"/>
    </row>
    <row r="2051" spans="3:13" ht="12.75" customHeight="1" x14ac:dyDescent="0.2">
      <c r="C2051"/>
      <c r="M2051"/>
    </row>
    <row r="2052" spans="3:13" ht="12.75" customHeight="1" x14ac:dyDescent="0.2">
      <c r="C2052"/>
      <c r="M2052"/>
    </row>
    <row r="2053" spans="3:13" ht="12.75" customHeight="1" x14ac:dyDescent="0.2">
      <c r="C2053"/>
      <c r="M2053"/>
    </row>
    <row r="2054" spans="3:13" ht="12.75" customHeight="1" x14ac:dyDescent="0.2">
      <c r="C2054"/>
      <c r="M2054"/>
    </row>
    <row r="2055" spans="3:13" ht="12.75" customHeight="1" x14ac:dyDescent="0.2">
      <c r="C2055"/>
      <c r="M2055"/>
    </row>
    <row r="2056" spans="3:13" ht="12.75" customHeight="1" x14ac:dyDescent="0.2">
      <c r="C2056"/>
      <c r="M2056"/>
    </row>
    <row r="2057" spans="3:13" ht="12.75" customHeight="1" x14ac:dyDescent="0.2">
      <c r="C2057"/>
      <c r="M2057"/>
    </row>
    <row r="2058" spans="3:13" ht="12.75" customHeight="1" x14ac:dyDescent="0.2">
      <c r="C2058"/>
      <c r="M2058"/>
    </row>
    <row r="2059" spans="3:13" ht="12.75" customHeight="1" x14ac:dyDescent="0.2">
      <c r="C2059"/>
      <c r="M2059"/>
    </row>
    <row r="2060" spans="3:13" ht="12.75" customHeight="1" x14ac:dyDescent="0.2">
      <c r="C2060"/>
      <c r="M2060"/>
    </row>
    <row r="2061" spans="3:13" ht="12.75" customHeight="1" x14ac:dyDescent="0.2">
      <c r="C2061"/>
      <c r="M2061"/>
    </row>
    <row r="2062" spans="3:13" ht="12.75" customHeight="1" x14ac:dyDescent="0.2">
      <c r="C2062"/>
      <c r="M2062"/>
    </row>
    <row r="2063" spans="3:13" ht="12.75" customHeight="1" x14ac:dyDescent="0.2">
      <c r="C2063"/>
      <c r="M2063"/>
    </row>
    <row r="2064" spans="3:13" ht="12.75" customHeight="1" x14ac:dyDescent="0.2">
      <c r="C2064"/>
      <c r="M2064"/>
    </row>
    <row r="2065" spans="3:13" ht="12.75" customHeight="1" x14ac:dyDescent="0.2">
      <c r="C2065"/>
      <c r="M2065"/>
    </row>
    <row r="2066" spans="3:13" ht="12.75" customHeight="1" x14ac:dyDescent="0.2">
      <c r="C2066"/>
      <c r="M2066"/>
    </row>
    <row r="2067" spans="3:13" ht="12.75" customHeight="1" x14ac:dyDescent="0.2">
      <c r="C2067"/>
      <c r="M2067"/>
    </row>
    <row r="2068" spans="3:13" ht="12.75" customHeight="1" x14ac:dyDescent="0.2">
      <c r="C2068"/>
      <c r="M2068"/>
    </row>
    <row r="2069" spans="3:13" ht="12.75" customHeight="1" x14ac:dyDescent="0.2">
      <c r="C2069"/>
      <c r="M2069"/>
    </row>
    <row r="2070" spans="3:13" ht="12.75" customHeight="1" x14ac:dyDescent="0.2">
      <c r="C2070"/>
      <c r="M2070"/>
    </row>
    <row r="2071" spans="3:13" ht="12.75" customHeight="1" x14ac:dyDescent="0.2">
      <c r="C2071"/>
      <c r="M2071"/>
    </row>
    <row r="2072" spans="3:13" ht="12.75" customHeight="1" x14ac:dyDescent="0.2">
      <c r="C2072"/>
      <c r="M2072"/>
    </row>
    <row r="2073" spans="3:13" ht="12.75" customHeight="1" x14ac:dyDescent="0.2">
      <c r="C2073"/>
      <c r="M2073"/>
    </row>
    <row r="2074" spans="3:13" ht="12.75" customHeight="1" x14ac:dyDescent="0.2">
      <c r="C2074"/>
      <c r="M2074"/>
    </row>
    <row r="2075" spans="3:13" ht="12.75" customHeight="1" x14ac:dyDescent="0.2">
      <c r="C2075"/>
      <c r="M2075"/>
    </row>
    <row r="2076" spans="3:13" ht="12.75" customHeight="1" x14ac:dyDescent="0.2">
      <c r="C2076"/>
      <c r="M2076"/>
    </row>
    <row r="2077" spans="3:13" ht="12.75" customHeight="1" x14ac:dyDescent="0.2">
      <c r="C2077"/>
      <c r="M2077"/>
    </row>
    <row r="2078" spans="3:13" ht="12.75" customHeight="1" x14ac:dyDescent="0.2">
      <c r="C2078"/>
      <c r="M2078"/>
    </row>
    <row r="2079" spans="3:13" ht="12.75" customHeight="1" x14ac:dyDescent="0.2">
      <c r="C2079"/>
      <c r="M2079"/>
    </row>
    <row r="2080" spans="3:13" ht="12.75" customHeight="1" x14ac:dyDescent="0.2">
      <c r="C2080"/>
      <c r="M2080"/>
    </row>
    <row r="2081" spans="3:13" ht="12.75" customHeight="1" x14ac:dyDescent="0.2">
      <c r="C2081"/>
      <c r="M2081"/>
    </row>
    <row r="2082" spans="3:13" ht="12.75" customHeight="1" x14ac:dyDescent="0.2">
      <c r="C2082"/>
      <c r="M2082"/>
    </row>
    <row r="2083" spans="3:13" ht="12.75" customHeight="1" x14ac:dyDescent="0.2">
      <c r="C2083"/>
      <c r="M2083"/>
    </row>
    <row r="2084" spans="3:13" ht="12.75" customHeight="1" x14ac:dyDescent="0.2">
      <c r="C2084"/>
      <c r="M2084"/>
    </row>
    <row r="2085" spans="3:13" ht="12.75" customHeight="1" x14ac:dyDescent="0.2">
      <c r="C2085"/>
      <c r="M2085"/>
    </row>
    <row r="2086" spans="3:13" ht="12.75" customHeight="1" x14ac:dyDescent="0.2">
      <c r="C2086"/>
      <c r="M2086"/>
    </row>
    <row r="2087" spans="3:13" ht="12.75" customHeight="1" x14ac:dyDescent="0.2">
      <c r="C2087"/>
      <c r="M2087"/>
    </row>
    <row r="2088" spans="3:13" ht="12.75" customHeight="1" x14ac:dyDescent="0.2">
      <c r="C2088"/>
      <c r="M2088"/>
    </row>
    <row r="2089" spans="3:13" ht="12.75" customHeight="1" x14ac:dyDescent="0.2">
      <c r="C2089"/>
      <c r="M2089"/>
    </row>
    <row r="2090" spans="3:13" ht="12.75" customHeight="1" x14ac:dyDescent="0.2">
      <c r="C2090"/>
      <c r="M2090"/>
    </row>
    <row r="2091" spans="3:13" ht="12.75" customHeight="1" x14ac:dyDescent="0.2">
      <c r="C2091"/>
      <c r="M2091"/>
    </row>
    <row r="2092" spans="3:13" ht="12.75" customHeight="1" x14ac:dyDescent="0.2">
      <c r="C2092"/>
      <c r="M2092"/>
    </row>
    <row r="2093" spans="3:13" ht="12.75" customHeight="1" x14ac:dyDescent="0.2">
      <c r="C2093"/>
      <c r="M2093"/>
    </row>
    <row r="2094" spans="3:13" ht="12.75" customHeight="1" x14ac:dyDescent="0.2">
      <c r="C2094"/>
      <c r="M2094"/>
    </row>
    <row r="2095" spans="3:13" ht="12.75" customHeight="1" x14ac:dyDescent="0.2">
      <c r="C2095"/>
      <c r="M2095"/>
    </row>
    <row r="2096" spans="3:13" ht="12.75" customHeight="1" x14ac:dyDescent="0.2">
      <c r="C2096"/>
      <c r="M2096"/>
    </row>
    <row r="2097" spans="3:13" ht="12.75" customHeight="1" x14ac:dyDescent="0.2">
      <c r="C2097"/>
      <c r="M2097"/>
    </row>
    <row r="2098" spans="3:13" ht="12.75" customHeight="1" x14ac:dyDescent="0.2">
      <c r="C2098"/>
      <c r="M2098"/>
    </row>
    <row r="2099" spans="3:13" ht="12.75" customHeight="1" x14ac:dyDescent="0.2">
      <c r="C2099"/>
      <c r="M2099"/>
    </row>
    <row r="2100" spans="3:13" ht="12.75" customHeight="1" x14ac:dyDescent="0.2">
      <c r="C2100"/>
      <c r="M2100"/>
    </row>
    <row r="2101" spans="3:13" ht="12.75" customHeight="1" x14ac:dyDescent="0.2">
      <c r="C2101"/>
      <c r="M2101"/>
    </row>
    <row r="2102" spans="3:13" ht="12.75" customHeight="1" x14ac:dyDescent="0.2">
      <c r="C2102"/>
      <c r="M2102"/>
    </row>
    <row r="2103" spans="3:13" ht="12.75" customHeight="1" x14ac:dyDescent="0.2">
      <c r="C2103"/>
      <c r="M2103"/>
    </row>
    <row r="2104" spans="3:13" ht="12.75" customHeight="1" x14ac:dyDescent="0.2">
      <c r="C2104"/>
      <c r="M2104"/>
    </row>
    <row r="2105" spans="3:13" ht="12.75" customHeight="1" x14ac:dyDescent="0.2">
      <c r="C2105"/>
      <c r="M2105"/>
    </row>
    <row r="2106" spans="3:13" ht="12.75" customHeight="1" x14ac:dyDescent="0.2">
      <c r="C2106"/>
      <c r="M2106"/>
    </row>
    <row r="2107" spans="3:13" ht="12.75" customHeight="1" x14ac:dyDescent="0.2">
      <c r="C2107"/>
      <c r="M2107"/>
    </row>
    <row r="2108" spans="3:13" ht="12.75" customHeight="1" x14ac:dyDescent="0.2">
      <c r="C2108"/>
      <c r="M2108"/>
    </row>
    <row r="2109" spans="3:13" ht="12.75" customHeight="1" x14ac:dyDescent="0.2">
      <c r="C2109"/>
      <c r="M2109"/>
    </row>
    <row r="2110" spans="3:13" ht="12.75" customHeight="1" x14ac:dyDescent="0.2">
      <c r="C2110"/>
      <c r="M2110"/>
    </row>
    <row r="2111" spans="3:13" ht="12.75" customHeight="1" x14ac:dyDescent="0.2">
      <c r="C2111"/>
      <c r="M2111"/>
    </row>
    <row r="2112" spans="3:13" ht="12.75" customHeight="1" x14ac:dyDescent="0.2">
      <c r="C2112"/>
      <c r="M2112"/>
    </row>
    <row r="2113" spans="3:13" ht="12.75" customHeight="1" x14ac:dyDescent="0.2">
      <c r="C2113"/>
      <c r="M2113"/>
    </row>
    <row r="2114" spans="3:13" ht="12.75" customHeight="1" x14ac:dyDescent="0.2">
      <c r="C2114"/>
      <c r="M2114"/>
    </row>
    <row r="2115" spans="3:13" ht="12.75" customHeight="1" x14ac:dyDescent="0.2">
      <c r="C2115"/>
      <c r="M2115"/>
    </row>
    <row r="2116" spans="3:13" ht="12.75" customHeight="1" x14ac:dyDescent="0.2">
      <c r="C2116"/>
      <c r="M2116"/>
    </row>
    <row r="2117" spans="3:13" ht="12.75" customHeight="1" x14ac:dyDescent="0.2">
      <c r="C2117"/>
      <c r="M2117"/>
    </row>
    <row r="2118" spans="3:13" ht="12.75" customHeight="1" x14ac:dyDescent="0.2">
      <c r="C2118"/>
      <c r="M2118"/>
    </row>
    <row r="2119" spans="3:13" ht="12.75" customHeight="1" x14ac:dyDescent="0.2">
      <c r="C2119"/>
      <c r="M2119"/>
    </row>
    <row r="2120" spans="3:13" ht="12.75" customHeight="1" x14ac:dyDescent="0.2">
      <c r="C2120"/>
      <c r="M2120"/>
    </row>
    <row r="2121" spans="3:13" ht="12.75" customHeight="1" x14ac:dyDescent="0.2">
      <c r="C2121"/>
      <c r="M2121"/>
    </row>
    <row r="2122" spans="3:13" ht="12.75" customHeight="1" x14ac:dyDescent="0.2">
      <c r="C2122"/>
      <c r="M2122"/>
    </row>
    <row r="2123" spans="3:13" ht="12.75" customHeight="1" x14ac:dyDescent="0.2">
      <c r="C2123"/>
      <c r="M2123"/>
    </row>
    <row r="2124" spans="3:13" ht="12.75" customHeight="1" x14ac:dyDescent="0.2">
      <c r="C2124"/>
      <c r="M2124"/>
    </row>
    <row r="2125" spans="3:13" ht="12.75" customHeight="1" x14ac:dyDescent="0.2">
      <c r="C2125"/>
      <c r="M2125"/>
    </row>
    <row r="2126" spans="3:13" ht="12.75" customHeight="1" x14ac:dyDescent="0.2">
      <c r="C2126"/>
      <c r="M2126"/>
    </row>
    <row r="2127" spans="3:13" ht="12.75" customHeight="1" x14ac:dyDescent="0.2">
      <c r="C2127"/>
      <c r="M2127"/>
    </row>
    <row r="2128" spans="3:13" ht="12.75" customHeight="1" x14ac:dyDescent="0.2">
      <c r="C2128"/>
      <c r="M2128"/>
    </row>
    <row r="2129" spans="3:13" ht="12.75" customHeight="1" x14ac:dyDescent="0.2">
      <c r="C2129"/>
      <c r="M2129"/>
    </row>
    <row r="2130" spans="3:13" ht="12.75" customHeight="1" x14ac:dyDescent="0.2">
      <c r="C2130"/>
      <c r="M2130"/>
    </row>
    <row r="2131" spans="3:13" ht="12.75" customHeight="1" x14ac:dyDescent="0.2">
      <c r="C2131"/>
      <c r="M2131"/>
    </row>
    <row r="2132" spans="3:13" ht="12.75" customHeight="1" x14ac:dyDescent="0.2">
      <c r="C2132"/>
      <c r="M2132"/>
    </row>
    <row r="2133" spans="3:13" ht="12.75" customHeight="1" x14ac:dyDescent="0.2">
      <c r="C2133"/>
      <c r="M2133"/>
    </row>
    <row r="2134" spans="3:13" ht="12.75" customHeight="1" x14ac:dyDescent="0.2">
      <c r="C2134"/>
      <c r="M2134"/>
    </row>
    <row r="2135" spans="3:13" ht="12.75" customHeight="1" x14ac:dyDescent="0.2">
      <c r="C2135"/>
      <c r="M2135"/>
    </row>
    <row r="2136" spans="3:13" ht="12.75" customHeight="1" x14ac:dyDescent="0.2">
      <c r="C2136"/>
      <c r="M2136"/>
    </row>
    <row r="2137" spans="3:13" ht="12.75" customHeight="1" x14ac:dyDescent="0.2">
      <c r="C2137"/>
      <c r="M2137"/>
    </row>
    <row r="2138" spans="3:13" ht="12.75" customHeight="1" x14ac:dyDescent="0.2">
      <c r="C2138"/>
      <c r="M2138"/>
    </row>
    <row r="2139" spans="3:13" ht="12.75" customHeight="1" x14ac:dyDescent="0.2">
      <c r="C2139"/>
      <c r="M2139"/>
    </row>
    <row r="2140" spans="3:13" ht="12.75" customHeight="1" x14ac:dyDescent="0.2">
      <c r="C2140"/>
      <c r="M2140"/>
    </row>
    <row r="2141" spans="3:13" ht="12.75" customHeight="1" x14ac:dyDescent="0.2">
      <c r="C2141"/>
      <c r="M2141"/>
    </row>
    <row r="2142" spans="3:13" ht="12.75" customHeight="1" x14ac:dyDescent="0.2">
      <c r="C2142"/>
      <c r="M2142"/>
    </row>
    <row r="2143" spans="3:13" ht="12.75" customHeight="1" x14ac:dyDescent="0.2">
      <c r="C2143"/>
      <c r="M2143"/>
    </row>
    <row r="2144" spans="3:13" ht="12.75" customHeight="1" x14ac:dyDescent="0.2">
      <c r="C2144"/>
      <c r="M2144"/>
    </row>
    <row r="2145" spans="3:13" ht="12.75" customHeight="1" x14ac:dyDescent="0.2">
      <c r="C2145"/>
      <c r="M2145"/>
    </row>
    <row r="2146" spans="3:13" ht="12.75" customHeight="1" x14ac:dyDescent="0.2">
      <c r="C2146"/>
      <c r="M2146"/>
    </row>
    <row r="2147" spans="3:13" ht="12.75" customHeight="1" x14ac:dyDescent="0.2">
      <c r="C2147"/>
      <c r="M2147"/>
    </row>
    <row r="2148" spans="3:13" ht="12.75" customHeight="1" x14ac:dyDescent="0.2">
      <c r="C2148"/>
      <c r="M2148"/>
    </row>
    <row r="2149" spans="3:13" ht="12.75" customHeight="1" x14ac:dyDescent="0.2">
      <c r="C2149"/>
      <c r="M2149"/>
    </row>
    <row r="2150" spans="3:13" ht="12.75" customHeight="1" x14ac:dyDescent="0.2">
      <c r="C2150"/>
      <c r="M2150"/>
    </row>
    <row r="2151" spans="3:13" ht="12.75" customHeight="1" x14ac:dyDescent="0.2">
      <c r="C2151"/>
      <c r="M2151"/>
    </row>
    <row r="2152" spans="3:13" ht="12.75" customHeight="1" x14ac:dyDescent="0.2">
      <c r="C2152"/>
      <c r="M2152"/>
    </row>
    <row r="2153" spans="3:13" ht="12.75" customHeight="1" x14ac:dyDescent="0.2">
      <c r="C2153"/>
      <c r="M2153"/>
    </row>
    <row r="2154" spans="3:13" ht="12.75" customHeight="1" x14ac:dyDescent="0.2">
      <c r="C2154"/>
      <c r="M2154"/>
    </row>
    <row r="2155" spans="3:13" ht="12.75" customHeight="1" x14ac:dyDescent="0.2">
      <c r="C2155"/>
      <c r="M2155"/>
    </row>
    <row r="2156" spans="3:13" ht="12.75" customHeight="1" x14ac:dyDescent="0.2">
      <c r="C2156"/>
      <c r="M2156"/>
    </row>
    <row r="2157" spans="3:13" ht="12.75" customHeight="1" x14ac:dyDescent="0.2">
      <c r="C2157"/>
      <c r="M2157"/>
    </row>
    <row r="2158" spans="3:13" ht="12.75" customHeight="1" x14ac:dyDescent="0.2">
      <c r="C2158"/>
      <c r="M2158"/>
    </row>
    <row r="2159" spans="3:13" ht="12.75" customHeight="1" x14ac:dyDescent="0.2">
      <c r="C2159"/>
      <c r="M2159"/>
    </row>
    <row r="2160" spans="3:13" ht="12.75" customHeight="1" x14ac:dyDescent="0.2">
      <c r="C2160"/>
      <c r="M2160"/>
    </row>
    <row r="2161" spans="3:13" ht="12.75" customHeight="1" x14ac:dyDescent="0.2">
      <c r="C2161"/>
      <c r="M2161"/>
    </row>
    <row r="2162" spans="3:13" ht="12.75" customHeight="1" x14ac:dyDescent="0.2">
      <c r="C2162"/>
      <c r="M2162"/>
    </row>
    <row r="2163" spans="3:13" ht="12.75" customHeight="1" x14ac:dyDescent="0.2">
      <c r="C2163"/>
      <c r="M2163"/>
    </row>
    <row r="2164" spans="3:13" ht="12.75" customHeight="1" x14ac:dyDescent="0.2">
      <c r="C2164"/>
      <c r="M2164"/>
    </row>
    <row r="2165" spans="3:13" ht="12.75" customHeight="1" x14ac:dyDescent="0.2">
      <c r="C2165"/>
      <c r="M2165"/>
    </row>
    <row r="2166" spans="3:13" ht="12.75" customHeight="1" x14ac:dyDescent="0.2">
      <c r="C2166"/>
      <c r="M2166"/>
    </row>
    <row r="2167" spans="3:13" ht="12.75" customHeight="1" x14ac:dyDescent="0.2">
      <c r="C2167"/>
      <c r="M2167"/>
    </row>
    <row r="2168" spans="3:13" ht="12.75" customHeight="1" x14ac:dyDescent="0.2">
      <c r="C2168"/>
      <c r="M2168"/>
    </row>
    <row r="2169" spans="3:13" ht="12.75" customHeight="1" x14ac:dyDescent="0.2">
      <c r="C2169"/>
      <c r="M2169"/>
    </row>
    <row r="2170" spans="3:13" ht="12.75" customHeight="1" x14ac:dyDescent="0.2">
      <c r="C2170"/>
      <c r="M2170"/>
    </row>
    <row r="2171" spans="3:13" ht="12.75" customHeight="1" x14ac:dyDescent="0.2">
      <c r="C2171"/>
      <c r="M2171"/>
    </row>
    <row r="2172" spans="3:13" ht="12.75" customHeight="1" x14ac:dyDescent="0.2">
      <c r="C2172"/>
      <c r="M2172"/>
    </row>
    <row r="2173" spans="3:13" ht="12.75" customHeight="1" x14ac:dyDescent="0.2">
      <c r="C2173"/>
      <c r="M2173"/>
    </row>
    <row r="2174" spans="3:13" ht="12.75" customHeight="1" x14ac:dyDescent="0.2">
      <c r="C2174"/>
      <c r="M2174"/>
    </row>
    <row r="2175" spans="3:13" ht="12.75" customHeight="1" x14ac:dyDescent="0.2">
      <c r="C2175"/>
      <c r="M2175"/>
    </row>
    <row r="2176" spans="3:13" ht="12.75" customHeight="1" x14ac:dyDescent="0.2">
      <c r="C2176"/>
      <c r="M2176"/>
    </row>
    <row r="2177" spans="3:13" ht="12.75" customHeight="1" x14ac:dyDescent="0.2">
      <c r="C2177"/>
      <c r="M2177"/>
    </row>
    <row r="2178" spans="3:13" ht="12.75" customHeight="1" x14ac:dyDescent="0.2">
      <c r="C2178"/>
      <c r="M2178"/>
    </row>
    <row r="2179" spans="3:13" ht="12.75" customHeight="1" x14ac:dyDescent="0.2">
      <c r="C2179"/>
      <c r="M2179"/>
    </row>
    <row r="2180" spans="3:13" ht="12.75" customHeight="1" x14ac:dyDescent="0.2">
      <c r="C2180"/>
      <c r="M2180"/>
    </row>
    <row r="2181" spans="3:13" ht="12.75" customHeight="1" x14ac:dyDescent="0.2">
      <c r="C2181"/>
      <c r="M2181"/>
    </row>
    <row r="2182" spans="3:13" ht="12.75" customHeight="1" x14ac:dyDescent="0.2">
      <c r="C2182"/>
      <c r="M2182"/>
    </row>
    <row r="2183" spans="3:13" ht="12.75" customHeight="1" x14ac:dyDescent="0.2">
      <c r="C2183"/>
      <c r="M2183"/>
    </row>
    <row r="2184" spans="3:13" ht="12.75" customHeight="1" x14ac:dyDescent="0.2">
      <c r="C2184"/>
      <c r="M2184"/>
    </row>
    <row r="2185" spans="3:13" ht="12.75" customHeight="1" x14ac:dyDescent="0.2">
      <c r="C2185"/>
      <c r="M2185"/>
    </row>
    <row r="2186" spans="3:13" ht="12.75" customHeight="1" x14ac:dyDescent="0.2">
      <c r="C2186"/>
      <c r="M2186"/>
    </row>
    <row r="2187" spans="3:13" ht="12.75" customHeight="1" x14ac:dyDescent="0.2">
      <c r="C2187"/>
      <c r="M2187"/>
    </row>
    <row r="2188" spans="3:13" ht="12.75" customHeight="1" x14ac:dyDescent="0.2">
      <c r="C2188"/>
      <c r="M2188"/>
    </row>
    <row r="2189" spans="3:13" ht="12.75" customHeight="1" x14ac:dyDescent="0.2">
      <c r="C2189"/>
      <c r="M2189"/>
    </row>
    <row r="2190" spans="3:13" ht="12.75" customHeight="1" x14ac:dyDescent="0.2">
      <c r="C2190"/>
      <c r="M2190"/>
    </row>
    <row r="2191" spans="3:13" ht="12.75" customHeight="1" x14ac:dyDescent="0.2">
      <c r="C2191"/>
      <c r="M2191"/>
    </row>
    <row r="2192" spans="3:13" ht="12.75" customHeight="1" x14ac:dyDescent="0.2">
      <c r="C2192"/>
      <c r="M2192"/>
    </row>
    <row r="2193" spans="3:13" ht="12.75" customHeight="1" x14ac:dyDescent="0.2">
      <c r="C2193"/>
      <c r="M2193"/>
    </row>
    <row r="2194" spans="3:13" ht="12.75" customHeight="1" x14ac:dyDescent="0.2">
      <c r="C2194"/>
      <c r="M2194"/>
    </row>
    <row r="2195" spans="3:13" ht="12.75" customHeight="1" x14ac:dyDescent="0.2">
      <c r="C2195"/>
      <c r="M2195"/>
    </row>
    <row r="2196" spans="3:13" ht="12.75" customHeight="1" x14ac:dyDescent="0.2">
      <c r="C2196"/>
      <c r="M2196"/>
    </row>
    <row r="2197" spans="3:13" ht="12.75" customHeight="1" x14ac:dyDescent="0.2">
      <c r="C2197"/>
      <c r="M2197"/>
    </row>
    <row r="2198" spans="3:13" ht="12.75" customHeight="1" x14ac:dyDescent="0.2">
      <c r="C2198"/>
      <c r="M2198"/>
    </row>
    <row r="2199" spans="3:13" ht="12.75" customHeight="1" x14ac:dyDescent="0.2">
      <c r="C2199"/>
      <c r="M2199"/>
    </row>
    <row r="2200" spans="3:13" ht="12.75" customHeight="1" x14ac:dyDescent="0.2">
      <c r="C2200"/>
      <c r="M2200"/>
    </row>
    <row r="2201" spans="3:13" ht="12.75" customHeight="1" x14ac:dyDescent="0.2">
      <c r="C2201"/>
      <c r="M2201"/>
    </row>
    <row r="2202" spans="3:13" ht="12.75" customHeight="1" x14ac:dyDescent="0.2">
      <c r="C2202"/>
      <c r="M2202"/>
    </row>
    <row r="2203" spans="3:13" ht="12.75" customHeight="1" x14ac:dyDescent="0.2">
      <c r="C2203"/>
      <c r="M2203"/>
    </row>
    <row r="2204" spans="3:13" ht="12.75" customHeight="1" x14ac:dyDescent="0.2">
      <c r="C2204"/>
      <c r="M2204"/>
    </row>
    <row r="2205" spans="3:13" ht="12.75" customHeight="1" x14ac:dyDescent="0.2">
      <c r="C2205"/>
      <c r="M2205"/>
    </row>
    <row r="2206" spans="3:13" ht="12.75" customHeight="1" x14ac:dyDescent="0.2">
      <c r="C2206"/>
      <c r="M2206"/>
    </row>
    <row r="2207" spans="3:13" ht="12.75" customHeight="1" x14ac:dyDescent="0.2">
      <c r="C2207"/>
      <c r="M2207"/>
    </row>
    <row r="2208" spans="3:13" ht="12.75" customHeight="1" x14ac:dyDescent="0.2">
      <c r="C2208"/>
      <c r="M2208"/>
    </row>
    <row r="2209" spans="3:13" ht="12.75" customHeight="1" x14ac:dyDescent="0.2">
      <c r="C2209"/>
      <c r="M2209"/>
    </row>
    <row r="2210" spans="3:13" ht="12.75" customHeight="1" x14ac:dyDescent="0.2">
      <c r="C2210"/>
      <c r="M2210"/>
    </row>
    <row r="2211" spans="3:13" ht="12.75" customHeight="1" x14ac:dyDescent="0.2">
      <c r="C2211"/>
      <c r="M2211"/>
    </row>
    <row r="2212" spans="3:13" ht="12.75" customHeight="1" x14ac:dyDescent="0.2">
      <c r="C2212"/>
      <c r="M2212"/>
    </row>
    <row r="2213" spans="3:13" ht="12.75" customHeight="1" x14ac:dyDescent="0.2">
      <c r="C2213"/>
      <c r="M2213"/>
    </row>
    <row r="2214" spans="3:13" ht="12.75" customHeight="1" x14ac:dyDescent="0.2">
      <c r="C2214"/>
      <c r="M2214"/>
    </row>
    <row r="2215" spans="3:13" ht="12.75" customHeight="1" x14ac:dyDescent="0.2">
      <c r="C2215"/>
      <c r="M2215"/>
    </row>
    <row r="2216" spans="3:13" ht="12.75" customHeight="1" x14ac:dyDescent="0.2">
      <c r="C2216"/>
      <c r="M2216"/>
    </row>
    <row r="2217" spans="3:13" ht="12.75" customHeight="1" x14ac:dyDescent="0.2">
      <c r="C2217"/>
      <c r="M2217"/>
    </row>
    <row r="2218" spans="3:13" ht="12.75" customHeight="1" x14ac:dyDescent="0.2">
      <c r="C2218"/>
      <c r="M2218"/>
    </row>
    <row r="2219" spans="3:13" ht="12.75" customHeight="1" x14ac:dyDescent="0.2">
      <c r="C2219"/>
      <c r="M2219"/>
    </row>
    <row r="2220" spans="3:13" ht="12.75" customHeight="1" x14ac:dyDescent="0.2">
      <c r="C2220"/>
      <c r="M2220"/>
    </row>
    <row r="2221" spans="3:13" ht="12.75" customHeight="1" x14ac:dyDescent="0.2">
      <c r="C2221"/>
      <c r="M2221"/>
    </row>
    <row r="2222" spans="3:13" ht="12.75" customHeight="1" x14ac:dyDescent="0.2">
      <c r="C2222"/>
      <c r="M2222"/>
    </row>
    <row r="2223" spans="3:13" ht="12.75" customHeight="1" x14ac:dyDescent="0.2">
      <c r="C2223"/>
      <c r="M2223"/>
    </row>
    <row r="2224" spans="3:13" ht="12.75" customHeight="1" x14ac:dyDescent="0.2">
      <c r="C2224"/>
      <c r="M2224"/>
    </row>
    <row r="2225" spans="3:13" ht="12.75" customHeight="1" x14ac:dyDescent="0.2">
      <c r="C2225"/>
      <c r="M2225"/>
    </row>
    <row r="2226" spans="3:13" ht="12.75" customHeight="1" x14ac:dyDescent="0.2">
      <c r="C2226"/>
      <c r="M2226"/>
    </row>
    <row r="2227" spans="3:13" ht="12.75" customHeight="1" x14ac:dyDescent="0.2">
      <c r="C2227"/>
      <c r="M2227"/>
    </row>
    <row r="2228" spans="3:13" ht="12.75" customHeight="1" x14ac:dyDescent="0.2">
      <c r="C2228"/>
      <c r="M2228"/>
    </row>
    <row r="2229" spans="3:13" ht="12.75" customHeight="1" x14ac:dyDescent="0.2">
      <c r="C2229"/>
      <c r="M2229"/>
    </row>
    <row r="2230" spans="3:13" ht="12.75" customHeight="1" x14ac:dyDescent="0.2">
      <c r="C2230"/>
      <c r="M2230"/>
    </row>
    <row r="2231" spans="3:13" ht="12.75" customHeight="1" x14ac:dyDescent="0.2">
      <c r="C2231"/>
      <c r="M2231"/>
    </row>
    <row r="2232" spans="3:13" ht="12.75" customHeight="1" x14ac:dyDescent="0.2">
      <c r="C2232"/>
      <c r="M2232"/>
    </row>
    <row r="2233" spans="3:13" ht="12.75" customHeight="1" x14ac:dyDescent="0.2">
      <c r="C2233"/>
      <c r="M2233"/>
    </row>
    <row r="2234" spans="3:13" ht="12.75" customHeight="1" x14ac:dyDescent="0.2">
      <c r="C2234"/>
      <c r="M2234"/>
    </row>
    <row r="2235" spans="3:13" ht="12.75" customHeight="1" x14ac:dyDescent="0.2">
      <c r="C2235"/>
      <c r="M2235"/>
    </row>
    <row r="2236" spans="3:13" ht="12.75" customHeight="1" x14ac:dyDescent="0.2">
      <c r="C2236"/>
      <c r="M2236"/>
    </row>
    <row r="2237" spans="3:13" ht="12.75" customHeight="1" x14ac:dyDescent="0.2">
      <c r="C2237"/>
      <c r="M2237"/>
    </row>
    <row r="2238" spans="3:13" ht="12.75" customHeight="1" x14ac:dyDescent="0.2">
      <c r="C2238"/>
      <c r="M2238"/>
    </row>
    <row r="2239" spans="3:13" ht="12.75" customHeight="1" x14ac:dyDescent="0.2">
      <c r="C2239"/>
      <c r="M2239"/>
    </row>
    <row r="2240" spans="3:13" ht="12.75" customHeight="1" x14ac:dyDescent="0.2">
      <c r="C2240"/>
      <c r="M2240"/>
    </row>
    <row r="2241" spans="3:13" ht="12.75" customHeight="1" x14ac:dyDescent="0.2">
      <c r="C2241"/>
      <c r="M2241"/>
    </row>
    <row r="2242" spans="3:13" ht="12.75" customHeight="1" x14ac:dyDescent="0.2">
      <c r="C2242"/>
      <c r="M2242"/>
    </row>
    <row r="2243" spans="3:13" ht="12.75" customHeight="1" x14ac:dyDescent="0.2">
      <c r="C2243"/>
      <c r="M2243"/>
    </row>
    <row r="2244" spans="3:13" ht="12.75" customHeight="1" x14ac:dyDescent="0.2">
      <c r="C2244"/>
      <c r="M2244"/>
    </row>
    <row r="2245" spans="3:13" ht="12.75" customHeight="1" x14ac:dyDescent="0.2">
      <c r="C2245"/>
      <c r="M2245"/>
    </row>
    <row r="2246" spans="3:13" ht="12.75" customHeight="1" x14ac:dyDescent="0.2">
      <c r="C2246"/>
      <c r="M2246"/>
    </row>
    <row r="2247" spans="3:13" ht="12.75" customHeight="1" x14ac:dyDescent="0.2">
      <c r="C2247"/>
      <c r="M2247"/>
    </row>
    <row r="2248" spans="3:13" ht="12.75" customHeight="1" x14ac:dyDescent="0.2">
      <c r="C2248"/>
      <c r="M2248"/>
    </row>
    <row r="2249" spans="3:13" ht="12.75" customHeight="1" x14ac:dyDescent="0.2">
      <c r="C2249"/>
      <c r="M2249"/>
    </row>
    <row r="2250" spans="3:13" ht="12.75" customHeight="1" x14ac:dyDescent="0.2">
      <c r="C2250"/>
      <c r="M2250"/>
    </row>
    <row r="2251" spans="3:13" ht="12.75" customHeight="1" x14ac:dyDescent="0.2">
      <c r="C2251"/>
      <c r="M2251"/>
    </row>
    <row r="2252" spans="3:13" ht="12.75" customHeight="1" x14ac:dyDescent="0.2">
      <c r="C2252"/>
      <c r="M2252"/>
    </row>
    <row r="2253" spans="3:13" ht="12.75" customHeight="1" x14ac:dyDescent="0.2">
      <c r="C2253"/>
      <c r="M2253"/>
    </row>
    <row r="2254" spans="3:13" ht="12.75" customHeight="1" x14ac:dyDescent="0.2">
      <c r="C2254"/>
      <c r="M2254"/>
    </row>
    <row r="2255" spans="3:13" ht="12.75" customHeight="1" x14ac:dyDescent="0.2">
      <c r="C2255"/>
      <c r="M2255"/>
    </row>
    <row r="2256" spans="3:13" ht="12.75" customHeight="1" x14ac:dyDescent="0.2">
      <c r="C2256"/>
      <c r="M2256"/>
    </row>
    <row r="2257" spans="3:13" ht="12.75" customHeight="1" x14ac:dyDescent="0.2">
      <c r="C2257"/>
      <c r="M2257"/>
    </row>
    <row r="2258" spans="3:13" ht="12.75" customHeight="1" x14ac:dyDescent="0.2">
      <c r="C2258"/>
      <c r="M2258"/>
    </row>
    <row r="2259" spans="3:13" ht="12.75" customHeight="1" x14ac:dyDescent="0.2">
      <c r="C2259"/>
      <c r="M2259"/>
    </row>
    <row r="2260" spans="3:13" ht="12.75" customHeight="1" x14ac:dyDescent="0.2">
      <c r="C2260"/>
      <c r="M2260"/>
    </row>
    <row r="2261" spans="3:13" ht="12.75" customHeight="1" x14ac:dyDescent="0.2">
      <c r="C2261"/>
      <c r="M2261"/>
    </row>
    <row r="2262" spans="3:13" ht="12.75" customHeight="1" x14ac:dyDescent="0.2">
      <c r="C2262"/>
      <c r="M2262"/>
    </row>
    <row r="2263" spans="3:13" ht="12.75" customHeight="1" x14ac:dyDescent="0.2">
      <c r="C2263"/>
      <c r="M2263"/>
    </row>
    <row r="2264" spans="3:13" ht="12.75" customHeight="1" x14ac:dyDescent="0.2">
      <c r="C2264"/>
      <c r="M2264"/>
    </row>
    <row r="2265" spans="3:13" ht="12.75" customHeight="1" x14ac:dyDescent="0.2">
      <c r="C2265"/>
      <c r="M2265"/>
    </row>
    <row r="2266" spans="3:13" ht="12.75" customHeight="1" x14ac:dyDescent="0.2">
      <c r="C2266"/>
      <c r="M2266"/>
    </row>
    <row r="2267" spans="3:13" ht="12.75" customHeight="1" x14ac:dyDescent="0.2">
      <c r="C2267"/>
      <c r="M2267"/>
    </row>
    <row r="2268" spans="3:13" ht="12.75" customHeight="1" x14ac:dyDescent="0.2">
      <c r="C2268"/>
      <c r="M2268"/>
    </row>
    <row r="2269" spans="3:13" ht="12.75" customHeight="1" x14ac:dyDescent="0.2">
      <c r="C2269"/>
      <c r="M2269"/>
    </row>
    <row r="2270" spans="3:13" ht="12.75" customHeight="1" x14ac:dyDescent="0.2">
      <c r="C2270"/>
      <c r="M2270"/>
    </row>
    <row r="2271" spans="3:13" ht="12.75" customHeight="1" x14ac:dyDescent="0.2">
      <c r="C2271"/>
      <c r="M2271"/>
    </row>
    <row r="2272" spans="3:13" ht="12.75" customHeight="1" x14ac:dyDescent="0.2">
      <c r="C2272"/>
      <c r="M2272"/>
    </row>
    <row r="2273" spans="3:13" ht="12.75" customHeight="1" x14ac:dyDescent="0.2">
      <c r="C2273"/>
      <c r="M2273"/>
    </row>
    <row r="2274" spans="3:13" ht="12.75" customHeight="1" x14ac:dyDescent="0.2">
      <c r="C2274"/>
      <c r="M2274"/>
    </row>
    <row r="2275" spans="3:13" ht="12.75" customHeight="1" x14ac:dyDescent="0.2">
      <c r="C2275"/>
      <c r="M2275"/>
    </row>
    <row r="2276" spans="3:13" ht="12.75" customHeight="1" x14ac:dyDescent="0.2">
      <c r="C2276"/>
      <c r="M2276"/>
    </row>
    <row r="2277" spans="3:13" ht="12.75" customHeight="1" x14ac:dyDescent="0.2">
      <c r="C2277"/>
      <c r="M2277"/>
    </row>
    <row r="2278" spans="3:13" ht="12.75" customHeight="1" x14ac:dyDescent="0.2">
      <c r="C2278"/>
      <c r="M2278"/>
    </row>
    <row r="2279" spans="3:13" ht="12.75" customHeight="1" x14ac:dyDescent="0.2">
      <c r="C2279"/>
      <c r="M2279"/>
    </row>
    <row r="2280" spans="3:13" ht="12.75" customHeight="1" x14ac:dyDescent="0.2">
      <c r="C2280"/>
      <c r="M2280"/>
    </row>
    <row r="2281" spans="3:13" ht="12.75" customHeight="1" x14ac:dyDescent="0.2">
      <c r="C2281"/>
      <c r="M2281"/>
    </row>
    <row r="2282" spans="3:13" ht="12.75" customHeight="1" x14ac:dyDescent="0.2">
      <c r="C2282"/>
      <c r="M2282"/>
    </row>
    <row r="2283" spans="3:13" ht="12.75" customHeight="1" x14ac:dyDescent="0.2">
      <c r="C2283"/>
      <c r="M2283"/>
    </row>
    <row r="2284" spans="3:13" ht="12.75" customHeight="1" x14ac:dyDescent="0.2">
      <c r="C2284"/>
      <c r="M2284"/>
    </row>
    <row r="2285" spans="3:13" ht="12.75" customHeight="1" x14ac:dyDescent="0.2">
      <c r="C2285"/>
      <c r="M2285"/>
    </row>
    <row r="2286" spans="3:13" ht="12.75" customHeight="1" x14ac:dyDescent="0.2">
      <c r="C2286"/>
      <c r="M2286"/>
    </row>
    <row r="2287" spans="3:13" ht="12.75" customHeight="1" x14ac:dyDescent="0.2">
      <c r="C2287"/>
      <c r="M2287"/>
    </row>
    <row r="2288" spans="3:13" ht="12.75" customHeight="1" x14ac:dyDescent="0.2">
      <c r="C2288"/>
      <c r="M2288"/>
    </row>
    <row r="2289" spans="3:13" ht="12.75" customHeight="1" x14ac:dyDescent="0.2">
      <c r="C2289"/>
      <c r="M2289"/>
    </row>
    <row r="2290" spans="3:13" ht="12.75" customHeight="1" x14ac:dyDescent="0.2">
      <c r="C2290"/>
      <c r="M2290"/>
    </row>
    <row r="2291" spans="3:13" ht="12.75" customHeight="1" x14ac:dyDescent="0.2">
      <c r="C2291"/>
      <c r="M2291"/>
    </row>
    <row r="2292" spans="3:13" ht="12.75" customHeight="1" x14ac:dyDescent="0.2">
      <c r="C2292"/>
      <c r="M2292"/>
    </row>
    <row r="2293" spans="3:13" ht="12.75" customHeight="1" x14ac:dyDescent="0.2">
      <c r="C2293"/>
      <c r="M2293"/>
    </row>
    <row r="2294" spans="3:13" ht="12.75" customHeight="1" x14ac:dyDescent="0.2">
      <c r="C2294"/>
      <c r="M2294"/>
    </row>
    <row r="2295" spans="3:13" ht="12.75" customHeight="1" x14ac:dyDescent="0.2">
      <c r="C2295"/>
      <c r="M2295"/>
    </row>
    <row r="2296" spans="3:13" ht="12.75" customHeight="1" x14ac:dyDescent="0.2">
      <c r="C2296"/>
      <c r="M2296"/>
    </row>
    <row r="2297" spans="3:13" ht="12.75" customHeight="1" x14ac:dyDescent="0.2">
      <c r="C2297"/>
      <c r="M2297"/>
    </row>
    <row r="2298" spans="3:13" ht="12.75" customHeight="1" x14ac:dyDescent="0.2">
      <c r="C2298"/>
      <c r="M2298"/>
    </row>
    <row r="2299" spans="3:13" ht="12.75" customHeight="1" x14ac:dyDescent="0.2">
      <c r="C2299"/>
      <c r="M2299"/>
    </row>
    <row r="2300" spans="3:13" ht="12.75" customHeight="1" x14ac:dyDescent="0.2">
      <c r="C2300"/>
      <c r="M2300"/>
    </row>
    <row r="2301" spans="3:13" ht="12.75" customHeight="1" x14ac:dyDescent="0.2">
      <c r="C2301"/>
      <c r="M2301"/>
    </row>
    <row r="2302" spans="3:13" ht="12.75" customHeight="1" x14ac:dyDescent="0.2">
      <c r="C2302"/>
      <c r="M2302"/>
    </row>
    <row r="2303" spans="3:13" ht="12.75" customHeight="1" x14ac:dyDescent="0.2">
      <c r="C2303"/>
      <c r="M2303"/>
    </row>
    <row r="2304" spans="3:13" ht="12.75" customHeight="1" x14ac:dyDescent="0.2">
      <c r="C2304"/>
      <c r="M2304"/>
    </row>
    <row r="2305" spans="3:13" ht="12.75" customHeight="1" x14ac:dyDescent="0.2">
      <c r="C2305"/>
      <c r="M2305"/>
    </row>
    <row r="2306" spans="3:13" ht="12.75" customHeight="1" x14ac:dyDescent="0.2">
      <c r="C2306"/>
      <c r="M2306"/>
    </row>
    <row r="2307" spans="3:13" ht="12.75" customHeight="1" x14ac:dyDescent="0.2">
      <c r="C2307"/>
      <c r="M2307"/>
    </row>
    <row r="2308" spans="3:13" ht="12.75" customHeight="1" x14ac:dyDescent="0.2">
      <c r="C2308"/>
      <c r="M2308"/>
    </row>
    <row r="2309" spans="3:13" ht="12.75" customHeight="1" x14ac:dyDescent="0.2">
      <c r="C2309"/>
      <c r="M2309"/>
    </row>
    <row r="2310" spans="3:13" ht="12.75" customHeight="1" x14ac:dyDescent="0.2">
      <c r="C2310"/>
      <c r="M2310"/>
    </row>
    <row r="2311" spans="3:13" ht="12.75" customHeight="1" x14ac:dyDescent="0.2">
      <c r="C2311"/>
      <c r="M2311"/>
    </row>
    <row r="2312" spans="3:13" ht="12.75" customHeight="1" x14ac:dyDescent="0.2">
      <c r="C2312"/>
      <c r="M2312"/>
    </row>
    <row r="2313" spans="3:13" ht="12.75" customHeight="1" x14ac:dyDescent="0.2">
      <c r="C2313"/>
      <c r="M2313"/>
    </row>
    <row r="2314" spans="3:13" ht="12.75" customHeight="1" x14ac:dyDescent="0.2">
      <c r="C2314"/>
      <c r="M2314"/>
    </row>
    <row r="2315" spans="3:13" ht="12.75" customHeight="1" x14ac:dyDescent="0.2">
      <c r="C2315"/>
      <c r="M2315"/>
    </row>
    <row r="2316" spans="3:13" ht="12.75" customHeight="1" x14ac:dyDescent="0.2">
      <c r="C2316"/>
      <c r="M2316"/>
    </row>
    <row r="2317" spans="3:13" ht="12.75" customHeight="1" x14ac:dyDescent="0.2">
      <c r="C2317"/>
      <c r="M2317"/>
    </row>
    <row r="2318" spans="3:13" ht="12.75" customHeight="1" x14ac:dyDescent="0.2">
      <c r="C2318"/>
      <c r="M2318"/>
    </row>
    <row r="2319" spans="3:13" ht="12.75" customHeight="1" x14ac:dyDescent="0.2">
      <c r="C2319"/>
      <c r="M2319"/>
    </row>
    <row r="2320" spans="3:13" ht="12.75" customHeight="1" x14ac:dyDescent="0.2">
      <c r="C2320"/>
      <c r="M2320"/>
    </row>
    <row r="2321" spans="3:13" ht="12.75" customHeight="1" x14ac:dyDescent="0.2">
      <c r="C2321"/>
      <c r="M2321"/>
    </row>
    <row r="2322" spans="3:13" ht="12.75" customHeight="1" x14ac:dyDescent="0.2">
      <c r="C2322"/>
      <c r="M2322"/>
    </row>
    <row r="2323" spans="3:13" ht="12.75" customHeight="1" x14ac:dyDescent="0.2">
      <c r="C2323"/>
      <c r="M2323"/>
    </row>
    <row r="2324" spans="3:13" ht="12.75" customHeight="1" x14ac:dyDescent="0.2">
      <c r="C2324"/>
      <c r="M2324"/>
    </row>
    <row r="2325" spans="3:13" ht="12.75" customHeight="1" x14ac:dyDescent="0.2">
      <c r="C2325"/>
      <c r="M2325"/>
    </row>
    <row r="2326" spans="3:13" ht="12.75" customHeight="1" x14ac:dyDescent="0.2">
      <c r="C2326"/>
      <c r="M2326"/>
    </row>
    <row r="2327" spans="3:13" ht="12.75" customHeight="1" x14ac:dyDescent="0.2">
      <c r="C2327"/>
      <c r="M2327"/>
    </row>
    <row r="2328" spans="3:13" ht="12.75" customHeight="1" x14ac:dyDescent="0.2">
      <c r="C2328"/>
      <c r="M2328"/>
    </row>
    <row r="2329" spans="3:13" ht="12.75" customHeight="1" x14ac:dyDescent="0.2">
      <c r="C2329"/>
      <c r="M2329"/>
    </row>
    <row r="2330" spans="3:13" ht="12.75" customHeight="1" x14ac:dyDescent="0.2">
      <c r="C2330"/>
      <c r="M2330"/>
    </row>
    <row r="2331" spans="3:13" ht="12.75" customHeight="1" x14ac:dyDescent="0.2">
      <c r="C2331"/>
      <c r="M2331"/>
    </row>
    <row r="2332" spans="3:13" ht="12.75" customHeight="1" x14ac:dyDescent="0.2">
      <c r="C2332"/>
      <c r="M2332"/>
    </row>
    <row r="2333" spans="3:13" ht="12.75" customHeight="1" x14ac:dyDescent="0.2">
      <c r="C2333"/>
      <c r="M2333"/>
    </row>
    <row r="2334" spans="3:13" ht="12.75" customHeight="1" x14ac:dyDescent="0.2">
      <c r="C2334"/>
      <c r="M2334"/>
    </row>
    <row r="2335" spans="3:13" ht="12.75" customHeight="1" x14ac:dyDescent="0.2">
      <c r="C2335"/>
      <c r="M2335"/>
    </row>
    <row r="2336" spans="3:13" ht="12.75" customHeight="1" x14ac:dyDescent="0.2">
      <c r="C2336"/>
      <c r="M2336"/>
    </row>
    <row r="2337" spans="3:13" ht="12.75" customHeight="1" x14ac:dyDescent="0.2">
      <c r="C2337"/>
      <c r="M2337"/>
    </row>
    <row r="2338" spans="3:13" ht="12.75" customHeight="1" x14ac:dyDescent="0.2">
      <c r="C2338"/>
      <c r="M2338"/>
    </row>
    <row r="2339" spans="3:13" ht="12.75" customHeight="1" x14ac:dyDescent="0.2">
      <c r="C2339"/>
      <c r="M2339"/>
    </row>
    <row r="2340" spans="3:13" ht="12.75" customHeight="1" x14ac:dyDescent="0.2">
      <c r="C2340"/>
      <c r="M2340"/>
    </row>
    <row r="2341" spans="3:13" ht="12.75" customHeight="1" x14ac:dyDescent="0.2">
      <c r="C2341"/>
      <c r="M2341"/>
    </row>
    <row r="2342" spans="3:13" ht="12.75" customHeight="1" x14ac:dyDescent="0.2">
      <c r="C2342"/>
      <c r="M2342"/>
    </row>
    <row r="2343" spans="3:13" ht="12.75" customHeight="1" x14ac:dyDescent="0.2">
      <c r="C2343"/>
      <c r="M2343"/>
    </row>
    <row r="2344" spans="3:13" ht="12.75" customHeight="1" x14ac:dyDescent="0.2">
      <c r="C2344"/>
      <c r="M2344"/>
    </row>
    <row r="2345" spans="3:13" ht="12.75" customHeight="1" x14ac:dyDescent="0.2">
      <c r="C2345"/>
      <c r="M2345"/>
    </row>
    <row r="2346" spans="3:13" ht="12.75" customHeight="1" x14ac:dyDescent="0.2">
      <c r="C2346"/>
      <c r="M2346"/>
    </row>
    <row r="2347" spans="3:13" ht="12.75" customHeight="1" x14ac:dyDescent="0.2">
      <c r="C2347"/>
      <c r="M2347"/>
    </row>
    <row r="2348" spans="3:13" ht="12.75" customHeight="1" x14ac:dyDescent="0.2">
      <c r="C2348"/>
      <c r="M2348"/>
    </row>
    <row r="2349" spans="3:13" ht="12.75" customHeight="1" x14ac:dyDescent="0.2">
      <c r="C2349"/>
      <c r="M2349"/>
    </row>
    <row r="2350" spans="3:13" ht="12.75" customHeight="1" x14ac:dyDescent="0.2">
      <c r="C2350"/>
      <c r="M2350"/>
    </row>
    <row r="2351" spans="3:13" ht="12.75" customHeight="1" x14ac:dyDescent="0.2">
      <c r="C2351"/>
      <c r="M2351"/>
    </row>
    <row r="2352" spans="3:13" ht="12.75" customHeight="1" x14ac:dyDescent="0.2">
      <c r="C2352"/>
      <c r="M2352"/>
    </row>
    <row r="2353" spans="3:13" ht="12.75" customHeight="1" x14ac:dyDescent="0.2">
      <c r="C2353"/>
      <c r="M2353"/>
    </row>
    <row r="2354" spans="3:13" ht="12.75" customHeight="1" x14ac:dyDescent="0.2">
      <c r="C2354"/>
      <c r="M2354"/>
    </row>
    <row r="2355" spans="3:13" ht="12.75" customHeight="1" x14ac:dyDescent="0.2">
      <c r="C2355"/>
      <c r="M2355"/>
    </row>
    <row r="2356" spans="3:13" ht="12.75" customHeight="1" x14ac:dyDescent="0.2">
      <c r="C2356"/>
      <c r="M2356"/>
    </row>
    <row r="2357" spans="3:13" ht="12.75" customHeight="1" x14ac:dyDescent="0.2">
      <c r="C2357"/>
      <c r="M2357"/>
    </row>
    <row r="2358" spans="3:13" ht="12.75" customHeight="1" x14ac:dyDescent="0.2">
      <c r="C2358"/>
      <c r="M2358"/>
    </row>
    <row r="2359" spans="3:13" ht="12.75" customHeight="1" x14ac:dyDescent="0.2">
      <c r="C2359"/>
      <c r="M2359"/>
    </row>
    <row r="2360" spans="3:13" ht="12.75" customHeight="1" x14ac:dyDescent="0.2">
      <c r="C2360"/>
      <c r="M2360"/>
    </row>
    <row r="2361" spans="3:13" ht="12.75" customHeight="1" x14ac:dyDescent="0.2">
      <c r="C2361"/>
      <c r="M2361"/>
    </row>
    <row r="2362" spans="3:13" ht="12.75" customHeight="1" x14ac:dyDescent="0.2">
      <c r="C2362"/>
      <c r="M2362"/>
    </row>
    <row r="2363" spans="3:13" ht="12.75" customHeight="1" x14ac:dyDescent="0.2">
      <c r="C2363"/>
      <c r="M2363"/>
    </row>
    <row r="2364" spans="3:13" ht="12.75" customHeight="1" x14ac:dyDescent="0.2">
      <c r="C2364"/>
      <c r="M2364"/>
    </row>
    <row r="2365" spans="3:13" ht="12.75" customHeight="1" x14ac:dyDescent="0.2">
      <c r="C2365"/>
      <c r="M2365"/>
    </row>
    <row r="2366" spans="3:13" ht="12.75" customHeight="1" x14ac:dyDescent="0.2">
      <c r="C2366"/>
      <c r="M2366"/>
    </row>
    <row r="2367" spans="3:13" ht="12.75" customHeight="1" x14ac:dyDescent="0.2">
      <c r="C2367"/>
      <c r="M2367"/>
    </row>
    <row r="2368" spans="3:13" ht="12.75" customHeight="1" x14ac:dyDescent="0.2">
      <c r="C2368"/>
      <c r="M2368"/>
    </row>
    <row r="2369" spans="3:13" ht="12.75" customHeight="1" x14ac:dyDescent="0.2">
      <c r="C2369"/>
      <c r="M2369"/>
    </row>
    <row r="2370" spans="3:13" ht="12.75" customHeight="1" x14ac:dyDescent="0.2">
      <c r="C2370"/>
      <c r="M2370"/>
    </row>
    <row r="2371" spans="3:13" ht="12.75" customHeight="1" x14ac:dyDescent="0.2">
      <c r="C2371"/>
      <c r="M2371"/>
    </row>
    <row r="2372" spans="3:13" ht="12.75" customHeight="1" x14ac:dyDescent="0.2">
      <c r="C2372"/>
      <c r="M2372"/>
    </row>
    <row r="2373" spans="3:13" ht="12.75" customHeight="1" x14ac:dyDescent="0.2">
      <c r="C2373"/>
      <c r="M2373"/>
    </row>
    <row r="2374" spans="3:13" ht="12.75" customHeight="1" x14ac:dyDescent="0.2">
      <c r="C2374"/>
      <c r="M2374"/>
    </row>
    <row r="2375" spans="3:13" ht="12.75" customHeight="1" x14ac:dyDescent="0.2">
      <c r="C2375"/>
      <c r="M2375"/>
    </row>
    <row r="2376" spans="3:13" ht="12.75" customHeight="1" x14ac:dyDescent="0.2">
      <c r="C2376"/>
      <c r="M2376"/>
    </row>
    <row r="2377" spans="3:13" ht="12.75" customHeight="1" x14ac:dyDescent="0.2">
      <c r="C2377"/>
      <c r="M2377"/>
    </row>
    <row r="2378" spans="3:13" ht="12.75" customHeight="1" x14ac:dyDescent="0.2">
      <c r="C2378"/>
      <c r="M2378"/>
    </row>
    <row r="2379" spans="3:13" ht="12.75" customHeight="1" x14ac:dyDescent="0.2">
      <c r="C2379"/>
      <c r="M2379"/>
    </row>
    <row r="2380" spans="3:13" ht="12.75" customHeight="1" x14ac:dyDescent="0.2">
      <c r="C2380"/>
      <c r="M2380"/>
    </row>
    <row r="2381" spans="3:13" ht="12.75" customHeight="1" x14ac:dyDescent="0.2">
      <c r="C2381"/>
      <c r="M2381"/>
    </row>
    <row r="2382" spans="3:13" ht="12.75" customHeight="1" x14ac:dyDescent="0.2">
      <c r="C2382"/>
      <c r="M2382"/>
    </row>
    <row r="2383" spans="3:13" ht="12.75" customHeight="1" x14ac:dyDescent="0.2">
      <c r="C2383"/>
      <c r="M2383"/>
    </row>
    <row r="2384" spans="3:13" ht="12.75" customHeight="1" x14ac:dyDescent="0.2">
      <c r="C2384"/>
      <c r="M2384"/>
    </row>
    <row r="2385" spans="3:13" ht="12.75" customHeight="1" x14ac:dyDescent="0.2">
      <c r="C2385"/>
      <c r="M2385"/>
    </row>
    <row r="2386" spans="3:13" ht="12.75" customHeight="1" x14ac:dyDescent="0.2">
      <c r="C2386"/>
      <c r="M2386"/>
    </row>
    <row r="2387" spans="3:13" ht="12.75" customHeight="1" x14ac:dyDescent="0.2">
      <c r="C2387"/>
      <c r="M2387"/>
    </row>
    <row r="2388" spans="3:13" ht="12.75" customHeight="1" x14ac:dyDescent="0.2">
      <c r="C2388"/>
      <c r="M2388"/>
    </row>
    <row r="2389" spans="3:13" ht="12.75" customHeight="1" x14ac:dyDescent="0.2">
      <c r="C2389"/>
      <c r="M2389"/>
    </row>
    <row r="2390" spans="3:13" ht="12.75" customHeight="1" x14ac:dyDescent="0.2">
      <c r="C2390"/>
      <c r="M2390"/>
    </row>
    <row r="2391" spans="3:13" ht="12.75" customHeight="1" x14ac:dyDescent="0.2">
      <c r="C2391"/>
      <c r="M2391"/>
    </row>
    <row r="2392" spans="3:13" ht="12.75" customHeight="1" x14ac:dyDescent="0.2">
      <c r="C2392"/>
      <c r="M2392"/>
    </row>
    <row r="2393" spans="3:13" ht="12.75" customHeight="1" x14ac:dyDescent="0.2">
      <c r="C2393"/>
      <c r="M2393"/>
    </row>
    <row r="2394" spans="3:13" ht="12.75" customHeight="1" x14ac:dyDescent="0.2">
      <c r="C2394"/>
      <c r="M2394"/>
    </row>
    <row r="2395" spans="3:13" ht="12.75" customHeight="1" x14ac:dyDescent="0.2">
      <c r="C2395"/>
      <c r="M2395"/>
    </row>
    <row r="2396" spans="3:13" ht="12.75" customHeight="1" x14ac:dyDescent="0.2">
      <c r="C2396"/>
      <c r="M2396"/>
    </row>
    <row r="2397" spans="3:13" ht="12.75" customHeight="1" x14ac:dyDescent="0.2">
      <c r="C2397"/>
      <c r="M2397"/>
    </row>
    <row r="2398" spans="3:13" ht="12.75" customHeight="1" x14ac:dyDescent="0.2">
      <c r="C2398"/>
      <c r="M2398"/>
    </row>
    <row r="2399" spans="3:13" ht="12.75" customHeight="1" x14ac:dyDescent="0.2">
      <c r="C2399"/>
      <c r="M2399"/>
    </row>
    <row r="2400" spans="3:13" ht="12.75" customHeight="1" x14ac:dyDescent="0.2">
      <c r="C2400"/>
      <c r="M2400"/>
    </row>
    <row r="2401" spans="3:13" ht="12.75" customHeight="1" x14ac:dyDescent="0.2">
      <c r="C2401"/>
      <c r="M2401"/>
    </row>
    <row r="2402" spans="3:13" ht="12.75" customHeight="1" x14ac:dyDescent="0.2">
      <c r="C2402"/>
      <c r="M2402"/>
    </row>
    <row r="2403" spans="3:13" ht="12.75" customHeight="1" x14ac:dyDescent="0.2">
      <c r="C2403"/>
      <c r="M2403"/>
    </row>
    <row r="2404" spans="3:13" ht="12.75" customHeight="1" x14ac:dyDescent="0.2">
      <c r="C2404"/>
      <c r="M2404"/>
    </row>
    <row r="2405" spans="3:13" ht="12.75" customHeight="1" x14ac:dyDescent="0.2">
      <c r="C2405"/>
      <c r="M2405"/>
    </row>
    <row r="2406" spans="3:13" ht="12.75" customHeight="1" x14ac:dyDescent="0.2">
      <c r="C2406"/>
      <c r="M2406"/>
    </row>
    <row r="2407" spans="3:13" ht="12.75" customHeight="1" x14ac:dyDescent="0.2">
      <c r="C2407"/>
      <c r="M2407"/>
    </row>
    <row r="2408" spans="3:13" ht="12.75" customHeight="1" x14ac:dyDescent="0.2">
      <c r="C2408"/>
      <c r="M2408"/>
    </row>
    <row r="2409" spans="3:13" ht="12.75" customHeight="1" x14ac:dyDescent="0.2">
      <c r="C2409"/>
      <c r="M2409"/>
    </row>
    <row r="2410" spans="3:13" ht="12.75" customHeight="1" x14ac:dyDescent="0.2">
      <c r="C2410"/>
      <c r="M2410"/>
    </row>
    <row r="2411" spans="3:13" ht="12.75" customHeight="1" x14ac:dyDescent="0.2">
      <c r="C2411"/>
      <c r="M2411"/>
    </row>
    <row r="2412" spans="3:13" ht="12.75" customHeight="1" x14ac:dyDescent="0.2">
      <c r="C2412"/>
      <c r="M2412"/>
    </row>
    <row r="2413" spans="3:13" ht="12.75" customHeight="1" x14ac:dyDescent="0.2">
      <c r="C2413"/>
      <c r="M2413"/>
    </row>
    <row r="2414" spans="3:13" ht="12.75" customHeight="1" x14ac:dyDescent="0.2">
      <c r="C2414"/>
      <c r="M2414"/>
    </row>
    <row r="2415" spans="3:13" ht="12.75" customHeight="1" x14ac:dyDescent="0.2">
      <c r="C2415"/>
      <c r="M2415"/>
    </row>
    <row r="2416" spans="3:13" ht="12.75" customHeight="1" x14ac:dyDescent="0.2">
      <c r="C2416"/>
      <c r="M2416"/>
    </row>
    <row r="2417" spans="3:13" ht="12.75" customHeight="1" x14ac:dyDescent="0.2">
      <c r="C2417"/>
      <c r="M2417"/>
    </row>
    <row r="2418" spans="3:13" ht="12.75" customHeight="1" x14ac:dyDescent="0.2">
      <c r="C2418"/>
      <c r="M2418"/>
    </row>
    <row r="2419" spans="3:13" ht="12.75" customHeight="1" x14ac:dyDescent="0.2">
      <c r="C2419"/>
      <c r="M2419"/>
    </row>
    <row r="2420" spans="3:13" ht="12.75" customHeight="1" x14ac:dyDescent="0.2">
      <c r="C2420"/>
      <c r="M2420"/>
    </row>
    <row r="2421" spans="3:13" ht="12.75" customHeight="1" x14ac:dyDescent="0.2">
      <c r="C2421"/>
      <c r="M2421"/>
    </row>
    <row r="2422" spans="3:13" ht="12.75" customHeight="1" x14ac:dyDescent="0.2">
      <c r="C2422"/>
      <c r="M2422"/>
    </row>
    <row r="2423" spans="3:13" ht="12.75" customHeight="1" x14ac:dyDescent="0.2">
      <c r="C2423"/>
      <c r="M2423"/>
    </row>
    <row r="2424" spans="3:13" ht="12.75" customHeight="1" x14ac:dyDescent="0.2">
      <c r="C2424"/>
      <c r="M2424"/>
    </row>
    <row r="2425" spans="3:13" ht="12.75" customHeight="1" x14ac:dyDescent="0.2">
      <c r="C2425"/>
      <c r="M2425"/>
    </row>
    <row r="2426" spans="3:13" ht="12.75" customHeight="1" x14ac:dyDescent="0.2">
      <c r="C2426"/>
      <c r="M2426"/>
    </row>
    <row r="2427" spans="3:13" ht="12.75" customHeight="1" x14ac:dyDescent="0.2">
      <c r="C2427"/>
      <c r="M2427"/>
    </row>
    <row r="2428" spans="3:13" ht="12.75" customHeight="1" x14ac:dyDescent="0.2">
      <c r="C2428"/>
      <c r="M2428"/>
    </row>
    <row r="2429" spans="3:13" ht="12.75" customHeight="1" x14ac:dyDescent="0.2">
      <c r="C2429"/>
      <c r="M2429"/>
    </row>
    <row r="2430" spans="3:13" ht="12.75" customHeight="1" x14ac:dyDescent="0.2">
      <c r="C2430"/>
      <c r="M2430"/>
    </row>
    <row r="2431" spans="3:13" ht="12.75" customHeight="1" x14ac:dyDescent="0.2">
      <c r="C2431"/>
      <c r="M2431"/>
    </row>
    <row r="2432" spans="3:13" ht="12.75" customHeight="1" x14ac:dyDescent="0.2">
      <c r="C2432"/>
      <c r="M2432"/>
    </row>
    <row r="2433" spans="3:13" ht="12.75" customHeight="1" x14ac:dyDescent="0.2">
      <c r="C2433"/>
      <c r="M2433"/>
    </row>
    <row r="2434" spans="3:13" ht="12.75" customHeight="1" x14ac:dyDescent="0.2">
      <c r="C2434"/>
      <c r="M2434"/>
    </row>
    <row r="2435" spans="3:13" ht="12.75" customHeight="1" x14ac:dyDescent="0.2">
      <c r="C2435"/>
      <c r="M2435"/>
    </row>
    <row r="2436" spans="3:13" ht="12.75" customHeight="1" x14ac:dyDescent="0.2">
      <c r="C2436"/>
      <c r="M2436"/>
    </row>
    <row r="2437" spans="3:13" ht="12.75" customHeight="1" x14ac:dyDescent="0.2">
      <c r="C2437"/>
      <c r="M2437"/>
    </row>
    <row r="2438" spans="3:13" ht="12.75" customHeight="1" x14ac:dyDescent="0.2">
      <c r="C2438"/>
      <c r="M2438"/>
    </row>
    <row r="2439" spans="3:13" ht="12.75" customHeight="1" x14ac:dyDescent="0.2">
      <c r="C2439"/>
      <c r="M2439"/>
    </row>
    <row r="2440" spans="3:13" ht="12.75" customHeight="1" x14ac:dyDescent="0.2">
      <c r="C2440"/>
      <c r="M2440"/>
    </row>
    <row r="2441" spans="3:13" ht="12.75" customHeight="1" x14ac:dyDescent="0.2">
      <c r="C2441"/>
      <c r="M2441"/>
    </row>
    <row r="2442" spans="3:13" ht="12.75" customHeight="1" x14ac:dyDescent="0.2">
      <c r="C2442"/>
      <c r="M2442"/>
    </row>
    <row r="2443" spans="3:13" ht="12.75" customHeight="1" x14ac:dyDescent="0.2">
      <c r="C2443"/>
      <c r="M2443"/>
    </row>
    <row r="2444" spans="3:13" ht="12.75" customHeight="1" x14ac:dyDescent="0.2">
      <c r="C2444"/>
      <c r="M2444"/>
    </row>
    <row r="2445" spans="3:13" ht="12.75" customHeight="1" x14ac:dyDescent="0.2">
      <c r="C2445"/>
      <c r="M2445"/>
    </row>
    <row r="2446" spans="3:13" ht="12.75" customHeight="1" x14ac:dyDescent="0.2">
      <c r="C2446"/>
      <c r="M2446"/>
    </row>
    <row r="2447" spans="3:13" ht="12.75" customHeight="1" x14ac:dyDescent="0.2">
      <c r="C2447"/>
      <c r="M2447"/>
    </row>
    <row r="2448" spans="3:13" ht="12.75" customHeight="1" x14ac:dyDescent="0.2">
      <c r="C2448"/>
      <c r="M2448"/>
    </row>
    <row r="2449" spans="3:13" ht="12.75" customHeight="1" x14ac:dyDescent="0.2">
      <c r="C2449"/>
      <c r="M2449"/>
    </row>
    <row r="2450" spans="3:13" ht="12.75" customHeight="1" x14ac:dyDescent="0.2">
      <c r="C2450"/>
      <c r="M2450"/>
    </row>
    <row r="2451" spans="3:13" ht="12.75" customHeight="1" x14ac:dyDescent="0.2">
      <c r="C2451"/>
      <c r="M2451"/>
    </row>
    <row r="2452" spans="3:13" ht="12.75" customHeight="1" x14ac:dyDescent="0.2">
      <c r="C2452"/>
      <c r="M2452"/>
    </row>
    <row r="2453" spans="3:13" ht="12.75" customHeight="1" x14ac:dyDescent="0.2">
      <c r="C2453"/>
      <c r="M2453"/>
    </row>
    <row r="2454" spans="3:13" ht="12.75" customHeight="1" x14ac:dyDescent="0.2">
      <c r="C2454"/>
      <c r="M2454"/>
    </row>
    <row r="2455" spans="3:13" ht="12.75" customHeight="1" x14ac:dyDescent="0.2">
      <c r="C2455"/>
      <c r="M2455"/>
    </row>
    <row r="2456" spans="3:13" ht="12.75" customHeight="1" x14ac:dyDescent="0.2">
      <c r="C2456"/>
      <c r="M2456"/>
    </row>
    <row r="2457" spans="3:13" ht="12.75" customHeight="1" x14ac:dyDescent="0.2">
      <c r="C2457"/>
      <c r="M2457"/>
    </row>
    <row r="2458" spans="3:13" ht="12.75" customHeight="1" x14ac:dyDescent="0.2">
      <c r="C2458"/>
      <c r="M2458"/>
    </row>
    <row r="2459" spans="3:13" ht="12.75" customHeight="1" x14ac:dyDescent="0.2">
      <c r="C2459"/>
      <c r="M2459"/>
    </row>
    <row r="2460" spans="3:13" ht="12.75" customHeight="1" x14ac:dyDescent="0.2">
      <c r="C2460"/>
      <c r="M2460"/>
    </row>
    <row r="2461" spans="3:13" ht="12.75" customHeight="1" x14ac:dyDescent="0.2">
      <c r="C2461"/>
      <c r="M2461"/>
    </row>
    <row r="2462" spans="3:13" ht="12.75" customHeight="1" x14ac:dyDescent="0.2">
      <c r="C2462"/>
      <c r="M2462"/>
    </row>
    <row r="2463" spans="3:13" ht="12.75" customHeight="1" x14ac:dyDescent="0.2">
      <c r="C2463"/>
      <c r="M2463"/>
    </row>
    <row r="2464" spans="3:13" ht="12.75" customHeight="1" x14ac:dyDescent="0.2">
      <c r="C2464"/>
      <c r="M2464"/>
    </row>
    <row r="2465" spans="3:13" ht="12.75" customHeight="1" x14ac:dyDescent="0.2">
      <c r="C2465"/>
      <c r="M2465"/>
    </row>
    <row r="2466" spans="3:13" ht="12.75" customHeight="1" x14ac:dyDescent="0.2">
      <c r="C2466"/>
      <c r="M2466"/>
    </row>
    <row r="2467" spans="3:13" ht="12.75" customHeight="1" x14ac:dyDescent="0.2">
      <c r="C2467"/>
      <c r="M2467"/>
    </row>
    <row r="2468" spans="3:13" ht="12.75" customHeight="1" x14ac:dyDescent="0.2">
      <c r="C2468"/>
      <c r="M2468"/>
    </row>
    <row r="2469" spans="3:13" ht="12.75" customHeight="1" x14ac:dyDescent="0.2">
      <c r="C2469"/>
      <c r="M2469"/>
    </row>
    <row r="2470" spans="3:13" ht="12.75" customHeight="1" x14ac:dyDescent="0.2">
      <c r="C2470"/>
      <c r="M2470"/>
    </row>
    <row r="2471" spans="3:13" ht="12.75" customHeight="1" x14ac:dyDescent="0.2">
      <c r="C2471"/>
      <c r="M2471"/>
    </row>
    <row r="2472" spans="3:13" ht="12.75" customHeight="1" x14ac:dyDescent="0.2">
      <c r="C2472"/>
      <c r="M2472"/>
    </row>
    <row r="2473" spans="3:13" ht="12.75" customHeight="1" x14ac:dyDescent="0.2">
      <c r="C2473"/>
      <c r="M2473"/>
    </row>
    <row r="2474" spans="3:13" ht="12.75" customHeight="1" x14ac:dyDescent="0.2">
      <c r="C2474"/>
      <c r="M2474"/>
    </row>
    <row r="2475" spans="3:13" ht="12.75" customHeight="1" x14ac:dyDescent="0.2">
      <c r="C2475"/>
      <c r="M2475"/>
    </row>
    <row r="2476" spans="3:13" ht="12.75" customHeight="1" x14ac:dyDescent="0.2">
      <c r="C2476"/>
      <c r="M2476"/>
    </row>
    <row r="2477" spans="3:13" ht="12.75" customHeight="1" x14ac:dyDescent="0.2">
      <c r="C2477"/>
      <c r="M2477"/>
    </row>
    <row r="2478" spans="3:13" ht="12.75" customHeight="1" x14ac:dyDescent="0.2">
      <c r="C2478"/>
      <c r="M2478"/>
    </row>
    <row r="2479" spans="3:13" ht="12.75" customHeight="1" x14ac:dyDescent="0.2">
      <c r="C2479"/>
      <c r="M2479"/>
    </row>
    <row r="2480" spans="3:13" ht="12.75" customHeight="1" x14ac:dyDescent="0.2">
      <c r="C2480"/>
      <c r="M2480"/>
    </row>
    <row r="2481" spans="3:13" ht="12.75" customHeight="1" x14ac:dyDescent="0.2">
      <c r="C2481"/>
      <c r="M2481"/>
    </row>
    <row r="2482" spans="3:13" ht="12.75" customHeight="1" x14ac:dyDescent="0.2">
      <c r="C2482"/>
      <c r="M2482"/>
    </row>
    <row r="2483" spans="3:13" ht="12.75" customHeight="1" x14ac:dyDescent="0.2">
      <c r="C2483"/>
      <c r="M2483"/>
    </row>
    <row r="2484" spans="3:13" ht="12.75" customHeight="1" x14ac:dyDescent="0.2">
      <c r="C2484"/>
      <c r="M2484"/>
    </row>
    <row r="2485" spans="3:13" ht="12.75" customHeight="1" x14ac:dyDescent="0.2">
      <c r="C2485"/>
      <c r="M2485"/>
    </row>
    <row r="2486" spans="3:13" ht="12.75" customHeight="1" x14ac:dyDescent="0.2">
      <c r="C2486"/>
      <c r="M2486"/>
    </row>
    <row r="2487" spans="3:13" ht="12.75" customHeight="1" x14ac:dyDescent="0.2">
      <c r="C2487"/>
      <c r="M2487"/>
    </row>
    <row r="2488" spans="3:13" ht="12.75" customHeight="1" x14ac:dyDescent="0.2">
      <c r="C2488"/>
      <c r="M2488"/>
    </row>
    <row r="2489" spans="3:13" ht="12.75" customHeight="1" x14ac:dyDescent="0.2">
      <c r="C2489"/>
      <c r="M2489"/>
    </row>
    <row r="2490" spans="3:13" ht="12.75" customHeight="1" x14ac:dyDescent="0.2">
      <c r="C2490"/>
      <c r="M2490"/>
    </row>
    <row r="2491" spans="3:13" ht="12.75" customHeight="1" x14ac:dyDescent="0.2">
      <c r="C2491"/>
      <c r="M2491"/>
    </row>
    <row r="2492" spans="3:13" ht="12.75" customHeight="1" x14ac:dyDescent="0.2">
      <c r="C2492"/>
      <c r="M2492"/>
    </row>
    <row r="2493" spans="3:13" ht="12.75" customHeight="1" x14ac:dyDescent="0.2">
      <c r="C2493"/>
      <c r="M2493"/>
    </row>
    <row r="2494" spans="3:13" ht="12.75" customHeight="1" x14ac:dyDescent="0.2">
      <c r="C2494"/>
      <c r="M2494"/>
    </row>
    <row r="2495" spans="3:13" ht="12.75" customHeight="1" x14ac:dyDescent="0.2">
      <c r="C2495"/>
      <c r="M2495"/>
    </row>
    <row r="2496" spans="3:13" ht="12.75" customHeight="1" x14ac:dyDescent="0.2">
      <c r="C2496"/>
      <c r="M2496"/>
    </row>
    <row r="2497" spans="3:13" ht="12.75" customHeight="1" x14ac:dyDescent="0.2">
      <c r="C2497"/>
      <c r="M2497"/>
    </row>
    <row r="2498" spans="3:13" ht="12.75" customHeight="1" x14ac:dyDescent="0.2">
      <c r="C2498"/>
      <c r="M2498"/>
    </row>
    <row r="2499" spans="3:13" ht="12.75" customHeight="1" x14ac:dyDescent="0.2">
      <c r="C2499"/>
      <c r="M2499"/>
    </row>
    <row r="2500" spans="3:13" ht="12.75" customHeight="1" x14ac:dyDescent="0.2">
      <c r="C2500"/>
      <c r="M2500"/>
    </row>
    <row r="2501" spans="3:13" ht="12.75" customHeight="1" x14ac:dyDescent="0.2">
      <c r="C2501"/>
      <c r="M2501"/>
    </row>
    <row r="2502" spans="3:13" ht="12.75" customHeight="1" x14ac:dyDescent="0.2">
      <c r="C2502"/>
      <c r="M2502"/>
    </row>
    <row r="2503" spans="3:13" ht="12.75" customHeight="1" x14ac:dyDescent="0.2">
      <c r="C2503"/>
      <c r="M2503"/>
    </row>
    <row r="2504" spans="3:13" ht="12.75" customHeight="1" x14ac:dyDescent="0.2">
      <c r="C2504"/>
      <c r="M2504"/>
    </row>
    <row r="2505" spans="3:13" ht="12.75" customHeight="1" x14ac:dyDescent="0.2">
      <c r="C2505"/>
      <c r="M2505"/>
    </row>
    <row r="2506" spans="3:13" ht="12.75" customHeight="1" x14ac:dyDescent="0.2">
      <c r="C2506"/>
      <c r="M2506"/>
    </row>
    <row r="2507" spans="3:13" ht="12.75" customHeight="1" x14ac:dyDescent="0.2">
      <c r="C2507"/>
      <c r="M2507"/>
    </row>
    <row r="2508" spans="3:13" ht="12.75" customHeight="1" x14ac:dyDescent="0.2">
      <c r="C2508"/>
      <c r="M2508"/>
    </row>
    <row r="2509" spans="3:13" ht="12.75" customHeight="1" x14ac:dyDescent="0.2">
      <c r="C2509"/>
      <c r="M2509"/>
    </row>
    <row r="2510" spans="3:13" ht="12.75" customHeight="1" x14ac:dyDescent="0.2">
      <c r="C2510"/>
      <c r="M2510"/>
    </row>
    <row r="2511" spans="3:13" ht="12.75" customHeight="1" x14ac:dyDescent="0.2">
      <c r="C2511"/>
      <c r="M2511"/>
    </row>
    <row r="2512" spans="3:13" ht="12.75" customHeight="1" x14ac:dyDescent="0.2">
      <c r="C2512"/>
      <c r="M2512"/>
    </row>
    <row r="2513" spans="3:13" ht="12.75" customHeight="1" x14ac:dyDescent="0.2">
      <c r="C2513"/>
      <c r="M2513"/>
    </row>
    <row r="2514" spans="3:13" ht="12.75" customHeight="1" x14ac:dyDescent="0.2">
      <c r="C2514"/>
      <c r="M2514"/>
    </row>
    <row r="2515" spans="3:13" ht="12.75" customHeight="1" x14ac:dyDescent="0.2">
      <c r="C2515"/>
      <c r="M2515"/>
    </row>
    <row r="2516" spans="3:13" ht="12.75" customHeight="1" x14ac:dyDescent="0.2">
      <c r="C2516"/>
      <c r="M2516"/>
    </row>
    <row r="2517" spans="3:13" ht="12.75" customHeight="1" x14ac:dyDescent="0.2">
      <c r="C2517"/>
      <c r="M2517"/>
    </row>
    <row r="2518" spans="3:13" ht="12.75" customHeight="1" x14ac:dyDescent="0.2">
      <c r="C2518"/>
      <c r="M2518"/>
    </row>
    <row r="2519" spans="3:13" ht="12.75" customHeight="1" x14ac:dyDescent="0.2">
      <c r="C2519"/>
      <c r="M2519"/>
    </row>
    <row r="2520" spans="3:13" ht="12.75" customHeight="1" x14ac:dyDescent="0.2">
      <c r="C2520"/>
      <c r="M2520"/>
    </row>
    <row r="2521" spans="3:13" ht="12.75" customHeight="1" x14ac:dyDescent="0.2">
      <c r="C2521"/>
      <c r="M2521"/>
    </row>
    <row r="2522" spans="3:13" ht="12.75" customHeight="1" x14ac:dyDescent="0.2">
      <c r="C2522"/>
      <c r="M2522"/>
    </row>
    <row r="2523" spans="3:13" ht="12.75" customHeight="1" x14ac:dyDescent="0.2">
      <c r="C2523"/>
      <c r="M2523"/>
    </row>
    <row r="2524" spans="3:13" ht="12.75" customHeight="1" x14ac:dyDescent="0.2">
      <c r="C2524"/>
      <c r="M2524"/>
    </row>
    <row r="2525" spans="3:13" ht="12.75" customHeight="1" x14ac:dyDescent="0.2">
      <c r="C2525"/>
      <c r="M2525"/>
    </row>
    <row r="2526" spans="3:13" ht="12.75" customHeight="1" x14ac:dyDescent="0.2">
      <c r="C2526"/>
      <c r="M2526"/>
    </row>
    <row r="2527" spans="3:13" ht="12.75" customHeight="1" x14ac:dyDescent="0.2">
      <c r="C2527"/>
      <c r="M2527"/>
    </row>
    <row r="2528" spans="3:13" ht="12.75" customHeight="1" x14ac:dyDescent="0.2">
      <c r="C2528"/>
      <c r="M2528"/>
    </row>
    <row r="2529" spans="3:13" ht="12.75" customHeight="1" x14ac:dyDescent="0.2">
      <c r="C2529"/>
      <c r="M2529"/>
    </row>
    <row r="2530" spans="3:13" ht="12.75" customHeight="1" x14ac:dyDescent="0.2">
      <c r="C2530"/>
      <c r="M2530"/>
    </row>
    <row r="2531" spans="3:13" ht="12.75" customHeight="1" x14ac:dyDescent="0.2">
      <c r="C2531"/>
      <c r="M2531"/>
    </row>
    <row r="2532" spans="3:13" ht="12.75" customHeight="1" x14ac:dyDescent="0.2">
      <c r="C2532"/>
      <c r="M2532"/>
    </row>
    <row r="2533" spans="3:13" ht="12.75" customHeight="1" x14ac:dyDescent="0.2">
      <c r="C2533"/>
      <c r="M2533"/>
    </row>
    <row r="2534" spans="3:13" ht="12.75" customHeight="1" x14ac:dyDescent="0.2">
      <c r="C2534"/>
      <c r="M2534"/>
    </row>
    <row r="2535" spans="3:13" ht="12.75" customHeight="1" x14ac:dyDescent="0.2">
      <c r="C2535"/>
      <c r="M2535"/>
    </row>
    <row r="2536" spans="3:13" ht="12.75" customHeight="1" x14ac:dyDescent="0.2">
      <c r="C2536"/>
      <c r="M2536"/>
    </row>
    <row r="2537" spans="3:13" ht="12.75" customHeight="1" x14ac:dyDescent="0.2">
      <c r="C2537"/>
      <c r="M2537"/>
    </row>
    <row r="2538" spans="3:13" ht="12.75" customHeight="1" x14ac:dyDescent="0.2">
      <c r="C2538"/>
      <c r="M2538"/>
    </row>
    <row r="2539" spans="3:13" ht="12.75" customHeight="1" x14ac:dyDescent="0.2">
      <c r="C2539"/>
      <c r="M2539"/>
    </row>
    <row r="2540" spans="3:13" ht="12.75" customHeight="1" x14ac:dyDescent="0.2">
      <c r="C2540"/>
      <c r="M2540"/>
    </row>
    <row r="2541" spans="3:13" ht="12.75" customHeight="1" x14ac:dyDescent="0.2">
      <c r="C2541"/>
      <c r="M2541"/>
    </row>
    <row r="2542" spans="3:13" ht="12.75" customHeight="1" x14ac:dyDescent="0.2">
      <c r="C2542"/>
      <c r="M2542"/>
    </row>
    <row r="2543" spans="3:13" ht="12.75" customHeight="1" x14ac:dyDescent="0.2">
      <c r="C2543"/>
      <c r="M2543"/>
    </row>
    <row r="2544" spans="3:13" ht="12.75" customHeight="1" x14ac:dyDescent="0.2">
      <c r="C2544"/>
      <c r="M2544"/>
    </row>
    <row r="2545" spans="3:13" ht="12.75" customHeight="1" x14ac:dyDescent="0.2">
      <c r="C2545"/>
      <c r="M2545"/>
    </row>
    <row r="2546" spans="3:13" ht="12.75" customHeight="1" x14ac:dyDescent="0.2">
      <c r="C2546"/>
      <c r="M2546"/>
    </row>
    <row r="2547" spans="3:13" ht="12.75" customHeight="1" x14ac:dyDescent="0.2">
      <c r="C2547"/>
      <c r="M2547"/>
    </row>
    <row r="2548" spans="3:13" ht="12.75" customHeight="1" x14ac:dyDescent="0.2">
      <c r="C2548"/>
      <c r="M2548"/>
    </row>
    <row r="2549" spans="3:13" ht="12.75" customHeight="1" x14ac:dyDescent="0.2">
      <c r="C2549"/>
      <c r="M2549"/>
    </row>
    <row r="2550" spans="3:13" ht="12.75" customHeight="1" x14ac:dyDescent="0.2">
      <c r="C2550"/>
      <c r="M2550"/>
    </row>
    <row r="2551" spans="3:13" ht="12.75" customHeight="1" x14ac:dyDescent="0.2">
      <c r="C2551"/>
      <c r="M2551"/>
    </row>
    <row r="2552" spans="3:13" ht="12.75" customHeight="1" x14ac:dyDescent="0.2">
      <c r="C2552"/>
      <c r="M2552"/>
    </row>
    <row r="2553" spans="3:13" ht="12.75" customHeight="1" x14ac:dyDescent="0.2">
      <c r="C2553"/>
      <c r="M2553"/>
    </row>
    <row r="2554" spans="3:13" ht="12.75" customHeight="1" x14ac:dyDescent="0.2">
      <c r="C2554"/>
      <c r="M2554"/>
    </row>
    <row r="2555" spans="3:13" ht="12.75" customHeight="1" x14ac:dyDescent="0.2">
      <c r="C2555"/>
      <c r="M2555"/>
    </row>
    <row r="2556" spans="3:13" ht="12.75" customHeight="1" x14ac:dyDescent="0.2">
      <c r="C2556"/>
      <c r="M2556"/>
    </row>
    <row r="2557" spans="3:13" ht="12.75" customHeight="1" x14ac:dyDescent="0.2">
      <c r="C2557"/>
      <c r="M2557"/>
    </row>
    <row r="2558" spans="3:13" ht="12.75" customHeight="1" x14ac:dyDescent="0.2">
      <c r="C2558"/>
      <c r="M2558"/>
    </row>
    <row r="2559" spans="3:13" ht="12.75" customHeight="1" x14ac:dyDescent="0.2">
      <c r="C2559"/>
      <c r="M2559"/>
    </row>
    <row r="2560" spans="3:13" ht="12.75" customHeight="1" x14ac:dyDescent="0.2">
      <c r="C2560"/>
      <c r="M2560"/>
    </row>
    <row r="2561" spans="3:13" ht="12.75" customHeight="1" x14ac:dyDescent="0.2">
      <c r="C2561"/>
      <c r="M2561"/>
    </row>
    <row r="2562" spans="3:13" ht="12.75" customHeight="1" x14ac:dyDescent="0.2">
      <c r="C2562"/>
      <c r="M2562"/>
    </row>
    <row r="2563" spans="3:13" ht="12.75" customHeight="1" x14ac:dyDescent="0.2">
      <c r="C2563"/>
      <c r="M2563"/>
    </row>
    <row r="2564" spans="3:13" ht="12.75" customHeight="1" x14ac:dyDescent="0.2">
      <c r="C2564"/>
      <c r="M2564"/>
    </row>
    <row r="2565" spans="3:13" ht="12.75" customHeight="1" x14ac:dyDescent="0.2">
      <c r="C2565"/>
      <c r="M2565"/>
    </row>
    <row r="2566" spans="3:13" ht="12.75" customHeight="1" x14ac:dyDescent="0.2">
      <c r="C2566"/>
      <c r="M2566"/>
    </row>
    <row r="2567" spans="3:13" ht="12.75" customHeight="1" x14ac:dyDescent="0.2">
      <c r="C2567"/>
      <c r="M2567"/>
    </row>
    <row r="2568" spans="3:13" ht="12.75" customHeight="1" x14ac:dyDescent="0.2">
      <c r="C2568"/>
      <c r="M2568"/>
    </row>
    <row r="2569" spans="3:13" ht="12.75" customHeight="1" x14ac:dyDescent="0.2">
      <c r="C2569"/>
      <c r="M2569"/>
    </row>
    <row r="2570" spans="3:13" ht="12.75" customHeight="1" x14ac:dyDescent="0.2">
      <c r="C2570"/>
      <c r="M2570"/>
    </row>
    <row r="2571" spans="3:13" ht="12.75" customHeight="1" x14ac:dyDescent="0.2">
      <c r="C2571"/>
      <c r="M2571"/>
    </row>
    <row r="2572" spans="3:13" ht="12.75" customHeight="1" x14ac:dyDescent="0.2">
      <c r="C2572"/>
      <c r="M2572"/>
    </row>
    <row r="2573" spans="3:13" ht="12.75" customHeight="1" x14ac:dyDescent="0.2">
      <c r="C2573"/>
      <c r="M2573"/>
    </row>
    <row r="2574" spans="3:13" ht="12.75" customHeight="1" x14ac:dyDescent="0.2">
      <c r="C2574"/>
      <c r="M2574"/>
    </row>
    <row r="2575" spans="3:13" ht="12.75" customHeight="1" x14ac:dyDescent="0.2">
      <c r="C2575"/>
      <c r="M2575"/>
    </row>
    <row r="2576" spans="3:13" ht="12.75" customHeight="1" x14ac:dyDescent="0.2">
      <c r="C2576"/>
      <c r="M2576"/>
    </row>
    <row r="2577" spans="3:13" ht="12.75" customHeight="1" x14ac:dyDescent="0.2">
      <c r="C2577"/>
      <c r="M2577"/>
    </row>
    <row r="2578" spans="3:13" ht="12.75" customHeight="1" x14ac:dyDescent="0.2">
      <c r="C2578"/>
      <c r="M2578"/>
    </row>
    <row r="2579" spans="3:13" ht="12.75" customHeight="1" x14ac:dyDescent="0.2">
      <c r="C2579"/>
      <c r="M2579"/>
    </row>
    <row r="2580" spans="3:13" ht="12.75" customHeight="1" x14ac:dyDescent="0.2">
      <c r="C2580"/>
      <c r="M2580"/>
    </row>
    <row r="2581" spans="3:13" ht="12.75" customHeight="1" x14ac:dyDescent="0.2">
      <c r="C2581"/>
      <c r="M2581"/>
    </row>
    <row r="2582" spans="3:13" ht="12.75" customHeight="1" x14ac:dyDescent="0.2">
      <c r="C2582"/>
      <c r="M2582"/>
    </row>
    <row r="2583" spans="3:13" ht="12.75" customHeight="1" x14ac:dyDescent="0.2">
      <c r="C2583"/>
      <c r="M2583"/>
    </row>
    <row r="2584" spans="3:13" ht="12.75" customHeight="1" x14ac:dyDescent="0.2">
      <c r="C2584"/>
      <c r="M2584"/>
    </row>
    <row r="2585" spans="3:13" ht="12.75" customHeight="1" x14ac:dyDescent="0.2">
      <c r="C2585"/>
      <c r="M2585"/>
    </row>
    <row r="2586" spans="3:13" ht="12.75" customHeight="1" x14ac:dyDescent="0.2">
      <c r="C2586"/>
      <c r="M2586"/>
    </row>
    <row r="2587" spans="3:13" ht="12.75" customHeight="1" x14ac:dyDescent="0.2">
      <c r="C2587"/>
      <c r="M2587"/>
    </row>
    <row r="2588" spans="3:13" ht="12.75" customHeight="1" x14ac:dyDescent="0.2">
      <c r="C2588"/>
      <c r="M2588"/>
    </row>
    <row r="2589" spans="3:13" ht="12.75" customHeight="1" x14ac:dyDescent="0.2">
      <c r="C2589"/>
      <c r="M2589"/>
    </row>
    <row r="2590" spans="3:13" ht="12.75" customHeight="1" x14ac:dyDescent="0.2">
      <c r="C2590"/>
      <c r="M2590"/>
    </row>
    <row r="2591" spans="3:13" ht="12.75" customHeight="1" x14ac:dyDescent="0.2">
      <c r="C2591"/>
      <c r="M2591"/>
    </row>
    <row r="2592" spans="3:13" ht="12.75" customHeight="1" x14ac:dyDescent="0.2">
      <c r="C2592"/>
      <c r="M2592"/>
    </row>
    <row r="2593" spans="3:13" ht="12.75" customHeight="1" x14ac:dyDescent="0.2">
      <c r="C2593"/>
      <c r="M2593"/>
    </row>
    <row r="2594" spans="3:13" ht="12.75" customHeight="1" x14ac:dyDescent="0.2">
      <c r="C2594"/>
      <c r="M2594"/>
    </row>
    <row r="2595" spans="3:13" ht="12.75" customHeight="1" x14ac:dyDescent="0.2">
      <c r="C2595"/>
      <c r="M2595"/>
    </row>
    <row r="2596" spans="3:13" ht="12.75" customHeight="1" x14ac:dyDescent="0.2">
      <c r="C2596"/>
      <c r="M2596"/>
    </row>
    <row r="2597" spans="3:13" ht="12.75" customHeight="1" x14ac:dyDescent="0.2">
      <c r="C2597"/>
      <c r="M2597"/>
    </row>
    <row r="2598" spans="3:13" ht="12.75" customHeight="1" x14ac:dyDescent="0.2">
      <c r="C2598"/>
      <c r="M2598"/>
    </row>
    <row r="2599" spans="3:13" ht="12.75" customHeight="1" x14ac:dyDescent="0.2">
      <c r="C2599"/>
      <c r="M2599"/>
    </row>
    <row r="2600" spans="3:13" ht="12.75" customHeight="1" x14ac:dyDescent="0.2">
      <c r="C2600"/>
      <c r="M2600"/>
    </row>
    <row r="2601" spans="3:13" ht="12.75" customHeight="1" x14ac:dyDescent="0.2">
      <c r="C2601"/>
      <c r="M2601"/>
    </row>
    <row r="2602" spans="3:13" ht="12.75" customHeight="1" x14ac:dyDescent="0.2">
      <c r="C2602"/>
      <c r="M2602"/>
    </row>
    <row r="2603" spans="3:13" ht="12.75" customHeight="1" x14ac:dyDescent="0.2">
      <c r="C2603"/>
      <c r="M2603"/>
    </row>
    <row r="2604" spans="3:13" ht="12.75" customHeight="1" x14ac:dyDescent="0.2">
      <c r="C2604"/>
      <c r="M2604"/>
    </row>
    <row r="2605" spans="3:13" ht="12.75" customHeight="1" x14ac:dyDescent="0.2">
      <c r="C2605"/>
      <c r="M2605"/>
    </row>
    <row r="2606" spans="3:13" ht="12.75" customHeight="1" x14ac:dyDescent="0.2">
      <c r="C2606"/>
      <c r="M2606"/>
    </row>
    <row r="2607" spans="3:13" ht="12.75" customHeight="1" x14ac:dyDescent="0.2">
      <c r="C2607"/>
      <c r="M2607"/>
    </row>
    <row r="2608" spans="3:13" ht="12.75" customHeight="1" x14ac:dyDescent="0.2">
      <c r="C2608"/>
      <c r="M2608"/>
    </row>
    <row r="2609" spans="3:13" ht="12.75" customHeight="1" x14ac:dyDescent="0.2">
      <c r="C2609"/>
      <c r="M2609"/>
    </row>
    <row r="2610" spans="3:13" ht="12.75" customHeight="1" x14ac:dyDescent="0.2">
      <c r="C2610"/>
      <c r="M2610"/>
    </row>
    <row r="2611" spans="3:13" ht="12.75" customHeight="1" x14ac:dyDescent="0.2">
      <c r="C2611"/>
      <c r="M2611"/>
    </row>
    <row r="2612" spans="3:13" ht="12.75" customHeight="1" x14ac:dyDescent="0.2">
      <c r="C2612"/>
      <c r="M2612"/>
    </row>
    <row r="2613" spans="3:13" ht="12.75" customHeight="1" x14ac:dyDescent="0.2">
      <c r="C2613"/>
      <c r="M2613"/>
    </row>
    <row r="2614" spans="3:13" ht="12.75" customHeight="1" x14ac:dyDescent="0.2">
      <c r="C2614"/>
      <c r="M2614"/>
    </row>
    <row r="2615" spans="3:13" ht="12.75" customHeight="1" x14ac:dyDescent="0.2">
      <c r="C2615"/>
      <c r="M2615"/>
    </row>
    <row r="2616" spans="3:13" ht="12.75" customHeight="1" x14ac:dyDescent="0.2">
      <c r="C2616"/>
      <c r="M2616"/>
    </row>
    <row r="2617" spans="3:13" ht="12.75" customHeight="1" x14ac:dyDescent="0.2">
      <c r="C2617"/>
      <c r="M2617"/>
    </row>
    <row r="2618" spans="3:13" ht="12.75" customHeight="1" x14ac:dyDescent="0.2">
      <c r="C2618"/>
      <c r="M2618"/>
    </row>
    <row r="2619" spans="3:13" ht="12.75" customHeight="1" x14ac:dyDescent="0.2">
      <c r="C2619"/>
      <c r="M2619"/>
    </row>
    <row r="2620" spans="3:13" ht="12.75" customHeight="1" x14ac:dyDescent="0.2">
      <c r="C2620"/>
      <c r="M2620"/>
    </row>
    <row r="2621" spans="3:13" ht="12.75" customHeight="1" x14ac:dyDescent="0.2">
      <c r="C2621"/>
      <c r="M2621"/>
    </row>
    <row r="2622" spans="3:13" ht="12.75" customHeight="1" x14ac:dyDescent="0.2">
      <c r="C2622"/>
      <c r="M2622"/>
    </row>
    <row r="2623" spans="3:13" ht="12.75" customHeight="1" x14ac:dyDescent="0.2">
      <c r="C2623"/>
      <c r="M2623"/>
    </row>
    <row r="2624" spans="3:13" ht="12.75" customHeight="1" x14ac:dyDescent="0.2">
      <c r="C2624"/>
      <c r="M2624"/>
    </row>
    <row r="2625" spans="3:13" ht="12.75" customHeight="1" x14ac:dyDescent="0.2">
      <c r="C2625"/>
      <c r="M2625"/>
    </row>
    <row r="2626" spans="3:13" ht="12.75" customHeight="1" x14ac:dyDescent="0.2">
      <c r="C2626"/>
      <c r="M2626"/>
    </row>
    <row r="2627" spans="3:13" ht="12.75" customHeight="1" x14ac:dyDescent="0.2">
      <c r="C2627"/>
      <c r="M2627"/>
    </row>
    <row r="2628" spans="3:13" ht="12.75" customHeight="1" x14ac:dyDescent="0.2">
      <c r="C2628"/>
      <c r="M2628"/>
    </row>
    <row r="2629" spans="3:13" ht="12.75" customHeight="1" x14ac:dyDescent="0.2">
      <c r="C2629"/>
      <c r="M2629"/>
    </row>
    <row r="2630" spans="3:13" ht="12.75" customHeight="1" x14ac:dyDescent="0.2">
      <c r="C2630"/>
      <c r="M2630"/>
    </row>
    <row r="2631" spans="3:13" ht="12.75" customHeight="1" x14ac:dyDescent="0.2">
      <c r="C2631"/>
      <c r="M2631"/>
    </row>
    <row r="2632" spans="3:13" ht="12.75" customHeight="1" x14ac:dyDescent="0.2">
      <c r="C2632"/>
      <c r="M2632"/>
    </row>
    <row r="2633" spans="3:13" ht="12.75" customHeight="1" x14ac:dyDescent="0.2">
      <c r="C2633"/>
      <c r="M2633"/>
    </row>
    <row r="2634" spans="3:13" ht="12.75" customHeight="1" x14ac:dyDescent="0.2">
      <c r="C2634"/>
      <c r="M2634"/>
    </row>
    <row r="2635" spans="3:13" ht="12.75" customHeight="1" x14ac:dyDescent="0.2">
      <c r="C2635"/>
      <c r="M2635"/>
    </row>
    <row r="2636" spans="3:13" ht="12.75" customHeight="1" x14ac:dyDescent="0.2">
      <c r="C2636"/>
      <c r="M2636"/>
    </row>
    <row r="2637" spans="3:13" ht="12.75" customHeight="1" x14ac:dyDescent="0.2">
      <c r="C2637"/>
      <c r="M2637"/>
    </row>
    <row r="2638" spans="3:13" ht="12.75" customHeight="1" x14ac:dyDescent="0.2">
      <c r="C2638"/>
      <c r="M2638"/>
    </row>
    <row r="2639" spans="3:13" ht="12.75" customHeight="1" x14ac:dyDescent="0.2">
      <c r="C2639"/>
      <c r="M2639"/>
    </row>
    <row r="2640" spans="3:13" ht="12.75" customHeight="1" x14ac:dyDescent="0.2">
      <c r="C2640"/>
      <c r="M2640"/>
    </row>
    <row r="2641" spans="3:13" ht="12.75" customHeight="1" x14ac:dyDescent="0.2">
      <c r="C2641"/>
      <c r="M2641"/>
    </row>
    <row r="2642" spans="3:13" ht="12.75" customHeight="1" x14ac:dyDescent="0.2">
      <c r="C2642"/>
      <c r="M2642"/>
    </row>
    <row r="2643" spans="3:13" ht="12.75" customHeight="1" x14ac:dyDescent="0.2">
      <c r="C2643"/>
      <c r="M2643"/>
    </row>
    <row r="2644" spans="3:13" ht="12.75" customHeight="1" x14ac:dyDescent="0.2">
      <c r="C2644"/>
      <c r="M2644"/>
    </row>
    <row r="2645" spans="3:13" ht="12.75" customHeight="1" x14ac:dyDescent="0.2">
      <c r="C2645"/>
      <c r="M2645"/>
    </row>
    <row r="2646" spans="3:13" ht="12.75" customHeight="1" x14ac:dyDescent="0.2">
      <c r="C2646"/>
      <c r="M2646"/>
    </row>
    <row r="2647" spans="3:13" ht="12.75" customHeight="1" x14ac:dyDescent="0.2">
      <c r="C2647"/>
      <c r="M2647"/>
    </row>
    <row r="2648" spans="3:13" ht="12.75" customHeight="1" x14ac:dyDescent="0.2">
      <c r="C2648"/>
      <c r="M2648"/>
    </row>
    <row r="2649" spans="3:13" ht="12.75" customHeight="1" x14ac:dyDescent="0.2">
      <c r="C2649"/>
      <c r="M2649"/>
    </row>
    <row r="2650" spans="3:13" ht="12.75" customHeight="1" x14ac:dyDescent="0.2">
      <c r="C2650"/>
      <c r="M2650"/>
    </row>
    <row r="2651" spans="3:13" ht="12.75" customHeight="1" x14ac:dyDescent="0.2">
      <c r="C2651"/>
      <c r="M2651"/>
    </row>
    <row r="2652" spans="3:13" ht="12.75" customHeight="1" x14ac:dyDescent="0.2">
      <c r="C2652"/>
      <c r="M2652"/>
    </row>
    <row r="2653" spans="3:13" ht="12.75" customHeight="1" x14ac:dyDescent="0.2">
      <c r="C2653"/>
      <c r="M2653"/>
    </row>
    <row r="2654" spans="3:13" ht="12.75" customHeight="1" x14ac:dyDescent="0.2">
      <c r="C2654"/>
      <c r="M2654"/>
    </row>
    <row r="2655" spans="3:13" ht="12.75" customHeight="1" x14ac:dyDescent="0.2">
      <c r="C2655"/>
      <c r="M2655"/>
    </row>
    <row r="2656" spans="3:13" ht="12.75" customHeight="1" x14ac:dyDescent="0.2">
      <c r="C2656"/>
      <c r="M2656"/>
    </row>
    <row r="2657" spans="3:13" ht="12.75" customHeight="1" x14ac:dyDescent="0.2">
      <c r="C2657"/>
      <c r="M2657"/>
    </row>
    <row r="2658" spans="3:13" ht="12.75" customHeight="1" x14ac:dyDescent="0.2">
      <c r="C2658"/>
      <c r="M2658"/>
    </row>
    <row r="2659" spans="3:13" ht="12.75" customHeight="1" x14ac:dyDescent="0.2">
      <c r="C2659"/>
      <c r="M2659"/>
    </row>
    <row r="2660" spans="3:13" ht="12.75" customHeight="1" x14ac:dyDescent="0.2">
      <c r="C2660"/>
      <c r="M2660"/>
    </row>
    <row r="2661" spans="3:13" ht="12.75" customHeight="1" x14ac:dyDescent="0.2">
      <c r="C2661"/>
      <c r="M2661"/>
    </row>
    <row r="2662" spans="3:13" ht="12.75" customHeight="1" x14ac:dyDescent="0.2">
      <c r="C2662"/>
      <c r="M2662"/>
    </row>
    <row r="2663" spans="3:13" ht="12.75" customHeight="1" x14ac:dyDescent="0.2">
      <c r="C2663"/>
      <c r="M2663"/>
    </row>
    <row r="2664" spans="3:13" ht="12.75" customHeight="1" x14ac:dyDescent="0.2">
      <c r="C2664"/>
      <c r="M2664"/>
    </row>
    <row r="2665" spans="3:13" ht="12.75" customHeight="1" x14ac:dyDescent="0.2">
      <c r="C2665"/>
      <c r="M2665"/>
    </row>
    <row r="2666" spans="3:13" ht="12.75" customHeight="1" x14ac:dyDescent="0.2">
      <c r="C2666"/>
      <c r="M2666"/>
    </row>
    <row r="2667" spans="3:13" ht="12.75" customHeight="1" x14ac:dyDescent="0.2">
      <c r="C2667"/>
      <c r="M2667"/>
    </row>
    <row r="2668" spans="3:13" ht="12.75" customHeight="1" x14ac:dyDescent="0.2">
      <c r="C2668"/>
      <c r="M2668"/>
    </row>
    <row r="2669" spans="3:13" ht="12.75" customHeight="1" x14ac:dyDescent="0.2">
      <c r="C2669"/>
      <c r="M2669"/>
    </row>
    <row r="2670" spans="3:13" ht="12.75" customHeight="1" x14ac:dyDescent="0.2">
      <c r="C2670"/>
      <c r="M2670"/>
    </row>
    <row r="2671" spans="3:13" ht="12.75" customHeight="1" x14ac:dyDescent="0.2">
      <c r="C2671"/>
      <c r="M2671"/>
    </row>
    <row r="2672" spans="3:13" ht="12.75" customHeight="1" x14ac:dyDescent="0.2">
      <c r="C2672"/>
      <c r="M2672"/>
    </row>
    <row r="2673" spans="3:13" ht="12.75" customHeight="1" x14ac:dyDescent="0.2">
      <c r="C2673"/>
      <c r="M2673"/>
    </row>
    <row r="2674" spans="3:13" ht="12.75" customHeight="1" x14ac:dyDescent="0.2">
      <c r="C2674"/>
      <c r="M2674"/>
    </row>
    <row r="2675" spans="3:13" ht="12.75" customHeight="1" x14ac:dyDescent="0.2">
      <c r="C2675"/>
      <c r="M2675"/>
    </row>
    <row r="2676" spans="3:13" ht="12.75" customHeight="1" x14ac:dyDescent="0.2">
      <c r="C2676"/>
      <c r="M2676"/>
    </row>
    <row r="2677" spans="3:13" ht="12.75" customHeight="1" x14ac:dyDescent="0.2">
      <c r="C2677"/>
      <c r="M2677"/>
    </row>
    <row r="2678" spans="3:13" ht="12.75" customHeight="1" x14ac:dyDescent="0.2">
      <c r="C2678"/>
      <c r="M2678"/>
    </row>
    <row r="2679" spans="3:13" ht="12.75" customHeight="1" x14ac:dyDescent="0.2">
      <c r="C2679"/>
      <c r="M2679"/>
    </row>
    <row r="2680" spans="3:13" ht="12.75" customHeight="1" x14ac:dyDescent="0.2">
      <c r="C2680"/>
      <c r="M2680"/>
    </row>
    <row r="2681" spans="3:13" ht="12.75" customHeight="1" x14ac:dyDescent="0.2">
      <c r="C2681"/>
      <c r="M2681"/>
    </row>
    <row r="2682" spans="3:13" ht="12.75" customHeight="1" x14ac:dyDescent="0.2">
      <c r="C2682"/>
      <c r="M2682"/>
    </row>
    <row r="2683" spans="3:13" ht="12.75" customHeight="1" x14ac:dyDescent="0.2">
      <c r="C2683"/>
      <c r="M2683"/>
    </row>
    <row r="2684" spans="3:13" ht="12.75" customHeight="1" x14ac:dyDescent="0.2">
      <c r="C2684"/>
      <c r="M2684"/>
    </row>
    <row r="2685" spans="3:13" ht="12.75" customHeight="1" x14ac:dyDescent="0.2">
      <c r="C2685"/>
      <c r="M2685"/>
    </row>
    <row r="2686" spans="3:13" ht="12.75" customHeight="1" x14ac:dyDescent="0.2">
      <c r="C2686"/>
      <c r="M2686"/>
    </row>
    <row r="2687" spans="3:13" ht="12.75" customHeight="1" x14ac:dyDescent="0.2">
      <c r="C2687"/>
      <c r="M2687"/>
    </row>
    <row r="2688" spans="3:13" ht="12.75" customHeight="1" x14ac:dyDescent="0.2">
      <c r="C2688"/>
      <c r="M2688"/>
    </row>
    <row r="2689" spans="3:13" ht="12.75" customHeight="1" x14ac:dyDescent="0.2">
      <c r="C2689"/>
      <c r="M2689"/>
    </row>
    <row r="2690" spans="3:13" ht="12.75" customHeight="1" x14ac:dyDescent="0.2">
      <c r="C2690"/>
      <c r="M2690"/>
    </row>
    <row r="2691" spans="3:13" ht="12.75" customHeight="1" x14ac:dyDescent="0.2">
      <c r="C2691"/>
      <c r="M2691"/>
    </row>
    <row r="2692" spans="3:13" ht="12.75" customHeight="1" x14ac:dyDescent="0.2">
      <c r="C2692"/>
      <c r="M2692"/>
    </row>
    <row r="2693" spans="3:13" ht="12.75" customHeight="1" x14ac:dyDescent="0.2">
      <c r="C2693"/>
      <c r="M2693"/>
    </row>
    <row r="2694" spans="3:13" ht="12.75" customHeight="1" x14ac:dyDescent="0.2">
      <c r="C2694"/>
      <c r="M2694"/>
    </row>
    <row r="2695" spans="3:13" ht="12.75" customHeight="1" x14ac:dyDescent="0.2">
      <c r="C2695"/>
      <c r="M2695"/>
    </row>
    <row r="2696" spans="3:13" ht="12.75" customHeight="1" x14ac:dyDescent="0.2">
      <c r="C2696"/>
      <c r="M2696"/>
    </row>
    <row r="2697" spans="3:13" ht="12.75" customHeight="1" x14ac:dyDescent="0.2">
      <c r="C2697"/>
      <c r="M2697"/>
    </row>
    <row r="2698" spans="3:13" ht="12.75" customHeight="1" x14ac:dyDescent="0.2">
      <c r="C2698"/>
      <c r="M2698"/>
    </row>
    <row r="2699" spans="3:13" ht="12.75" customHeight="1" x14ac:dyDescent="0.2">
      <c r="C2699"/>
      <c r="M2699"/>
    </row>
    <row r="2700" spans="3:13" ht="12.75" customHeight="1" x14ac:dyDescent="0.2">
      <c r="C2700"/>
      <c r="M2700"/>
    </row>
    <row r="2701" spans="3:13" ht="12.75" customHeight="1" x14ac:dyDescent="0.2">
      <c r="C2701"/>
      <c r="M2701"/>
    </row>
    <row r="2702" spans="3:13" ht="12.75" customHeight="1" x14ac:dyDescent="0.2">
      <c r="C2702"/>
      <c r="M2702"/>
    </row>
    <row r="2703" spans="3:13" ht="12.75" customHeight="1" x14ac:dyDescent="0.2">
      <c r="C2703"/>
      <c r="M2703"/>
    </row>
    <row r="2704" spans="3:13" ht="12.75" customHeight="1" x14ac:dyDescent="0.2">
      <c r="C2704"/>
      <c r="M2704"/>
    </row>
    <row r="2705" spans="3:13" ht="12.75" customHeight="1" x14ac:dyDescent="0.2">
      <c r="C2705"/>
      <c r="M2705"/>
    </row>
    <row r="2706" spans="3:13" ht="12.75" customHeight="1" x14ac:dyDescent="0.2">
      <c r="C2706"/>
      <c r="M2706"/>
    </row>
    <row r="2707" spans="3:13" ht="12.75" customHeight="1" x14ac:dyDescent="0.2">
      <c r="C2707"/>
      <c r="M2707"/>
    </row>
    <row r="2708" spans="3:13" ht="12.75" customHeight="1" x14ac:dyDescent="0.2">
      <c r="C2708"/>
      <c r="M2708"/>
    </row>
    <row r="2709" spans="3:13" ht="12.75" customHeight="1" x14ac:dyDescent="0.2">
      <c r="C2709"/>
      <c r="M2709"/>
    </row>
    <row r="2710" spans="3:13" ht="12.75" customHeight="1" x14ac:dyDescent="0.2">
      <c r="C2710"/>
      <c r="M2710"/>
    </row>
    <row r="2711" spans="3:13" ht="12.75" customHeight="1" x14ac:dyDescent="0.2">
      <c r="C2711"/>
      <c r="M2711"/>
    </row>
    <row r="2712" spans="3:13" ht="12.75" customHeight="1" x14ac:dyDescent="0.2">
      <c r="C2712"/>
      <c r="M2712"/>
    </row>
    <row r="2713" spans="3:13" ht="12.75" customHeight="1" x14ac:dyDescent="0.2">
      <c r="C2713"/>
      <c r="M2713"/>
    </row>
    <row r="2714" spans="3:13" ht="12.75" customHeight="1" x14ac:dyDescent="0.2">
      <c r="C2714"/>
      <c r="M2714"/>
    </row>
    <row r="2715" spans="3:13" ht="12.75" customHeight="1" x14ac:dyDescent="0.2">
      <c r="C2715"/>
      <c r="M2715"/>
    </row>
    <row r="2716" spans="3:13" ht="12.75" customHeight="1" x14ac:dyDescent="0.2">
      <c r="C2716"/>
      <c r="M2716"/>
    </row>
    <row r="2717" spans="3:13" ht="12.75" customHeight="1" x14ac:dyDescent="0.2">
      <c r="C2717"/>
      <c r="M2717"/>
    </row>
    <row r="2718" spans="3:13" ht="12.75" customHeight="1" x14ac:dyDescent="0.2">
      <c r="C2718"/>
      <c r="M2718"/>
    </row>
    <row r="2719" spans="3:13" ht="12.75" customHeight="1" x14ac:dyDescent="0.2">
      <c r="C2719"/>
      <c r="M2719"/>
    </row>
    <row r="2720" spans="3:13" ht="12.75" customHeight="1" x14ac:dyDescent="0.2">
      <c r="C2720"/>
      <c r="M2720"/>
    </row>
    <row r="2721" spans="3:13" ht="12.75" customHeight="1" x14ac:dyDescent="0.2">
      <c r="C2721"/>
      <c r="M2721"/>
    </row>
    <row r="2722" spans="3:13" ht="12.75" customHeight="1" x14ac:dyDescent="0.2">
      <c r="C2722"/>
      <c r="M2722"/>
    </row>
    <row r="2723" spans="3:13" ht="12.75" customHeight="1" x14ac:dyDescent="0.2">
      <c r="C2723"/>
      <c r="M2723"/>
    </row>
    <row r="2724" spans="3:13" ht="12.75" customHeight="1" x14ac:dyDescent="0.2">
      <c r="C2724"/>
      <c r="M2724"/>
    </row>
    <row r="2725" spans="3:13" ht="12.75" customHeight="1" x14ac:dyDescent="0.2">
      <c r="C2725"/>
      <c r="M2725"/>
    </row>
    <row r="2726" spans="3:13" ht="12.75" customHeight="1" x14ac:dyDescent="0.2">
      <c r="C2726"/>
      <c r="M2726"/>
    </row>
    <row r="2727" spans="3:13" ht="12.75" customHeight="1" x14ac:dyDescent="0.2">
      <c r="C2727"/>
      <c r="M2727"/>
    </row>
    <row r="2728" spans="3:13" ht="12.75" customHeight="1" x14ac:dyDescent="0.2">
      <c r="C2728"/>
      <c r="M2728"/>
    </row>
    <row r="2729" spans="3:13" ht="12.75" customHeight="1" x14ac:dyDescent="0.2">
      <c r="C2729"/>
      <c r="M2729"/>
    </row>
    <row r="2730" spans="3:13" ht="12.75" customHeight="1" x14ac:dyDescent="0.2">
      <c r="C2730"/>
      <c r="M2730"/>
    </row>
    <row r="2731" spans="3:13" ht="12.75" customHeight="1" x14ac:dyDescent="0.2">
      <c r="C2731"/>
      <c r="M2731"/>
    </row>
    <row r="2732" spans="3:13" ht="12.75" customHeight="1" x14ac:dyDescent="0.2">
      <c r="C2732"/>
      <c r="M2732"/>
    </row>
    <row r="2733" spans="3:13" ht="12.75" customHeight="1" x14ac:dyDescent="0.2">
      <c r="C2733"/>
      <c r="M2733"/>
    </row>
    <row r="2734" spans="3:13" ht="12.75" customHeight="1" x14ac:dyDescent="0.2">
      <c r="C2734"/>
      <c r="M2734"/>
    </row>
    <row r="2735" spans="3:13" ht="12.75" customHeight="1" x14ac:dyDescent="0.2">
      <c r="C2735"/>
      <c r="M2735"/>
    </row>
    <row r="2736" spans="3:13" ht="12.75" customHeight="1" x14ac:dyDescent="0.2">
      <c r="C2736"/>
      <c r="M2736"/>
    </row>
    <row r="2737" spans="3:13" ht="12.75" customHeight="1" x14ac:dyDescent="0.2">
      <c r="C2737"/>
      <c r="M2737"/>
    </row>
    <row r="2738" spans="3:13" ht="12.75" customHeight="1" x14ac:dyDescent="0.2">
      <c r="C2738"/>
      <c r="M2738"/>
    </row>
    <row r="2739" spans="3:13" ht="12.75" customHeight="1" x14ac:dyDescent="0.2">
      <c r="C2739"/>
      <c r="M2739"/>
    </row>
    <row r="2740" spans="3:13" ht="12.75" customHeight="1" x14ac:dyDescent="0.2">
      <c r="C2740"/>
      <c r="M2740"/>
    </row>
    <row r="2741" spans="3:13" ht="12.75" customHeight="1" x14ac:dyDescent="0.2">
      <c r="C2741"/>
      <c r="M2741"/>
    </row>
    <row r="2742" spans="3:13" ht="12.75" customHeight="1" x14ac:dyDescent="0.2">
      <c r="C2742"/>
      <c r="M2742"/>
    </row>
    <row r="2743" spans="3:13" ht="12.75" customHeight="1" x14ac:dyDescent="0.2">
      <c r="C2743"/>
      <c r="M2743"/>
    </row>
    <row r="2744" spans="3:13" ht="12.75" customHeight="1" x14ac:dyDescent="0.2">
      <c r="C2744"/>
      <c r="M2744"/>
    </row>
    <row r="2745" spans="3:13" ht="12.75" customHeight="1" x14ac:dyDescent="0.2">
      <c r="C2745"/>
      <c r="M2745"/>
    </row>
    <row r="2746" spans="3:13" ht="12.75" customHeight="1" x14ac:dyDescent="0.2">
      <c r="C2746"/>
      <c r="M2746"/>
    </row>
    <row r="2747" spans="3:13" ht="12.75" customHeight="1" x14ac:dyDescent="0.2">
      <c r="C2747"/>
      <c r="M2747"/>
    </row>
    <row r="2748" spans="3:13" ht="12.75" customHeight="1" x14ac:dyDescent="0.2">
      <c r="C2748"/>
      <c r="M2748"/>
    </row>
    <row r="2749" spans="3:13" ht="12.75" customHeight="1" x14ac:dyDescent="0.2">
      <c r="C2749"/>
      <c r="M2749"/>
    </row>
    <row r="2750" spans="3:13" ht="12.75" customHeight="1" x14ac:dyDescent="0.2">
      <c r="C2750"/>
      <c r="M2750"/>
    </row>
    <row r="2751" spans="3:13" ht="12.75" customHeight="1" x14ac:dyDescent="0.2">
      <c r="C2751"/>
      <c r="M2751"/>
    </row>
    <row r="2752" spans="3:13" ht="12.75" customHeight="1" x14ac:dyDescent="0.2">
      <c r="C2752"/>
      <c r="M2752"/>
    </row>
    <row r="2753" spans="3:13" ht="12.75" customHeight="1" x14ac:dyDescent="0.2">
      <c r="C2753"/>
      <c r="M2753"/>
    </row>
    <row r="2754" spans="3:13" ht="12.75" customHeight="1" x14ac:dyDescent="0.2">
      <c r="C2754"/>
      <c r="M2754"/>
    </row>
    <row r="2755" spans="3:13" ht="12.75" customHeight="1" x14ac:dyDescent="0.2">
      <c r="C2755"/>
      <c r="M2755"/>
    </row>
    <row r="2756" spans="3:13" ht="12.75" customHeight="1" x14ac:dyDescent="0.2">
      <c r="C2756"/>
      <c r="M2756"/>
    </row>
    <row r="2757" spans="3:13" ht="12.75" customHeight="1" x14ac:dyDescent="0.2">
      <c r="C2757"/>
      <c r="M2757"/>
    </row>
    <row r="2758" spans="3:13" ht="12.75" customHeight="1" x14ac:dyDescent="0.2">
      <c r="C2758"/>
      <c r="M2758"/>
    </row>
    <row r="2759" spans="3:13" ht="12.75" customHeight="1" x14ac:dyDescent="0.2">
      <c r="C2759"/>
      <c r="M2759"/>
    </row>
    <row r="2760" spans="3:13" ht="12.75" customHeight="1" x14ac:dyDescent="0.2">
      <c r="C2760"/>
      <c r="M2760"/>
    </row>
    <row r="2761" spans="3:13" ht="12.75" customHeight="1" x14ac:dyDescent="0.2">
      <c r="C2761"/>
      <c r="M2761"/>
    </row>
    <row r="2762" spans="3:13" ht="12.75" customHeight="1" x14ac:dyDescent="0.2">
      <c r="C2762"/>
      <c r="M2762"/>
    </row>
    <row r="2763" spans="3:13" ht="12.75" customHeight="1" x14ac:dyDescent="0.2">
      <c r="C2763"/>
      <c r="M2763"/>
    </row>
    <row r="2764" spans="3:13" ht="12.75" customHeight="1" x14ac:dyDescent="0.2">
      <c r="C2764"/>
      <c r="M2764"/>
    </row>
    <row r="2765" spans="3:13" ht="12.75" customHeight="1" x14ac:dyDescent="0.2">
      <c r="C2765"/>
      <c r="M2765"/>
    </row>
    <row r="2766" spans="3:13" ht="12.75" customHeight="1" x14ac:dyDescent="0.2">
      <c r="C2766"/>
      <c r="M2766"/>
    </row>
    <row r="2767" spans="3:13" ht="12.75" customHeight="1" x14ac:dyDescent="0.2">
      <c r="C2767"/>
      <c r="M2767"/>
    </row>
    <row r="2768" spans="3:13" ht="12.75" customHeight="1" x14ac:dyDescent="0.2">
      <c r="C2768"/>
      <c r="M2768"/>
    </row>
    <row r="2769" spans="3:13" ht="12.75" customHeight="1" x14ac:dyDescent="0.2">
      <c r="C2769"/>
      <c r="M2769"/>
    </row>
    <row r="2770" spans="3:13" ht="12.75" customHeight="1" x14ac:dyDescent="0.2">
      <c r="C2770"/>
      <c r="M2770"/>
    </row>
    <row r="2771" spans="3:13" ht="12.75" customHeight="1" x14ac:dyDescent="0.2">
      <c r="C2771"/>
      <c r="M2771"/>
    </row>
    <row r="2772" spans="3:13" ht="12.75" customHeight="1" x14ac:dyDescent="0.2">
      <c r="C2772"/>
      <c r="M2772"/>
    </row>
    <row r="2773" spans="3:13" ht="12.75" customHeight="1" x14ac:dyDescent="0.2">
      <c r="C2773"/>
      <c r="M2773"/>
    </row>
    <row r="2774" spans="3:13" ht="12.75" customHeight="1" x14ac:dyDescent="0.2">
      <c r="C2774"/>
      <c r="M2774"/>
    </row>
    <row r="2775" spans="3:13" ht="12.75" customHeight="1" x14ac:dyDescent="0.2">
      <c r="C2775"/>
      <c r="M2775"/>
    </row>
    <row r="2776" spans="3:13" ht="12.75" customHeight="1" x14ac:dyDescent="0.2">
      <c r="C2776"/>
      <c r="M2776"/>
    </row>
    <row r="2777" spans="3:13" ht="12.75" customHeight="1" x14ac:dyDescent="0.2">
      <c r="C2777"/>
      <c r="M2777"/>
    </row>
    <row r="2778" spans="3:13" ht="12.75" customHeight="1" x14ac:dyDescent="0.2">
      <c r="C2778"/>
      <c r="M2778"/>
    </row>
    <row r="2779" spans="3:13" ht="12.75" customHeight="1" x14ac:dyDescent="0.2">
      <c r="C2779"/>
      <c r="M2779"/>
    </row>
    <row r="2780" spans="3:13" ht="12.75" customHeight="1" x14ac:dyDescent="0.2">
      <c r="C2780"/>
      <c r="M2780"/>
    </row>
    <row r="2781" spans="3:13" ht="12.75" customHeight="1" x14ac:dyDescent="0.2">
      <c r="C2781"/>
      <c r="M2781"/>
    </row>
    <row r="2782" spans="3:13" ht="12.75" customHeight="1" x14ac:dyDescent="0.2">
      <c r="C2782"/>
      <c r="M2782"/>
    </row>
    <row r="2783" spans="3:13" ht="12.75" customHeight="1" x14ac:dyDescent="0.2">
      <c r="C2783"/>
      <c r="M2783"/>
    </row>
    <row r="2784" spans="3:13" ht="12.75" customHeight="1" x14ac:dyDescent="0.2">
      <c r="C2784"/>
      <c r="M2784"/>
    </row>
    <row r="2785" spans="3:13" ht="12.75" customHeight="1" x14ac:dyDescent="0.2">
      <c r="C2785"/>
      <c r="M2785"/>
    </row>
    <row r="2786" spans="3:13" ht="12.75" customHeight="1" x14ac:dyDescent="0.2">
      <c r="C2786"/>
      <c r="M2786"/>
    </row>
    <row r="2787" spans="3:13" ht="12.75" customHeight="1" x14ac:dyDescent="0.2">
      <c r="C2787"/>
      <c r="M2787"/>
    </row>
    <row r="2788" spans="3:13" ht="12.75" customHeight="1" x14ac:dyDescent="0.2">
      <c r="C2788"/>
      <c r="M2788"/>
    </row>
    <row r="2789" spans="3:13" ht="12.75" customHeight="1" x14ac:dyDescent="0.2">
      <c r="C2789"/>
      <c r="M2789"/>
    </row>
    <row r="2790" spans="3:13" ht="12.75" customHeight="1" x14ac:dyDescent="0.2">
      <c r="C2790"/>
      <c r="M2790"/>
    </row>
    <row r="2791" spans="3:13" ht="12.75" customHeight="1" x14ac:dyDescent="0.2">
      <c r="C2791"/>
      <c r="M2791"/>
    </row>
    <row r="2792" spans="3:13" ht="12.75" customHeight="1" x14ac:dyDescent="0.2">
      <c r="C2792"/>
      <c r="M2792"/>
    </row>
    <row r="2793" spans="3:13" ht="12.75" customHeight="1" x14ac:dyDescent="0.2">
      <c r="C2793"/>
      <c r="M2793"/>
    </row>
    <row r="2794" spans="3:13" ht="12.75" customHeight="1" x14ac:dyDescent="0.2">
      <c r="C2794"/>
      <c r="M2794"/>
    </row>
    <row r="2795" spans="3:13" ht="12.75" customHeight="1" x14ac:dyDescent="0.2">
      <c r="C2795"/>
      <c r="M2795"/>
    </row>
    <row r="2796" spans="3:13" ht="12.75" customHeight="1" x14ac:dyDescent="0.2">
      <c r="C2796"/>
      <c r="M2796"/>
    </row>
    <row r="2797" spans="3:13" ht="12.75" customHeight="1" x14ac:dyDescent="0.2">
      <c r="C2797"/>
      <c r="M2797"/>
    </row>
    <row r="2798" spans="3:13" ht="12.75" customHeight="1" x14ac:dyDescent="0.2">
      <c r="C2798"/>
      <c r="M2798"/>
    </row>
    <row r="2799" spans="3:13" ht="12.75" customHeight="1" x14ac:dyDescent="0.2">
      <c r="C2799"/>
      <c r="M2799"/>
    </row>
    <row r="2800" spans="3:13" ht="12.75" customHeight="1" x14ac:dyDescent="0.2">
      <c r="C2800"/>
      <c r="M2800"/>
    </row>
    <row r="2801" spans="3:13" ht="12.75" customHeight="1" x14ac:dyDescent="0.2">
      <c r="C2801"/>
      <c r="M2801"/>
    </row>
    <row r="2802" spans="3:13" ht="12.75" customHeight="1" x14ac:dyDescent="0.2">
      <c r="C2802"/>
      <c r="M2802"/>
    </row>
    <row r="2803" spans="3:13" ht="12.75" customHeight="1" x14ac:dyDescent="0.2">
      <c r="C2803"/>
      <c r="M2803"/>
    </row>
    <row r="2804" spans="3:13" ht="12.75" customHeight="1" x14ac:dyDescent="0.2">
      <c r="C2804"/>
      <c r="M2804"/>
    </row>
    <row r="2805" spans="3:13" ht="12.75" customHeight="1" x14ac:dyDescent="0.2">
      <c r="C2805"/>
      <c r="M2805"/>
    </row>
    <row r="2806" spans="3:13" ht="12.75" customHeight="1" x14ac:dyDescent="0.2">
      <c r="C2806"/>
      <c r="M2806"/>
    </row>
    <row r="2807" spans="3:13" ht="12.75" customHeight="1" x14ac:dyDescent="0.2">
      <c r="C2807"/>
      <c r="M2807"/>
    </row>
    <row r="2808" spans="3:13" ht="12.75" customHeight="1" x14ac:dyDescent="0.2">
      <c r="C2808"/>
      <c r="M2808"/>
    </row>
    <row r="2809" spans="3:13" ht="12.75" customHeight="1" x14ac:dyDescent="0.2">
      <c r="C2809"/>
      <c r="M2809"/>
    </row>
    <row r="2810" spans="3:13" ht="12.75" customHeight="1" x14ac:dyDescent="0.2">
      <c r="C2810"/>
      <c r="M2810"/>
    </row>
    <row r="2811" spans="3:13" ht="12.75" customHeight="1" x14ac:dyDescent="0.2">
      <c r="C2811"/>
      <c r="M2811"/>
    </row>
    <row r="2812" spans="3:13" ht="12.75" customHeight="1" x14ac:dyDescent="0.2">
      <c r="C2812"/>
      <c r="M2812"/>
    </row>
    <row r="2813" spans="3:13" ht="12.75" customHeight="1" x14ac:dyDescent="0.2">
      <c r="C2813"/>
      <c r="M2813"/>
    </row>
    <row r="2814" spans="3:13" ht="12.75" customHeight="1" x14ac:dyDescent="0.2">
      <c r="C2814"/>
      <c r="M2814"/>
    </row>
    <row r="2815" spans="3:13" ht="12.75" customHeight="1" x14ac:dyDescent="0.2">
      <c r="C2815"/>
      <c r="M2815"/>
    </row>
    <row r="2816" spans="3:13" ht="12.75" customHeight="1" x14ac:dyDescent="0.2">
      <c r="C2816"/>
      <c r="M2816"/>
    </row>
    <row r="2817" spans="3:13" ht="12.75" customHeight="1" x14ac:dyDescent="0.2">
      <c r="C2817"/>
      <c r="M2817"/>
    </row>
    <row r="2818" spans="3:13" ht="12.75" customHeight="1" x14ac:dyDescent="0.2">
      <c r="C2818"/>
      <c r="M2818"/>
    </row>
    <row r="2819" spans="3:13" ht="12.75" customHeight="1" x14ac:dyDescent="0.2">
      <c r="C2819"/>
      <c r="M2819"/>
    </row>
    <row r="2820" spans="3:13" ht="12.75" customHeight="1" x14ac:dyDescent="0.2">
      <c r="C2820"/>
      <c r="M2820"/>
    </row>
    <row r="2821" spans="3:13" ht="12.75" customHeight="1" x14ac:dyDescent="0.2">
      <c r="C2821"/>
      <c r="M2821"/>
    </row>
    <row r="2822" spans="3:13" ht="12.75" customHeight="1" x14ac:dyDescent="0.2">
      <c r="C2822"/>
      <c r="M2822"/>
    </row>
    <row r="2823" spans="3:13" ht="12.75" customHeight="1" x14ac:dyDescent="0.2">
      <c r="C2823"/>
      <c r="M2823"/>
    </row>
    <row r="2824" spans="3:13" ht="12.75" customHeight="1" x14ac:dyDescent="0.2">
      <c r="C2824"/>
      <c r="M2824"/>
    </row>
    <row r="2825" spans="3:13" ht="12.75" customHeight="1" x14ac:dyDescent="0.2">
      <c r="C2825"/>
      <c r="M2825"/>
    </row>
    <row r="2826" spans="3:13" ht="12.75" customHeight="1" x14ac:dyDescent="0.2">
      <c r="C2826"/>
      <c r="M2826"/>
    </row>
    <row r="2827" spans="3:13" ht="12.75" customHeight="1" x14ac:dyDescent="0.2">
      <c r="C2827"/>
      <c r="M2827"/>
    </row>
    <row r="2828" spans="3:13" ht="12.75" customHeight="1" x14ac:dyDescent="0.2">
      <c r="C2828"/>
      <c r="M2828"/>
    </row>
    <row r="2829" spans="3:13" ht="12.75" customHeight="1" x14ac:dyDescent="0.2">
      <c r="C2829"/>
      <c r="M2829"/>
    </row>
    <row r="2830" spans="3:13" ht="12.75" customHeight="1" x14ac:dyDescent="0.2">
      <c r="C2830"/>
      <c r="M2830"/>
    </row>
    <row r="2831" spans="3:13" ht="12.75" customHeight="1" x14ac:dyDescent="0.2">
      <c r="C2831"/>
      <c r="M2831"/>
    </row>
    <row r="2832" spans="3:13" ht="12.75" customHeight="1" x14ac:dyDescent="0.2">
      <c r="C2832"/>
      <c r="M2832"/>
    </row>
    <row r="2833" spans="3:13" ht="12.75" customHeight="1" x14ac:dyDescent="0.2">
      <c r="C2833"/>
      <c r="M2833"/>
    </row>
    <row r="2834" spans="3:13" ht="12.75" customHeight="1" x14ac:dyDescent="0.2">
      <c r="C2834"/>
      <c r="M2834"/>
    </row>
    <row r="2835" spans="3:13" ht="12.75" customHeight="1" x14ac:dyDescent="0.2">
      <c r="C2835"/>
      <c r="M2835"/>
    </row>
    <row r="2836" spans="3:13" ht="12.75" customHeight="1" x14ac:dyDescent="0.2">
      <c r="C2836"/>
      <c r="M2836"/>
    </row>
    <row r="2837" spans="3:13" ht="12.75" customHeight="1" x14ac:dyDescent="0.2">
      <c r="C2837"/>
      <c r="M2837"/>
    </row>
    <row r="2838" spans="3:13" ht="12.75" customHeight="1" x14ac:dyDescent="0.2">
      <c r="C2838"/>
      <c r="M2838"/>
    </row>
    <row r="2839" spans="3:13" ht="12.75" customHeight="1" x14ac:dyDescent="0.2">
      <c r="C2839"/>
      <c r="M2839"/>
    </row>
    <row r="2840" spans="3:13" ht="12.75" customHeight="1" x14ac:dyDescent="0.2">
      <c r="C2840"/>
      <c r="M2840"/>
    </row>
    <row r="2841" spans="3:13" ht="12.75" customHeight="1" x14ac:dyDescent="0.2">
      <c r="C2841"/>
      <c r="M2841"/>
    </row>
    <row r="2842" spans="3:13" ht="12.75" customHeight="1" x14ac:dyDescent="0.2">
      <c r="C2842"/>
      <c r="M2842"/>
    </row>
    <row r="2843" spans="3:13" ht="12.75" customHeight="1" x14ac:dyDescent="0.2">
      <c r="C2843"/>
      <c r="M2843"/>
    </row>
    <row r="2844" spans="3:13" ht="12.75" customHeight="1" x14ac:dyDescent="0.2">
      <c r="C2844"/>
      <c r="M2844"/>
    </row>
    <row r="2845" spans="3:13" ht="12.75" customHeight="1" x14ac:dyDescent="0.2">
      <c r="C2845"/>
      <c r="M2845"/>
    </row>
    <row r="2846" spans="3:13" ht="12.75" customHeight="1" x14ac:dyDescent="0.2">
      <c r="C2846"/>
      <c r="M2846"/>
    </row>
    <row r="2847" spans="3:13" ht="12.75" customHeight="1" x14ac:dyDescent="0.2">
      <c r="C2847"/>
      <c r="M2847"/>
    </row>
    <row r="2848" spans="3:13" ht="12.75" customHeight="1" x14ac:dyDescent="0.2">
      <c r="C2848"/>
      <c r="M2848"/>
    </row>
    <row r="2849" spans="3:13" ht="12.75" customHeight="1" x14ac:dyDescent="0.2">
      <c r="C2849"/>
      <c r="M2849"/>
    </row>
    <row r="2850" spans="3:13" ht="12.75" customHeight="1" x14ac:dyDescent="0.2">
      <c r="C2850"/>
      <c r="M2850"/>
    </row>
    <row r="2851" spans="3:13" ht="12.75" customHeight="1" x14ac:dyDescent="0.2">
      <c r="C2851"/>
      <c r="M2851"/>
    </row>
    <row r="2852" spans="3:13" ht="12.75" customHeight="1" x14ac:dyDescent="0.2">
      <c r="C2852"/>
      <c r="M2852"/>
    </row>
    <row r="2853" spans="3:13" ht="12.75" customHeight="1" x14ac:dyDescent="0.2">
      <c r="C2853"/>
      <c r="M2853"/>
    </row>
    <row r="2854" spans="3:13" ht="12.75" customHeight="1" x14ac:dyDescent="0.2">
      <c r="C2854"/>
      <c r="M2854"/>
    </row>
    <row r="2855" spans="3:13" ht="12.75" customHeight="1" x14ac:dyDescent="0.2">
      <c r="C2855"/>
      <c r="M2855"/>
    </row>
    <row r="2856" spans="3:13" ht="12.75" customHeight="1" x14ac:dyDescent="0.2">
      <c r="C2856"/>
      <c r="M2856"/>
    </row>
    <row r="2857" spans="3:13" ht="12.75" customHeight="1" x14ac:dyDescent="0.2">
      <c r="C2857"/>
      <c r="M2857"/>
    </row>
    <row r="2858" spans="3:13" ht="12.75" customHeight="1" x14ac:dyDescent="0.2">
      <c r="C2858"/>
      <c r="M2858"/>
    </row>
    <row r="2859" spans="3:13" ht="12.75" customHeight="1" x14ac:dyDescent="0.2">
      <c r="C2859"/>
      <c r="M2859"/>
    </row>
    <row r="2860" spans="3:13" ht="12.75" customHeight="1" x14ac:dyDescent="0.2">
      <c r="C2860"/>
      <c r="M2860"/>
    </row>
    <row r="2861" spans="3:13" ht="12.75" customHeight="1" x14ac:dyDescent="0.2">
      <c r="C2861"/>
      <c r="M2861"/>
    </row>
    <row r="2862" spans="3:13" ht="12.75" customHeight="1" x14ac:dyDescent="0.2">
      <c r="C2862"/>
      <c r="M2862"/>
    </row>
    <row r="2863" spans="3:13" ht="12.75" customHeight="1" x14ac:dyDescent="0.2">
      <c r="C2863"/>
      <c r="M2863"/>
    </row>
    <row r="2864" spans="3:13" ht="12.75" customHeight="1" x14ac:dyDescent="0.2">
      <c r="C2864"/>
      <c r="M2864"/>
    </row>
    <row r="2865" spans="3:13" ht="12.75" customHeight="1" x14ac:dyDescent="0.2">
      <c r="C2865"/>
      <c r="M2865"/>
    </row>
    <row r="2866" spans="3:13" ht="12.75" customHeight="1" x14ac:dyDescent="0.2">
      <c r="C2866"/>
      <c r="M2866"/>
    </row>
    <row r="2867" spans="3:13" ht="12.75" customHeight="1" x14ac:dyDescent="0.2">
      <c r="C2867"/>
      <c r="M2867"/>
    </row>
    <row r="2868" spans="3:13" ht="12.75" customHeight="1" x14ac:dyDescent="0.2">
      <c r="C2868"/>
      <c r="M2868"/>
    </row>
    <row r="2869" spans="3:13" ht="12.75" customHeight="1" x14ac:dyDescent="0.2">
      <c r="C2869"/>
      <c r="M2869"/>
    </row>
    <row r="2870" spans="3:13" ht="12.75" customHeight="1" x14ac:dyDescent="0.2">
      <c r="C2870"/>
      <c r="M2870"/>
    </row>
    <row r="2871" spans="3:13" ht="12.75" customHeight="1" x14ac:dyDescent="0.2">
      <c r="C2871"/>
      <c r="M2871"/>
    </row>
    <row r="2872" spans="3:13" ht="12.75" customHeight="1" x14ac:dyDescent="0.2">
      <c r="C2872"/>
      <c r="M2872"/>
    </row>
    <row r="2873" spans="3:13" ht="12.75" customHeight="1" x14ac:dyDescent="0.2">
      <c r="C2873"/>
      <c r="M2873"/>
    </row>
    <row r="2874" spans="3:13" ht="12.75" customHeight="1" x14ac:dyDescent="0.2">
      <c r="C2874"/>
      <c r="M2874"/>
    </row>
    <row r="2875" spans="3:13" ht="12.75" customHeight="1" x14ac:dyDescent="0.2">
      <c r="C2875"/>
      <c r="M2875"/>
    </row>
    <row r="2876" spans="3:13" ht="12.75" customHeight="1" x14ac:dyDescent="0.2">
      <c r="C2876"/>
      <c r="M2876"/>
    </row>
    <row r="2877" spans="3:13" ht="12.75" customHeight="1" x14ac:dyDescent="0.2">
      <c r="C2877"/>
      <c r="M2877"/>
    </row>
    <row r="2878" spans="3:13" ht="12.75" customHeight="1" x14ac:dyDescent="0.2">
      <c r="C2878"/>
      <c r="M2878"/>
    </row>
    <row r="2879" spans="3:13" ht="12.75" customHeight="1" x14ac:dyDescent="0.2">
      <c r="C2879"/>
      <c r="M2879"/>
    </row>
    <row r="2880" spans="3:13" ht="12.75" customHeight="1" x14ac:dyDescent="0.2">
      <c r="C2880"/>
      <c r="M2880"/>
    </row>
    <row r="2881" spans="3:13" ht="12.75" customHeight="1" x14ac:dyDescent="0.2">
      <c r="C2881"/>
      <c r="M2881"/>
    </row>
    <row r="2882" spans="3:13" ht="12.75" customHeight="1" x14ac:dyDescent="0.2">
      <c r="C2882"/>
      <c r="M2882"/>
    </row>
    <row r="2883" spans="3:13" ht="12.75" customHeight="1" x14ac:dyDescent="0.2">
      <c r="C2883"/>
      <c r="M2883"/>
    </row>
    <row r="2884" spans="3:13" ht="12.75" customHeight="1" x14ac:dyDescent="0.2">
      <c r="C2884"/>
      <c r="M2884"/>
    </row>
    <row r="2885" spans="3:13" ht="12.75" customHeight="1" x14ac:dyDescent="0.2">
      <c r="C2885"/>
      <c r="M2885"/>
    </row>
    <row r="2886" spans="3:13" ht="12.75" customHeight="1" x14ac:dyDescent="0.2">
      <c r="C2886"/>
      <c r="M2886"/>
    </row>
    <row r="2887" spans="3:13" ht="12.75" customHeight="1" x14ac:dyDescent="0.2">
      <c r="C2887"/>
      <c r="M2887"/>
    </row>
    <row r="2888" spans="3:13" ht="12.75" customHeight="1" x14ac:dyDescent="0.2">
      <c r="C2888"/>
      <c r="M2888"/>
    </row>
    <row r="2889" spans="3:13" ht="12.75" customHeight="1" x14ac:dyDescent="0.2">
      <c r="C2889"/>
      <c r="M2889"/>
    </row>
    <row r="2890" spans="3:13" ht="12.75" customHeight="1" x14ac:dyDescent="0.2">
      <c r="C2890"/>
      <c r="M2890"/>
    </row>
    <row r="2891" spans="3:13" ht="12.75" customHeight="1" x14ac:dyDescent="0.2">
      <c r="C2891"/>
      <c r="M2891"/>
    </row>
    <row r="2892" spans="3:13" ht="12.75" customHeight="1" x14ac:dyDescent="0.2">
      <c r="C2892"/>
      <c r="M2892"/>
    </row>
    <row r="2893" spans="3:13" ht="12.75" customHeight="1" x14ac:dyDescent="0.2">
      <c r="C2893"/>
      <c r="M2893"/>
    </row>
    <row r="2894" spans="3:13" ht="12.75" customHeight="1" x14ac:dyDescent="0.2">
      <c r="C2894"/>
      <c r="M2894"/>
    </row>
    <row r="2895" spans="3:13" ht="12.75" customHeight="1" x14ac:dyDescent="0.2">
      <c r="C2895"/>
      <c r="M2895"/>
    </row>
    <row r="2896" spans="3:13" ht="12.75" customHeight="1" x14ac:dyDescent="0.2">
      <c r="C2896"/>
      <c r="M2896"/>
    </row>
    <row r="2897" spans="3:13" ht="12.75" customHeight="1" x14ac:dyDescent="0.2">
      <c r="C2897"/>
      <c r="M2897"/>
    </row>
    <row r="2898" spans="3:13" ht="12.75" customHeight="1" x14ac:dyDescent="0.2">
      <c r="C2898"/>
      <c r="M2898"/>
    </row>
    <row r="2899" spans="3:13" ht="12.75" customHeight="1" x14ac:dyDescent="0.2">
      <c r="C2899"/>
      <c r="M2899"/>
    </row>
    <row r="2900" spans="3:13" ht="12.75" customHeight="1" x14ac:dyDescent="0.2">
      <c r="C2900"/>
      <c r="M2900"/>
    </row>
    <row r="2901" spans="3:13" ht="12.75" customHeight="1" x14ac:dyDescent="0.2">
      <c r="C2901"/>
      <c r="M2901"/>
    </row>
    <row r="2902" spans="3:13" ht="12.75" customHeight="1" x14ac:dyDescent="0.2">
      <c r="C2902"/>
      <c r="M2902"/>
    </row>
    <row r="2903" spans="3:13" ht="12.75" customHeight="1" x14ac:dyDescent="0.2">
      <c r="C2903"/>
      <c r="M2903"/>
    </row>
    <row r="2904" spans="3:13" ht="12.75" customHeight="1" x14ac:dyDescent="0.2">
      <c r="C2904"/>
      <c r="M2904"/>
    </row>
    <row r="2905" spans="3:13" ht="12.75" customHeight="1" x14ac:dyDescent="0.2">
      <c r="C2905"/>
      <c r="M2905"/>
    </row>
    <row r="2906" spans="3:13" ht="12.75" customHeight="1" x14ac:dyDescent="0.2">
      <c r="C2906"/>
      <c r="M2906"/>
    </row>
    <row r="2907" spans="3:13" ht="12.75" customHeight="1" x14ac:dyDescent="0.2">
      <c r="C2907"/>
      <c r="M2907"/>
    </row>
    <row r="2908" spans="3:13" ht="12.75" customHeight="1" x14ac:dyDescent="0.2">
      <c r="C2908"/>
      <c r="M2908"/>
    </row>
    <row r="2909" spans="3:13" ht="12.75" customHeight="1" x14ac:dyDescent="0.2">
      <c r="C2909"/>
      <c r="M2909"/>
    </row>
    <row r="2910" spans="3:13" ht="12.75" customHeight="1" x14ac:dyDescent="0.2">
      <c r="C2910"/>
      <c r="M2910"/>
    </row>
    <row r="2911" spans="3:13" ht="12.75" customHeight="1" x14ac:dyDescent="0.2">
      <c r="C2911"/>
      <c r="M2911"/>
    </row>
    <row r="2912" spans="3:13" ht="12.75" customHeight="1" x14ac:dyDescent="0.2">
      <c r="C2912"/>
      <c r="M2912"/>
    </row>
    <row r="2913" spans="3:13" ht="12.75" customHeight="1" x14ac:dyDescent="0.2">
      <c r="C2913"/>
      <c r="M2913"/>
    </row>
    <row r="2914" spans="3:13" ht="12.75" customHeight="1" x14ac:dyDescent="0.2">
      <c r="C2914"/>
      <c r="M2914"/>
    </row>
    <row r="2915" spans="3:13" ht="12.75" customHeight="1" x14ac:dyDescent="0.2">
      <c r="C2915"/>
      <c r="M2915"/>
    </row>
    <row r="2916" spans="3:13" ht="12.75" customHeight="1" x14ac:dyDescent="0.2">
      <c r="C2916"/>
      <c r="M2916"/>
    </row>
    <row r="2917" spans="3:13" ht="12.75" customHeight="1" x14ac:dyDescent="0.2">
      <c r="C2917"/>
      <c r="M2917"/>
    </row>
    <row r="2918" spans="3:13" ht="12.75" customHeight="1" x14ac:dyDescent="0.2">
      <c r="C2918"/>
      <c r="M2918"/>
    </row>
    <row r="2919" spans="3:13" ht="12.75" customHeight="1" x14ac:dyDescent="0.2">
      <c r="C2919"/>
      <c r="M2919"/>
    </row>
    <row r="2920" spans="3:13" ht="12.75" customHeight="1" x14ac:dyDescent="0.2">
      <c r="C2920"/>
      <c r="M2920"/>
    </row>
    <row r="2921" spans="3:13" ht="12.75" customHeight="1" x14ac:dyDescent="0.2">
      <c r="C2921"/>
      <c r="M2921"/>
    </row>
    <row r="2922" spans="3:13" ht="12.75" customHeight="1" x14ac:dyDescent="0.2">
      <c r="C2922"/>
      <c r="M2922"/>
    </row>
    <row r="2923" spans="3:13" ht="12.75" customHeight="1" x14ac:dyDescent="0.2">
      <c r="C2923"/>
      <c r="M2923"/>
    </row>
    <row r="2924" spans="3:13" ht="12.75" customHeight="1" x14ac:dyDescent="0.2">
      <c r="C2924"/>
      <c r="M2924"/>
    </row>
    <row r="2925" spans="3:13" ht="12.75" customHeight="1" x14ac:dyDescent="0.2">
      <c r="C2925"/>
      <c r="M2925"/>
    </row>
    <row r="2926" spans="3:13" ht="12.75" customHeight="1" x14ac:dyDescent="0.2">
      <c r="C2926"/>
      <c r="M2926"/>
    </row>
    <row r="2927" spans="3:13" ht="12.75" customHeight="1" x14ac:dyDescent="0.2">
      <c r="C2927"/>
      <c r="M2927"/>
    </row>
    <row r="2928" spans="3:13" ht="12.75" customHeight="1" x14ac:dyDescent="0.2">
      <c r="C2928"/>
      <c r="M2928"/>
    </row>
    <row r="2929" spans="3:13" ht="12.75" customHeight="1" x14ac:dyDescent="0.2">
      <c r="C2929"/>
      <c r="M2929"/>
    </row>
    <row r="2930" spans="3:13" ht="12.75" customHeight="1" x14ac:dyDescent="0.2">
      <c r="C2930"/>
      <c r="M2930"/>
    </row>
    <row r="2931" spans="3:13" ht="12.75" customHeight="1" x14ac:dyDescent="0.2">
      <c r="C2931"/>
      <c r="M2931"/>
    </row>
    <row r="2932" spans="3:13" ht="12.75" customHeight="1" x14ac:dyDescent="0.2">
      <c r="C2932"/>
      <c r="M2932"/>
    </row>
    <row r="2933" spans="3:13" ht="12.75" customHeight="1" x14ac:dyDescent="0.2">
      <c r="C2933"/>
      <c r="M2933"/>
    </row>
    <row r="2934" spans="3:13" ht="12.75" customHeight="1" x14ac:dyDescent="0.2">
      <c r="C2934"/>
      <c r="M2934"/>
    </row>
    <row r="2935" spans="3:13" ht="12.75" customHeight="1" x14ac:dyDescent="0.2">
      <c r="C2935"/>
      <c r="M2935"/>
    </row>
    <row r="2936" spans="3:13" ht="12.75" customHeight="1" x14ac:dyDescent="0.2">
      <c r="C2936"/>
      <c r="M2936"/>
    </row>
    <row r="2937" spans="3:13" ht="12.75" customHeight="1" x14ac:dyDescent="0.2">
      <c r="C2937"/>
      <c r="M2937"/>
    </row>
    <row r="2938" spans="3:13" ht="12.75" customHeight="1" x14ac:dyDescent="0.2">
      <c r="C2938"/>
      <c r="M2938"/>
    </row>
    <row r="2939" spans="3:13" ht="12.75" customHeight="1" x14ac:dyDescent="0.2">
      <c r="C2939"/>
      <c r="M2939"/>
    </row>
    <row r="2940" spans="3:13" ht="12.75" customHeight="1" x14ac:dyDescent="0.2">
      <c r="C2940"/>
      <c r="M2940"/>
    </row>
    <row r="2941" spans="3:13" ht="12.75" customHeight="1" x14ac:dyDescent="0.2">
      <c r="C2941"/>
      <c r="M2941"/>
    </row>
    <row r="2942" spans="3:13" ht="12.75" customHeight="1" x14ac:dyDescent="0.2">
      <c r="C2942"/>
      <c r="M2942"/>
    </row>
    <row r="2943" spans="3:13" ht="12.75" customHeight="1" x14ac:dyDescent="0.2">
      <c r="C2943"/>
      <c r="M2943"/>
    </row>
    <row r="2944" spans="3:13" ht="12.75" customHeight="1" x14ac:dyDescent="0.2">
      <c r="C2944"/>
      <c r="M2944"/>
    </row>
    <row r="2945" spans="3:13" ht="12.75" customHeight="1" x14ac:dyDescent="0.2">
      <c r="C2945"/>
      <c r="M2945"/>
    </row>
    <row r="2946" spans="3:13" ht="12.75" customHeight="1" x14ac:dyDescent="0.2">
      <c r="C2946"/>
      <c r="M2946"/>
    </row>
    <row r="2947" spans="3:13" ht="12.75" customHeight="1" x14ac:dyDescent="0.2">
      <c r="C2947"/>
      <c r="M2947"/>
    </row>
    <row r="2948" spans="3:13" ht="12.75" customHeight="1" x14ac:dyDescent="0.2">
      <c r="C2948"/>
      <c r="M2948"/>
    </row>
    <row r="2949" spans="3:13" ht="12.75" customHeight="1" x14ac:dyDescent="0.2">
      <c r="C2949"/>
      <c r="M2949"/>
    </row>
    <row r="2950" spans="3:13" ht="12.75" customHeight="1" x14ac:dyDescent="0.2">
      <c r="C2950"/>
      <c r="M2950"/>
    </row>
    <row r="2951" spans="3:13" ht="12.75" customHeight="1" x14ac:dyDescent="0.2">
      <c r="C2951"/>
      <c r="M2951"/>
    </row>
    <row r="2952" spans="3:13" ht="12.75" customHeight="1" x14ac:dyDescent="0.2">
      <c r="C2952"/>
      <c r="M2952"/>
    </row>
    <row r="2953" spans="3:13" ht="12.75" customHeight="1" x14ac:dyDescent="0.2">
      <c r="C2953"/>
      <c r="M2953"/>
    </row>
    <row r="2954" spans="3:13" ht="12.75" customHeight="1" x14ac:dyDescent="0.2">
      <c r="C2954"/>
      <c r="M2954"/>
    </row>
    <row r="2955" spans="3:13" ht="12.75" customHeight="1" x14ac:dyDescent="0.2">
      <c r="C2955"/>
      <c r="M2955"/>
    </row>
    <row r="2956" spans="3:13" ht="12.75" customHeight="1" x14ac:dyDescent="0.2">
      <c r="C2956"/>
      <c r="M2956"/>
    </row>
    <row r="2957" spans="3:13" ht="12.75" customHeight="1" x14ac:dyDescent="0.2">
      <c r="C2957"/>
      <c r="M2957"/>
    </row>
    <row r="2958" spans="3:13" ht="12.75" customHeight="1" x14ac:dyDescent="0.2">
      <c r="C2958"/>
      <c r="M2958"/>
    </row>
    <row r="2959" spans="3:13" ht="12.75" customHeight="1" x14ac:dyDescent="0.2">
      <c r="C2959"/>
      <c r="M2959"/>
    </row>
    <row r="2960" spans="3:13" ht="12.75" customHeight="1" x14ac:dyDescent="0.2">
      <c r="C2960"/>
      <c r="M2960"/>
    </row>
    <row r="2961" spans="3:13" ht="12.75" customHeight="1" x14ac:dyDescent="0.2">
      <c r="C2961"/>
      <c r="M2961"/>
    </row>
    <row r="2962" spans="3:13" ht="12.75" customHeight="1" x14ac:dyDescent="0.2">
      <c r="C2962"/>
      <c r="M2962"/>
    </row>
    <row r="2963" spans="3:13" ht="12.75" customHeight="1" x14ac:dyDescent="0.2">
      <c r="C2963"/>
      <c r="M2963"/>
    </row>
    <row r="2964" spans="3:13" ht="12.75" customHeight="1" x14ac:dyDescent="0.2">
      <c r="C2964"/>
      <c r="M2964"/>
    </row>
    <row r="2965" spans="3:13" ht="12.75" customHeight="1" x14ac:dyDescent="0.2">
      <c r="C2965"/>
      <c r="M2965"/>
    </row>
    <row r="2966" spans="3:13" ht="12.75" customHeight="1" x14ac:dyDescent="0.2">
      <c r="C2966"/>
      <c r="M2966"/>
    </row>
    <row r="2967" spans="3:13" ht="12.75" customHeight="1" x14ac:dyDescent="0.2">
      <c r="C2967"/>
      <c r="M2967"/>
    </row>
    <row r="2968" spans="3:13" ht="12.75" customHeight="1" x14ac:dyDescent="0.2">
      <c r="C2968"/>
      <c r="M2968"/>
    </row>
    <row r="2969" spans="3:13" ht="12.75" customHeight="1" x14ac:dyDescent="0.2">
      <c r="C2969"/>
      <c r="M2969"/>
    </row>
    <row r="2970" spans="3:13" ht="12.75" customHeight="1" x14ac:dyDescent="0.2">
      <c r="C2970"/>
      <c r="M2970"/>
    </row>
    <row r="2971" spans="3:13" ht="12.75" customHeight="1" x14ac:dyDescent="0.2">
      <c r="C2971"/>
      <c r="M2971"/>
    </row>
    <row r="2972" spans="3:13" ht="12.75" customHeight="1" x14ac:dyDescent="0.2">
      <c r="C2972"/>
      <c r="M2972"/>
    </row>
    <row r="2973" spans="3:13" ht="12.75" customHeight="1" x14ac:dyDescent="0.2">
      <c r="C2973"/>
      <c r="M2973"/>
    </row>
    <row r="2974" spans="3:13" ht="12.75" customHeight="1" x14ac:dyDescent="0.2">
      <c r="C2974"/>
      <c r="M2974"/>
    </row>
    <row r="2975" spans="3:13" ht="12.75" customHeight="1" x14ac:dyDescent="0.2">
      <c r="C2975"/>
      <c r="M2975"/>
    </row>
    <row r="2976" spans="3:13" ht="12.75" customHeight="1" x14ac:dyDescent="0.2">
      <c r="C2976"/>
      <c r="M2976"/>
    </row>
    <row r="2977" spans="3:13" ht="12.75" customHeight="1" x14ac:dyDescent="0.2">
      <c r="C2977"/>
      <c r="M2977"/>
    </row>
    <row r="2978" spans="3:13" ht="12.75" customHeight="1" x14ac:dyDescent="0.2">
      <c r="C2978"/>
      <c r="M2978"/>
    </row>
    <row r="2979" spans="3:13" ht="12.75" customHeight="1" x14ac:dyDescent="0.2">
      <c r="C2979"/>
      <c r="M2979"/>
    </row>
    <row r="2980" spans="3:13" ht="12.75" customHeight="1" x14ac:dyDescent="0.2">
      <c r="C2980"/>
      <c r="M2980"/>
    </row>
    <row r="2981" spans="3:13" ht="12.75" customHeight="1" x14ac:dyDescent="0.2">
      <c r="C2981"/>
      <c r="M2981"/>
    </row>
    <row r="2982" spans="3:13" ht="12.75" customHeight="1" x14ac:dyDescent="0.2">
      <c r="C2982"/>
      <c r="M2982"/>
    </row>
    <row r="2983" spans="3:13" ht="12.75" customHeight="1" x14ac:dyDescent="0.2">
      <c r="C2983"/>
      <c r="M2983"/>
    </row>
    <row r="2984" spans="3:13" ht="12.75" customHeight="1" x14ac:dyDescent="0.2">
      <c r="C2984"/>
      <c r="M2984"/>
    </row>
    <row r="2985" spans="3:13" ht="12.75" customHeight="1" x14ac:dyDescent="0.2">
      <c r="C2985"/>
      <c r="M2985"/>
    </row>
    <row r="2986" spans="3:13" ht="12.75" customHeight="1" x14ac:dyDescent="0.2">
      <c r="C2986"/>
      <c r="M2986"/>
    </row>
    <row r="2987" spans="3:13" ht="12.75" customHeight="1" x14ac:dyDescent="0.2">
      <c r="C2987"/>
      <c r="M2987"/>
    </row>
    <row r="2988" spans="3:13" ht="12.75" customHeight="1" x14ac:dyDescent="0.2">
      <c r="C2988"/>
      <c r="M2988"/>
    </row>
    <row r="2989" spans="3:13" ht="12.75" customHeight="1" x14ac:dyDescent="0.2">
      <c r="C2989"/>
      <c r="M2989"/>
    </row>
    <row r="2990" spans="3:13" ht="12.75" customHeight="1" x14ac:dyDescent="0.2">
      <c r="C2990"/>
      <c r="M2990"/>
    </row>
    <row r="2991" spans="3:13" ht="12.75" customHeight="1" x14ac:dyDescent="0.2">
      <c r="C2991"/>
      <c r="M2991"/>
    </row>
    <row r="2992" spans="3:13" ht="12.75" customHeight="1" x14ac:dyDescent="0.2">
      <c r="C2992"/>
      <c r="M2992"/>
    </row>
    <row r="2993" spans="3:13" ht="12.75" customHeight="1" x14ac:dyDescent="0.2">
      <c r="C2993"/>
      <c r="M2993"/>
    </row>
    <row r="2994" spans="3:13" ht="12.75" customHeight="1" x14ac:dyDescent="0.2">
      <c r="C2994"/>
      <c r="M2994"/>
    </row>
    <row r="2995" spans="3:13" ht="12.75" customHeight="1" x14ac:dyDescent="0.2">
      <c r="C2995"/>
      <c r="M2995"/>
    </row>
    <row r="2996" spans="3:13" ht="12.75" customHeight="1" x14ac:dyDescent="0.2">
      <c r="C2996"/>
      <c r="M2996"/>
    </row>
    <row r="2997" spans="3:13" ht="12.75" customHeight="1" x14ac:dyDescent="0.2">
      <c r="C2997"/>
      <c r="M2997"/>
    </row>
    <row r="2998" spans="3:13" ht="12.75" customHeight="1" x14ac:dyDescent="0.2">
      <c r="C2998"/>
      <c r="M2998"/>
    </row>
    <row r="2999" spans="3:13" ht="12.75" customHeight="1" x14ac:dyDescent="0.2">
      <c r="C2999"/>
      <c r="M2999"/>
    </row>
    <row r="3000" spans="3:13" ht="12.75" customHeight="1" x14ac:dyDescent="0.2">
      <c r="C3000"/>
      <c r="M3000"/>
    </row>
    <row r="3001" spans="3:13" ht="12.75" customHeight="1" x14ac:dyDescent="0.2">
      <c r="C3001"/>
      <c r="M3001"/>
    </row>
    <row r="3002" spans="3:13" ht="12.75" customHeight="1" x14ac:dyDescent="0.2">
      <c r="C3002"/>
      <c r="M3002"/>
    </row>
    <row r="3003" spans="3:13" ht="12.75" customHeight="1" x14ac:dyDescent="0.2">
      <c r="C3003"/>
      <c r="M3003"/>
    </row>
    <row r="3004" spans="3:13" ht="12.75" customHeight="1" x14ac:dyDescent="0.2">
      <c r="C3004"/>
      <c r="M3004"/>
    </row>
    <row r="3005" spans="3:13" ht="12.75" customHeight="1" x14ac:dyDescent="0.2">
      <c r="C3005"/>
      <c r="M3005"/>
    </row>
    <row r="3006" spans="3:13" ht="12.75" customHeight="1" x14ac:dyDescent="0.2">
      <c r="C3006"/>
      <c r="M3006"/>
    </row>
    <row r="3007" spans="3:13" ht="12.75" customHeight="1" x14ac:dyDescent="0.2">
      <c r="C3007"/>
      <c r="M3007"/>
    </row>
    <row r="3008" spans="3:13" ht="12.75" customHeight="1" x14ac:dyDescent="0.2">
      <c r="C3008"/>
      <c r="M3008"/>
    </row>
    <row r="3009" spans="3:13" ht="12.75" customHeight="1" x14ac:dyDescent="0.2">
      <c r="C3009"/>
      <c r="M3009"/>
    </row>
    <row r="3010" spans="3:13" ht="12.75" customHeight="1" x14ac:dyDescent="0.2">
      <c r="C3010"/>
      <c r="M3010"/>
    </row>
    <row r="3011" spans="3:13" ht="12.75" customHeight="1" x14ac:dyDescent="0.2">
      <c r="C3011"/>
      <c r="M3011"/>
    </row>
    <row r="3012" spans="3:13" ht="12.75" customHeight="1" x14ac:dyDescent="0.2">
      <c r="C3012"/>
      <c r="M3012"/>
    </row>
    <row r="3013" spans="3:13" ht="12.75" customHeight="1" x14ac:dyDescent="0.2">
      <c r="C3013"/>
      <c r="M3013"/>
    </row>
    <row r="3014" spans="3:13" ht="12.75" customHeight="1" x14ac:dyDescent="0.2">
      <c r="C3014"/>
      <c r="M3014"/>
    </row>
    <row r="3015" spans="3:13" ht="12.75" customHeight="1" x14ac:dyDescent="0.2">
      <c r="C3015"/>
      <c r="M3015"/>
    </row>
    <row r="3016" spans="3:13" ht="12.75" customHeight="1" x14ac:dyDescent="0.2">
      <c r="C3016"/>
      <c r="M3016"/>
    </row>
    <row r="3017" spans="3:13" ht="12.75" customHeight="1" x14ac:dyDescent="0.2">
      <c r="C3017"/>
      <c r="M3017"/>
    </row>
    <row r="3018" spans="3:13" ht="12.75" customHeight="1" x14ac:dyDescent="0.2">
      <c r="C3018"/>
      <c r="M3018"/>
    </row>
    <row r="3019" spans="3:13" ht="12.75" customHeight="1" x14ac:dyDescent="0.2">
      <c r="C3019"/>
      <c r="M3019"/>
    </row>
    <row r="3020" spans="3:13" ht="12.75" customHeight="1" x14ac:dyDescent="0.2">
      <c r="C3020"/>
      <c r="M3020"/>
    </row>
    <row r="3021" spans="3:13" ht="12.75" customHeight="1" x14ac:dyDescent="0.2">
      <c r="C3021"/>
      <c r="M3021"/>
    </row>
    <row r="3022" spans="3:13" ht="12.75" customHeight="1" x14ac:dyDescent="0.2">
      <c r="C3022"/>
      <c r="M3022"/>
    </row>
    <row r="3023" spans="3:13" ht="12.75" customHeight="1" x14ac:dyDescent="0.2">
      <c r="C3023"/>
      <c r="M3023"/>
    </row>
    <row r="3024" spans="3:13" ht="12.75" customHeight="1" x14ac:dyDescent="0.2">
      <c r="C3024"/>
      <c r="M3024"/>
    </row>
    <row r="3025" spans="3:13" ht="12.75" customHeight="1" x14ac:dyDescent="0.2">
      <c r="C3025"/>
      <c r="M3025"/>
    </row>
    <row r="3026" spans="3:13" ht="12.75" customHeight="1" x14ac:dyDescent="0.2">
      <c r="C3026"/>
      <c r="M3026"/>
    </row>
    <row r="3027" spans="3:13" ht="12.75" customHeight="1" x14ac:dyDescent="0.2">
      <c r="C3027"/>
      <c r="M3027"/>
    </row>
    <row r="3028" spans="3:13" ht="12.75" customHeight="1" x14ac:dyDescent="0.2">
      <c r="C3028"/>
      <c r="M3028"/>
    </row>
    <row r="3029" spans="3:13" ht="12.75" customHeight="1" x14ac:dyDescent="0.2">
      <c r="C3029"/>
      <c r="M3029"/>
    </row>
    <row r="3030" spans="3:13" ht="12.75" customHeight="1" x14ac:dyDescent="0.2">
      <c r="C3030"/>
      <c r="M3030"/>
    </row>
    <row r="3031" spans="3:13" ht="12.75" customHeight="1" x14ac:dyDescent="0.2">
      <c r="C3031"/>
      <c r="M3031"/>
    </row>
    <row r="3032" spans="3:13" ht="12.75" customHeight="1" x14ac:dyDescent="0.2">
      <c r="C3032"/>
      <c r="M3032"/>
    </row>
    <row r="3033" spans="3:13" ht="12.75" customHeight="1" x14ac:dyDescent="0.2">
      <c r="C3033"/>
      <c r="M3033"/>
    </row>
    <row r="3034" spans="3:13" ht="12.75" customHeight="1" x14ac:dyDescent="0.2">
      <c r="C3034"/>
      <c r="M3034"/>
    </row>
    <row r="3035" spans="3:13" ht="12.75" customHeight="1" x14ac:dyDescent="0.2">
      <c r="C3035"/>
      <c r="M3035"/>
    </row>
    <row r="3036" spans="3:13" ht="12.75" customHeight="1" x14ac:dyDescent="0.2">
      <c r="C3036"/>
      <c r="M3036"/>
    </row>
    <row r="3037" spans="3:13" ht="12.75" customHeight="1" x14ac:dyDescent="0.2">
      <c r="C3037"/>
      <c r="M3037"/>
    </row>
    <row r="3038" spans="3:13" ht="12.75" customHeight="1" x14ac:dyDescent="0.2">
      <c r="C3038"/>
      <c r="M3038"/>
    </row>
    <row r="3039" spans="3:13" ht="12.75" customHeight="1" x14ac:dyDescent="0.2">
      <c r="C3039"/>
      <c r="M3039"/>
    </row>
    <row r="3040" spans="3:13" ht="12.75" customHeight="1" x14ac:dyDescent="0.2">
      <c r="C3040"/>
      <c r="M3040"/>
    </row>
    <row r="3041" spans="3:13" ht="12.75" customHeight="1" x14ac:dyDescent="0.2">
      <c r="C3041"/>
      <c r="M3041"/>
    </row>
    <row r="3042" spans="3:13" ht="12.75" customHeight="1" x14ac:dyDescent="0.2">
      <c r="C3042"/>
      <c r="M3042"/>
    </row>
    <row r="3043" spans="3:13" ht="12.75" customHeight="1" x14ac:dyDescent="0.2">
      <c r="C3043"/>
      <c r="M3043"/>
    </row>
    <row r="3044" spans="3:13" ht="12.75" customHeight="1" x14ac:dyDescent="0.2">
      <c r="C3044"/>
      <c r="M3044"/>
    </row>
    <row r="3045" spans="3:13" ht="12.75" customHeight="1" x14ac:dyDescent="0.2">
      <c r="C3045"/>
      <c r="M3045"/>
    </row>
    <row r="3046" spans="3:13" ht="12.75" customHeight="1" x14ac:dyDescent="0.2">
      <c r="C3046"/>
      <c r="M3046"/>
    </row>
    <row r="3047" spans="3:13" ht="12.75" customHeight="1" x14ac:dyDescent="0.2">
      <c r="C3047"/>
      <c r="M3047"/>
    </row>
    <row r="3048" spans="3:13" ht="12.75" customHeight="1" x14ac:dyDescent="0.2">
      <c r="C3048"/>
      <c r="M3048"/>
    </row>
    <row r="3049" spans="3:13" ht="12.75" customHeight="1" x14ac:dyDescent="0.2">
      <c r="C3049"/>
      <c r="M3049"/>
    </row>
    <row r="3050" spans="3:13" ht="12.75" customHeight="1" x14ac:dyDescent="0.2">
      <c r="C3050"/>
      <c r="M3050"/>
    </row>
    <row r="3051" spans="3:13" ht="12.75" customHeight="1" x14ac:dyDescent="0.2">
      <c r="C3051"/>
      <c r="M3051"/>
    </row>
    <row r="3052" spans="3:13" ht="12.75" customHeight="1" x14ac:dyDescent="0.2">
      <c r="C3052"/>
      <c r="M3052"/>
    </row>
    <row r="3053" spans="3:13" ht="12.75" customHeight="1" x14ac:dyDescent="0.2">
      <c r="C3053"/>
      <c r="M3053"/>
    </row>
    <row r="3054" spans="3:13" ht="12.75" customHeight="1" x14ac:dyDescent="0.2">
      <c r="C3054"/>
      <c r="M3054"/>
    </row>
    <row r="3055" spans="3:13" ht="12.75" customHeight="1" x14ac:dyDescent="0.2">
      <c r="C3055"/>
      <c r="M3055"/>
    </row>
    <row r="3056" spans="3:13" ht="12.75" customHeight="1" x14ac:dyDescent="0.2">
      <c r="C3056"/>
      <c r="M3056"/>
    </row>
    <row r="3057" spans="3:13" ht="12.75" customHeight="1" x14ac:dyDescent="0.2">
      <c r="C3057"/>
      <c r="M3057"/>
    </row>
    <row r="3058" spans="3:13" ht="12.75" customHeight="1" x14ac:dyDescent="0.2">
      <c r="C3058"/>
      <c r="M3058"/>
    </row>
    <row r="3059" spans="3:13" ht="12.75" customHeight="1" x14ac:dyDescent="0.2">
      <c r="C3059"/>
      <c r="M3059"/>
    </row>
    <row r="3060" spans="3:13" ht="12.75" customHeight="1" x14ac:dyDescent="0.2">
      <c r="C3060"/>
      <c r="M3060"/>
    </row>
    <row r="3061" spans="3:13" ht="12.75" customHeight="1" x14ac:dyDescent="0.2">
      <c r="C3061"/>
      <c r="M3061"/>
    </row>
    <row r="3062" spans="3:13" ht="12.75" customHeight="1" x14ac:dyDescent="0.2">
      <c r="C3062"/>
      <c r="M3062"/>
    </row>
    <row r="3063" spans="3:13" ht="12.75" customHeight="1" x14ac:dyDescent="0.2">
      <c r="C3063"/>
      <c r="M3063"/>
    </row>
    <row r="3064" spans="3:13" ht="12.75" customHeight="1" x14ac:dyDescent="0.2">
      <c r="C3064"/>
      <c r="M3064"/>
    </row>
    <row r="3065" spans="3:13" ht="12.75" customHeight="1" x14ac:dyDescent="0.2">
      <c r="C3065"/>
      <c r="M3065"/>
    </row>
    <row r="3066" spans="3:13" ht="12.75" customHeight="1" x14ac:dyDescent="0.2">
      <c r="C3066"/>
      <c r="M3066"/>
    </row>
    <row r="3067" spans="3:13" ht="12.75" customHeight="1" x14ac:dyDescent="0.2">
      <c r="C3067"/>
      <c r="M3067"/>
    </row>
    <row r="3068" spans="3:13" ht="12.75" customHeight="1" x14ac:dyDescent="0.2">
      <c r="C3068"/>
      <c r="M3068"/>
    </row>
    <row r="3069" spans="3:13" ht="12.75" customHeight="1" x14ac:dyDescent="0.2">
      <c r="C3069"/>
      <c r="M3069"/>
    </row>
    <row r="3070" spans="3:13" ht="12.75" customHeight="1" x14ac:dyDescent="0.2">
      <c r="C3070"/>
      <c r="M3070"/>
    </row>
    <row r="3071" spans="3:13" ht="12.75" customHeight="1" x14ac:dyDescent="0.2">
      <c r="C3071"/>
      <c r="M3071"/>
    </row>
    <row r="3072" spans="3:13" ht="12.75" customHeight="1" x14ac:dyDescent="0.2">
      <c r="C3072"/>
      <c r="M3072"/>
    </row>
    <row r="3073" spans="3:13" ht="12.75" customHeight="1" x14ac:dyDescent="0.2">
      <c r="C3073"/>
      <c r="M3073"/>
    </row>
    <row r="3074" spans="3:13" ht="12.75" customHeight="1" x14ac:dyDescent="0.2">
      <c r="C3074"/>
      <c r="M3074"/>
    </row>
    <row r="3075" spans="3:13" ht="12.75" customHeight="1" x14ac:dyDescent="0.2">
      <c r="C3075"/>
      <c r="M3075"/>
    </row>
    <row r="3076" spans="3:13" ht="12.75" customHeight="1" x14ac:dyDescent="0.2">
      <c r="C3076"/>
      <c r="M3076"/>
    </row>
    <row r="3077" spans="3:13" ht="12.75" customHeight="1" x14ac:dyDescent="0.2">
      <c r="C3077"/>
      <c r="M3077"/>
    </row>
    <row r="3078" spans="3:13" ht="12.75" customHeight="1" x14ac:dyDescent="0.2">
      <c r="C3078"/>
      <c r="M3078"/>
    </row>
    <row r="3079" spans="3:13" ht="12.75" customHeight="1" x14ac:dyDescent="0.2">
      <c r="C3079"/>
      <c r="M3079"/>
    </row>
    <row r="3080" spans="3:13" ht="12.75" customHeight="1" x14ac:dyDescent="0.2">
      <c r="C3080"/>
      <c r="M3080"/>
    </row>
    <row r="3081" spans="3:13" ht="12.75" customHeight="1" x14ac:dyDescent="0.2">
      <c r="C3081"/>
      <c r="M3081"/>
    </row>
    <row r="3082" spans="3:13" ht="12.75" customHeight="1" x14ac:dyDescent="0.2">
      <c r="C3082"/>
      <c r="M3082"/>
    </row>
    <row r="3083" spans="3:13" ht="12.75" customHeight="1" x14ac:dyDescent="0.2">
      <c r="C3083"/>
      <c r="M3083"/>
    </row>
    <row r="3084" spans="3:13" ht="12.75" customHeight="1" x14ac:dyDescent="0.2">
      <c r="C3084"/>
      <c r="M3084"/>
    </row>
    <row r="3085" spans="3:13" ht="12.75" customHeight="1" x14ac:dyDescent="0.2">
      <c r="C3085"/>
      <c r="M3085"/>
    </row>
    <row r="3086" spans="3:13" ht="12.75" customHeight="1" x14ac:dyDescent="0.2">
      <c r="C3086"/>
      <c r="M3086"/>
    </row>
    <row r="3087" spans="3:13" ht="12.75" customHeight="1" x14ac:dyDescent="0.2">
      <c r="C3087"/>
      <c r="M3087"/>
    </row>
    <row r="3088" spans="3:13" ht="12.75" customHeight="1" x14ac:dyDescent="0.2">
      <c r="C3088"/>
      <c r="M3088"/>
    </row>
    <row r="3089" spans="3:13" ht="12.75" customHeight="1" x14ac:dyDescent="0.2">
      <c r="C3089"/>
      <c r="M3089"/>
    </row>
    <row r="3090" spans="3:13" ht="12.75" customHeight="1" x14ac:dyDescent="0.2">
      <c r="C3090"/>
      <c r="M3090"/>
    </row>
    <row r="3091" spans="3:13" ht="12.75" customHeight="1" x14ac:dyDescent="0.2">
      <c r="C3091"/>
      <c r="M3091"/>
    </row>
    <row r="3092" spans="3:13" ht="12.75" customHeight="1" x14ac:dyDescent="0.2">
      <c r="C3092"/>
      <c r="M3092"/>
    </row>
    <row r="3093" spans="3:13" ht="12.75" customHeight="1" x14ac:dyDescent="0.2">
      <c r="C3093"/>
      <c r="M3093"/>
    </row>
    <row r="3094" spans="3:13" ht="12.75" customHeight="1" x14ac:dyDescent="0.2">
      <c r="C3094"/>
      <c r="M3094"/>
    </row>
    <row r="3095" spans="3:13" ht="12.75" customHeight="1" x14ac:dyDescent="0.2">
      <c r="C3095"/>
      <c r="M3095"/>
    </row>
    <row r="3096" spans="3:13" ht="12.75" customHeight="1" x14ac:dyDescent="0.2">
      <c r="C3096"/>
      <c r="M3096"/>
    </row>
    <row r="3097" spans="3:13" ht="12.75" customHeight="1" x14ac:dyDescent="0.2">
      <c r="C3097"/>
      <c r="M3097"/>
    </row>
    <row r="3098" spans="3:13" ht="12.75" customHeight="1" x14ac:dyDescent="0.2">
      <c r="C3098"/>
      <c r="M3098"/>
    </row>
    <row r="3099" spans="3:13" ht="12.75" customHeight="1" x14ac:dyDescent="0.2">
      <c r="C3099"/>
      <c r="M3099"/>
    </row>
    <row r="3100" spans="3:13" ht="12.75" customHeight="1" x14ac:dyDescent="0.2">
      <c r="C3100"/>
      <c r="M3100"/>
    </row>
    <row r="3101" spans="3:13" ht="12.75" customHeight="1" x14ac:dyDescent="0.2">
      <c r="C3101"/>
      <c r="M3101"/>
    </row>
    <row r="3102" spans="3:13" ht="12.75" customHeight="1" x14ac:dyDescent="0.2">
      <c r="C3102"/>
      <c r="M3102"/>
    </row>
    <row r="3103" spans="3:13" ht="12.75" customHeight="1" x14ac:dyDescent="0.2">
      <c r="C3103"/>
      <c r="M3103"/>
    </row>
    <row r="3104" spans="3:13" ht="12.75" customHeight="1" x14ac:dyDescent="0.2">
      <c r="C3104"/>
      <c r="M3104"/>
    </row>
    <row r="3105" spans="3:13" ht="12.75" customHeight="1" x14ac:dyDescent="0.2">
      <c r="C3105"/>
      <c r="M3105"/>
    </row>
    <row r="3106" spans="3:13" ht="12.75" customHeight="1" x14ac:dyDescent="0.2">
      <c r="C3106"/>
      <c r="M3106"/>
    </row>
    <row r="3107" spans="3:13" ht="12.75" customHeight="1" x14ac:dyDescent="0.2">
      <c r="C3107"/>
      <c r="M3107"/>
    </row>
    <row r="3108" spans="3:13" ht="12.75" customHeight="1" x14ac:dyDescent="0.2">
      <c r="C3108"/>
      <c r="M3108"/>
    </row>
    <row r="3109" spans="3:13" ht="12.75" customHeight="1" x14ac:dyDescent="0.2">
      <c r="C3109"/>
      <c r="M3109"/>
    </row>
    <row r="3110" spans="3:13" ht="12.75" customHeight="1" x14ac:dyDescent="0.2">
      <c r="C3110"/>
      <c r="M3110"/>
    </row>
    <row r="3111" spans="3:13" ht="12.75" customHeight="1" x14ac:dyDescent="0.2">
      <c r="C3111"/>
      <c r="M3111"/>
    </row>
    <row r="3112" spans="3:13" ht="12.75" customHeight="1" x14ac:dyDescent="0.2">
      <c r="C3112"/>
      <c r="M3112"/>
    </row>
    <row r="3113" spans="3:13" ht="12.75" customHeight="1" x14ac:dyDescent="0.2">
      <c r="C3113"/>
      <c r="M3113"/>
    </row>
    <row r="3114" spans="3:13" ht="12.75" customHeight="1" x14ac:dyDescent="0.2">
      <c r="C3114"/>
      <c r="M3114"/>
    </row>
    <row r="3115" spans="3:13" ht="12.75" customHeight="1" x14ac:dyDescent="0.2">
      <c r="C3115"/>
      <c r="M3115"/>
    </row>
    <row r="3116" spans="3:13" ht="12.75" customHeight="1" x14ac:dyDescent="0.2">
      <c r="C3116"/>
      <c r="M3116"/>
    </row>
    <row r="3117" spans="3:13" ht="12.75" customHeight="1" x14ac:dyDescent="0.2">
      <c r="C3117"/>
      <c r="M3117"/>
    </row>
    <row r="3118" spans="3:13" ht="12.75" customHeight="1" x14ac:dyDescent="0.2">
      <c r="C3118"/>
      <c r="M3118"/>
    </row>
    <row r="3119" spans="3:13" ht="12.75" customHeight="1" x14ac:dyDescent="0.2">
      <c r="C3119"/>
      <c r="M3119"/>
    </row>
    <row r="3120" spans="3:13" ht="12.75" customHeight="1" x14ac:dyDescent="0.2">
      <c r="C3120"/>
      <c r="M3120"/>
    </row>
    <row r="3121" spans="3:13" ht="12.75" customHeight="1" x14ac:dyDescent="0.2">
      <c r="C3121"/>
      <c r="M3121"/>
    </row>
    <row r="3122" spans="3:13" ht="12.75" customHeight="1" x14ac:dyDescent="0.2">
      <c r="C3122"/>
      <c r="M3122"/>
    </row>
    <row r="3123" spans="3:13" ht="12.75" customHeight="1" x14ac:dyDescent="0.2">
      <c r="C3123"/>
      <c r="M3123"/>
    </row>
    <row r="3124" spans="3:13" ht="12.75" customHeight="1" x14ac:dyDescent="0.2">
      <c r="C3124"/>
      <c r="M3124"/>
    </row>
    <row r="3125" spans="3:13" ht="12.75" customHeight="1" x14ac:dyDescent="0.2">
      <c r="C3125"/>
      <c r="M3125"/>
    </row>
    <row r="3126" spans="3:13" ht="12.75" customHeight="1" x14ac:dyDescent="0.2">
      <c r="C3126"/>
      <c r="M3126"/>
    </row>
    <row r="3127" spans="3:13" ht="12.75" customHeight="1" x14ac:dyDescent="0.2">
      <c r="C3127"/>
      <c r="M3127"/>
    </row>
    <row r="3128" spans="3:13" ht="12.75" customHeight="1" x14ac:dyDescent="0.2">
      <c r="C3128"/>
      <c r="M3128"/>
    </row>
    <row r="3129" spans="3:13" ht="12.75" customHeight="1" x14ac:dyDescent="0.2">
      <c r="C3129"/>
      <c r="M3129"/>
    </row>
    <row r="3130" spans="3:13" ht="12.75" customHeight="1" x14ac:dyDescent="0.2">
      <c r="C3130"/>
      <c r="M3130"/>
    </row>
    <row r="3131" spans="3:13" ht="12.75" customHeight="1" x14ac:dyDescent="0.2">
      <c r="C3131"/>
      <c r="M3131"/>
    </row>
    <row r="3132" spans="3:13" ht="12.75" customHeight="1" x14ac:dyDescent="0.2">
      <c r="C3132"/>
      <c r="M3132"/>
    </row>
    <row r="3133" spans="3:13" ht="12.75" customHeight="1" x14ac:dyDescent="0.2">
      <c r="C3133"/>
      <c r="M3133"/>
    </row>
    <row r="3134" spans="3:13" ht="12.75" customHeight="1" x14ac:dyDescent="0.2">
      <c r="C3134"/>
      <c r="M3134"/>
    </row>
    <row r="3135" spans="3:13" ht="12.75" customHeight="1" x14ac:dyDescent="0.2">
      <c r="C3135"/>
      <c r="M3135"/>
    </row>
    <row r="3136" spans="3:13" ht="12.75" customHeight="1" x14ac:dyDescent="0.2">
      <c r="C3136"/>
      <c r="M3136"/>
    </row>
    <row r="3137" spans="3:13" ht="12.75" customHeight="1" x14ac:dyDescent="0.2">
      <c r="C3137"/>
      <c r="M3137"/>
    </row>
    <row r="3138" spans="3:13" ht="12.75" customHeight="1" x14ac:dyDescent="0.2">
      <c r="C3138"/>
      <c r="M3138"/>
    </row>
    <row r="3139" spans="3:13" ht="12.75" customHeight="1" x14ac:dyDescent="0.2">
      <c r="C3139"/>
      <c r="M3139"/>
    </row>
    <row r="3140" spans="3:13" ht="12.75" customHeight="1" x14ac:dyDescent="0.2">
      <c r="C3140"/>
      <c r="M3140"/>
    </row>
    <row r="3141" spans="3:13" ht="12.75" customHeight="1" x14ac:dyDescent="0.2">
      <c r="C3141"/>
      <c r="M3141"/>
    </row>
    <row r="3142" spans="3:13" ht="12.75" customHeight="1" x14ac:dyDescent="0.2">
      <c r="C3142"/>
      <c r="M3142"/>
    </row>
    <row r="3143" spans="3:13" ht="12.75" customHeight="1" x14ac:dyDescent="0.2">
      <c r="C3143"/>
      <c r="M3143"/>
    </row>
    <row r="3144" spans="3:13" ht="12.75" customHeight="1" x14ac:dyDescent="0.2">
      <c r="C3144"/>
      <c r="M3144"/>
    </row>
    <row r="3145" spans="3:13" ht="12.75" customHeight="1" x14ac:dyDescent="0.2">
      <c r="C3145"/>
      <c r="M3145"/>
    </row>
    <row r="3146" spans="3:13" ht="12.75" customHeight="1" x14ac:dyDescent="0.2">
      <c r="C3146"/>
      <c r="M3146"/>
    </row>
    <row r="3147" spans="3:13" ht="12.75" customHeight="1" x14ac:dyDescent="0.2">
      <c r="C3147"/>
      <c r="M3147"/>
    </row>
    <row r="3148" spans="3:13" ht="12.75" customHeight="1" x14ac:dyDescent="0.2">
      <c r="C3148"/>
      <c r="M3148"/>
    </row>
    <row r="3149" spans="3:13" ht="12.75" customHeight="1" x14ac:dyDescent="0.2">
      <c r="C3149"/>
      <c r="M3149"/>
    </row>
    <row r="3150" spans="3:13" ht="12.75" customHeight="1" x14ac:dyDescent="0.2">
      <c r="C3150"/>
      <c r="M3150"/>
    </row>
    <row r="3151" spans="3:13" ht="12.75" customHeight="1" x14ac:dyDescent="0.2">
      <c r="C3151"/>
      <c r="M3151"/>
    </row>
    <row r="3152" spans="3:13" ht="12.75" customHeight="1" x14ac:dyDescent="0.2">
      <c r="C3152"/>
      <c r="M3152"/>
    </row>
    <row r="3153" spans="3:13" ht="12.75" customHeight="1" x14ac:dyDescent="0.2">
      <c r="C3153"/>
      <c r="M3153"/>
    </row>
    <row r="3154" spans="3:13" ht="12.75" customHeight="1" x14ac:dyDescent="0.2">
      <c r="C3154"/>
      <c r="M3154"/>
    </row>
    <row r="3155" spans="3:13" ht="12.75" customHeight="1" x14ac:dyDescent="0.2">
      <c r="C3155"/>
      <c r="M3155"/>
    </row>
    <row r="3156" spans="3:13" ht="12.75" customHeight="1" x14ac:dyDescent="0.2">
      <c r="C3156"/>
      <c r="M3156"/>
    </row>
    <row r="3157" spans="3:13" ht="12.75" customHeight="1" x14ac:dyDescent="0.2">
      <c r="C3157"/>
      <c r="M3157"/>
    </row>
    <row r="3158" spans="3:13" ht="12.75" customHeight="1" x14ac:dyDescent="0.2">
      <c r="C3158"/>
      <c r="M3158"/>
    </row>
    <row r="3159" spans="3:13" ht="12.75" customHeight="1" x14ac:dyDescent="0.2">
      <c r="C3159"/>
      <c r="M3159"/>
    </row>
    <row r="3160" spans="3:13" ht="12.75" customHeight="1" x14ac:dyDescent="0.2">
      <c r="C3160"/>
      <c r="M3160"/>
    </row>
    <row r="3161" spans="3:13" ht="12.75" customHeight="1" x14ac:dyDescent="0.2">
      <c r="C3161"/>
      <c r="M3161"/>
    </row>
    <row r="3162" spans="3:13" ht="12.75" customHeight="1" x14ac:dyDescent="0.2">
      <c r="C3162"/>
      <c r="M3162"/>
    </row>
    <row r="3163" spans="3:13" ht="12.75" customHeight="1" x14ac:dyDescent="0.2">
      <c r="C3163"/>
      <c r="M3163"/>
    </row>
    <row r="3164" spans="3:13" ht="12.75" customHeight="1" x14ac:dyDescent="0.2">
      <c r="C3164"/>
      <c r="M3164"/>
    </row>
    <row r="3165" spans="3:13" ht="12.75" customHeight="1" x14ac:dyDescent="0.2">
      <c r="C3165"/>
      <c r="M3165"/>
    </row>
    <row r="3166" spans="3:13" ht="12.75" customHeight="1" x14ac:dyDescent="0.2">
      <c r="C3166"/>
      <c r="M3166"/>
    </row>
    <row r="3167" spans="3:13" ht="12.75" customHeight="1" x14ac:dyDescent="0.2">
      <c r="C3167"/>
      <c r="M3167"/>
    </row>
    <row r="3168" spans="3:13" ht="12.75" customHeight="1" x14ac:dyDescent="0.2">
      <c r="C3168"/>
      <c r="M3168"/>
    </row>
    <row r="3169" spans="3:13" ht="12.75" customHeight="1" x14ac:dyDescent="0.2">
      <c r="C3169"/>
      <c r="M3169"/>
    </row>
    <row r="3170" spans="3:13" ht="12.75" customHeight="1" x14ac:dyDescent="0.2">
      <c r="C3170"/>
      <c r="M3170"/>
    </row>
    <row r="3171" spans="3:13" ht="12.75" customHeight="1" x14ac:dyDescent="0.2">
      <c r="C3171"/>
      <c r="M3171"/>
    </row>
    <row r="3172" spans="3:13" ht="12.75" customHeight="1" x14ac:dyDescent="0.2">
      <c r="C3172"/>
      <c r="M3172"/>
    </row>
    <row r="3173" spans="3:13" ht="12.75" customHeight="1" x14ac:dyDescent="0.2">
      <c r="C3173"/>
      <c r="M3173"/>
    </row>
    <row r="3174" spans="3:13" ht="12.75" customHeight="1" x14ac:dyDescent="0.2">
      <c r="C3174"/>
      <c r="M3174"/>
    </row>
    <row r="3175" spans="3:13" ht="12.75" customHeight="1" x14ac:dyDescent="0.2">
      <c r="C3175"/>
      <c r="M3175"/>
    </row>
    <row r="3176" spans="3:13" ht="12.75" customHeight="1" x14ac:dyDescent="0.2">
      <c r="C3176"/>
      <c r="M3176"/>
    </row>
    <row r="3177" spans="3:13" ht="12.75" customHeight="1" x14ac:dyDescent="0.2">
      <c r="C3177"/>
      <c r="M3177"/>
    </row>
    <row r="3178" spans="3:13" ht="12.75" customHeight="1" x14ac:dyDescent="0.2">
      <c r="C3178"/>
      <c r="M3178"/>
    </row>
    <row r="3179" spans="3:13" ht="12.75" customHeight="1" x14ac:dyDescent="0.2">
      <c r="C3179"/>
      <c r="M3179"/>
    </row>
    <row r="3180" spans="3:13" ht="12.75" customHeight="1" x14ac:dyDescent="0.2">
      <c r="C3180"/>
      <c r="M3180"/>
    </row>
    <row r="3181" spans="3:13" ht="12.75" customHeight="1" x14ac:dyDescent="0.2">
      <c r="C3181"/>
      <c r="M3181"/>
    </row>
    <row r="3182" spans="3:13" ht="12.75" customHeight="1" x14ac:dyDescent="0.2">
      <c r="C3182"/>
      <c r="M3182"/>
    </row>
    <row r="3183" spans="3:13" ht="12.75" customHeight="1" x14ac:dyDescent="0.2">
      <c r="C3183"/>
      <c r="M3183"/>
    </row>
    <row r="3184" spans="3:13" ht="12.75" customHeight="1" x14ac:dyDescent="0.2">
      <c r="C3184"/>
      <c r="M3184"/>
    </row>
    <row r="3185" spans="3:13" ht="12.75" customHeight="1" x14ac:dyDescent="0.2">
      <c r="C3185"/>
      <c r="M3185"/>
    </row>
    <row r="3186" spans="3:13" ht="12.75" customHeight="1" x14ac:dyDescent="0.2">
      <c r="C3186"/>
      <c r="M3186"/>
    </row>
    <row r="3187" spans="3:13" ht="12.75" customHeight="1" x14ac:dyDescent="0.2">
      <c r="C3187"/>
      <c r="M3187"/>
    </row>
    <row r="3188" spans="3:13" ht="12.75" customHeight="1" x14ac:dyDescent="0.2">
      <c r="C3188"/>
      <c r="M3188"/>
    </row>
    <row r="3189" spans="3:13" ht="12.75" customHeight="1" x14ac:dyDescent="0.2">
      <c r="C3189"/>
      <c r="M3189"/>
    </row>
    <row r="3190" spans="3:13" ht="12.75" customHeight="1" x14ac:dyDescent="0.2">
      <c r="C3190"/>
      <c r="M3190"/>
    </row>
    <row r="3191" spans="3:13" ht="12.75" customHeight="1" x14ac:dyDescent="0.2">
      <c r="C3191"/>
      <c r="M3191"/>
    </row>
    <row r="3192" spans="3:13" ht="12.75" customHeight="1" x14ac:dyDescent="0.2">
      <c r="C3192"/>
      <c r="M3192"/>
    </row>
    <row r="3193" spans="3:13" ht="12.75" customHeight="1" x14ac:dyDescent="0.2">
      <c r="C3193"/>
      <c r="M3193"/>
    </row>
    <row r="3194" spans="3:13" ht="12.75" customHeight="1" x14ac:dyDescent="0.2">
      <c r="C3194"/>
      <c r="M3194"/>
    </row>
    <row r="3195" spans="3:13" ht="12.75" customHeight="1" x14ac:dyDescent="0.2">
      <c r="C3195"/>
      <c r="M3195"/>
    </row>
    <row r="3196" spans="3:13" ht="12.75" customHeight="1" x14ac:dyDescent="0.2">
      <c r="C3196"/>
      <c r="M3196"/>
    </row>
    <row r="3197" spans="3:13" ht="12.75" customHeight="1" x14ac:dyDescent="0.2">
      <c r="C3197"/>
      <c r="M3197"/>
    </row>
    <row r="3198" spans="3:13" ht="12.75" customHeight="1" x14ac:dyDescent="0.2">
      <c r="C3198"/>
      <c r="M3198"/>
    </row>
    <row r="3199" spans="3:13" ht="12.75" customHeight="1" x14ac:dyDescent="0.2">
      <c r="C3199"/>
      <c r="M3199"/>
    </row>
    <row r="3200" spans="3:13" ht="12.75" customHeight="1" x14ac:dyDescent="0.2">
      <c r="C3200"/>
      <c r="M3200"/>
    </row>
    <row r="3201" spans="3:13" ht="12.75" customHeight="1" x14ac:dyDescent="0.2">
      <c r="C3201"/>
      <c r="M3201"/>
    </row>
    <row r="3202" spans="3:13" ht="12.75" customHeight="1" x14ac:dyDescent="0.2">
      <c r="C3202"/>
      <c r="M3202"/>
    </row>
    <row r="3203" spans="3:13" ht="12.75" customHeight="1" x14ac:dyDescent="0.2">
      <c r="C3203"/>
      <c r="M3203"/>
    </row>
    <row r="3204" spans="3:13" ht="12.75" customHeight="1" x14ac:dyDescent="0.2">
      <c r="C3204"/>
      <c r="M3204"/>
    </row>
    <row r="3205" spans="3:13" ht="12.75" customHeight="1" x14ac:dyDescent="0.2">
      <c r="C3205"/>
      <c r="M3205"/>
    </row>
    <row r="3206" spans="3:13" ht="12.75" customHeight="1" x14ac:dyDescent="0.2">
      <c r="C3206"/>
      <c r="M3206"/>
    </row>
    <row r="3207" spans="3:13" ht="12.75" customHeight="1" x14ac:dyDescent="0.2">
      <c r="C3207"/>
      <c r="M3207"/>
    </row>
    <row r="3208" spans="3:13" ht="12.75" customHeight="1" x14ac:dyDescent="0.2">
      <c r="C3208"/>
      <c r="M3208"/>
    </row>
    <row r="3209" spans="3:13" ht="12.75" customHeight="1" x14ac:dyDescent="0.2">
      <c r="C3209"/>
      <c r="M3209"/>
    </row>
    <row r="3210" spans="3:13" ht="12.75" customHeight="1" x14ac:dyDescent="0.2">
      <c r="C3210"/>
      <c r="M3210"/>
    </row>
    <row r="3211" spans="3:13" ht="12.75" customHeight="1" x14ac:dyDescent="0.2">
      <c r="C3211"/>
      <c r="M3211"/>
    </row>
    <row r="3212" spans="3:13" ht="12.75" customHeight="1" x14ac:dyDescent="0.2">
      <c r="C3212"/>
      <c r="M3212"/>
    </row>
    <row r="3213" spans="3:13" ht="12.75" customHeight="1" x14ac:dyDescent="0.2">
      <c r="C3213"/>
      <c r="M3213"/>
    </row>
    <row r="3214" spans="3:13" ht="12.75" customHeight="1" x14ac:dyDescent="0.2">
      <c r="C3214"/>
      <c r="M3214"/>
    </row>
    <row r="3215" spans="3:13" ht="12.75" customHeight="1" x14ac:dyDescent="0.2">
      <c r="C3215"/>
      <c r="M3215"/>
    </row>
    <row r="3216" spans="3:13" ht="12.75" customHeight="1" x14ac:dyDescent="0.2">
      <c r="C3216"/>
      <c r="M3216"/>
    </row>
    <row r="3217" spans="3:13" ht="12.75" customHeight="1" x14ac:dyDescent="0.2">
      <c r="C3217"/>
      <c r="M3217"/>
    </row>
    <row r="3218" spans="3:13" ht="12.75" customHeight="1" x14ac:dyDescent="0.2">
      <c r="C3218"/>
      <c r="M3218"/>
    </row>
    <row r="3219" spans="3:13" ht="12.75" customHeight="1" x14ac:dyDescent="0.2">
      <c r="C3219"/>
      <c r="M3219"/>
    </row>
    <row r="3220" spans="3:13" ht="12.75" customHeight="1" x14ac:dyDescent="0.2">
      <c r="C3220"/>
      <c r="M3220"/>
    </row>
    <row r="3221" spans="3:13" ht="12.75" customHeight="1" x14ac:dyDescent="0.2">
      <c r="C3221"/>
      <c r="M3221"/>
    </row>
    <row r="3222" spans="3:13" ht="12.75" customHeight="1" x14ac:dyDescent="0.2">
      <c r="C3222"/>
      <c r="M3222"/>
    </row>
    <row r="3223" spans="3:13" ht="12.75" customHeight="1" x14ac:dyDescent="0.2">
      <c r="C3223"/>
      <c r="M3223"/>
    </row>
    <row r="3224" spans="3:13" ht="12.75" customHeight="1" x14ac:dyDescent="0.2">
      <c r="C3224"/>
      <c r="M3224"/>
    </row>
    <row r="3225" spans="3:13" ht="12.75" customHeight="1" x14ac:dyDescent="0.2">
      <c r="C3225"/>
      <c r="M3225"/>
    </row>
    <row r="3226" spans="3:13" ht="12.75" customHeight="1" x14ac:dyDescent="0.2">
      <c r="C3226"/>
      <c r="M3226"/>
    </row>
    <row r="3227" spans="3:13" ht="12.75" customHeight="1" x14ac:dyDescent="0.2">
      <c r="C3227"/>
      <c r="M3227"/>
    </row>
    <row r="3228" spans="3:13" ht="12.75" customHeight="1" x14ac:dyDescent="0.2">
      <c r="C3228"/>
      <c r="M3228"/>
    </row>
    <row r="3229" spans="3:13" ht="12.75" customHeight="1" x14ac:dyDescent="0.2">
      <c r="C3229"/>
      <c r="M3229"/>
    </row>
    <row r="3230" spans="3:13" ht="12.75" customHeight="1" x14ac:dyDescent="0.2">
      <c r="C3230"/>
      <c r="M3230"/>
    </row>
    <row r="3231" spans="3:13" ht="12.75" customHeight="1" x14ac:dyDescent="0.2">
      <c r="C3231"/>
      <c r="M3231"/>
    </row>
    <row r="3232" spans="3:13" ht="12.75" customHeight="1" x14ac:dyDescent="0.2">
      <c r="C3232"/>
      <c r="M3232"/>
    </row>
    <row r="3233" spans="3:13" ht="12.75" customHeight="1" x14ac:dyDescent="0.2">
      <c r="C3233"/>
      <c r="M3233"/>
    </row>
    <row r="3234" spans="3:13" ht="12.75" customHeight="1" x14ac:dyDescent="0.2">
      <c r="C3234"/>
      <c r="M3234"/>
    </row>
    <row r="3235" spans="3:13" ht="12.75" customHeight="1" x14ac:dyDescent="0.2">
      <c r="C3235"/>
      <c r="M3235"/>
    </row>
    <row r="3236" spans="3:13" ht="12.75" customHeight="1" x14ac:dyDescent="0.2">
      <c r="C3236"/>
      <c r="M3236"/>
    </row>
    <row r="3237" spans="3:13" ht="12.75" customHeight="1" x14ac:dyDescent="0.2">
      <c r="C3237"/>
      <c r="M3237"/>
    </row>
    <row r="3238" spans="3:13" ht="12.75" customHeight="1" x14ac:dyDescent="0.2">
      <c r="C3238"/>
      <c r="M3238"/>
    </row>
    <row r="3239" spans="3:13" ht="12.75" customHeight="1" x14ac:dyDescent="0.2">
      <c r="C3239"/>
      <c r="M3239"/>
    </row>
    <row r="3240" spans="3:13" ht="12.75" customHeight="1" x14ac:dyDescent="0.2">
      <c r="C3240"/>
      <c r="M3240"/>
    </row>
    <row r="3241" spans="3:13" ht="12.75" customHeight="1" x14ac:dyDescent="0.2">
      <c r="C3241"/>
      <c r="M3241"/>
    </row>
    <row r="3242" spans="3:13" ht="12.75" customHeight="1" x14ac:dyDescent="0.2">
      <c r="C3242"/>
      <c r="M3242"/>
    </row>
    <row r="3243" spans="3:13" ht="12.75" customHeight="1" x14ac:dyDescent="0.2">
      <c r="C3243"/>
      <c r="M3243"/>
    </row>
    <row r="3244" spans="3:13" ht="12.75" customHeight="1" x14ac:dyDescent="0.2">
      <c r="C3244"/>
      <c r="M3244"/>
    </row>
    <row r="3245" spans="3:13" ht="12.75" customHeight="1" x14ac:dyDescent="0.2">
      <c r="C3245"/>
      <c r="M3245"/>
    </row>
    <row r="3246" spans="3:13" ht="12.75" customHeight="1" x14ac:dyDescent="0.2">
      <c r="C3246"/>
      <c r="M3246"/>
    </row>
    <row r="3247" spans="3:13" ht="12.75" customHeight="1" x14ac:dyDescent="0.2">
      <c r="C3247"/>
      <c r="M3247"/>
    </row>
    <row r="3248" spans="3:13" ht="12.75" customHeight="1" x14ac:dyDescent="0.2">
      <c r="C3248"/>
      <c r="M3248"/>
    </row>
    <row r="3249" spans="3:13" ht="12.75" customHeight="1" x14ac:dyDescent="0.2">
      <c r="C3249"/>
      <c r="M3249"/>
    </row>
    <row r="3250" spans="3:13" ht="12.75" customHeight="1" x14ac:dyDescent="0.2">
      <c r="C3250"/>
      <c r="M3250"/>
    </row>
    <row r="3251" spans="3:13" ht="12.75" customHeight="1" x14ac:dyDescent="0.2">
      <c r="C3251"/>
      <c r="M3251"/>
    </row>
    <row r="3252" spans="3:13" ht="12.75" customHeight="1" x14ac:dyDescent="0.2">
      <c r="C3252"/>
      <c r="M3252"/>
    </row>
    <row r="3253" spans="3:13" ht="12.75" customHeight="1" x14ac:dyDescent="0.2">
      <c r="C3253"/>
      <c r="M3253"/>
    </row>
    <row r="3254" spans="3:13" ht="12.75" customHeight="1" x14ac:dyDescent="0.2">
      <c r="C3254"/>
      <c r="M3254"/>
    </row>
    <row r="3255" spans="3:13" ht="12.75" customHeight="1" x14ac:dyDescent="0.2">
      <c r="C3255"/>
      <c r="M3255"/>
    </row>
    <row r="3256" spans="3:13" ht="12.75" customHeight="1" x14ac:dyDescent="0.2">
      <c r="C3256"/>
      <c r="M3256"/>
    </row>
    <row r="3257" spans="3:13" ht="12.75" customHeight="1" x14ac:dyDescent="0.2">
      <c r="C3257"/>
      <c r="M3257"/>
    </row>
    <row r="3258" spans="3:13" ht="12.75" customHeight="1" x14ac:dyDescent="0.2">
      <c r="C3258"/>
      <c r="M3258"/>
    </row>
    <row r="3259" spans="3:13" ht="12.75" customHeight="1" x14ac:dyDescent="0.2">
      <c r="C3259"/>
      <c r="M3259"/>
    </row>
    <row r="3260" spans="3:13" ht="12.75" customHeight="1" x14ac:dyDescent="0.2">
      <c r="C3260"/>
      <c r="M3260"/>
    </row>
    <row r="3261" spans="3:13" ht="12.75" customHeight="1" x14ac:dyDescent="0.2">
      <c r="C3261"/>
      <c r="M3261"/>
    </row>
    <row r="3262" spans="3:13" ht="12.75" customHeight="1" x14ac:dyDescent="0.2">
      <c r="C3262"/>
      <c r="M3262"/>
    </row>
    <row r="3263" spans="3:13" ht="12.75" customHeight="1" x14ac:dyDescent="0.2">
      <c r="C3263"/>
      <c r="M3263"/>
    </row>
    <row r="3264" spans="3:13" ht="12.75" customHeight="1" x14ac:dyDescent="0.2">
      <c r="C3264"/>
      <c r="M3264"/>
    </row>
    <row r="3265" spans="3:13" ht="12.75" customHeight="1" x14ac:dyDescent="0.2">
      <c r="C3265"/>
      <c r="M3265"/>
    </row>
    <row r="3266" spans="3:13" ht="12.75" customHeight="1" x14ac:dyDescent="0.2">
      <c r="C3266"/>
      <c r="M3266"/>
    </row>
    <row r="3267" spans="3:13" ht="12.75" customHeight="1" x14ac:dyDescent="0.2">
      <c r="C3267"/>
      <c r="M3267"/>
    </row>
    <row r="3268" spans="3:13" ht="12.75" customHeight="1" x14ac:dyDescent="0.2">
      <c r="C3268"/>
      <c r="M3268"/>
    </row>
    <row r="3269" spans="3:13" ht="12.75" customHeight="1" x14ac:dyDescent="0.2">
      <c r="C3269"/>
      <c r="M3269"/>
    </row>
    <row r="3270" spans="3:13" ht="12.75" customHeight="1" x14ac:dyDescent="0.2">
      <c r="C3270"/>
      <c r="M3270"/>
    </row>
    <row r="3271" spans="3:13" ht="12.75" customHeight="1" x14ac:dyDescent="0.2">
      <c r="C3271"/>
      <c r="M3271"/>
    </row>
    <row r="3272" spans="3:13" ht="12.75" customHeight="1" x14ac:dyDescent="0.2">
      <c r="C3272"/>
      <c r="M3272"/>
    </row>
    <row r="3273" spans="3:13" ht="12.75" customHeight="1" x14ac:dyDescent="0.2">
      <c r="C3273"/>
      <c r="M3273"/>
    </row>
    <row r="3274" spans="3:13" ht="12.75" customHeight="1" x14ac:dyDescent="0.2">
      <c r="C3274"/>
      <c r="M3274"/>
    </row>
    <row r="3275" spans="3:13" ht="12.75" customHeight="1" x14ac:dyDescent="0.2">
      <c r="C3275"/>
      <c r="M3275"/>
    </row>
    <row r="3276" spans="3:13" ht="12.75" customHeight="1" x14ac:dyDescent="0.2">
      <c r="C3276"/>
      <c r="M3276"/>
    </row>
    <row r="3277" spans="3:13" ht="12.75" customHeight="1" x14ac:dyDescent="0.2">
      <c r="C3277"/>
      <c r="M3277"/>
    </row>
    <row r="3278" spans="3:13" ht="12.75" customHeight="1" x14ac:dyDescent="0.2">
      <c r="C3278"/>
      <c r="M3278"/>
    </row>
    <row r="3279" spans="3:13" ht="12.75" customHeight="1" x14ac:dyDescent="0.2">
      <c r="C3279"/>
      <c r="M3279"/>
    </row>
    <row r="3280" spans="3:13" ht="12.75" customHeight="1" x14ac:dyDescent="0.2">
      <c r="C3280"/>
      <c r="M3280"/>
    </row>
    <row r="3281" spans="3:13" ht="12.75" customHeight="1" x14ac:dyDescent="0.2">
      <c r="C3281"/>
      <c r="M3281"/>
    </row>
    <row r="3282" spans="3:13" ht="12.75" customHeight="1" x14ac:dyDescent="0.2">
      <c r="C3282"/>
      <c r="M3282"/>
    </row>
    <row r="3283" spans="3:13" ht="12.75" customHeight="1" x14ac:dyDescent="0.2">
      <c r="C3283"/>
      <c r="M3283"/>
    </row>
    <row r="3284" spans="3:13" ht="12.75" customHeight="1" x14ac:dyDescent="0.2">
      <c r="C3284"/>
      <c r="M3284"/>
    </row>
    <row r="3285" spans="3:13" ht="12.75" customHeight="1" x14ac:dyDescent="0.2">
      <c r="C3285"/>
      <c r="M3285"/>
    </row>
    <row r="3286" spans="3:13" ht="12.75" customHeight="1" x14ac:dyDescent="0.2">
      <c r="C3286"/>
      <c r="M3286"/>
    </row>
    <row r="3287" spans="3:13" ht="12.75" customHeight="1" x14ac:dyDescent="0.2">
      <c r="C3287"/>
      <c r="M3287"/>
    </row>
    <row r="3288" spans="3:13" ht="12.75" customHeight="1" x14ac:dyDescent="0.2">
      <c r="C3288"/>
      <c r="M3288"/>
    </row>
    <row r="3289" spans="3:13" ht="12.75" customHeight="1" x14ac:dyDescent="0.2">
      <c r="C3289"/>
      <c r="M3289"/>
    </row>
    <row r="3290" spans="3:13" ht="12.75" customHeight="1" x14ac:dyDescent="0.2">
      <c r="C3290"/>
      <c r="M3290"/>
    </row>
    <row r="3291" spans="3:13" ht="12.75" customHeight="1" x14ac:dyDescent="0.2">
      <c r="C3291"/>
      <c r="M3291"/>
    </row>
    <row r="3292" spans="3:13" ht="12.75" customHeight="1" x14ac:dyDescent="0.2">
      <c r="C3292"/>
      <c r="M3292"/>
    </row>
    <row r="3293" spans="3:13" ht="12.75" customHeight="1" x14ac:dyDescent="0.2">
      <c r="C3293"/>
      <c r="M3293"/>
    </row>
    <row r="3294" spans="3:13" ht="12.75" customHeight="1" x14ac:dyDescent="0.2">
      <c r="C3294"/>
      <c r="M3294"/>
    </row>
    <row r="3295" spans="3:13" ht="12.75" customHeight="1" x14ac:dyDescent="0.2">
      <c r="C3295"/>
      <c r="M3295"/>
    </row>
    <row r="3296" spans="3:13" ht="12.75" customHeight="1" x14ac:dyDescent="0.2">
      <c r="C3296"/>
      <c r="M3296"/>
    </row>
    <row r="3297" spans="3:13" ht="12.75" customHeight="1" x14ac:dyDescent="0.2">
      <c r="C3297"/>
      <c r="M3297"/>
    </row>
    <row r="3298" spans="3:13" ht="12.75" customHeight="1" x14ac:dyDescent="0.2">
      <c r="C3298"/>
      <c r="M3298"/>
    </row>
    <row r="3299" spans="3:13" ht="12.75" customHeight="1" x14ac:dyDescent="0.2">
      <c r="C3299"/>
      <c r="M3299"/>
    </row>
    <row r="3300" spans="3:13" ht="12.75" customHeight="1" x14ac:dyDescent="0.2">
      <c r="C3300"/>
      <c r="M3300"/>
    </row>
    <row r="3301" spans="3:13" ht="12.75" customHeight="1" x14ac:dyDescent="0.2">
      <c r="C3301"/>
      <c r="M3301"/>
    </row>
    <row r="3302" spans="3:13" ht="12.75" customHeight="1" x14ac:dyDescent="0.2">
      <c r="C3302"/>
      <c r="M3302"/>
    </row>
    <row r="3303" spans="3:13" ht="12.75" customHeight="1" x14ac:dyDescent="0.2">
      <c r="C3303"/>
      <c r="M3303"/>
    </row>
    <row r="3304" spans="3:13" ht="12.75" customHeight="1" x14ac:dyDescent="0.2">
      <c r="C3304"/>
      <c r="M3304"/>
    </row>
    <row r="3305" spans="3:13" ht="12.75" customHeight="1" x14ac:dyDescent="0.2">
      <c r="C3305"/>
      <c r="M3305"/>
    </row>
    <row r="3306" spans="3:13" ht="12.75" customHeight="1" x14ac:dyDescent="0.2">
      <c r="C3306"/>
      <c r="M3306"/>
    </row>
    <row r="3307" spans="3:13" ht="12.75" customHeight="1" x14ac:dyDescent="0.2">
      <c r="C3307"/>
      <c r="M3307"/>
    </row>
    <row r="3308" spans="3:13" ht="12.75" customHeight="1" x14ac:dyDescent="0.2">
      <c r="C3308"/>
      <c r="M3308"/>
    </row>
    <row r="3309" spans="3:13" ht="12.75" customHeight="1" x14ac:dyDescent="0.2">
      <c r="C3309"/>
      <c r="M3309"/>
    </row>
    <row r="3310" spans="3:13" ht="12.75" customHeight="1" x14ac:dyDescent="0.2">
      <c r="C3310"/>
      <c r="M3310"/>
    </row>
    <row r="3311" spans="3:13" ht="12.75" customHeight="1" x14ac:dyDescent="0.2">
      <c r="C3311"/>
      <c r="M3311"/>
    </row>
    <row r="3312" spans="3:13" ht="12.75" customHeight="1" x14ac:dyDescent="0.2">
      <c r="C3312"/>
      <c r="M3312"/>
    </row>
    <row r="3313" spans="3:13" ht="12.75" customHeight="1" x14ac:dyDescent="0.2">
      <c r="C3313"/>
      <c r="M3313"/>
    </row>
    <row r="3314" spans="3:13" ht="12.75" customHeight="1" x14ac:dyDescent="0.2">
      <c r="C3314"/>
      <c r="M3314"/>
    </row>
    <row r="3315" spans="3:13" ht="12.75" customHeight="1" x14ac:dyDescent="0.2">
      <c r="C3315"/>
      <c r="M3315"/>
    </row>
    <row r="3316" spans="3:13" ht="12.75" customHeight="1" x14ac:dyDescent="0.2">
      <c r="C3316"/>
      <c r="M3316"/>
    </row>
    <row r="3317" spans="3:13" ht="12.75" customHeight="1" x14ac:dyDescent="0.2">
      <c r="C3317"/>
      <c r="M3317"/>
    </row>
    <row r="3318" spans="3:13" ht="12.75" customHeight="1" x14ac:dyDescent="0.2">
      <c r="C3318"/>
      <c r="M3318"/>
    </row>
    <row r="3319" spans="3:13" ht="12.75" customHeight="1" x14ac:dyDescent="0.2">
      <c r="C3319"/>
      <c r="M3319"/>
    </row>
    <row r="3320" spans="3:13" ht="12.75" customHeight="1" x14ac:dyDescent="0.2">
      <c r="C3320"/>
      <c r="M3320"/>
    </row>
    <row r="3321" spans="3:13" ht="12.75" customHeight="1" x14ac:dyDescent="0.2">
      <c r="C3321"/>
      <c r="M3321"/>
    </row>
    <row r="3322" spans="3:13" ht="12.75" customHeight="1" x14ac:dyDescent="0.2">
      <c r="C3322"/>
      <c r="M3322"/>
    </row>
    <row r="3323" spans="3:13" ht="12.75" customHeight="1" x14ac:dyDescent="0.2">
      <c r="C3323"/>
      <c r="M3323"/>
    </row>
    <row r="3324" spans="3:13" ht="12.75" customHeight="1" x14ac:dyDescent="0.2">
      <c r="C3324"/>
      <c r="M3324"/>
    </row>
    <row r="3325" spans="3:13" ht="12.75" customHeight="1" x14ac:dyDescent="0.2">
      <c r="C3325"/>
      <c r="M3325"/>
    </row>
    <row r="3326" spans="3:13" ht="12.75" customHeight="1" x14ac:dyDescent="0.2">
      <c r="C3326"/>
      <c r="M3326"/>
    </row>
    <row r="3327" spans="3:13" ht="12.75" customHeight="1" x14ac:dyDescent="0.2">
      <c r="C3327"/>
      <c r="M3327"/>
    </row>
    <row r="3328" spans="3:13" ht="12.75" customHeight="1" x14ac:dyDescent="0.2">
      <c r="C3328"/>
      <c r="M3328"/>
    </row>
    <row r="3329" spans="3:13" ht="12.75" customHeight="1" x14ac:dyDescent="0.2">
      <c r="C3329"/>
      <c r="M3329"/>
    </row>
    <row r="3330" spans="3:13" ht="12.75" customHeight="1" x14ac:dyDescent="0.2">
      <c r="C3330"/>
      <c r="M3330"/>
    </row>
    <row r="3331" spans="3:13" ht="12.75" customHeight="1" x14ac:dyDescent="0.2">
      <c r="C3331"/>
      <c r="M3331"/>
    </row>
    <row r="3332" spans="3:13" ht="12.75" customHeight="1" x14ac:dyDescent="0.2">
      <c r="C3332"/>
      <c r="M3332"/>
    </row>
    <row r="3333" spans="3:13" ht="12.75" customHeight="1" x14ac:dyDescent="0.2">
      <c r="C3333"/>
      <c r="M3333"/>
    </row>
    <row r="3334" spans="3:13" ht="12.75" customHeight="1" x14ac:dyDescent="0.2">
      <c r="C3334"/>
      <c r="M3334"/>
    </row>
    <row r="3335" spans="3:13" ht="12.75" customHeight="1" x14ac:dyDescent="0.2">
      <c r="C3335"/>
      <c r="M3335"/>
    </row>
    <row r="3336" spans="3:13" ht="12.75" customHeight="1" x14ac:dyDescent="0.2">
      <c r="C3336"/>
      <c r="M3336"/>
    </row>
    <row r="3337" spans="3:13" ht="12.75" customHeight="1" x14ac:dyDescent="0.2">
      <c r="C3337"/>
      <c r="M3337"/>
    </row>
    <row r="3338" spans="3:13" ht="12.75" customHeight="1" x14ac:dyDescent="0.2">
      <c r="C3338"/>
      <c r="M3338"/>
    </row>
    <row r="3339" spans="3:13" ht="12.75" customHeight="1" x14ac:dyDescent="0.2">
      <c r="C3339"/>
      <c r="M3339"/>
    </row>
    <row r="3340" spans="3:13" ht="12.75" customHeight="1" x14ac:dyDescent="0.2">
      <c r="C3340"/>
      <c r="M3340"/>
    </row>
    <row r="3341" spans="3:13" ht="12.75" customHeight="1" x14ac:dyDescent="0.2">
      <c r="C3341"/>
      <c r="M3341"/>
    </row>
    <row r="3342" spans="3:13" ht="12.75" customHeight="1" x14ac:dyDescent="0.2">
      <c r="C3342"/>
      <c r="M3342"/>
    </row>
    <row r="3343" spans="3:13" ht="12.75" customHeight="1" x14ac:dyDescent="0.2">
      <c r="C3343"/>
      <c r="M3343"/>
    </row>
    <row r="3344" spans="3:13" ht="12.75" customHeight="1" x14ac:dyDescent="0.2">
      <c r="C3344"/>
      <c r="M3344"/>
    </row>
    <row r="3345" spans="3:13" ht="12.75" customHeight="1" x14ac:dyDescent="0.2">
      <c r="C3345"/>
      <c r="M3345"/>
    </row>
    <row r="3346" spans="3:13" ht="12.75" customHeight="1" x14ac:dyDescent="0.2">
      <c r="C3346"/>
      <c r="M3346"/>
    </row>
    <row r="3347" spans="3:13" ht="12.75" customHeight="1" x14ac:dyDescent="0.2">
      <c r="C3347"/>
      <c r="M3347"/>
    </row>
    <row r="3348" spans="3:13" ht="12.75" customHeight="1" x14ac:dyDescent="0.2">
      <c r="C3348"/>
      <c r="M3348"/>
    </row>
    <row r="3349" spans="3:13" ht="12.75" customHeight="1" x14ac:dyDescent="0.2">
      <c r="C3349"/>
      <c r="M3349"/>
    </row>
    <row r="3350" spans="3:13" ht="12.75" customHeight="1" x14ac:dyDescent="0.2">
      <c r="C3350"/>
      <c r="M3350"/>
    </row>
    <row r="3351" spans="3:13" ht="12.75" customHeight="1" x14ac:dyDescent="0.2">
      <c r="C3351"/>
      <c r="M3351"/>
    </row>
    <row r="3352" spans="3:13" ht="12.75" customHeight="1" x14ac:dyDescent="0.2">
      <c r="C3352"/>
      <c r="M3352"/>
    </row>
    <row r="3353" spans="3:13" ht="12.75" customHeight="1" x14ac:dyDescent="0.2">
      <c r="C3353"/>
      <c r="M3353"/>
    </row>
    <row r="3354" spans="3:13" ht="12.75" customHeight="1" x14ac:dyDescent="0.2">
      <c r="C3354"/>
      <c r="M3354"/>
    </row>
    <row r="3355" spans="3:13" ht="12.75" customHeight="1" x14ac:dyDescent="0.2">
      <c r="C3355"/>
      <c r="M3355"/>
    </row>
    <row r="3356" spans="3:13" ht="12.75" customHeight="1" x14ac:dyDescent="0.2">
      <c r="C3356"/>
      <c r="M3356"/>
    </row>
    <row r="3357" spans="3:13" ht="12.75" customHeight="1" x14ac:dyDescent="0.2">
      <c r="C3357"/>
      <c r="M3357"/>
    </row>
    <row r="3358" spans="3:13" ht="12.75" customHeight="1" x14ac:dyDescent="0.2">
      <c r="C3358"/>
      <c r="M3358"/>
    </row>
    <row r="3359" spans="3:13" ht="12.75" customHeight="1" x14ac:dyDescent="0.2">
      <c r="C3359"/>
      <c r="M3359"/>
    </row>
    <row r="3360" spans="3:13" ht="12.75" customHeight="1" x14ac:dyDescent="0.2">
      <c r="C3360"/>
      <c r="M3360"/>
    </row>
    <row r="3361" spans="3:13" ht="12.75" customHeight="1" x14ac:dyDescent="0.2">
      <c r="C3361"/>
      <c r="M3361"/>
    </row>
    <row r="3362" spans="3:13" ht="12.75" customHeight="1" x14ac:dyDescent="0.2">
      <c r="C3362"/>
      <c r="M3362"/>
    </row>
    <row r="3363" spans="3:13" ht="12.75" customHeight="1" x14ac:dyDescent="0.2">
      <c r="C3363"/>
      <c r="M3363"/>
    </row>
    <row r="3364" spans="3:13" ht="12.75" customHeight="1" x14ac:dyDescent="0.2">
      <c r="C3364"/>
      <c r="M3364"/>
    </row>
    <row r="3365" spans="3:13" ht="12.75" customHeight="1" x14ac:dyDescent="0.2">
      <c r="C3365"/>
      <c r="M3365"/>
    </row>
    <row r="3366" spans="3:13" ht="12.75" customHeight="1" x14ac:dyDescent="0.2">
      <c r="C3366"/>
      <c r="M3366"/>
    </row>
    <row r="3367" spans="3:13" ht="12.75" customHeight="1" x14ac:dyDescent="0.2">
      <c r="C3367"/>
      <c r="M3367"/>
    </row>
    <row r="3368" spans="3:13" ht="12.75" customHeight="1" x14ac:dyDescent="0.2">
      <c r="C3368"/>
      <c r="M3368"/>
    </row>
    <row r="3369" spans="3:13" ht="12.75" customHeight="1" x14ac:dyDescent="0.2">
      <c r="C3369"/>
      <c r="M3369"/>
    </row>
    <row r="3370" spans="3:13" ht="12.75" customHeight="1" x14ac:dyDescent="0.2">
      <c r="C3370"/>
      <c r="M3370"/>
    </row>
    <row r="3371" spans="3:13" ht="12.75" customHeight="1" x14ac:dyDescent="0.2">
      <c r="C3371"/>
      <c r="M3371"/>
    </row>
    <row r="3372" spans="3:13" ht="12.75" customHeight="1" x14ac:dyDescent="0.2">
      <c r="C3372"/>
      <c r="M3372"/>
    </row>
    <row r="3373" spans="3:13" ht="12.75" customHeight="1" x14ac:dyDescent="0.2">
      <c r="C3373"/>
      <c r="M3373"/>
    </row>
    <row r="3374" spans="3:13" ht="12.75" customHeight="1" x14ac:dyDescent="0.2">
      <c r="C3374"/>
      <c r="M3374"/>
    </row>
    <row r="3375" spans="3:13" ht="12.75" customHeight="1" x14ac:dyDescent="0.2">
      <c r="C3375"/>
      <c r="M3375"/>
    </row>
    <row r="3376" spans="3:13" ht="12.75" customHeight="1" x14ac:dyDescent="0.2">
      <c r="C3376"/>
      <c r="M3376"/>
    </row>
    <row r="3377" spans="3:13" ht="12.75" customHeight="1" x14ac:dyDescent="0.2">
      <c r="C3377"/>
      <c r="M3377"/>
    </row>
    <row r="3378" spans="3:13" ht="12.75" customHeight="1" x14ac:dyDescent="0.2">
      <c r="C3378"/>
      <c r="M3378"/>
    </row>
    <row r="3379" spans="3:13" ht="12.75" customHeight="1" x14ac:dyDescent="0.2">
      <c r="C3379"/>
      <c r="M3379"/>
    </row>
    <row r="3380" spans="3:13" ht="12.75" customHeight="1" x14ac:dyDescent="0.2">
      <c r="C3380"/>
      <c r="M3380"/>
    </row>
    <row r="3381" spans="3:13" ht="12.75" customHeight="1" x14ac:dyDescent="0.2">
      <c r="C3381"/>
      <c r="M3381"/>
    </row>
    <row r="3382" spans="3:13" ht="12.75" customHeight="1" x14ac:dyDescent="0.2">
      <c r="C3382"/>
      <c r="M3382"/>
    </row>
    <row r="3383" spans="3:13" ht="12.75" customHeight="1" x14ac:dyDescent="0.2">
      <c r="C3383"/>
      <c r="M3383"/>
    </row>
    <row r="3384" spans="3:13" ht="12.75" customHeight="1" x14ac:dyDescent="0.2">
      <c r="C3384"/>
      <c r="M3384"/>
    </row>
    <row r="3385" spans="3:13" ht="12.75" customHeight="1" x14ac:dyDescent="0.2">
      <c r="C3385"/>
      <c r="M3385"/>
    </row>
    <row r="3386" spans="3:13" ht="12.75" customHeight="1" x14ac:dyDescent="0.2">
      <c r="C3386"/>
      <c r="M3386"/>
    </row>
    <row r="3387" spans="3:13" ht="12.75" customHeight="1" x14ac:dyDescent="0.2">
      <c r="C3387"/>
      <c r="M3387"/>
    </row>
    <row r="3388" spans="3:13" ht="12.75" customHeight="1" x14ac:dyDescent="0.2">
      <c r="C3388"/>
      <c r="M3388"/>
    </row>
    <row r="3389" spans="3:13" ht="12.75" customHeight="1" x14ac:dyDescent="0.2">
      <c r="C3389"/>
      <c r="M3389"/>
    </row>
    <row r="3390" spans="3:13" ht="12.75" customHeight="1" x14ac:dyDescent="0.2">
      <c r="C3390"/>
      <c r="M3390"/>
    </row>
    <row r="3391" spans="3:13" ht="12.75" customHeight="1" x14ac:dyDescent="0.2">
      <c r="C3391"/>
      <c r="M3391"/>
    </row>
    <row r="3392" spans="3:13" ht="12.75" customHeight="1" x14ac:dyDescent="0.2">
      <c r="C3392"/>
      <c r="M3392"/>
    </row>
    <row r="3393" spans="3:13" ht="12.75" customHeight="1" x14ac:dyDescent="0.2">
      <c r="C3393"/>
      <c r="M3393"/>
    </row>
    <row r="3394" spans="3:13" ht="12.75" customHeight="1" x14ac:dyDescent="0.2">
      <c r="C3394"/>
      <c r="M3394"/>
    </row>
    <row r="3395" spans="3:13" ht="12.75" customHeight="1" x14ac:dyDescent="0.2">
      <c r="C3395"/>
      <c r="M3395"/>
    </row>
    <row r="3396" spans="3:13" ht="12.75" customHeight="1" x14ac:dyDescent="0.2">
      <c r="C3396"/>
      <c r="M3396"/>
    </row>
    <row r="3397" spans="3:13" ht="12.75" customHeight="1" x14ac:dyDescent="0.2">
      <c r="C3397"/>
      <c r="M3397"/>
    </row>
    <row r="3398" spans="3:13" ht="12.75" customHeight="1" x14ac:dyDescent="0.2">
      <c r="C3398"/>
      <c r="M3398"/>
    </row>
    <row r="3399" spans="3:13" ht="12.75" customHeight="1" x14ac:dyDescent="0.2">
      <c r="C3399"/>
      <c r="M3399"/>
    </row>
    <row r="3400" spans="3:13" ht="12.75" customHeight="1" x14ac:dyDescent="0.2">
      <c r="C3400"/>
      <c r="M3400"/>
    </row>
    <row r="3401" spans="3:13" ht="12.75" customHeight="1" x14ac:dyDescent="0.2">
      <c r="C3401"/>
      <c r="M3401"/>
    </row>
    <row r="3402" spans="3:13" ht="12.75" customHeight="1" x14ac:dyDescent="0.2">
      <c r="C3402"/>
      <c r="M3402"/>
    </row>
    <row r="3403" spans="3:13" ht="12.75" customHeight="1" x14ac:dyDescent="0.2">
      <c r="C3403"/>
      <c r="M3403"/>
    </row>
    <row r="3404" spans="3:13" ht="12.75" customHeight="1" x14ac:dyDescent="0.2">
      <c r="C3404"/>
      <c r="M3404"/>
    </row>
    <row r="3405" spans="3:13" ht="12.75" customHeight="1" x14ac:dyDescent="0.2">
      <c r="C3405"/>
      <c r="M3405"/>
    </row>
    <row r="3406" spans="3:13" ht="12.75" customHeight="1" x14ac:dyDescent="0.2">
      <c r="C3406"/>
      <c r="M3406"/>
    </row>
    <row r="3407" spans="3:13" ht="12.75" customHeight="1" x14ac:dyDescent="0.2">
      <c r="C3407"/>
      <c r="M3407"/>
    </row>
    <row r="3408" spans="3:13" ht="12.75" customHeight="1" x14ac:dyDescent="0.2">
      <c r="C3408"/>
      <c r="M3408"/>
    </row>
    <row r="3409" spans="3:13" ht="12.75" customHeight="1" x14ac:dyDescent="0.2">
      <c r="C3409"/>
      <c r="M3409"/>
    </row>
    <row r="3410" spans="3:13" ht="12.75" customHeight="1" x14ac:dyDescent="0.2">
      <c r="C3410"/>
      <c r="M3410"/>
    </row>
    <row r="3411" spans="3:13" ht="12.75" customHeight="1" x14ac:dyDescent="0.2">
      <c r="C3411"/>
      <c r="M3411"/>
    </row>
    <row r="3412" spans="3:13" ht="12.75" customHeight="1" x14ac:dyDescent="0.2">
      <c r="C3412"/>
      <c r="M3412"/>
    </row>
    <row r="3413" spans="3:13" ht="12.75" customHeight="1" x14ac:dyDescent="0.2">
      <c r="C3413"/>
      <c r="M3413"/>
    </row>
    <row r="3414" spans="3:13" ht="12.75" customHeight="1" x14ac:dyDescent="0.2">
      <c r="C3414"/>
      <c r="M3414"/>
    </row>
    <row r="3415" spans="3:13" ht="12.75" customHeight="1" x14ac:dyDescent="0.2">
      <c r="C3415"/>
      <c r="M3415"/>
    </row>
    <row r="3416" spans="3:13" ht="12.75" customHeight="1" x14ac:dyDescent="0.2">
      <c r="C3416"/>
      <c r="M3416"/>
    </row>
    <row r="3417" spans="3:13" ht="12.75" customHeight="1" x14ac:dyDescent="0.2">
      <c r="C3417"/>
      <c r="M3417"/>
    </row>
    <row r="3418" spans="3:13" ht="12.75" customHeight="1" x14ac:dyDescent="0.2">
      <c r="C3418"/>
      <c r="M3418"/>
    </row>
    <row r="3419" spans="3:13" ht="12.75" customHeight="1" x14ac:dyDescent="0.2">
      <c r="C3419"/>
      <c r="M3419"/>
    </row>
    <row r="3420" spans="3:13" ht="12.75" customHeight="1" x14ac:dyDescent="0.2">
      <c r="C3420"/>
      <c r="M3420"/>
    </row>
    <row r="3421" spans="3:13" ht="12.75" customHeight="1" x14ac:dyDescent="0.2">
      <c r="C3421"/>
      <c r="M3421"/>
    </row>
    <row r="3422" spans="3:13" ht="12.75" customHeight="1" x14ac:dyDescent="0.2">
      <c r="C3422"/>
      <c r="M3422"/>
    </row>
    <row r="3423" spans="3:13" ht="12.75" customHeight="1" x14ac:dyDescent="0.2">
      <c r="C3423"/>
      <c r="M3423"/>
    </row>
    <row r="3424" spans="3:13" ht="12.75" customHeight="1" x14ac:dyDescent="0.2">
      <c r="C3424"/>
      <c r="M3424"/>
    </row>
    <row r="3425" spans="3:13" ht="12.75" customHeight="1" x14ac:dyDescent="0.2">
      <c r="C3425"/>
      <c r="M3425"/>
    </row>
    <row r="3426" spans="3:13" ht="12.75" customHeight="1" x14ac:dyDescent="0.2">
      <c r="C3426"/>
      <c r="M3426"/>
    </row>
    <row r="3427" spans="3:13" ht="12.75" customHeight="1" x14ac:dyDescent="0.2">
      <c r="C3427"/>
      <c r="M3427"/>
    </row>
    <row r="3428" spans="3:13" ht="12.75" customHeight="1" x14ac:dyDescent="0.2">
      <c r="C3428"/>
      <c r="M3428"/>
    </row>
    <row r="3429" spans="3:13" ht="12.75" customHeight="1" x14ac:dyDescent="0.2">
      <c r="C3429"/>
      <c r="M3429"/>
    </row>
    <row r="3430" spans="3:13" ht="12.75" customHeight="1" x14ac:dyDescent="0.2">
      <c r="C3430"/>
      <c r="M3430"/>
    </row>
    <row r="3431" spans="3:13" ht="12.75" customHeight="1" x14ac:dyDescent="0.2">
      <c r="C3431"/>
      <c r="M3431"/>
    </row>
    <row r="3432" spans="3:13" ht="12.75" customHeight="1" x14ac:dyDescent="0.2">
      <c r="C3432"/>
      <c r="M3432"/>
    </row>
    <row r="3433" spans="3:13" ht="12.75" customHeight="1" x14ac:dyDescent="0.2">
      <c r="C3433"/>
      <c r="M3433"/>
    </row>
    <row r="3434" spans="3:13" ht="12.75" customHeight="1" x14ac:dyDescent="0.2">
      <c r="C3434"/>
      <c r="M3434"/>
    </row>
    <row r="3435" spans="3:13" ht="12.75" customHeight="1" x14ac:dyDescent="0.2">
      <c r="C3435"/>
      <c r="M3435"/>
    </row>
    <row r="3436" spans="3:13" ht="12.75" customHeight="1" x14ac:dyDescent="0.2">
      <c r="C3436"/>
      <c r="M3436"/>
    </row>
    <row r="3437" spans="3:13" ht="12.75" customHeight="1" x14ac:dyDescent="0.2">
      <c r="C3437"/>
      <c r="M3437"/>
    </row>
    <row r="3438" spans="3:13" ht="12.75" customHeight="1" x14ac:dyDescent="0.2">
      <c r="C3438"/>
      <c r="M3438"/>
    </row>
    <row r="3439" spans="3:13" ht="12.75" customHeight="1" x14ac:dyDescent="0.2">
      <c r="C3439"/>
      <c r="M3439"/>
    </row>
    <row r="3440" spans="3:13" ht="12.75" customHeight="1" x14ac:dyDescent="0.2">
      <c r="C3440"/>
      <c r="M3440"/>
    </row>
    <row r="3441" spans="3:13" ht="12.75" customHeight="1" x14ac:dyDescent="0.2">
      <c r="C3441"/>
      <c r="M3441"/>
    </row>
    <row r="3442" spans="3:13" ht="12.75" customHeight="1" x14ac:dyDescent="0.2">
      <c r="C3442"/>
      <c r="M3442"/>
    </row>
    <row r="3443" spans="3:13" ht="12.75" customHeight="1" x14ac:dyDescent="0.2">
      <c r="C3443"/>
      <c r="M3443"/>
    </row>
    <row r="3444" spans="3:13" ht="12.75" customHeight="1" x14ac:dyDescent="0.2">
      <c r="C3444"/>
      <c r="M3444"/>
    </row>
    <row r="3445" spans="3:13" ht="12.75" customHeight="1" x14ac:dyDescent="0.2">
      <c r="C3445"/>
      <c r="M3445"/>
    </row>
    <row r="3446" spans="3:13" ht="12.75" customHeight="1" x14ac:dyDescent="0.2">
      <c r="C3446"/>
      <c r="M3446"/>
    </row>
    <row r="3447" spans="3:13" ht="12.75" customHeight="1" x14ac:dyDescent="0.2">
      <c r="C3447"/>
      <c r="M3447"/>
    </row>
    <row r="3448" spans="3:13" ht="12.75" customHeight="1" x14ac:dyDescent="0.2">
      <c r="C3448"/>
      <c r="M3448"/>
    </row>
    <row r="3449" spans="3:13" ht="12.75" customHeight="1" x14ac:dyDescent="0.2">
      <c r="C3449"/>
      <c r="M3449"/>
    </row>
    <row r="3450" spans="3:13" ht="12.75" customHeight="1" x14ac:dyDescent="0.2">
      <c r="C3450"/>
      <c r="M3450"/>
    </row>
    <row r="3451" spans="3:13" ht="12.75" customHeight="1" x14ac:dyDescent="0.2">
      <c r="C3451"/>
      <c r="M3451"/>
    </row>
    <row r="3452" spans="3:13" ht="12.75" customHeight="1" x14ac:dyDescent="0.2">
      <c r="C3452"/>
      <c r="M3452"/>
    </row>
    <row r="3453" spans="3:13" ht="12.75" customHeight="1" x14ac:dyDescent="0.2">
      <c r="C3453"/>
      <c r="M3453"/>
    </row>
    <row r="3454" spans="3:13" ht="12.75" customHeight="1" x14ac:dyDescent="0.2">
      <c r="C3454"/>
      <c r="M3454"/>
    </row>
    <row r="3455" spans="3:13" ht="12.75" customHeight="1" x14ac:dyDescent="0.2">
      <c r="C3455"/>
      <c r="M3455"/>
    </row>
    <row r="3456" spans="3:13" ht="12.75" customHeight="1" x14ac:dyDescent="0.2">
      <c r="C3456"/>
      <c r="M3456"/>
    </row>
    <row r="3457" spans="3:13" ht="12.75" customHeight="1" x14ac:dyDescent="0.2">
      <c r="C3457"/>
      <c r="M3457"/>
    </row>
    <row r="3458" spans="3:13" ht="12.75" customHeight="1" x14ac:dyDescent="0.2">
      <c r="C3458"/>
      <c r="M3458"/>
    </row>
    <row r="3459" spans="3:13" ht="12.75" customHeight="1" x14ac:dyDescent="0.2">
      <c r="C3459"/>
      <c r="M3459"/>
    </row>
    <row r="3460" spans="3:13" ht="12.75" customHeight="1" x14ac:dyDescent="0.2">
      <c r="C3460"/>
      <c r="M3460"/>
    </row>
    <row r="3461" spans="3:13" ht="12.75" customHeight="1" x14ac:dyDescent="0.2">
      <c r="C3461"/>
      <c r="M3461"/>
    </row>
    <row r="3462" spans="3:13" ht="12.75" customHeight="1" x14ac:dyDescent="0.2">
      <c r="C3462"/>
      <c r="M3462"/>
    </row>
    <row r="3463" spans="3:13" ht="12.75" customHeight="1" x14ac:dyDescent="0.2">
      <c r="C3463"/>
      <c r="M3463"/>
    </row>
    <row r="3464" spans="3:13" ht="12.75" customHeight="1" x14ac:dyDescent="0.2">
      <c r="C3464"/>
      <c r="M3464"/>
    </row>
    <row r="3465" spans="3:13" ht="12.75" customHeight="1" x14ac:dyDescent="0.2">
      <c r="C3465"/>
      <c r="M3465"/>
    </row>
    <row r="3466" spans="3:13" ht="12.75" customHeight="1" x14ac:dyDescent="0.2">
      <c r="C3466"/>
      <c r="M3466"/>
    </row>
    <row r="3467" spans="3:13" ht="12.75" customHeight="1" x14ac:dyDescent="0.2">
      <c r="C3467"/>
      <c r="M3467"/>
    </row>
    <row r="3468" spans="3:13" ht="12.75" customHeight="1" x14ac:dyDescent="0.2">
      <c r="C3468"/>
      <c r="M3468"/>
    </row>
    <row r="3469" spans="3:13" ht="12.75" customHeight="1" x14ac:dyDescent="0.2">
      <c r="C3469"/>
      <c r="M3469"/>
    </row>
    <row r="3470" spans="3:13" ht="12.75" customHeight="1" x14ac:dyDescent="0.2">
      <c r="C3470"/>
      <c r="M3470"/>
    </row>
    <row r="3471" spans="3:13" ht="12.75" customHeight="1" x14ac:dyDescent="0.2">
      <c r="C3471"/>
      <c r="M3471"/>
    </row>
    <row r="3472" spans="3:13" ht="12.75" customHeight="1" x14ac:dyDescent="0.2">
      <c r="C3472"/>
      <c r="M3472"/>
    </row>
    <row r="3473" spans="3:13" ht="12.75" customHeight="1" x14ac:dyDescent="0.2">
      <c r="C3473"/>
      <c r="M3473"/>
    </row>
    <row r="3474" spans="3:13" ht="12.75" customHeight="1" x14ac:dyDescent="0.2">
      <c r="C3474"/>
      <c r="M3474"/>
    </row>
    <row r="3475" spans="3:13" ht="12.75" customHeight="1" x14ac:dyDescent="0.2">
      <c r="C3475"/>
      <c r="M3475"/>
    </row>
    <row r="3476" spans="3:13" ht="12.75" customHeight="1" x14ac:dyDescent="0.2">
      <c r="C3476"/>
      <c r="M3476"/>
    </row>
    <row r="3477" spans="3:13" ht="12.75" customHeight="1" x14ac:dyDescent="0.2">
      <c r="C3477"/>
      <c r="M3477"/>
    </row>
    <row r="3478" spans="3:13" ht="12.75" customHeight="1" x14ac:dyDescent="0.2">
      <c r="C3478"/>
      <c r="M3478"/>
    </row>
    <row r="3479" spans="3:13" ht="12.75" customHeight="1" x14ac:dyDescent="0.2">
      <c r="C3479"/>
      <c r="M3479"/>
    </row>
    <row r="3480" spans="3:13" ht="12.75" customHeight="1" x14ac:dyDescent="0.2">
      <c r="C3480"/>
      <c r="M3480"/>
    </row>
    <row r="3481" spans="3:13" ht="12.75" customHeight="1" x14ac:dyDescent="0.2">
      <c r="C3481"/>
      <c r="M3481"/>
    </row>
    <row r="3482" spans="3:13" ht="12.75" customHeight="1" x14ac:dyDescent="0.2">
      <c r="C3482"/>
      <c r="M3482"/>
    </row>
    <row r="3483" spans="3:13" ht="12.75" customHeight="1" x14ac:dyDescent="0.2">
      <c r="C3483"/>
      <c r="M3483"/>
    </row>
    <row r="3484" spans="3:13" ht="12.75" customHeight="1" x14ac:dyDescent="0.2">
      <c r="C3484"/>
      <c r="M3484"/>
    </row>
    <row r="3485" spans="3:13" ht="12.75" customHeight="1" x14ac:dyDescent="0.2">
      <c r="C3485"/>
      <c r="M3485"/>
    </row>
    <row r="3486" spans="3:13" ht="12.75" customHeight="1" x14ac:dyDescent="0.2">
      <c r="C3486"/>
      <c r="M3486"/>
    </row>
    <row r="3487" spans="3:13" ht="12.75" customHeight="1" x14ac:dyDescent="0.2">
      <c r="C3487"/>
      <c r="M3487"/>
    </row>
    <row r="3488" spans="3:13" ht="12.75" customHeight="1" x14ac:dyDescent="0.2">
      <c r="C3488"/>
      <c r="M3488"/>
    </row>
    <row r="3489" spans="3:13" ht="12.75" customHeight="1" x14ac:dyDescent="0.2">
      <c r="C3489"/>
      <c r="M3489"/>
    </row>
    <row r="3490" spans="3:13" ht="12.75" customHeight="1" x14ac:dyDescent="0.2">
      <c r="C3490"/>
      <c r="M3490"/>
    </row>
    <row r="3491" spans="3:13" ht="12.75" customHeight="1" x14ac:dyDescent="0.2">
      <c r="C3491"/>
      <c r="M3491"/>
    </row>
    <row r="3492" spans="3:13" ht="12.75" customHeight="1" x14ac:dyDescent="0.2">
      <c r="C3492"/>
      <c r="M3492"/>
    </row>
    <row r="3493" spans="3:13" ht="12.75" customHeight="1" x14ac:dyDescent="0.2">
      <c r="C3493"/>
      <c r="M3493"/>
    </row>
    <row r="3494" spans="3:13" ht="12.75" customHeight="1" x14ac:dyDescent="0.2">
      <c r="C3494"/>
      <c r="M3494"/>
    </row>
    <row r="3495" spans="3:13" ht="12.75" customHeight="1" x14ac:dyDescent="0.2">
      <c r="C3495"/>
      <c r="M3495"/>
    </row>
    <row r="3496" spans="3:13" ht="12.75" customHeight="1" x14ac:dyDescent="0.2">
      <c r="C3496"/>
      <c r="M3496"/>
    </row>
    <row r="3497" spans="3:13" ht="12.75" customHeight="1" x14ac:dyDescent="0.2">
      <c r="C3497"/>
      <c r="M3497"/>
    </row>
    <row r="3498" spans="3:13" ht="12.75" customHeight="1" x14ac:dyDescent="0.2">
      <c r="C3498"/>
      <c r="M3498"/>
    </row>
    <row r="3499" spans="3:13" ht="12.75" customHeight="1" x14ac:dyDescent="0.2">
      <c r="C3499"/>
      <c r="M3499"/>
    </row>
    <row r="3500" spans="3:13" ht="12.75" customHeight="1" x14ac:dyDescent="0.2">
      <c r="C3500"/>
      <c r="M3500"/>
    </row>
    <row r="3501" spans="3:13" ht="12.75" customHeight="1" x14ac:dyDescent="0.2">
      <c r="C3501"/>
      <c r="M3501"/>
    </row>
    <row r="3502" spans="3:13" ht="12.75" customHeight="1" x14ac:dyDescent="0.2">
      <c r="C3502"/>
      <c r="M3502"/>
    </row>
    <row r="3503" spans="3:13" ht="12.75" customHeight="1" x14ac:dyDescent="0.2">
      <c r="C3503"/>
      <c r="M3503"/>
    </row>
    <row r="3504" spans="3:13" ht="12.75" customHeight="1" x14ac:dyDescent="0.2">
      <c r="C3504"/>
      <c r="M3504"/>
    </row>
    <row r="3505" spans="3:13" ht="12.75" customHeight="1" x14ac:dyDescent="0.2">
      <c r="C3505"/>
      <c r="M3505"/>
    </row>
    <row r="3506" spans="3:13" ht="12.75" customHeight="1" x14ac:dyDescent="0.2">
      <c r="C3506"/>
      <c r="M3506"/>
    </row>
    <row r="3507" spans="3:13" ht="12.75" customHeight="1" x14ac:dyDescent="0.2">
      <c r="C3507"/>
      <c r="M3507"/>
    </row>
    <row r="3508" spans="3:13" ht="12.75" customHeight="1" x14ac:dyDescent="0.2">
      <c r="C3508"/>
      <c r="M3508"/>
    </row>
    <row r="3509" spans="3:13" ht="12.75" customHeight="1" x14ac:dyDescent="0.2">
      <c r="C3509"/>
      <c r="M3509"/>
    </row>
    <row r="3510" spans="3:13" ht="12.75" customHeight="1" x14ac:dyDescent="0.2">
      <c r="C3510"/>
      <c r="M3510"/>
    </row>
    <row r="3511" spans="3:13" ht="12.75" customHeight="1" x14ac:dyDescent="0.2">
      <c r="C3511"/>
      <c r="M3511"/>
    </row>
    <row r="3512" spans="3:13" ht="12.75" customHeight="1" x14ac:dyDescent="0.2">
      <c r="C3512"/>
      <c r="M3512"/>
    </row>
    <row r="3513" spans="3:13" ht="12.75" customHeight="1" x14ac:dyDescent="0.2">
      <c r="C3513"/>
      <c r="M3513"/>
    </row>
    <row r="3514" spans="3:13" ht="12.75" customHeight="1" x14ac:dyDescent="0.2">
      <c r="C3514"/>
      <c r="M3514"/>
    </row>
    <row r="3515" spans="3:13" ht="12.75" customHeight="1" x14ac:dyDescent="0.2">
      <c r="C3515"/>
      <c r="M3515"/>
    </row>
    <row r="3516" spans="3:13" ht="12.75" customHeight="1" x14ac:dyDescent="0.2">
      <c r="C3516"/>
      <c r="M3516"/>
    </row>
    <row r="3517" spans="3:13" ht="12.75" customHeight="1" x14ac:dyDescent="0.2">
      <c r="C3517"/>
      <c r="M3517"/>
    </row>
    <row r="3518" spans="3:13" ht="12.75" customHeight="1" x14ac:dyDescent="0.2">
      <c r="C3518"/>
      <c r="M3518"/>
    </row>
    <row r="3519" spans="3:13" ht="12.75" customHeight="1" x14ac:dyDescent="0.2">
      <c r="C3519"/>
      <c r="M3519"/>
    </row>
    <row r="3520" spans="3:13" ht="12.75" customHeight="1" x14ac:dyDescent="0.2">
      <c r="C3520"/>
      <c r="M3520"/>
    </row>
    <row r="3521" spans="3:13" ht="12.75" customHeight="1" x14ac:dyDescent="0.2">
      <c r="C3521"/>
      <c r="M3521"/>
    </row>
    <row r="3522" spans="3:13" ht="12.75" customHeight="1" x14ac:dyDescent="0.2">
      <c r="C3522"/>
      <c r="M3522"/>
    </row>
    <row r="3523" spans="3:13" ht="12.75" customHeight="1" x14ac:dyDescent="0.2">
      <c r="C3523"/>
      <c r="M3523"/>
    </row>
    <row r="3524" spans="3:13" ht="12.75" customHeight="1" x14ac:dyDescent="0.2">
      <c r="C3524"/>
      <c r="M3524"/>
    </row>
    <row r="3525" spans="3:13" ht="12.75" customHeight="1" x14ac:dyDescent="0.2">
      <c r="C3525"/>
      <c r="M3525"/>
    </row>
    <row r="3526" spans="3:13" ht="12.75" customHeight="1" x14ac:dyDescent="0.2">
      <c r="C3526"/>
      <c r="M3526"/>
    </row>
    <row r="3527" spans="3:13" ht="12.75" customHeight="1" x14ac:dyDescent="0.2">
      <c r="C3527"/>
      <c r="M3527"/>
    </row>
    <row r="3528" spans="3:13" ht="12.75" customHeight="1" x14ac:dyDescent="0.2">
      <c r="C3528"/>
      <c r="M3528"/>
    </row>
    <row r="3529" spans="3:13" ht="12.75" customHeight="1" x14ac:dyDescent="0.2">
      <c r="C3529"/>
      <c r="M3529"/>
    </row>
    <row r="3530" spans="3:13" ht="12.75" customHeight="1" x14ac:dyDescent="0.2">
      <c r="C3530"/>
      <c r="M3530"/>
    </row>
    <row r="3531" spans="3:13" ht="12.75" customHeight="1" x14ac:dyDescent="0.2">
      <c r="C3531"/>
      <c r="M3531"/>
    </row>
    <row r="3532" spans="3:13" ht="12.75" customHeight="1" x14ac:dyDescent="0.2">
      <c r="C3532"/>
      <c r="M3532"/>
    </row>
    <row r="3533" spans="3:13" ht="12.75" customHeight="1" x14ac:dyDescent="0.2">
      <c r="C3533"/>
      <c r="M3533"/>
    </row>
    <row r="3534" spans="3:13" ht="12.75" customHeight="1" x14ac:dyDescent="0.2">
      <c r="C3534"/>
      <c r="M3534"/>
    </row>
    <row r="3535" spans="3:13" ht="12.75" customHeight="1" x14ac:dyDescent="0.2">
      <c r="C3535"/>
      <c r="M3535"/>
    </row>
    <row r="3536" spans="3:13" ht="12.75" customHeight="1" x14ac:dyDescent="0.2">
      <c r="C3536"/>
      <c r="M3536"/>
    </row>
    <row r="3537" spans="3:13" ht="12.75" customHeight="1" x14ac:dyDescent="0.2">
      <c r="C3537"/>
      <c r="M3537"/>
    </row>
    <row r="3538" spans="3:13" ht="12.75" customHeight="1" x14ac:dyDescent="0.2">
      <c r="C3538"/>
      <c r="M3538"/>
    </row>
    <row r="3539" spans="3:13" ht="12.75" customHeight="1" x14ac:dyDescent="0.2">
      <c r="C3539"/>
      <c r="M3539"/>
    </row>
    <row r="3540" spans="3:13" ht="12.75" customHeight="1" x14ac:dyDescent="0.2">
      <c r="C3540"/>
      <c r="M3540"/>
    </row>
    <row r="3541" spans="3:13" ht="12.75" customHeight="1" x14ac:dyDescent="0.2">
      <c r="C3541"/>
      <c r="M3541"/>
    </row>
    <row r="3542" spans="3:13" ht="12.75" customHeight="1" x14ac:dyDescent="0.2">
      <c r="C3542"/>
      <c r="M3542"/>
    </row>
    <row r="3543" spans="3:13" ht="12.75" customHeight="1" x14ac:dyDescent="0.2">
      <c r="C3543"/>
      <c r="M3543"/>
    </row>
    <row r="3544" spans="3:13" ht="12.75" customHeight="1" x14ac:dyDescent="0.2">
      <c r="C3544"/>
      <c r="M3544"/>
    </row>
    <row r="3545" spans="3:13" ht="12.75" customHeight="1" x14ac:dyDescent="0.2">
      <c r="C3545"/>
      <c r="M3545"/>
    </row>
    <row r="3546" spans="3:13" ht="12.75" customHeight="1" x14ac:dyDescent="0.2">
      <c r="C3546"/>
      <c r="M3546"/>
    </row>
    <row r="3547" spans="3:13" ht="12.75" customHeight="1" x14ac:dyDescent="0.2">
      <c r="C3547"/>
      <c r="M3547"/>
    </row>
    <row r="3548" spans="3:13" ht="12.75" customHeight="1" x14ac:dyDescent="0.2">
      <c r="C3548"/>
      <c r="M3548"/>
    </row>
    <row r="3549" spans="3:13" ht="12.75" customHeight="1" x14ac:dyDescent="0.2">
      <c r="C3549"/>
      <c r="M3549"/>
    </row>
    <row r="3550" spans="3:13" ht="12.75" customHeight="1" x14ac:dyDescent="0.2">
      <c r="C3550"/>
      <c r="M3550"/>
    </row>
    <row r="3551" spans="3:13" ht="12.75" customHeight="1" x14ac:dyDescent="0.2">
      <c r="C3551"/>
      <c r="M3551"/>
    </row>
    <row r="3552" spans="3:13" ht="12.75" customHeight="1" x14ac:dyDescent="0.2">
      <c r="C3552"/>
      <c r="M3552"/>
    </row>
    <row r="3553" spans="3:13" ht="12.75" customHeight="1" x14ac:dyDescent="0.2">
      <c r="C3553"/>
      <c r="M3553"/>
    </row>
    <row r="3554" spans="3:13" ht="12.75" customHeight="1" x14ac:dyDescent="0.2">
      <c r="C3554"/>
      <c r="M3554"/>
    </row>
    <row r="3555" spans="3:13" ht="12.75" customHeight="1" x14ac:dyDescent="0.2">
      <c r="C3555"/>
      <c r="M3555"/>
    </row>
    <row r="3556" spans="3:13" ht="12.75" customHeight="1" x14ac:dyDescent="0.2">
      <c r="C3556"/>
      <c r="M3556"/>
    </row>
    <row r="3557" spans="3:13" ht="12.75" customHeight="1" x14ac:dyDescent="0.2">
      <c r="C3557"/>
      <c r="M3557"/>
    </row>
    <row r="3558" spans="3:13" ht="12.75" customHeight="1" x14ac:dyDescent="0.2">
      <c r="C3558"/>
      <c r="M3558"/>
    </row>
    <row r="3559" spans="3:13" ht="12.75" customHeight="1" x14ac:dyDescent="0.2">
      <c r="C3559"/>
      <c r="M3559"/>
    </row>
    <row r="3560" spans="3:13" ht="12.75" customHeight="1" x14ac:dyDescent="0.2">
      <c r="C3560"/>
      <c r="M3560"/>
    </row>
    <row r="3561" spans="3:13" ht="12.75" customHeight="1" x14ac:dyDescent="0.2">
      <c r="C3561"/>
      <c r="M3561"/>
    </row>
    <row r="3562" spans="3:13" ht="12.75" customHeight="1" x14ac:dyDescent="0.2">
      <c r="C3562"/>
      <c r="M3562"/>
    </row>
    <row r="3563" spans="3:13" ht="12.75" customHeight="1" x14ac:dyDescent="0.2">
      <c r="C3563"/>
      <c r="M3563"/>
    </row>
    <row r="3564" spans="3:13" ht="12.75" customHeight="1" x14ac:dyDescent="0.2">
      <c r="C3564"/>
      <c r="M3564"/>
    </row>
    <row r="3565" spans="3:13" ht="12.75" customHeight="1" x14ac:dyDescent="0.2">
      <c r="C3565"/>
      <c r="M3565"/>
    </row>
    <row r="3566" spans="3:13" ht="12.75" customHeight="1" x14ac:dyDescent="0.2">
      <c r="C3566"/>
      <c r="M3566"/>
    </row>
    <row r="3567" spans="3:13" ht="12.75" customHeight="1" x14ac:dyDescent="0.2">
      <c r="C3567"/>
      <c r="M3567"/>
    </row>
    <row r="3568" spans="3:13" ht="12.75" customHeight="1" x14ac:dyDescent="0.2">
      <c r="C3568"/>
      <c r="M3568"/>
    </row>
    <row r="3569" spans="3:13" ht="12.75" customHeight="1" x14ac:dyDescent="0.2">
      <c r="C3569"/>
      <c r="M3569"/>
    </row>
    <row r="3570" spans="3:13" ht="12.75" customHeight="1" x14ac:dyDescent="0.2">
      <c r="C3570"/>
      <c r="M3570"/>
    </row>
    <row r="3571" spans="3:13" ht="12.75" customHeight="1" x14ac:dyDescent="0.2">
      <c r="C3571"/>
      <c r="M3571"/>
    </row>
    <row r="3572" spans="3:13" ht="12.75" customHeight="1" x14ac:dyDescent="0.2">
      <c r="C3572"/>
      <c r="M3572"/>
    </row>
    <row r="3573" spans="3:13" ht="12.75" customHeight="1" x14ac:dyDescent="0.2">
      <c r="C3573"/>
      <c r="M3573"/>
    </row>
    <row r="3574" spans="3:13" ht="12.75" customHeight="1" x14ac:dyDescent="0.2">
      <c r="C3574"/>
      <c r="M3574"/>
    </row>
    <row r="3575" spans="3:13" ht="12.75" customHeight="1" x14ac:dyDescent="0.2">
      <c r="C3575"/>
      <c r="M3575"/>
    </row>
    <row r="3576" spans="3:13" ht="12.75" customHeight="1" x14ac:dyDescent="0.2">
      <c r="C3576"/>
      <c r="M3576"/>
    </row>
    <row r="3577" spans="3:13" ht="12.75" customHeight="1" x14ac:dyDescent="0.2">
      <c r="C3577"/>
      <c r="M3577"/>
    </row>
    <row r="3578" spans="3:13" ht="12.75" customHeight="1" x14ac:dyDescent="0.2">
      <c r="C3578"/>
      <c r="M3578"/>
    </row>
    <row r="3579" spans="3:13" ht="12.75" customHeight="1" x14ac:dyDescent="0.2">
      <c r="C3579"/>
      <c r="M3579"/>
    </row>
    <row r="3580" spans="3:13" ht="12.75" customHeight="1" x14ac:dyDescent="0.2">
      <c r="C3580"/>
      <c r="M3580"/>
    </row>
    <row r="3581" spans="3:13" ht="12.75" customHeight="1" x14ac:dyDescent="0.2">
      <c r="C3581"/>
      <c r="M3581"/>
    </row>
    <row r="3582" spans="3:13" ht="12.75" customHeight="1" x14ac:dyDescent="0.2">
      <c r="C3582"/>
      <c r="M3582"/>
    </row>
    <row r="3583" spans="3:13" ht="12.75" customHeight="1" x14ac:dyDescent="0.2">
      <c r="C3583"/>
      <c r="M3583"/>
    </row>
    <row r="3584" spans="3:13" ht="12.75" customHeight="1" x14ac:dyDescent="0.2">
      <c r="C3584"/>
      <c r="M3584"/>
    </row>
    <row r="3585" spans="3:13" ht="12.75" customHeight="1" x14ac:dyDescent="0.2">
      <c r="C3585"/>
      <c r="M3585"/>
    </row>
    <row r="3586" spans="3:13" ht="12.75" customHeight="1" x14ac:dyDescent="0.2">
      <c r="C3586"/>
      <c r="M3586"/>
    </row>
    <row r="3587" spans="3:13" ht="12.75" customHeight="1" x14ac:dyDescent="0.2">
      <c r="C3587"/>
      <c r="M3587"/>
    </row>
    <row r="3588" spans="3:13" ht="12.75" customHeight="1" x14ac:dyDescent="0.2">
      <c r="C3588"/>
      <c r="M3588"/>
    </row>
    <row r="3589" spans="3:13" ht="12.75" customHeight="1" x14ac:dyDescent="0.2">
      <c r="C3589"/>
      <c r="M3589"/>
    </row>
    <row r="3590" spans="3:13" ht="12.75" customHeight="1" x14ac:dyDescent="0.2">
      <c r="C3590"/>
      <c r="M3590"/>
    </row>
    <row r="3591" spans="3:13" ht="12.75" customHeight="1" x14ac:dyDescent="0.2">
      <c r="C3591"/>
      <c r="M3591"/>
    </row>
    <row r="3592" spans="3:13" ht="12.75" customHeight="1" x14ac:dyDescent="0.2">
      <c r="C3592"/>
      <c r="M3592"/>
    </row>
    <row r="3593" spans="3:13" ht="12.75" customHeight="1" x14ac:dyDescent="0.2">
      <c r="C3593"/>
      <c r="M3593"/>
    </row>
    <row r="3594" spans="3:13" ht="12.75" customHeight="1" x14ac:dyDescent="0.2">
      <c r="C3594"/>
      <c r="M3594"/>
    </row>
    <row r="3595" spans="3:13" ht="12.75" customHeight="1" x14ac:dyDescent="0.2">
      <c r="C3595"/>
      <c r="M3595"/>
    </row>
    <row r="3596" spans="3:13" ht="12.75" customHeight="1" x14ac:dyDescent="0.2">
      <c r="C3596"/>
      <c r="M3596"/>
    </row>
    <row r="3597" spans="3:13" ht="12.75" customHeight="1" x14ac:dyDescent="0.2">
      <c r="C3597"/>
      <c r="M3597"/>
    </row>
    <row r="3598" spans="3:13" ht="12.75" customHeight="1" x14ac:dyDescent="0.2">
      <c r="C3598"/>
      <c r="M3598"/>
    </row>
    <row r="3599" spans="3:13" ht="12.75" customHeight="1" x14ac:dyDescent="0.2">
      <c r="C3599"/>
      <c r="M3599"/>
    </row>
    <row r="3600" spans="3:13" ht="12.75" customHeight="1" x14ac:dyDescent="0.2">
      <c r="C3600"/>
      <c r="M3600"/>
    </row>
    <row r="3601" spans="3:13" ht="12.75" customHeight="1" x14ac:dyDescent="0.2">
      <c r="C3601"/>
      <c r="M3601"/>
    </row>
    <row r="3602" spans="3:13" ht="12.75" customHeight="1" x14ac:dyDescent="0.2">
      <c r="C3602"/>
      <c r="M3602"/>
    </row>
    <row r="3603" spans="3:13" ht="12.75" customHeight="1" x14ac:dyDescent="0.2">
      <c r="C3603"/>
      <c r="M3603"/>
    </row>
    <row r="3604" spans="3:13" ht="12.75" customHeight="1" x14ac:dyDescent="0.2">
      <c r="C3604"/>
      <c r="M3604"/>
    </row>
    <row r="3605" spans="3:13" ht="12.75" customHeight="1" x14ac:dyDescent="0.2">
      <c r="C3605"/>
      <c r="M3605"/>
    </row>
    <row r="3606" spans="3:13" ht="12.75" customHeight="1" x14ac:dyDescent="0.2">
      <c r="C3606"/>
      <c r="M3606"/>
    </row>
    <row r="3607" spans="3:13" ht="12.75" customHeight="1" x14ac:dyDescent="0.2">
      <c r="C3607"/>
      <c r="M3607"/>
    </row>
    <row r="3608" spans="3:13" ht="12.75" customHeight="1" x14ac:dyDescent="0.2">
      <c r="C3608"/>
      <c r="M3608"/>
    </row>
    <row r="3609" spans="3:13" ht="12.75" customHeight="1" x14ac:dyDescent="0.2">
      <c r="C3609"/>
      <c r="M3609"/>
    </row>
    <row r="3610" spans="3:13" ht="12.75" customHeight="1" x14ac:dyDescent="0.2">
      <c r="C3610"/>
      <c r="M3610"/>
    </row>
    <row r="3611" spans="3:13" ht="12.75" customHeight="1" x14ac:dyDescent="0.2">
      <c r="C3611"/>
      <c r="M3611"/>
    </row>
    <row r="3612" spans="3:13" ht="12.75" customHeight="1" x14ac:dyDescent="0.2">
      <c r="C3612"/>
      <c r="M3612"/>
    </row>
    <row r="3613" spans="3:13" ht="12.75" customHeight="1" x14ac:dyDescent="0.2">
      <c r="C3613"/>
      <c r="M3613"/>
    </row>
    <row r="3614" spans="3:13" ht="12.75" customHeight="1" x14ac:dyDescent="0.2">
      <c r="C3614"/>
      <c r="M3614"/>
    </row>
    <row r="3615" spans="3:13" ht="12.75" customHeight="1" x14ac:dyDescent="0.2">
      <c r="C3615"/>
      <c r="M3615"/>
    </row>
    <row r="3616" spans="3:13" ht="12.75" customHeight="1" x14ac:dyDescent="0.2">
      <c r="C3616"/>
      <c r="M3616"/>
    </row>
    <row r="3617" spans="3:13" ht="12.75" customHeight="1" x14ac:dyDescent="0.2">
      <c r="C3617"/>
      <c r="M3617"/>
    </row>
    <row r="3618" spans="3:13" ht="12.75" customHeight="1" x14ac:dyDescent="0.2">
      <c r="C3618"/>
      <c r="M3618"/>
    </row>
    <row r="3619" spans="3:13" ht="12.75" customHeight="1" x14ac:dyDescent="0.2">
      <c r="C3619"/>
      <c r="M3619"/>
    </row>
    <row r="3620" spans="3:13" ht="12.75" customHeight="1" x14ac:dyDescent="0.2">
      <c r="C3620"/>
      <c r="M3620"/>
    </row>
    <row r="3621" spans="3:13" ht="12.75" customHeight="1" x14ac:dyDescent="0.2">
      <c r="C3621"/>
      <c r="M3621"/>
    </row>
    <row r="3622" spans="3:13" ht="12.75" customHeight="1" x14ac:dyDescent="0.2">
      <c r="C3622"/>
      <c r="M3622"/>
    </row>
    <row r="3623" spans="3:13" ht="12.75" customHeight="1" x14ac:dyDescent="0.2">
      <c r="C3623"/>
      <c r="M3623"/>
    </row>
    <row r="3624" spans="3:13" ht="12.75" customHeight="1" x14ac:dyDescent="0.2">
      <c r="C3624"/>
      <c r="M3624"/>
    </row>
    <row r="3625" spans="3:13" ht="12.75" customHeight="1" x14ac:dyDescent="0.2">
      <c r="C3625"/>
      <c r="M3625"/>
    </row>
    <row r="3626" spans="3:13" ht="12.75" customHeight="1" x14ac:dyDescent="0.2">
      <c r="C3626"/>
      <c r="M3626"/>
    </row>
    <row r="3627" spans="3:13" ht="12.75" customHeight="1" x14ac:dyDescent="0.2">
      <c r="C3627"/>
      <c r="M3627"/>
    </row>
    <row r="3628" spans="3:13" ht="12.75" customHeight="1" x14ac:dyDescent="0.2">
      <c r="C3628"/>
      <c r="M3628"/>
    </row>
    <row r="3629" spans="3:13" ht="12.75" customHeight="1" x14ac:dyDescent="0.2">
      <c r="C3629"/>
      <c r="M3629"/>
    </row>
    <row r="3630" spans="3:13" ht="12.75" customHeight="1" x14ac:dyDescent="0.2">
      <c r="C3630"/>
      <c r="M3630"/>
    </row>
    <row r="3631" spans="3:13" ht="12.75" customHeight="1" x14ac:dyDescent="0.2">
      <c r="C3631"/>
      <c r="M3631"/>
    </row>
    <row r="3632" spans="3:13" ht="12.75" customHeight="1" x14ac:dyDescent="0.2">
      <c r="C3632"/>
      <c r="M3632"/>
    </row>
    <row r="3633" spans="3:13" ht="12.75" customHeight="1" x14ac:dyDescent="0.2">
      <c r="C3633"/>
      <c r="M3633"/>
    </row>
    <row r="3634" spans="3:13" ht="12.75" customHeight="1" x14ac:dyDescent="0.2">
      <c r="C3634"/>
      <c r="M3634"/>
    </row>
    <row r="3635" spans="3:13" ht="12.75" customHeight="1" x14ac:dyDescent="0.2">
      <c r="C3635"/>
      <c r="M3635"/>
    </row>
    <row r="3636" spans="3:13" ht="12.75" customHeight="1" x14ac:dyDescent="0.2">
      <c r="C3636"/>
      <c r="M3636"/>
    </row>
    <row r="3637" spans="3:13" ht="12.75" customHeight="1" x14ac:dyDescent="0.2">
      <c r="C3637"/>
      <c r="M3637"/>
    </row>
    <row r="3638" spans="3:13" ht="12.75" customHeight="1" x14ac:dyDescent="0.2">
      <c r="C3638"/>
      <c r="M3638"/>
    </row>
    <row r="3639" spans="3:13" ht="12.75" customHeight="1" x14ac:dyDescent="0.2">
      <c r="C3639"/>
      <c r="M3639"/>
    </row>
    <row r="3640" spans="3:13" ht="12.75" customHeight="1" x14ac:dyDescent="0.2">
      <c r="C3640"/>
      <c r="M3640"/>
    </row>
    <row r="3641" spans="3:13" ht="12.75" customHeight="1" x14ac:dyDescent="0.2">
      <c r="C3641"/>
      <c r="M3641"/>
    </row>
    <row r="3642" spans="3:13" ht="12.75" customHeight="1" x14ac:dyDescent="0.2">
      <c r="C3642"/>
      <c r="M3642"/>
    </row>
    <row r="3643" spans="3:13" ht="12.75" customHeight="1" x14ac:dyDescent="0.2">
      <c r="C3643"/>
      <c r="M3643"/>
    </row>
    <row r="3644" spans="3:13" ht="12.75" customHeight="1" x14ac:dyDescent="0.2">
      <c r="C3644"/>
      <c r="M3644"/>
    </row>
    <row r="3645" spans="3:13" ht="12.75" customHeight="1" x14ac:dyDescent="0.2">
      <c r="C3645"/>
      <c r="M3645"/>
    </row>
    <row r="3646" spans="3:13" ht="12.75" customHeight="1" x14ac:dyDescent="0.2">
      <c r="C3646"/>
      <c r="M3646"/>
    </row>
    <row r="3647" spans="3:13" ht="12.75" customHeight="1" x14ac:dyDescent="0.2">
      <c r="C3647"/>
      <c r="M3647"/>
    </row>
    <row r="3648" spans="3:13" ht="12.75" customHeight="1" x14ac:dyDescent="0.2">
      <c r="C3648"/>
      <c r="M3648"/>
    </row>
    <row r="3649" spans="3:13" ht="12.75" customHeight="1" x14ac:dyDescent="0.2">
      <c r="C3649"/>
      <c r="M3649"/>
    </row>
    <row r="3650" spans="3:13" ht="12.75" customHeight="1" x14ac:dyDescent="0.2">
      <c r="C3650"/>
      <c r="M3650"/>
    </row>
    <row r="3651" spans="3:13" ht="12.75" customHeight="1" x14ac:dyDescent="0.2">
      <c r="C3651"/>
      <c r="M3651"/>
    </row>
    <row r="3652" spans="3:13" ht="12.75" customHeight="1" x14ac:dyDescent="0.2">
      <c r="C3652"/>
      <c r="M3652"/>
    </row>
    <row r="3653" spans="3:13" ht="12.75" customHeight="1" x14ac:dyDescent="0.2">
      <c r="C3653"/>
      <c r="M3653"/>
    </row>
    <row r="3654" spans="3:13" ht="12.75" customHeight="1" x14ac:dyDescent="0.2">
      <c r="C3654"/>
      <c r="M3654"/>
    </row>
    <row r="3655" spans="3:13" ht="12.75" customHeight="1" x14ac:dyDescent="0.2">
      <c r="C3655"/>
      <c r="M3655"/>
    </row>
    <row r="3656" spans="3:13" ht="12.75" customHeight="1" x14ac:dyDescent="0.2">
      <c r="C3656"/>
      <c r="M3656"/>
    </row>
    <row r="3657" spans="3:13" ht="12.75" customHeight="1" x14ac:dyDescent="0.2">
      <c r="C3657"/>
      <c r="M3657"/>
    </row>
    <row r="3658" spans="3:13" ht="12.75" customHeight="1" x14ac:dyDescent="0.2">
      <c r="C3658"/>
      <c r="M3658"/>
    </row>
    <row r="3659" spans="3:13" ht="12.75" customHeight="1" x14ac:dyDescent="0.2">
      <c r="C3659"/>
      <c r="M3659"/>
    </row>
    <row r="3660" spans="3:13" ht="12.75" customHeight="1" x14ac:dyDescent="0.2">
      <c r="C3660"/>
      <c r="M3660"/>
    </row>
    <row r="3661" spans="3:13" ht="12.75" customHeight="1" x14ac:dyDescent="0.2">
      <c r="C3661"/>
      <c r="M3661"/>
    </row>
    <row r="3662" spans="3:13" ht="12.75" customHeight="1" x14ac:dyDescent="0.2">
      <c r="C3662"/>
      <c r="M3662"/>
    </row>
    <row r="3663" spans="3:13" ht="12.75" customHeight="1" x14ac:dyDescent="0.2">
      <c r="C3663"/>
      <c r="M3663"/>
    </row>
    <row r="3664" spans="3:13" ht="12.75" customHeight="1" x14ac:dyDescent="0.2">
      <c r="C3664"/>
      <c r="M3664"/>
    </row>
    <row r="3665" spans="3:13" ht="12.75" customHeight="1" x14ac:dyDescent="0.2">
      <c r="C3665"/>
      <c r="M3665"/>
    </row>
    <row r="3666" spans="3:13" ht="12.75" customHeight="1" x14ac:dyDescent="0.2">
      <c r="C3666"/>
      <c r="M3666"/>
    </row>
    <row r="3667" spans="3:13" ht="12.75" customHeight="1" x14ac:dyDescent="0.2">
      <c r="C3667"/>
      <c r="M3667"/>
    </row>
    <row r="3668" spans="3:13" ht="12.75" customHeight="1" x14ac:dyDescent="0.2">
      <c r="C3668"/>
      <c r="M3668"/>
    </row>
    <row r="3669" spans="3:13" ht="12.75" customHeight="1" x14ac:dyDescent="0.2">
      <c r="C3669"/>
      <c r="M3669"/>
    </row>
    <row r="3670" spans="3:13" ht="12.75" customHeight="1" x14ac:dyDescent="0.2">
      <c r="C3670"/>
      <c r="M3670"/>
    </row>
    <row r="3671" spans="3:13" ht="12.75" customHeight="1" x14ac:dyDescent="0.2">
      <c r="C3671"/>
      <c r="M3671"/>
    </row>
    <row r="3672" spans="3:13" ht="12.75" customHeight="1" x14ac:dyDescent="0.2">
      <c r="C3672"/>
      <c r="M3672"/>
    </row>
    <row r="3673" spans="3:13" ht="12.75" customHeight="1" x14ac:dyDescent="0.2">
      <c r="C3673"/>
      <c r="M3673"/>
    </row>
    <row r="3674" spans="3:13" ht="12.75" customHeight="1" x14ac:dyDescent="0.2">
      <c r="C3674"/>
      <c r="M3674"/>
    </row>
    <row r="3675" spans="3:13" ht="12.75" customHeight="1" x14ac:dyDescent="0.2">
      <c r="C3675"/>
      <c r="M3675"/>
    </row>
    <row r="3676" spans="3:13" ht="12.75" customHeight="1" x14ac:dyDescent="0.2">
      <c r="C3676"/>
      <c r="M3676"/>
    </row>
    <row r="3677" spans="3:13" ht="12.75" customHeight="1" x14ac:dyDescent="0.2">
      <c r="C3677"/>
      <c r="M3677"/>
    </row>
    <row r="3678" spans="3:13" ht="12.75" customHeight="1" x14ac:dyDescent="0.2">
      <c r="C3678"/>
      <c r="M3678"/>
    </row>
    <row r="3679" spans="3:13" ht="12.75" customHeight="1" x14ac:dyDescent="0.2">
      <c r="C3679"/>
      <c r="M3679"/>
    </row>
    <row r="3680" spans="3:13" ht="12.75" customHeight="1" x14ac:dyDescent="0.2">
      <c r="C3680"/>
      <c r="M3680"/>
    </row>
    <row r="3681" spans="3:13" ht="12.75" customHeight="1" x14ac:dyDescent="0.2">
      <c r="C3681"/>
      <c r="M3681"/>
    </row>
    <row r="3682" spans="3:13" ht="12.75" customHeight="1" x14ac:dyDescent="0.2">
      <c r="C3682"/>
      <c r="M3682"/>
    </row>
    <row r="3683" spans="3:13" ht="12.75" customHeight="1" x14ac:dyDescent="0.2">
      <c r="C3683"/>
      <c r="M3683"/>
    </row>
    <row r="3684" spans="3:13" ht="12.75" customHeight="1" x14ac:dyDescent="0.2">
      <c r="C3684"/>
      <c r="M3684"/>
    </row>
    <row r="3685" spans="3:13" ht="12.75" customHeight="1" x14ac:dyDescent="0.2">
      <c r="C3685"/>
      <c r="M3685"/>
    </row>
    <row r="3686" spans="3:13" ht="12.75" customHeight="1" x14ac:dyDescent="0.2">
      <c r="C3686"/>
      <c r="M3686"/>
    </row>
    <row r="3687" spans="3:13" ht="12.75" customHeight="1" x14ac:dyDescent="0.2">
      <c r="C3687"/>
      <c r="M3687"/>
    </row>
    <row r="3688" spans="3:13" ht="12.75" customHeight="1" x14ac:dyDescent="0.2">
      <c r="C3688"/>
      <c r="M3688"/>
    </row>
    <row r="3689" spans="3:13" ht="12.75" customHeight="1" x14ac:dyDescent="0.2">
      <c r="C3689"/>
      <c r="M3689"/>
    </row>
    <row r="3690" spans="3:13" ht="12.75" customHeight="1" x14ac:dyDescent="0.2">
      <c r="C3690"/>
      <c r="M3690"/>
    </row>
    <row r="3691" spans="3:13" ht="12.75" customHeight="1" x14ac:dyDescent="0.2">
      <c r="C3691"/>
      <c r="M3691"/>
    </row>
    <row r="3692" spans="3:13" ht="12.75" customHeight="1" x14ac:dyDescent="0.2">
      <c r="C3692"/>
      <c r="M3692"/>
    </row>
    <row r="3693" spans="3:13" ht="12.75" customHeight="1" x14ac:dyDescent="0.2">
      <c r="C3693"/>
      <c r="M3693"/>
    </row>
    <row r="3694" spans="3:13" ht="12.75" customHeight="1" x14ac:dyDescent="0.2">
      <c r="C3694"/>
      <c r="M3694"/>
    </row>
    <row r="3695" spans="3:13" ht="12.75" customHeight="1" x14ac:dyDescent="0.2">
      <c r="C3695"/>
      <c r="M3695"/>
    </row>
    <row r="3696" spans="3:13" ht="12.75" customHeight="1" x14ac:dyDescent="0.2">
      <c r="C3696"/>
      <c r="M3696"/>
    </row>
    <row r="3697" spans="3:13" ht="12.75" customHeight="1" x14ac:dyDescent="0.2">
      <c r="C3697"/>
      <c r="M3697"/>
    </row>
    <row r="3698" spans="3:13" ht="12.75" customHeight="1" x14ac:dyDescent="0.2">
      <c r="C3698"/>
      <c r="M3698"/>
    </row>
    <row r="3699" spans="3:13" ht="12.75" customHeight="1" x14ac:dyDescent="0.2">
      <c r="C3699"/>
      <c r="M3699"/>
    </row>
    <row r="3700" spans="3:13" ht="12.75" customHeight="1" x14ac:dyDescent="0.2">
      <c r="C3700"/>
      <c r="M3700"/>
    </row>
    <row r="3701" spans="3:13" ht="12.75" customHeight="1" x14ac:dyDescent="0.2">
      <c r="C3701"/>
      <c r="M3701"/>
    </row>
    <row r="3702" spans="3:13" ht="12.75" customHeight="1" x14ac:dyDescent="0.2">
      <c r="C3702"/>
      <c r="M3702"/>
    </row>
    <row r="3703" spans="3:13" ht="12.75" customHeight="1" x14ac:dyDescent="0.2">
      <c r="C3703"/>
      <c r="M3703"/>
    </row>
    <row r="3704" spans="3:13" ht="12.75" customHeight="1" x14ac:dyDescent="0.2">
      <c r="C3704"/>
      <c r="M3704"/>
    </row>
    <row r="3705" spans="3:13" ht="12.75" customHeight="1" x14ac:dyDescent="0.2">
      <c r="C3705"/>
      <c r="M3705"/>
    </row>
    <row r="3706" spans="3:13" ht="12.75" customHeight="1" x14ac:dyDescent="0.2">
      <c r="C3706"/>
      <c r="M3706"/>
    </row>
    <row r="3707" spans="3:13" ht="12.75" customHeight="1" x14ac:dyDescent="0.2">
      <c r="C3707"/>
      <c r="M3707"/>
    </row>
    <row r="3708" spans="3:13" ht="12.75" customHeight="1" x14ac:dyDescent="0.2">
      <c r="C3708"/>
      <c r="M3708"/>
    </row>
    <row r="3709" spans="3:13" ht="12.75" customHeight="1" x14ac:dyDescent="0.2">
      <c r="C3709"/>
      <c r="M3709"/>
    </row>
    <row r="3710" spans="3:13" ht="12.75" customHeight="1" x14ac:dyDescent="0.2">
      <c r="C3710"/>
      <c r="M3710"/>
    </row>
    <row r="3711" spans="3:13" ht="12.75" customHeight="1" x14ac:dyDescent="0.2">
      <c r="C3711"/>
      <c r="M3711"/>
    </row>
    <row r="3712" spans="3:13" ht="12.75" customHeight="1" x14ac:dyDescent="0.2">
      <c r="C3712"/>
      <c r="M3712"/>
    </row>
    <row r="3713" spans="3:13" ht="12.75" customHeight="1" x14ac:dyDescent="0.2">
      <c r="C3713"/>
      <c r="M3713"/>
    </row>
    <row r="3714" spans="3:13" ht="12.75" customHeight="1" x14ac:dyDescent="0.2">
      <c r="C3714"/>
      <c r="M3714"/>
    </row>
    <row r="3715" spans="3:13" ht="12.75" customHeight="1" x14ac:dyDescent="0.2">
      <c r="C3715"/>
      <c r="M3715"/>
    </row>
    <row r="3716" spans="3:13" ht="12.75" customHeight="1" x14ac:dyDescent="0.2">
      <c r="C3716"/>
      <c r="M3716"/>
    </row>
    <row r="3717" spans="3:13" ht="12.75" customHeight="1" x14ac:dyDescent="0.2">
      <c r="C3717"/>
      <c r="M3717"/>
    </row>
    <row r="3718" spans="3:13" ht="12.75" customHeight="1" x14ac:dyDescent="0.2">
      <c r="C3718"/>
      <c r="M3718"/>
    </row>
    <row r="3719" spans="3:13" ht="12.75" customHeight="1" x14ac:dyDescent="0.2">
      <c r="C3719"/>
      <c r="M3719"/>
    </row>
    <row r="3720" spans="3:13" ht="12.75" customHeight="1" x14ac:dyDescent="0.2">
      <c r="C3720"/>
      <c r="M3720"/>
    </row>
    <row r="3721" spans="3:13" ht="12.75" customHeight="1" x14ac:dyDescent="0.2">
      <c r="C3721"/>
      <c r="M3721"/>
    </row>
    <row r="3722" spans="3:13" ht="12.75" customHeight="1" x14ac:dyDescent="0.2">
      <c r="C3722"/>
      <c r="M3722"/>
    </row>
    <row r="3723" spans="3:13" ht="12.75" customHeight="1" x14ac:dyDescent="0.2">
      <c r="C3723"/>
      <c r="M3723"/>
    </row>
    <row r="3724" spans="3:13" ht="12.75" customHeight="1" x14ac:dyDescent="0.2">
      <c r="C3724"/>
      <c r="M3724"/>
    </row>
    <row r="3725" spans="3:13" ht="12.75" customHeight="1" x14ac:dyDescent="0.2">
      <c r="C3725"/>
      <c r="M3725"/>
    </row>
    <row r="3726" spans="3:13" ht="12.75" customHeight="1" x14ac:dyDescent="0.2">
      <c r="C3726"/>
      <c r="M3726"/>
    </row>
    <row r="3727" spans="3:13" ht="12.75" customHeight="1" x14ac:dyDescent="0.2">
      <c r="C3727"/>
      <c r="M3727"/>
    </row>
    <row r="3728" spans="3:13" ht="12.75" customHeight="1" x14ac:dyDescent="0.2">
      <c r="C3728"/>
      <c r="M3728"/>
    </row>
    <row r="3729" spans="3:13" ht="12.75" customHeight="1" x14ac:dyDescent="0.2">
      <c r="C3729"/>
      <c r="M3729"/>
    </row>
    <row r="3730" spans="3:13" ht="12.75" customHeight="1" x14ac:dyDescent="0.2">
      <c r="C3730"/>
      <c r="M3730"/>
    </row>
    <row r="3731" spans="3:13" ht="12.75" customHeight="1" x14ac:dyDescent="0.2">
      <c r="C3731"/>
      <c r="M3731"/>
    </row>
    <row r="3732" spans="3:13" ht="12.75" customHeight="1" x14ac:dyDescent="0.2">
      <c r="C3732"/>
      <c r="M3732"/>
    </row>
    <row r="3733" spans="3:13" ht="12.75" customHeight="1" x14ac:dyDescent="0.2">
      <c r="C3733"/>
      <c r="M3733"/>
    </row>
    <row r="3734" spans="3:13" ht="12.75" customHeight="1" x14ac:dyDescent="0.2">
      <c r="C3734"/>
      <c r="M3734"/>
    </row>
    <row r="3735" spans="3:13" ht="12.75" customHeight="1" x14ac:dyDescent="0.2">
      <c r="C3735"/>
      <c r="M3735"/>
    </row>
    <row r="3736" spans="3:13" ht="12.75" customHeight="1" x14ac:dyDescent="0.2">
      <c r="C3736"/>
      <c r="M3736"/>
    </row>
    <row r="3737" spans="3:13" ht="12.75" customHeight="1" x14ac:dyDescent="0.2">
      <c r="C3737"/>
      <c r="M3737"/>
    </row>
    <row r="3738" spans="3:13" ht="12.75" customHeight="1" x14ac:dyDescent="0.2">
      <c r="C3738"/>
      <c r="M3738"/>
    </row>
    <row r="3739" spans="3:13" ht="12.75" customHeight="1" x14ac:dyDescent="0.2">
      <c r="C3739"/>
      <c r="M3739"/>
    </row>
    <row r="3740" spans="3:13" ht="12.75" customHeight="1" x14ac:dyDescent="0.2">
      <c r="C3740"/>
      <c r="M3740"/>
    </row>
    <row r="3741" spans="3:13" ht="12.75" customHeight="1" x14ac:dyDescent="0.2">
      <c r="C3741"/>
      <c r="M3741"/>
    </row>
    <row r="3742" spans="3:13" ht="12.75" customHeight="1" x14ac:dyDescent="0.2">
      <c r="C3742"/>
      <c r="M3742"/>
    </row>
    <row r="3743" spans="3:13" ht="12.75" customHeight="1" x14ac:dyDescent="0.2">
      <c r="C3743"/>
      <c r="M3743"/>
    </row>
    <row r="3744" spans="3:13" ht="12.75" customHeight="1" x14ac:dyDescent="0.2">
      <c r="C3744"/>
      <c r="M3744"/>
    </row>
    <row r="3745" spans="3:13" ht="12.75" customHeight="1" x14ac:dyDescent="0.2">
      <c r="C3745"/>
      <c r="M3745"/>
    </row>
    <row r="3746" spans="3:13" ht="12.75" customHeight="1" x14ac:dyDescent="0.2">
      <c r="C3746"/>
      <c r="M3746"/>
    </row>
    <row r="3747" spans="3:13" ht="12.75" customHeight="1" x14ac:dyDescent="0.2">
      <c r="C3747"/>
      <c r="M3747"/>
    </row>
    <row r="3748" spans="3:13" ht="12.75" customHeight="1" x14ac:dyDescent="0.2">
      <c r="C3748"/>
      <c r="M3748"/>
    </row>
    <row r="3749" spans="3:13" ht="12.75" customHeight="1" x14ac:dyDescent="0.2">
      <c r="C3749"/>
      <c r="M3749"/>
    </row>
    <row r="3750" spans="3:13" ht="12.75" customHeight="1" x14ac:dyDescent="0.2">
      <c r="C3750"/>
      <c r="M3750"/>
    </row>
    <row r="3751" spans="3:13" ht="12.75" customHeight="1" x14ac:dyDescent="0.2">
      <c r="C3751"/>
      <c r="M3751"/>
    </row>
    <row r="3752" spans="3:13" ht="12.75" customHeight="1" x14ac:dyDescent="0.2">
      <c r="C3752"/>
      <c r="M3752"/>
    </row>
    <row r="3753" spans="3:13" ht="12.75" customHeight="1" x14ac:dyDescent="0.2">
      <c r="C3753"/>
      <c r="M3753"/>
    </row>
    <row r="3754" spans="3:13" ht="12.75" customHeight="1" x14ac:dyDescent="0.2">
      <c r="C3754"/>
      <c r="M3754"/>
    </row>
    <row r="3755" spans="3:13" ht="12.75" customHeight="1" x14ac:dyDescent="0.2">
      <c r="C3755"/>
      <c r="M3755"/>
    </row>
    <row r="3756" spans="3:13" ht="12.75" customHeight="1" x14ac:dyDescent="0.2">
      <c r="C3756"/>
      <c r="M3756"/>
    </row>
    <row r="3757" spans="3:13" ht="12.75" customHeight="1" x14ac:dyDescent="0.2">
      <c r="C3757"/>
      <c r="M3757"/>
    </row>
    <row r="3758" spans="3:13" ht="12.75" customHeight="1" x14ac:dyDescent="0.2">
      <c r="C3758"/>
      <c r="M3758"/>
    </row>
    <row r="3759" spans="3:13" ht="12.75" customHeight="1" x14ac:dyDescent="0.2">
      <c r="C3759"/>
      <c r="M3759"/>
    </row>
    <row r="3760" spans="3:13" ht="12.75" customHeight="1" x14ac:dyDescent="0.2">
      <c r="C3760"/>
      <c r="M3760"/>
    </row>
    <row r="3761" spans="3:13" ht="12.75" customHeight="1" x14ac:dyDescent="0.2">
      <c r="C3761"/>
      <c r="M3761"/>
    </row>
    <row r="3762" spans="3:13" ht="12.75" customHeight="1" x14ac:dyDescent="0.2">
      <c r="C3762"/>
      <c r="M3762"/>
    </row>
    <row r="3763" spans="3:13" ht="12.75" customHeight="1" x14ac:dyDescent="0.2">
      <c r="C3763"/>
      <c r="M3763"/>
    </row>
    <row r="3764" spans="3:13" ht="12.75" customHeight="1" x14ac:dyDescent="0.2">
      <c r="C3764"/>
      <c r="M3764"/>
    </row>
    <row r="3765" spans="3:13" ht="12.75" customHeight="1" x14ac:dyDescent="0.2">
      <c r="C3765"/>
      <c r="M3765"/>
    </row>
    <row r="3766" spans="3:13" ht="12.75" customHeight="1" x14ac:dyDescent="0.2">
      <c r="C3766"/>
      <c r="M3766"/>
    </row>
    <row r="3767" spans="3:13" ht="12.75" customHeight="1" x14ac:dyDescent="0.2">
      <c r="C3767"/>
      <c r="M3767"/>
    </row>
    <row r="3768" spans="3:13" ht="12.75" customHeight="1" x14ac:dyDescent="0.2">
      <c r="C3768"/>
      <c r="M3768"/>
    </row>
    <row r="3769" spans="3:13" ht="12.75" customHeight="1" x14ac:dyDescent="0.2">
      <c r="C3769"/>
      <c r="M3769"/>
    </row>
    <row r="3770" spans="3:13" ht="12.75" customHeight="1" x14ac:dyDescent="0.2">
      <c r="C3770"/>
      <c r="M3770"/>
    </row>
    <row r="3771" spans="3:13" ht="12.75" customHeight="1" x14ac:dyDescent="0.2">
      <c r="C3771"/>
      <c r="M3771"/>
    </row>
    <row r="3772" spans="3:13" ht="12.75" customHeight="1" x14ac:dyDescent="0.2">
      <c r="C3772"/>
      <c r="M3772"/>
    </row>
    <row r="3773" spans="3:13" ht="12.75" customHeight="1" x14ac:dyDescent="0.2">
      <c r="C3773"/>
      <c r="M3773"/>
    </row>
    <row r="3774" spans="3:13" ht="12.75" customHeight="1" x14ac:dyDescent="0.2">
      <c r="C3774"/>
      <c r="M3774"/>
    </row>
    <row r="3775" spans="3:13" ht="12.75" customHeight="1" x14ac:dyDescent="0.2">
      <c r="C3775"/>
      <c r="M3775"/>
    </row>
    <row r="3776" spans="3:13" ht="12.75" customHeight="1" x14ac:dyDescent="0.2">
      <c r="C3776"/>
      <c r="M3776"/>
    </row>
    <row r="3777" spans="3:13" ht="12.75" customHeight="1" x14ac:dyDescent="0.2">
      <c r="C3777"/>
      <c r="M3777"/>
    </row>
    <row r="3778" spans="3:13" ht="12.75" customHeight="1" x14ac:dyDescent="0.2">
      <c r="C3778"/>
      <c r="M3778"/>
    </row>
    <row r="3779" spans="3:13" ht="12.75" customHeight="1" x14ac:dyDescent="0.2">
      <c r="C3779"/>
      <c r="M3779"/>
    </row>
    <row r="3780" spans="3:13" ht="12.75" customHeight="1" x14ac:dyDescent="0.2">
      <c r="C3780"/>
      <c r="M3780"/>
    </row>
    <row r="3781" spans="3:13" ht="12.75" customHeight="1" x14ac:dyDescent="0.2">
      <c r="C3781"/>
      <c r="M3781"/>
    </row>
    <row r="3782" spans="3:13" ht="12.75" customHeight="1" x14ac:dyDescent="0.2">
      <c r="C3782"/>
      <c r="M3782"/>
    </row>
    <row r="3783" spans="3:13" ht="12.75" customHeight="1" x14ac:dyDescent="0.2">
      <c r="C3783"/>
      <c r="M3783"/>
    </row>
    <row r="3784" spans="3:13" ht="12.75" customHeight="1" x14ac:dyDescent="0.2">
      <c r="C3784"/>
      <c r="M3784"/>
    </row>
    <row r="3785" spans="3:13" ht="12.75" customHeight="1" x14ac:dyDescent="0.2">
      <c r="C3785"/>
      <c r="M3785"/>
    </row>
    <row r="3786" spans="3:13" ht="12.75" customHeight="1" x14ac:dyDescent="0.2">
      <c r="C3786"/>
      <c r="M3786"/>
    </row>
    <row r="3787" spans="3:13" ht="12.75" customHeight="1" x14ac:dyDescent="0.2">
      <c r="C3787"/>
      <c r="M3787"/>
    </row>
    <row r="3788" spans="3:13" ht="12.75" customHeight="1" x14ac:dyDescent="0.2">
      <c r="C3788"/>
      <c r="M3788"/>
    </row>
    <row r="3789" spans="3:13" ht="12.75" customHeight="1" x14ac:dyDescent="0.2">
      <c r="C3789"/>
      <c r="M3789"/>
    </row>
    <row r="3790" spans="3:13" ht="12.75" customHeight="1" x14ac:dyDescent="0.2">
      <c r="C3790"/>
      <c r="M3790"/>
    </row>
    <row r="3791" spans="3:13" ht="12.75" customHeight="1" x14ac:dyDescent="0.2">
      <c r="C3791"/>
      <c r="M3791"/>
    </row>
    <row r="3792" spans="3:13" ht="12.75" customHeight="1" x14ac:dyDescent="0.2">
      <c r="C3792"/>
      <c r="M3792"/>
    </row>
    <row r="3793" spans="3:13" ht="12.75" customHeight="1" x14ac:dyDescent="0.2">
      <c r="C3793"/>
      <c r="M3793"/>
    </row>
    <row r="3794" spans="3:13" ht="12.75" customHeight="1" x14ac:dyDescent="0.2">
      <c r="C3794"/>
      <c r="M3794"/>
    </row>
    <row r="3795" spans="3:13" ht="12.75" customHeight="1" x14ac:dyDescent="0.2">
      <c r="C3795"/>
      <c r="M3795"/>
    </row>
    <row r="3796" spans="3:13" ht="12.75" customHeight="1" x14ac:dyDescent="0.2">
      <c r="C3796"/>
      <c r="M3796"/>
    </row>
    <row r="3797" spans="3:13" ht="12.75" customHeight="1" x14ac:dyDescent="0.2">
      <c r="C3797"/>
      <c r="M3797"/>
    </row>
    <row r="3798" spans="3:13" ht="12.75" customHeight="1" x14ac:dyDescent="0.2">
      <c r="C3798"/>
      <c r="M3798"/>
    </row>
    <row r="3799" spans="3:13" ht="12.75" customHeight="1" x14ac:dyDescent="0.2">
      <c r="C3799"/>
      <c r="M3799"/>
    </row>
    <row r="3800" spans="3:13" ht="12.75" customHeight="1" x14ac:dyDescent="0.2">
      <c r="C3800"/>
      <c r="M3800"/>
    </row>
    <row r="3801" spans="3:13" ht="12.75" customHeight="1" x14ac:dyDescent="0.2">
      <c r="C3801"/>
      <c r="M3801"/>
    </row>
    <row r="3802" spans="3:13" ht="12.75" customHeight="1" x14ac:dyDescent="0.2">
      <c r="C3802"/>
      <c r="M3802"/>
    </row>
    <row r="3803" spans="3:13" ht="12.75" customHeight="1" x14ac:dyDescent="0.2">
      <c r="C3803"/>
      <c r="M3803"/>
    </row>
    <row r="3804" spans="3:13" ht="12.75" customHeight="1" x14ac:dyDescent="0.2">
      <c r="C3804"/>
      <c r="M3804"/>
    </row>
    <row r="3805" spans="3:13" ht="12.75" customHeight="1" x14ac:dyDescent="0.2">
      <c r="C3805"/>
      <c r="M3805"/>
    </row>
    <row r="3806" spans="3:13" ht="12.75" customHeight="1" x14ac:dyDescent="0.2">
      <c r="C3806"/>
      <c r="M3806"/>
    </row>
    <row r="3807" spans="3:13" ht="12.75" customHeight="1" x14ac:dyDescent="0.2">
      <c r="C3807"/>
      <c r="M3807"/>
    </row>
    <row r="3808" spans="3:13" ht="12.75" customHeight="1" x14ac:dyDescent="0.2">
      <c r="C3808"/>
      <c r="M3808"/>
    </row>
    <row r="3809" spans="3:13" ht="12.75" customHeight="1" x14ac:dyDescent="0.2">
      <c r="C3809"/>
      <c r="M3809"/>
    </row>
    <row r="3810" spans="3:13" ht="12.75" customHeight="1" x14ac:dyDescent="0.2">
      <c r="C3810"/>
      <c r="M3810"/>
    </row>
    <row r="3811" spans="3:13" ht="12.75" customHeight="1" x14ac:dyDescent="0.2">
      <c r="C3811"/>
      <c r="M3811"/>
    </row>
    <row r="3812" spans="3:13" ht="12.75" customHeight="1" x14ac:dyDescent="0.2">
      <c r="C3812"/>
      <c r="M3812"/>
    </row>
    <row r="3813" spans="3:13" ht="12.75" customHeight="1" x14ac:dyDescent="0.2">
      <c r="C3813"/>
      <c r="M3813"/>
    </row>
    <row r="3814" spans="3:13" ht="12.75" customHeight="1" x14ac:dyDescent="0.2">
      <c r="C3814"/>
      <c r="M3814"/>
    </row>
    <row r="3815" spans="3:13" ht="12.75" customHeight="1" x14ac:dyDescent="0.2">
      <c r="C3815"/>
      <c r="M3815"/>
    </row>
    <row r="3816" spans="3:13" ht="12.75" customHeight="1" x14ac:dyDescent="0.2">
      <c r="C3816"/>
      <c r="M3816"/>
    </row>
    <row r="3817" spans="3:13" ht="12.75" customHeight="1" x14ac:dyDescent="0.2">
      <c r="C3817"/>
      <c r="M3817"/>
    </row>
    <row r="3818" spans="3:13" ht="12.75" customHeight="1" x14ac:dyDescent="0.2">
      <c r="C3818"/>
      <c r="M3818"/>
    </row>
    <row r="3819" spans="3:13" ht="12.75" customHeight="1" x14ac:dyDescent="0.2">
      <c r="C3819"/>
      <c r="M3819"/>
    </row>
    <row r="3820" spans="3:13" ht="12.75" customHeight="1" x14ac:dyDescent="0.2">
      <c r="C3820"/>
      <c r="M3820"/>
    </row>
    <row r="3821" spans="3:13" ht="12.75" customHeight="1" x14ac:dyDescent="0.2">
      <c r="C3821"/>
      <c r="M3821"/>
    </row>
    <row r="3822" spans="3:13" ht="12.75" customHeight="1" x14ac:dyDescent="0.2">
      <c r="C3822"/>
      <c r="M3822"/>
    </row>
    <row r="3823" spans="3:13" ht="12.75" customHeight="1" x14ac:dyDescent="0.2">
      <c r="C3823"/>
      <c r="M3823"/>
    </row>
    <row r="3824" spans="3:13" ht="12.75" customHeight="1" x14ac:dyDescent="0.2">
      <c r="C3824"/>
      <c r="M3824"/>
    </row>
    <row r="3825" spans="3:13" ht="12.75" customHeight="1" x14ac:dyDescent="0.2">
      <c r="C3825"/>
      <c r="M3825"/>
    </row>
    <row r="3826" spans="3:13" ht="12.75" customHeight="1" x14ac:dyDescent="0.2">
      <c r="C3826"/>
      <c r="M3826"/>
    </row>
    <row r="3827" spans="3:13" ht="12.75" customHeight="1" x14ac:dyDescent="0.2">
      <c r="C3827"/>
      <c r="M3827"/>
    </row>
    <row r="3828" spans="3:13" ht="12.75" customHeight="1" x14ac:dyDescent="0.2">
      <c r="C3828"/>
      <c r="M3828"/>
    </row>
    <row r="3829" spans="3:13" ht="12.75" customHeight="1" x14ac:dyDescent="0.2">
      <c r="C3829"/>
      <c r="M3829"/>
    </row>
    <row r="3830" spans="3:13" ht="12.75" customHeight="1" x14ac:dyDescent="0.2">
      <c r="C3830"/>
      <c r="M3830"/>
    </row>
    <row r="3831" spans="3:13" ht="12.75" customHeight="1" x14ac:dyDescent="0.2">
      <c r="C3831"/>
      <c r="M3831"/>
    </row>
    <row r="3832" spans="3:13" ht="12.75" customHeight="1" x14ac:dyDescent="0.2">
      <c r="C3832"/>
      <c r="M3832"/>
    </row>
    <row r="3833" spans="3:13" ht="12.75" customHeight="1" x14ac:dyDescent="0.2">
      <c r="C3833"/>
      <c r="M3833"/>
    </row>
    <row r="3834" spans="3:13" ht="12.75" customHeight="1" x14ac:dyDescent="0.2">
      <c r="C3834"/>
      <c r="M3834"/>
    </row>
    <row r="3835" spans="3:13" ht="12.75" customHeight="1" x14ac:dyDescent="0.2">
      <c r="C3835"/>
      <c r="M3835"/>
    </row>
    <row r="3836" spans="3:13" ht="12.75" customHeight="1" x14ac:dyDescent="0.2">
      <c r="C3836"/>
      <c r="M3836"/>
    </row>
    <row r="3837" spans="3:13" ht="12.75" customHeight="1" x14ac:dyDescent="0.2">
      <c r="C3837"/>
      <c r="M3837"/>
    </row>
    <row r="3838" spans="3:13" ht="12.75" customHeight="1" x14ac:dyDescent="0.2">
      <c r="C3838"/>
      <c r="M3838"/>
    </row>
    <row r="3839" spans="3:13" ht="12.75" customHeight="1" x14ac:dyDescent="0.2">
      <c r="C3839"/>
      <c r="M3839"/>
    </row>
    <row r="3840" spans="3:13" ht="12.75" customHeight="1" x14ac:dyDescent="0.2">
      <c r="C3840"/>
      <c r="M3840"/>
    </row>
    <row r="3841" spans="3:13" ht="12.75" customHeight="1" x14ac:dyDescent="0.2">
      <c r="C3841"/>
      <c r="M3841"/>
    </row>
    <row r="3842" spans="3:13" ht="12.75" customHeight="1" x14ac:dyDescent="0.2">
      <c r="C3842"/>
      <c r="M3842"/>
    </row>
    <row r="3843" spans="3:13" ht="12.75" customHeight="1" x14ac:dyDescent="0.2">
      <c r="C3843"/>
      <c r="M3843"/>
    </row>
    <row r="3844" spans="3:13" ht="12.75" customHeight="1" x14ac:dyDescent="0.2">
      <c r="C3844"/>
      <c r="M3844"/>
    </row>
    <row r="3845" spans="3:13" ht="12.75" customHeight="1" x14ac:dyDescent="0.2">
      <c r="C3845"/>
      <c r="M3845"/>
    </row>
    <row r="3846" spans="3:13" ht="12.75" customHeight="1" x14ac:dyDescent="0.2">
      <c r="C3846"/>
      <c r="M3846"/>
    </row>
    <row r="3847" spans="3:13" ht="12.75" customHeight="1" x14ac:dyDescent="0.2">
      <c r="C3847"/>
      <c r="M3847"/>
    </row>
    <row r="3848" spans="3:13" ht="12.75" customHeight="1" x14ac:dyDescent="0.2">
      <c r="C3848"/>
      <c r="M3848"/>
    </row>
    <row r="3849" spans="3:13" ht="12.75" customHeight="1" x14ac:dyDescent="0.2">
      <c r="C3849"/>
      <c r="M3849"/>
    </row>
    <row r="3850" spans="3:13" ht="12.75" customHeight="1" x14ac:dyDescent="0.2">
      <c r="C3850"/>
      <c r="M3850"/>
    </row>
    <row r="3851" spans="3:13" ht="12.75" customHeight="1" x14ac:dyDescent="0.2">
      <c r="C3851"/>
      <c r="M3851"/>
    </row>
    <row r="3852" spans="3:13" ht="12.75" customHeight="1" x14ac:dyDescent="0.2">
      <c r="C3852"/>
      <c r="M3852"/>
    </row>
    <row r="3853" spans="3:13" ht="12.75" customHeight="1" x14ac:dyDescent="0.2">
      <c r="C3853"/>
      <c r="M3853"/>
    </row>
    <row r="3854" spans="3:13" ht="12.75" customHeight="1" x14ac:dyDescent="0.2">
      <c r="C3854"/>
      <c r="M3854"/>
    </row>
    <row r="3855" spans="3:13" ht="12.75" customHeight="1" x14ac:dyDescent="0.2">
      <c r="C3855"/>
      <c r="M3855"/>
    </row>
    <row r="3856" spans="3:13" ht="12.75" customHeight="1" x14ac:dyDescent="0.2">
      <c r="C3856"/>
      <c r="M3856"/>
    </row>
    <row r="3857" spans="3:13" ht="12.75" customHeight="1" x14ac:dyDescent="0.2">
      <c r="C3857"/>
      <c r="M3857"/>
    </row>
    <row r="3858" spans="3:13" ht="12.75" customHeight="1" x14ac:dyDescent="0.2">
      <c r="C3858"/>
      <c r="M3858"/>
    </row>
    <row r="3859" spans="3:13" ht="12.75" customHeight="1" x14ac:dyDescent="0.2">
      <c r="C3859"/>
      <c r="M3859"/>
    </row>
    <row r="3860" spans="3:13" ht="12.75" customHeight="1" x14ac:dyDescent="0.2">
      <c r="C3860"/>
      <c r="M3860"/>
    </row>
    <row r="3861" spans="3:13" ht="12.75" customHeight="1" x14ac:dyDescent="0.2">
      <c r="C3861"/>
      <c r="M3861"/>
    </row>
    <row r="3862" spans="3:13" ht="12.75" customHeight="1" x14ac:dyDescent="0.2">
      <c r="C3862"/>
      <c r="M3862"/>
    </row>
    <row r="3863" spans="3:13" ht="12.75" customHeight="1" x14ac:dyDescent="0.2">
      <c r="C3863"/>
      <c r="M3863"/>
    </row>
    <row r="3864" spans="3:13" ht="12.75" customHeight="1" x14ac:dyDescent="0.2">
      <c r="C3864"/>
      <c r="M3864"/>
    </row>
    <row r="3865" spans="3:13" ht="12.75" customHeight="1" x14ac:dyDescent="0.2">
      <c r="C3865"/>
      <c r="M3865"/>
    </row>
    <row r="3866" spans="3:13" ht="12.75" customHeight="1" x14ac:dyDescent="0.2">
      <c r="C3866"/>
      <c r="M3866"/>
    </row>
    <row r="3867" spans="3:13" ht="12.75" customHeight="1" x14ac:dyDescent="0.2">
      <c r="C3867"/>
      <c r="M3867"/>
    </row>
    <row r="3868" spans="3:13" ht="12.75" customHeight="1" x14ac:dyDescent="0.2">
      <c r="C3868"/>
      <c r="M3868"/>
    </row>
    <row r="3869" spans="3:13" ht="12.75" customHeight="1" x14ac:dyDescent="0.2">
      <c r="C3869"/>
      <c r="M3869"/>
    </row>
    <row r="3870" spans="3:13" ht="12.75" customHeight="1" x14ac:dyDescent="0.2">
      <c r="C3870"/>
      <c r="M3870"/>
    </row>
    <row r="3871" spans="3:13" ht="12.75" customHeight="1" x14ac:dyDescent="0.2">
      <c r="C3871"/>
      <c r="M3871"/>
    </row>
    <row r="3872" spans="3:13" ht="12.75" customHeight="1" x14ac:dyDescent="0.2">
      <c r="C3872"/>
      <c r="M3872"/>
    </row>
    <row r="3873" spans="3:13" ht="12.75" customHeight="1" x14ac:dyDescent="0.2">
      <c r="C3873"/>
      <c r="M3873"/>
    </row>
    <row r="3874" spans="3:13" ht="12.75" customHeight="1" x14ac:dyDescent="0.2">
      <c r="C3874"/>
      <c r="M3874"/>
    </row>
    <row r="3875" spans="3:13" ht="12.75" customHeight="1" x14ac:dyDescent="0.2">
      <c r="C3875"/>
      <c r="M3875"/>
    </row>
    <row r="3876" spans="3:13" ht="12.75" customHeight="1" x14ac:dyDescent="0.2">
      <c r="C3876"/>
      <c r="M3876"/>
    </row>
    <row r="3877" spans="3:13" ht="12.75" customHeight="1" x14ac:dyDescent="0.2">
      <c r="C3877"/>
      <c r="M3877"/>
    </row>
    <row r="3878" spans="3:13" ht="12.75" customHeight="1" x14ac:dyDescent="0.2">
      <c r="C3878"/>
      <c r="M3878"/>
    </row>
    <row r="3879" spans="3:13" ht="12.75" customHeight="1" x14ac:dyDescent="0.2">
      <c r="C3879"/>
      <c r="M3879"/>
    </row>
    <row r="3880" spans="3:13" ht="12.75" customHeight="1" x14ac:dyDescent="0.2">
      <c r="C3880"/>
      <c r="M3880"/>
    </row>
    <row r="3881" spans="3:13" ht="12.75" customHeight="1" x14ac:dyDescent="0.2">
      <c r="C3881"/>
      <c r="M3881"/>
    </row>
    <row r="3882" spans="3:13" ht="12.75" customHeight="1" x14ac:dyDescent="0.2">
      <c r="C3882"/>
      <c r="M3882"/>
    </row>
    <row r="3883" spans="3:13" ht="12.75" customHeight="1" x14ac:dyDescent="0.2">
      <c r="C3883"/>
      <c r="M3883"/>
    </row>
    <row r="3884" spans="3:13" ht="12.75" customHeight="1" x14ac:dyDescent="0.2">
      <c r="C3884"/>
      <c r="M3884"/>
    </row>
    <row r="3885" spans="3:13" ht="12.75" customHeight="1" x14ac:dyDescent="0.2">
      <c r="C3885"/>
      <c r="M3885"/>
    </row>
    <row r="3886" spans="3:13" ht="12.75" customHeight="1" x14ac:dyDescent="0.2">
      <c r="C3886"/>
      <c r="M3886"/>
    </row>
    <row r="3887" spans="3:13" ht="12.75" customHeight="1" x14ac:dyDescent="0.2">
      <c r="C3887"/>
      <c r="M3887"/>
    </row>
    <row r="3888" spans="3:13" ht="12.75" customHeight="1" x14ac:dyDescent="0.2">
      <c r="C3888"/>
      <c r="M3888"/>
    </row>
    <row r="3889" spans="3:13" ht="12.75" customHeight="1" x14ac:dyDescent="0.2">
      <c r="C3889"/>
      <c r="M3889"/>
    </row>
    <row r="3890" spans="3:13" ht="12.75" customHeight="1" x14ac:dyDescent="0.2">
      <c r="C3890"/>
      <c r="M3890"/>
    </row>
    <row r="3891" spans="3:13" ht="12.75" customHeight="1" x14ac:dyDescent="0.2">
      <c r="C3891"/>
      <c r="M3891"/>
    </row>
    <row r="3892" spans="3:13" ht="12.75" customHeight="1" x14ac:dyDescent="0.2">
      <c r="C3892"/>
      <c r="M3892"/>
    </row>
    <row r="3893" spans="3:13" ht="12.75" customHeight="1" x14ac:dyDescent="0.2">
      <c r="C3893"/>
      <c r="M3893"/>
    </row>
    <row r="3894" spans="3:13" ht="12.75" customHeight="1" x14ac:dyDescent="0.2">
      <c r="C3894"/>
      <c r="M3894"/>
    </row>
    <row r="3895" spans="3:13" ht="12.75" customHeight="1" x14ac:dyDescent="0.2">
      <c r="C3895"/>
      <c r="M3895"/>
    </row>
    <row r="3896" spans="3:13" ht="12.75" customHeight="1" x14ac:dyDescent="0.2">
      <c r="C3896"/>
      <c r="M3896"/>
    </row>
    <row r="3897" spans="3:13" ht="12.75" customHeight="1" x14ac:dyDescent="0.2">
      <c r="C3897"/>
      <c r="M3897"/>
    </row>
    <row r="3898" spans="3:13" ht="12.75" customHeight="1" x14ac:dyDescent="0.2">
      <c r="C3898"/>
      <c r="M3898"/>
    </row>
    <row r="3899" spans="3:13" ht="12.75" customHeight="1" x14ac:dyDescent="0.2">
      <c r="C3899"/>
      <c r="M3899"/>
    </row>
    <row r="3900" spans="3:13" ht="12.75" customHeight="1" x14ac:dyDescent="0.2">
      <c r="C3900"/>
      <c r="M3900"/>
    </row>
    <row r="3901" spans="3:13" ht="12.75" customHeight="1" x14ac:dyDescent="0.2">
      <c r="C3901"/>
      <c r="M3901"/>
    </row>
    <row r="3902" spans="3:13" ht="12.75" customHeight="1" x14ac:dyDescent="0.2">
      <c r="C3902"/>
      <c r="M3902"/>
    </row>
    <row r="3903" spans="3:13" ht="12.75" customHeight="1" x14ac:dyDescent="0.2">
      <c r="C3903"/>
      <c r="M3903"/>
    </row>
    <row r="3904" spans="3:13" ht="12.75" customHeight="1" x14ac:dyDescent="0.2">
      <c r="C3904"/>
      <c r="M3904"/>
    </row>
    <row r="3905" spans="3:13" ht="12.75" customHeight="1" x14ac:dyDescent="0.2">
      <c r="C3905"/>
      <c r="M3905"/>
    </row>
    <row r="3906" spans="3:13" ht="12.75" customHeight="1" x14ac:dyDescent="0.2">
      <c r="C3906"/>
      <c r="M3906"/>
    </row>
    <row r="3907" spans="3:13" ht="12.75" customHeight="1" x14ac:dyDescent="0.2">
      <c r="C3907"/>
      <c r="M3907"/>
    </row>
    <row r="3908" spans="3:13" ht="12.75" customHeight="1" x14ac:dyDescent="0.2">
      <c r="C3908"/>
      <c r="M3908"/>
    </row>
    <row r="3909" spans="3:13" ht="12.75" customHeight="1" x14ac:dyDescent="0.2">
      <c r="C3909"/>
      <c r="M3909"/>
    </row>
    <row r="3910" spans="3:13" ht="12.75" customHeight="1" x14ac:dyDescent="0.2">
      <c r="C3910"/>
      <c r="M3910"/>
    </row>
    <row r="3911" spans="3:13" ht="12.75" customHeight="1" x14ac:dyDescent="0.2">
      <c r="C3911"/>
      <c r="M3911"/>
    </row>
    <row r="3912" spans="3:13" ht="12.75" customHeight="1" x14ac:dyDescent="0.2">
      <c r="C3912"/>
      <c r="M3912"/>
    </row>
    <row r="3913" spans="3:13" ht="12.75" customHeight="1" x14ac:dyDescent="0.2">
      <c r="C3913"/>
      <c r="M3913"/>
    </row>
    <row r="3914" spans="3:13" ht="12.75" customHeight="1" x14ac:dyDescent="0.2">
      <c r="C3914"/>
      <c r="M3914"/>
    </row>
    <row r="3915" spans="3:13" ht="12.75" customHeight="1" x14ac:dyDescent="0.2">
      <c r="C3915"/>
      <c r="M3915"/>
    </row>
    <row r="3916" spans="3:13" ht="12.75" customHeight="1" x14ac:dyDescent="0.2">
      <c r="C3916"/>
      <c r="M3916"/>
    </row>
    <row r="3917" spans="3:13" ht="12.75" customHeight="1" x14ac:dyDescent="0.2">
      <c r="C3917"/>
      <c r="M3917"/>
    </row>
    <row r="3918" spans="3:13" ht="12.75" customHeight="1" x14ac:dyDescent="0.2">
      <c r="C3918"/>
      <c r="M3918"/>
    </row>
    <row r="3919" spans="3:13" ht="12.75" customHeight="1" x14ac:dyDescent="0.2">
      <c r="C3919"/>
      <c r="M3919"/>
    </row>
    <row r="3920" spans="3:13" ht="12.75" customHeight="1" x14ac:dyDescent="0.2">
      <c r="C3920"/>
      <c r="M3920"/>
    </row>
    <row r="3921" spans="3:13" ht="12.75" customHeight="1" x14ac:dyDescent="0.2">
      <c r="C3921"/>
      <c r="M3921"/>
    </row>
    <row r="3922" spans="3:13" ht="12.75" customHeight="1" x14ac:dyDescent="0.2">
      <c r="C3922"/>
      <c r="M3922"/>
    </row>
    <row r="3923" spans="3:13" ht="12.75" customHeight="1" x14ac:dyDescent="0.2">
      <c r="C3923"/>
      <c r="M3923"/>
    </row>
    <row r="3924" spans="3:13" ht="12.75" customHeight="1" x14ac:dyDescent="0.2">
      <c r="C3924"/>
      <c r="M3924"/>
    </row>
    <row r="3925" spans="3:13" ht="12.75" customHeight="1" x14ac:dyDescent="0.2">
      <c r="C3925"/>
      <c r="M3925"/>
    </row>
    <row r="3926" spans="3:13" ht="12.75" customHeight="1" x14ac:dyDescent="0.2">
      <c r="C3926"/>
      <c r="M3926"/>
    </row>
    <row r="3927" spans="3:13" ht="12.75" customHeight="1" x14ac:dyDescent="0.2">
      <c r="C3927"/>
      <c r="M3927"/>
    </row>
    <row r="3928" spans="3:13" ht="12.75" customHeight="1" x14ac:dyDescent="0.2">
      <c r="C3928"/>
      <c r="M3928"/>
    </row>
    <row r="3929" spans="3:13" ht="12.75" customHeight="1" x14ac:dyDescent="0.2">
      <c r="C3929"/>
      <c r="M3929"/>
    </row>
    <row r="3930" spans="3:13" ht="12.75" customHeight="1" x14ac:dyDescent="0.2">
      <c r="C3930"/>
      <c r="M3930"/>
    </row>
    <row r="3931" spans="3:13" ht="12.75" customHeight="1" x14ac:dyDescent="0.2">
      <c r="C3931"/>
      <c r="M3931"/>
    </row>
    <row r="3932" spans="3:13" ht="12.75" customHeight="1" x14ac:dyDescent="0.2">
      <c r="C3932"/>
      <c r="M3932"/>
    </row>
    <row r="3933" spans="3:13" ht="12.75" customHeight="1" x14ac:dyDescent="0.2">
      <c r="C3933"/>
      <c r="M3933"/>
    </row>
    <row r="3934" spans="3:13" ht="12.75" customHeight="1" x14ac:dyDescent="0.2">
      <c r="C3934"/>
      <c r="M3934"/>
    </row>
    <row r="3935" spans="3:13" ht="12.75" customHeight="1" x14ac:dyDescent="0.2">
      <c r="C3935"/>
      <c r="M3935"/>
    </row>
    <row r="3936" spans="3:13" ht="12.75" customHeight="1" x14ac:dyDescent="0.2">
      <c r="C3936"/>
      <c r="M3936"/>
    </row>
    <row r="3937" spans="3:13" ht="12.75" customHeight="1" x14ac:dyDescent="0.2">
      <c r="C3937"/>
      <c r="M3937"/>
    </row>
    <row r="3938" spans="3:13" ht="12.75" customHeight="1" x14ac:dyDescent="0.2">
      <c r="C3938"/>
      <c r="M3938"/>
    </row>
    <row r="3939" spans="3:13" ht="12.75" customHeight="1" x14ac:dyDescent="0.2">
      <c r="C3939"/>
      <c r="M3939"/>
    </row>
    <row r="3940" spans="3:13" ht="12.75" customHeight="1" x14ac:dyDescent="0.2">
      <c r="C3940"/>
      <c r="M3940"/>
    </row>
    <row r="3941" spans="3:13" ht="12.75" customHeight="1" x14ac:dyDescent="0.2">
      <c r="C3941"/>
      <c r="M3941"/>
    </row>
    <row r="3942" spans="3:13" ht="12.75" customHeight="1" x14ac:dyDescent="0.2">
      <c r="C3942"/>
      <c r="M3942"/>
    </row>
    <row r="3943" spans="3:13" ht="12.75" customHeight="1" x14ac:dyDescent="0.2">
      <c r="C3943"/>
      <c r="M3943"/>
    </row>
    <row r="3944" spans="3:13" ht="12.75" customHeight="1" x14ac:dyDescent="0.2">
      <c r="C3944"/>
      <c r="M3944"/>
    </row>
    <row r="3945" spans="3:13" ht="12.75" customHeight="1" x14ac:dyDescent="0.2">
      <c r="C3945"/>
      <c r="M3945"/>
    </row>
    <row r="3946" spans="3:13" ht="12.75" customHeight="1" x14ac:dyDescent="0.2">
      <c r="C3946"/>
      <c r="M3946"/>
    </row>
    <row r="3947" spans="3:13" ht="12.75" customHeight="1" x14ac:dyDescent="0.2">
      <c r="C3947"/>
      <c r="M3947"/>
    </row>
    <row r="3948" spans="3:13" ht="12.75" customHeight="1" x14ac:dyDescent="0.2">
      <c r="C3948"/>
      <c r="M3948"/>
    </row>
    <row r="3949" spans="3:13" ht="12.75" customHeight="1" x14ac:dyDescent="0.2">
      <c r="C3949"/>
      <c r="M3949"/>
    </row>
    <row r="3950" spans="3:13" ht="12.75" customHeight="1" x14ac:dyDescent="0.2">
      <c r="C3950"/>
      <c r="M3950"/>
    </row>
    <row r="3951" spans="3:13" ht="12.75" customHeight="1" x14ac:dyDescent="0.2">
      <c r="C3951"/>
      <c r="M3951"/>
    </row>
    <row r="3952" spans="3:13" ht="12.75" customHeight="1" x14ac:dyDescent="0.2">
      <c r="C3952"/>
      <c r="M3952"/>
    </row>
    <row r="3953" spans="3:13" ht="12.75" customHeight="1" x14ac:dyDescent="0.2">
      <c r="C3953"/>
      <c r="M3953"/>
    </row>
    <row r="3954" spans="3:13" ht="12.75" customHeight="1" x14ac:dyDescent="0.2">
      <c r="C3954"/>
      <c r="M3954"/>
    </row>
    <row r="3955" spans="3:13" ht="12.75" customHeight="1" x14ac:dyDescent="0.2">
      <c r="C3955"/>
      <c r="M3955"/>
    </row>
    <row r="3956" spans="3:13" ht="12.75" customHeight="1" x14ac:dyDescent="0.2">
      <c r="C3956"/>
      <c r="M3956"/>
    </row>
    <row r="3957" spans="3:13" ht="12.75" customHeight="1" x14ac:dyDescent="0.2">
      <c r="C3957"/>
      <c r="M3957"/>
    </row>
    <row r="3958" spans="3:13" ht="12.75" customHeight="1" x14ac:dyDescent="0.2">
      <c r="C3958"/>
      <c r="M3958"/>
    </row>
    <row r="3959" spans="3:13" ht="12.75" customHeight="1" x14ac:dyDescent="0.2">
      <c r="C3959"/>
      <c r="M3959"/>
    </row>
    <row r="3960" spans="3:13" ht="12.75" customHeight="1" x14ac:dyDescent="0.2">
      <c r="C3960"/>
      <c r="M3960"/>
    </row>
    <row r="3961" spans="3:13" ht="12.75" customHeight="1" x14ac:dyDescent="0.2">
      <c r="C3961"/>
      <c r="M3961"/>
    </row>
    <row r="3962" spans="3:13" ht="12.75" customHeight="1" x14ac:dyDescent="0.2">
      <c r="C3962"/>
      <c r="M3962"/>
    </row>
    <row r="3963" spans="3:13" ht="12.75" customHeight="1" x14ac:dyDescent="0.2">
      <c r="C3963"/>
      <c r="M3963"/>
    </row>
    <row r="3964" spans="3:13" ht="12.75" customHeight="1" x14ac:dyDescent="0.2">
      <c r="C3964"/>
      <c r="M3964"/>
    </row>
    <row r="3965" spans="3:13" ht="12.75" customHeight="1" x14ac:dyDescent="0.2">
      <c r="C3965"/>
      <c r="M3965"/>
    </row>
    <row r="3966" spans="3:13" ht="12.75" customHeight="1" x14ac:dyDescent="0.2">
      <c r="C3966"/>
      <c r="M3966"/>
    </row>
    <row r="3967" spans="3:13" ht="12.75" customHeight="1" x14ac:dyDescent="0.2">
      <c r="C3967"/>
      <c r="M3967"/>
    </row>
    <row r="3968" spans="3:13" ht="12.75" customHeight="1" x14ac:dyDescent="0.2">
      <c r="C3968"/>
      <c r="M3968"/>
    </row>
    <row r="3969" spans="3:13" ht="12.75" customHeight="1" x14ac:dyDescent="0.2">
      <c r="C3969"/>
      <c r="M3969"/>
    </row>
    <row r="3970" spans="3:13" ht="12.75" customHeight="1" x14ac:dyDescent="0.2">
      <c r="C3970"/>
      <c r="M3970"/>
    </row>
    <row r="3971" spans="3:13" ht="12.75" customHeight="1" x14ac:dyDescent="0.2">
      <c r="C3971"/>
      <c r="M3971"/>
    </row>
    <row r="3972" spans="3:13" ht="12.75" customHeight="1" x14ac:dyDescent="0.2">
      <c r="C3972"/>
      <c r="M3972"/>
    </row>
    <row r="3973" spans="3:13" ht="12.75" customHeight="1" x14ac:dyDescent="0.2">
      <c r="C3973"/>
      <c r="M3973"/>
    </row>
    <row r="3974" spans="3:13" ht="12.75" customHeight="1" x14ac:dyDescent="0.2">
      <c r="C3974"/>
      <c r="M3974"/>
    </row>
    <row r="3975" spans="3:13" ht="12.75" customHeight="1" x14ac:dyDescent="0.2">
      <c r="C3975"/>
      <c r="M3975"/>
    </row>
    <row r="3976" spans="3:13" ht="12.75" customHeight="1" x14ac:dyDescent="0.2">
      <c r="C3976"/>
      <c r="M3976"/>
    </row>
    <row r="3977" spans="3:13" ht="12.75" customHeight="1" x14ac:dyDescent="0.2">
      <c r="C3977"/>
      <c r="M3977"/>
    </row>
    <row r="3978" spans="3:13" ht="12.75" customHeight="1" x14ac:dyDescent="0.2">
      <c r="C3978"/>
      <c r="M3978"/>
    </row>
    <row r="3979" spans="3:13" ht="12.75" customHeight="1" x14ac:dyDescent="0.2">
      <c r="C3979"/>
      <c r="M3979"/>
    </row>
    <row r="3980" spans="3:13" ht="12.75" customHeight="1" x14ac:dyDescent="0.2">
      <c r="C3980"/>
      <c r="M3980"/>
    </row>
    <row r="3981" spans="3:13" ht="12.75" customHeight="1" x14ac:dyDescent="0.2">
      <c r="C3981"/>
      <c r="M3981"/>
    </row>
    <row r="3982" spans="3:13" ht="12.75" customHeight="1" x14ac:dyDescent="0.2">
      <c r="C3982"/>
      <c r="M3982"/>
    </row>
    <row r="3983" spans="3:13" ht="12.75" customHeight="1" x14ac:dyDescent="0.2">
      <c r="C3983"/>
      <c r="M3983"/>
    </row>
    <row r="3984" spans="3:13" ht="12.75" customHeight="1" x14ac:dyDescent="0.2">
      <c r="C3984"/>
      <c r="M3984"/>
    </row>
    <row r="3985" spans="3:13" ht="12.75" customHeight="1" x14ac:dyDescent="0.2">
      <c r="C3985"/>
      <c r="M3985"/>
    </row>
    <row r="3986" spans="3:13" ht="12.75" customHeight="1" x14ac:dyDescent="0.2">
      <c r="C3986"/>
      <c r="M3986"/>
    </row>
    <row r="3987" spans="3:13" ht="12.75" customHeight="1" x14ac:dyDescent="0.2">
      <c r="C3987"/>
      <c r="M3987"/>
    </row>
    <row r="3988" spans="3:13" ht="12.75" customHeight="1" x14ac:dyDescent="0.2">
      <c r="C3988"/>
      <c r="M3988"/>
    </row>
    <row r="3989" spans="3:13" ht="12.75" customHeight="1" x14ac:dyDescent="0.2">
      <c r="C3989"/>
      <c r="M3989"/>
    </row>
    <row r="3990" spans="3:13" ht="12.75" customHeight="1" x14ac:dyDescent="0.2">
      <c r="C3990"/>
      <c r="M3990"/>
    </row>
    <row r="3991" spans="3:13" ht="12.75" customHeight="1" x14ac:dyDescent="0.2">
      <c r="C3991"/>
      <c r="M3991"/>
    </row>
    <row r="3992" spans="3:13" ht="12.75" customHeight="1" x14ac:dyDescent="0.2">
      <c r="C3992"/>
      <c r="M3992"/>
    </row>
    <row r="3993" spans="3:13" ht="12.75" customHeight="1" x14ac:dyDescent="0.2">
      <c r="C3993"/>
      <c r="M3993"/>
    </row>
    <row r="3994" spans="3:13" ht="12.75" customHeight="1" x14ac:dyDescent="0.2">
      <c r="C3994"/>
      <c r="M3994"/>
    </row>
    <row r="3995" spans="3:13" ht="12.75" customHeight="1" x14ac:dyDescent="0.2">
      <c r="C3995"/>
      <c r="M3995"/>
    </row>
    <row r="3996" spans="3:13" ht="12.75" customHeight="1" x14ac:dyDescent="0.2">
      <c r="C3996"/>
      <c r="M3996"/>
    </row>
    <row r="3997" spans="3:13" ht="12.75" customHeight="1" x14ac:dyDescent="0.2">
      <c r="C3997"/>
      <c r="M3997"/>
    </row>
    <row r="3998" spans="3:13" ht="12.75" customHeight="1" x14ac:dyDescent="0.2">
      <c r="C3998"/>
      <c r="M3998"/>
    </row>
    <row r="3999" spans="3:13" ht="12.75" customHeight="1" x14ac:dyDescent="0.2">
      <c r="C3999"/>
      <c r="M3999"/>
    </row>
    <row r="4000" spans="3:13" ht="12.75" customHeight="1" x14ac:dyDescent="0.2">
      <c r="C4000"/>
      <c r="M4000"/>
    </row>
    <row r="4001" spans="3:13" ht="12.75" customHeight="1" x14ac:dyDescent="0.2">
      <c r="C4001"/>
      <c r="M4001"/>
    </row>
    <row r="4002" spans="3:13" ht="12.75" customHeight="1" x14ac:dyDescent="0.2">
      <c r="C4002"/>
      <c r="M4002"/>
    </row>
    <row r="4003" spans="3:13" ht="12.75" customHeight="1" x14ac:dyDescent="0.2">
      <c r="C4003"/>
      <c r="M4003"/>
    </row>
    <row r="4004" spans="3:13" ht="12.75" customHeight="1" x14ac:dyDescent="0.2">
      <c r="C4004"/>
      <c r="M4004"/>
    </row>
    <row r="4005" spans="3:13" ht="12.75" customHeight="1" x14ac:dyDescent="0.2">
      <c r="C4005"/>
      <c r="M4005"/>
    </row>
    <row r="4006" spans="3:13" ht="12.75" customHeight="1" x14ac:dyDescent="0.2">
      <c r="C4006"/>
      <c r="M4006"/>
    </row>
    <row r="4007" spans="3:13" ht="12.75" customHeight="1" x14ac:dyDescent="0.2">
      <c r="C4007"/>
      <c r="M4007"/>
    </row>
    <row r="4008" spans="3:13" ht="12.75" customHeight="1" x14ac:dyDescent="0.2">
      <c r="C4008"/>
      <c r="M4008"/>
    </row>
    <row r="4009" spans="3:13" ht="12.75" customHeight="1" x14ac:dyDescent="0.2">
      <c r="C4009"/>
      <c r="M4009"/>
    </row>
    <row r="4010" spans="3:13" ht="12.75" customHeight="1" x14ac:dyDescent="0.2">
      <c r="C4010"/>
      <c r="M4010"/>
    </row>
    <row r="4011" spans="3:13" ht="12.75" customHeight="1" x14ac:dyDescent="0.2">
      <c r="C4011"/>
      <c r="M4011"/>
    </row>
    <row r="4012" spans="3:13" ht="12.75" customHeight="1" x14ac:dyDescent="0.2">
      <c r="C4012"/>
      <c r="M4012"/>
    </row>
    <row r="4013" spans="3:13" ht="12.75" customHeight="1" x14ac:dyDescent="0.2">
      <c r="C4013"/>
      <c r="M4013"/>
    </row>
    <row r="4014" spans="3:13" ht="12.75" customHeight="1" x14ac:dyDescent="0.2">
      <c r="C4014"/>
      <c r="M4014"/>
    </row>
    <row r="4015" spans="3:13" ht="12.75" customHeight="1" x14ac:dyDescent="0.2">
      <c r="C4015"/>
      <c r="M4015"/>
    </row>
    <row r="4016" spans="3:13" ht="12.75" customHeight="1" x14ac:dyDescent="0.2">
      <c r="C4016"/>
      <c r="M4016"/>
    </row>
    <row r="4017" spans="3:13" ht="12.75" customHeight="1" x14ac:dyDescent="0.2">
      <c r="C4017"/>
      <c r="M4017"/>
    </row>
    <row r="4018" spans="3:13" ht="12.75" customHeight="1" x14ac:dyDescent="0.2">
      <c r="C4018"/>
      <c r="M4018"/>
    </row>
    <row r="4019" spans="3:13" ht="12.75" customHeight="1" x14ac:dyDescent="0.2">
      <c r="C4019"/>
      <c r="M4019"/>
    </row>
    <row r="4020" spans="3:13" ht="12.75" customHeight="1" x14ac:dyDescent="0.2">
      <c r="C4020"/>
      <c r="M4020"/>
    </row>
    <row r="4021" spans="3:13" ht="12.75" customHeight="1" x14ac:dyDescent="0.2">
      <c r="C4021"/>
      <c r="M4021"/>
    </row>
    <row r="4022" spans="3:13" ht="12.75" customHeight="1" x14ac:dyDescent="0.2">
      <c r="C4022"/>
      <c r="M4022"/>
    </row>
    <row r="4023" spans="3:13" ht="12.75" customHeight="1" x14ac:dyDescent="0.2">
      <c r="C4023"/>
      <c r="M4023"/>
    </row>
    <row r="4024" spans="3:13" ht="12.75" customHeight="1" x14ac:dyDescent="0.2">
      <c r="C4024"/>
      <c r="M4024"/>
    </row>
    <row r="4025" spans="3:13" ht="12.75" customHeight="1" x14ac:dyDescent="0.2">
      <c r="C4025"/>
      <c r="M4025"/>
    </row>
    <row r="4026" spans="3:13" ht="12.75" customHeight="1" x14ac:dyDescent="0.2">
      <c r="C4026"/>
      <c r="M4026"/>
    </row>
    <row r="4027" spans="3:13" ht="12.75" customHeight="1" x14ac:dyDescent="0.2">
      <c r="C4027"/>
      <c r="M4027"/>
    </row>
    <row r="4028" spans="3:13" ht="12.75" customHeight="1" x14ac:dyDescent="0.2">
      <c r="C4028"/>
      <c r="M4028"/>
    </row>
    <row r="4029" spans="3:13" ht="12.75" customHeight="1" x14ac:dyDescent="0.2">
      <c r="C4029"/>
      <c r="M4029"/>
    </row>
    <row r="4030" spans="3:13" ht="12.75" customHeight="1" x14ac:dyDescent="0.2">
      <c r="C4030"/>
      <c r="M4030"/>
    </row>
    <row r="4031" spans="3:13" ht="12.75" customHeight="1" x14ac:dyDescent="0.2">
      <c r="C4031"/>
      <c r="M4031"/>
    </row>
    <row r="4032" spans="3:13" ht="12.75" customHeight="1" x14ac:dyDescent="0.2">
      <c r="C4032"/>
      <c r="M4032"/>
    </row>
    <row r="4033" spans="3:13" ht="12.75" customHeight="1" x14ac:dyDescent="0.2">
      <c r="C4033"/>
      <c r="M4033"/>
    </row>
    <row r="4034" spans="3:13" ht="12.75" customHeight="1" x14ac:dyDescent="0.2">
      <c r="C4034"/>
      <c r="M4034"/>
    </row>
    <row r="4035" spans="3:13" ht="12.75" customHeight="1" x14ac:dyDescent="0.2">
      <c r="C4035"/>
      <c r="M4035"/>
    </row>
    <row r="4036" spans="3:13" ht="12.75" customHeight="1" x14ac:dyDescent="0.2">
      <c r="C4036"/>
      <c r="M4036"/>
    </row>
    <row r="4037" spans="3:13" ht="12.75" customHeight="1" x14ac:dyDescent="0.2">
      <c r="C4037"/>
      <c r="M4037"/>
    </row>
    <row r="4038" spans="3:13" ht="12.75" customHeight="1" x14ac:dyDescent="0.2">
      <c r="C4038"/>
      <c r="M4038"/>
    </row>
    <row r="4039" spans="3:13" ht="12.75" customHeight="1" x14ac:dyDescent="0.2">
      <c r="C4039"/>
      <c r="M4039"/>
    </row>
    <row r="4040" spans="3:13" ht="12.75" customHeight="1" x14ac:dyDescent="0.2">
      <c r="C4040"/>
      <c r="M4040"/>
    </row>
    <row r="4041" spans="3:13" ht="12.75" customHeight="1" x14ac:dyDescent="0.2">
      <c r="C4041"/>
      <c r="M4041"/>
    </row>
    <row r="4042" spans="3:13" ht="12.75" customHeight="1" x14ac:dyDescent="0.2">
      <c r="C4042"/>
      <c r="M4042"/>
    </row>
    <row r="4043" spans="3:13" ht="12.75" customHeight="1" x14ac:dyDescent="0.2">
      <c r="C4043"/>
      <c r="M4043"/>
    </row>
    <row r="4044" spans="3:13" ht="12.75" customHeight="1" x14ac:dyDescent="0.2">
      <c r="C4044"/>
      <c r="M4044"/>
    </row>
    <row r="4045" spans="3:13" ht="12.75" customHeight="1" x14ac:dyDescent="0.2">
      <c r="C4045"/>
      <c r="M4045"/>
    </row>
    <row r="4046" spans="3:13" ht="12.75" customHeight="1" x14ac:dyDescent="0.2">
      <c r="C4046"/>
      <c r="M4046"/>
    </row>
    <row r="4047" spans="3:13" ht="12.75" customHeight="1" x14ac:dyDescent="0.2">
      <c r="C4047"/>
      <c r="M4047"/>
    </row>
    <row r="4048" spans="3:13" ht="12.75" customHeight="1" x14ac:dyDescent="0.2">
      <c r="C4048"/>
      <c r="M4048"/>
    </row>
    <row r="4049" spans="3:13" ht="12.75" customHeight="1" x14ac:dyDescent="0.2">
      <c r="C4049"/>
      <c r="M4049"/>
    </row>
    <row r="4050" spans="3:13" ht="12.75" customHeight="1" x14ac:dyDescent="0.2">
      <c r="C4050"/>
      <c r="M4050"/>
    </row>
    <row r="4051" spans="3:13" ht="12.75" customHeight="1" x14ac:dyDescent="0.2">
      <c r="C4051"/>
      <c r="M4051"/>
    </row>
    <row r="4052" spans="3:13" ht="12.75" customHeight="1" x14ac:dyDescent="0.2">
      <c r="C4052"/>
      <c r="M4052"/>
    </row>
    <row r="4053" spans="3:13" ht="12.75" customHeight="1" x14ac:dyDescent="0.2">
      <c r="C4053"/>
      <c r="M4053"/>
    </row>
    <row r="4054" spans="3:13" ht="12.75" customHeight="1" x14ac:dyDescent="0.2">
      <c r="C4054"/>
      <c r="M4054"/>
    </row>
    <row r="4055" spans="3:13" ht="12.75" customHeight="1" x14ac:dyDescent="0.2">
      <c r="C4055"/>
      <c r="M4055"/>
    </row>
    <row r="4056" spans="3:13" ht="12.75" customHeight="1" x14ac:dyDescent="0.2">
      <c r="C4056"/>
      <c r="M4056"/>
    </row>
    <row r="4057" spans="3:13" ht="12.75" customHeight="1" x14ac:dyDescent="0.2">
      <c r="C4057"/>
      <c r="M4057"/>
    </row>
    <row r="4058" spans="3:13" ht="12.75" customHeight="1" x14ac:dyDescent="0.2">
      <c r="C4058"/>
      <c r="M4058"/>
    </row>
    <row r="4059" spans="3:13" ht="12.75" customHeight="1" x14ac:dyDescent="0.2">
      <c r="C4059"/>
      <c r="M4059"/>
    </row>
    <row r="4060" spans="3:13" ht="12.75" customHeight="1" x14ac:dyDescent="0.2">
      <c r="C4060"/>
      <c r="M4060"/>
    </row>
    <row r="4061" spans="3:13" ht="12.75" customHeight="1" x14ac:dyDescent="0.2">
      <c r="C4061"/>
      <c r="M4061"/>
    </row>
    <row r="4062" spans="3:13" ht="12.75" customHeight="1" x14ac:dyDescent="0.2">
      <c r="C4062"/>
      <c r="M4062"/>
    </row>
    <row r="4063" spans="3:13" ht="12.75" customHeight="1" x14ac:dyDescent="0.2">
      <c r="C4063"/>
      <c r="M4063"/>
    </row>
    <row r="4064" spans="3:13" ht="12.75" customHeight="1" x14ac:dyDescent="0.2">
      <c r="C4064"/>
      <c r="M4064"/>
    </row>
    <row r="4065" spans="3:13" ht="12.75" customHeight="1" x14ac:dyDescent="0.2">
      <c r="C4065"/>
      <c r="M4065"/>
    </row>
    <row r="4066" spans="3:13" ht="12.75" customHeight="1" x14ac:dyDescent="0.2">
      <c r="C4066"/>
      <c r="M4066"/>
    </row>
    <row r="4067" spans="3:13" ht="12.75" customHeight="1" x14ac:dyDescent="0.2">
      <c r="C4067"/>
      <c r="M4067"/>
    </row>
    <row r="4068" spans="3:13" ht="12.75" customHeight="1" x14ac:dyDescent="0.2">
      <c r="C4068"/>
      <c r="M4068"/>
    </row>
    <row r="4069" spans="3:13" ht="12.75" customHeight="1" x14ac:dyDescent="0.2">
      <c r="C4069"/>
      <c r="M4069"/>
    </row>
    <row r="4070" spans="3:13" ht="12.75" customHeight="1" x14ac:dyDescent="0.2">
      <c r="C4070"/>
      <c r="M4070"/>
    </row>
    <row r="4071" spans="3:13" ht="12.75" customHeight="1" x14ac:dyDescent="0.2">
      <c r="C4071"/>
      <c r="M4071"/>
    </row>
    <row r="4072" spans="3:13" ht="12.75" customHeight="1" x14ac:dyDescent="0.2">
      <c r="C4072"/>
      <c r="M4072"/>
    </row>
    <row r="4073" spans="3:13" ht="12.75" customHeight="1" x14ac:dyDescent="0.2">
      <c r="C4073"/>
      <c r="M4073"/>
    </row>
    <row r="4074" spans="3:13" ht="12.75" customHeight="1" x14ac:dyDescent="0.2">
      <c r="C4074"/>
      <c r="M4074"/>
    </row>
    <row r="4075" spans="3:13" ht="12.75" customHeight="1" x14ac:dyDescent="0.2">
      <c r="C4075"/>
      <c r="M4075"/>
    </row>
    <row r="4076" spans="3:13" ht="12.75" customHeight="1" x14ac:dyDescent="0.2">
      <c r="C4076"/>
      <c r="M4076"/>
    </row>
    <row r="4077" spans="3:13" ht="12.75" customHeight="1" x14ac:dyDescent="0.2">
      <c r="C4077"/>
      <c r="M4077"/>
    </row>
    <row r="4078" spans="3:13" ht="12.75" customHeight="1" x14ac:dyDescent="0.2">
      <c r="C4078"/>
      <c r="M4078"/>
    </row>
    <row r="4079" spans="3:13" ht="12.75" customHeight="1" x14ac:dyDescent="0.2">
      <c r="C4079"/>
      <c r="M4079"/>
    </row>
    <row r="4080" spans="3:13" ht="12.75" customHeight="1" x14ac:dyDescent="0.2">
      <c r="C4080"/>
      <c r="M4080"/>
    </row>
    <row r="4081" spans="3:13" ht="12.75" customHeight="1" x14ac:dyDescent="0.2">
      <c r="C4081"/>
      <c r="M4081"/>
    </row>
    <row r="4082" spans="3:13" ht="12.75" customHeight="1" x14ac:dyDescent="0.2">
      <c r="C4082"/>
      <c r="M4082"/>
    </row>
    <row r="4083" spans="3:13" ht="12.75" customHeight="1" x14ac:dyDescent="0.2">
      <c r="C4083"/>
      <c r="M4083"/>
    </row>
    <row r="4084" spans="3:13" ht="12.75" customHeight="1" x14ac:dyDescent="0.2">
      <c r="C4084"/>
      <c r="M4084"/>
    </row>
    <row r="4085" spans="3:13" ht="12.75" customHeight="1" x14ac:dyDescent="0.2">
      <c r="C4085"/>
      <c r="M4085"/>
    </row>
    <row r="4086" spans="3:13" ht="12.75" customHeight="1" x14ac:dyDescent="0.2">
      <c r="C4086"/>
      <c r="M4086"/>
    </row>
    <row r="4087" spans="3:13" ht="12.75" customHeight="1" x14ac:dyDescent="0.2">
      <c r="C4087"/>
      <c r="M4087"/>
    </row>
    <row r="4088" spans="3:13" ht="12.75" customHeight="1" x14ac:dyDescent="0.2">
      <c r="C4088"/>
      <c r="M4088"/>
    </row>
    <row r="4089" spans="3:13" ht="12.75" customHeight="1" x14ac:dyDescent="0.2">
      <c r="C4089"/>
      <c r="M4089"/>
    </row>
    <row r="4090" spans="3:13" ht="12.75" customHeight="1" x14ac:dyDescent="0.2">
      <c r="C4090"/>
      <c r="M4090"/>
    </row>
    <row r="4091" spans="3:13" ht="12.75" customHeight="1" x14ac:dyDescent="0.2">
      <c r="C4091"/>
      <c r="M4091"/>
    </row>
    <row r="4092" spans="3:13" ht="12.75" customHeight="1" x14ac:dyDescent="0.2">
      <c r="C4092"/>
      <c r="M4092"/>
    </row>
    <row r="4093" spans="3:13" ht="12.75" customHeight="1" x14ac:dyDescent="0.2">
      <c r="C4093"/>
      <c r="M4093"/>
    </row>
    <row r="4094" spans="3:13" ht="12.75" customHeight="1" x14ac:dyDescent="0.2">
      <c r="C4094"/>
      <c r="M4094"/>
    </row>
    <row r="4095" spans="3:13" ht="12.75" customHeight="1" x14ac:dyDescent="0.2">
      <c r="C4095"/>
      <c r="M4095"/>
    </row>
    <row r="4096" spans="3:13" ht="12.75" customHeight="1" x14ac:dyDescent="0.2">
      <c r="C4096"/>
      <c r="M4096"/>
    </row>
    <row r="4097" spans="3:13" ht="12.75" customHeight="1" x14ac:dyDescent="0.2">
      <c r="C4097"/>
      <c r="M4097"/>
    </row>
    <row r="4098" spans="3:13" ht="12.75" customHeight="1" x14ac:dyDescent="0.2">
      <c r="C4098"/>
      <c r="M4098"/>
    </row>
    <row r="4099" spans="3:13" ht="12.75" customHeight="1" x14ac:dyDescent="0.2">
      <c r="C4099"/>
      <c r="M4099"/>
    </row>
    <row r="4100" spans="3:13" ht="12.75" customHeight="1" x14ac:dyDescent="0.2">
      <c r="C4100"/>
      <c r="M4100"/>
    </row>
    <row r="4101" spans="3:13" ht="12.75" customHeight="1" x14ac:dyDescent="0.2">
      <c r="C4101"/>
      <c r="M4101"/>
    </row>
    <row r="4102" spans="3:13" ht="12.75" customHeight="1" x14ac:dyDescent="0.2">
      <c r="C4102"/>
      <c r="M4102"/>
    </row>
    <row r="4103" spans="3:13" ht="12.75" customHeight="1" x14ac:dyDescent="0.2">
      <c r="C4103"/>
      <c r="M4103"/>
    </row>
    <row r="4104" spans="3:13" ht="12.75" customHeight="1" x14ac:dyDescent="0.2">
      <c r="C4104"/>
      <c r="M4104"/>
    </row>
    <row r="4105" spans="3:13" ht="12.75" customHeight="1" x14ac:dyDescent="0.2">
      <c r="C4105"/>
      <c r="M4105"/>
    </row>
    <row r="4106" spans="3:13" ht="12.75" customHeight="1" x14ac:dyDescent="0.2">
      <c r="C4106"/>
      <c r="M4106"/>
    </row>
    <row r="4107" spans="3:13" ht="12.75" customHeight="1" x14ac:dyDescent="0.2">
      <c r="C4107"/>
      <c r="M4107"/>
    </row>
    <row r="4108" spans="3:13" ht="12.75" customHeight="1" x14ac:dyDescent="0.2">
      <c r="C4108"/>
      <c r="M4108"/>
    </row>
    <row r="4109" spans="3:13" ht="12.75" customHeight="1" x14ac:dyDescent="0.2">
      <c r="C4109"/>
      <c r="M4109"/>
    </row>
    <row r="4110" spans="3:13" ht="12.75" customHeight="1" x14ac:dyDescent="0.2">
      <c r="C4110"/>
      <c r="M4110"/>
    </row>
    <row r="4111" spans="3:13" ht="12.75" customHeight="1" x14ac:dyDescent="0.2">
      <c r="C4111"/>
      <c r="M4111"/>
    </row>
    <row r="4112" spans="3:13" ht="12.75" customHeight="1" x14ac:dyDescent="0.2">
      <c r="C4112"/>
      <c r="M4112"/>
    </row>
    <row r="4113" spans="3:13" ht="12.75" customHeight="1" x14ac:dyDescent="0.2">
      <c r="C4113"/>
      <c r="M4113"/>
    </row>
    <row r="4114" spans="3:13" ht="12.75" customHeight="1" x14ac:dyDescent="0.2">
      <c r="C4114"/>
      <c r="M4114"/>
    </row>
    <row r="4115" spans="3:13" ht="12.75" customHeight="1" x14ac:dyDescent="0.2">
      <c r="C4115"/>
      <c r="M4115"/>
    </row>
    <row r="4116" spans="3:13" ht="12.75" customHeight="1" x14ac:dyDescent="0.2">
      <c r="C4116"/>
      <c r="M4116"/>
    </row>
    <row r="4117" spans="3:13" ht="12.75" customHeight="1" x14ac:dyDescent="0.2">
      <c r="C4117"/>
      <c r="M4117"/>
    </row>
    <row r="4118" spans="3:13" ht="12.75" customHeight="1" x14ac:dyDescent="0.2">
      <c r="C4118"/>
      <c r="M4118"/>
    </row>
    <row r="4119" spans="3:13" ht="12.75" customHeight="1" x14ac:dyDescent="0.2">
      <c r="C4119"/>
      <c r="M4119"/>
    </row>
    <row r="4120" spans="3:13" ht="12.75" customHeight="1" x14ac:dyDescent="0.2">
      <c r="C4120"/>
      <c r="M4120"/>
    </row>
    <row r="4121" spans="3:13" ht="12.75" customHeight="1" x14ac:dyDescent="0.2">
      <c r="C4121"/>
      <c r="M4121"/>
    </row>
    <row r="4122" spans="3:13" ht="12.75" customHeight="1" x14ac:dyDescent="0.2">
      <c r="C4122"/>
      <c r="M4122"/>
    </row>
    <row r="4123" spans="3:13" ht="12.75" customHeight="1" x14ac:dyDescent="0.2">
      <c r="C4123"/>
      <c r="M4123"/>
    </row>
    <row r="4124" spans="3:13" ht="12.75" customHeight="1" x14ac:dyDescent="0.2">
      <c r="C4124"/>
      <c r="M4124"/>
    </row>
    <row r="4125" spans="3:13" ht="12.75" customHeight="1" x14ac:dyDescent="0.2">
      <c r="C4125"/>
      <c r="M4125"/>
    </row>
    <row r="4126" spans="3:13" ht="12.75" customHeight="1" x14ac:dyDescent="0.2">
      <c r="C4126"/>
      <c r="M4126"/>
    </row>
    <row r="4127" spans="3:13" ht="12.75" customHeight="1" x14ac:dyDescent="0.2">
      <c r="C4127"/>
      <c r="M4127"/>
    </row>
    <row r="4128" spans="3:13" ht="12.75" customHeight="1" x14ac:dyDescent="0.2">
      <c r="C4128"/>
      <c r="M4128"/>
    </row>
    <row r="4129" spans="3:13" ht="12.75" customHeight="1" x14ac:dyDescent="0.2">
      <c r="C4129"/>
      <c r="M4129"/>
    </row>
    <row r="4130" spans="3:13" ht="12.75" customHeight="1" x14ac:dyDescent="0.2">
      <c r="C4130"/>
      <c r="M4130"/>
    </row>
    <row r="4131" spans="3:13" ht="12.75" customHeight="1" x14ac:dyDescent="0.2">
      <c r="C4131"/>
      <c r="M4131"/>
    </row>
    <row r="4132" spans="3:13" ht="12.75" customHeight="1" x14ac:dyDescent="0.2">
      <c r="C4132"/>
      <c r="M4132"/>
    </row>
    <row r="4133" spans="3:13" ht="12.75" customHeight="1" x14ac:dyDescent="0.2">
      <c r="C4133"/>
      <c r="M4133"/>
    </row>
    <row r="4134" spans="3:13" ht="12.75" customHeight="1" x14ac:dyDescent="0.2">
      <c r="C4134"/>
      <c r="M4134"/>
    </row>
    <row r="4135" spans="3:13" ht="12.75" customHeight="1" x14ac:dyDescent="0.2">
      <c r="C4135"/>
      <c r="M4135"/>
    </row>
    <row r="4136" spans="3:13" ht="12.75" customHeight="1" x14ac:dyDescent="0.2">
      <c r="C4136"/>
      <c r="M4136"/>
    </row>
    <row r="4137" spans="3:13" ht="12.75" customHeight="1" x14ac:dyDescent="0.2">
      <c r="C4137"/>
      <c r="M4137"/>
    </row>
    <row r="4138" spans="3:13" ht="12.75" customHeight="1" x14ac:dyDescent="0.2">
      <c r="C4138"/>
      <c r="M4138"/>
    </row>
    <row r="4139" spans="3:13" ht="12.75" customHeight="1" x14ac:dyDescent="0.2">
      <c r="C4139"/>
      <c r="M4139"/>
    </row>
    <row r="4140" spans="3:13" ht="12.75" customHeight="1" x14ac:dyDescent="0.2">
      <c r="C4140"/>
      <c r="M4140"/>
    </row>
    <row r="4141" spans="3:13" ht="12.75" customHeight="1" x14ac:dyDescent="0.2">
      <c r="C4141"/>
      <c r="M4141"/>
    </row>
    <row r="4142" spans="3:13" ht="12.75" customHeight="1" x14ac:dyDescent="0.2">
      <c r="C4142"/>
      <c r="M4142"/>
    </row>
    <row r="4143" spans="3:13" ht="12.75" customHeight="1" x14ac:dyDescent="0.2">
      <c r="C4143"/>
      <c r="M4143"/>
    </row>
    <row r="4144" spans="3:13" ht="12.75" customHeight="1" x14ac:dyDescent="0.2">
      <c r="C4144"/>
      <c r="M4144"/>
    </row>
    <row r="4145" spans="3:13" ht="12.75" customHeight="1" x14ac:dyDescent="0.2">
      <c r="C4145"/>
      <c r="M4145"/>
    </row>
    <row r="4146" spans="3:13" ht="12.75" customHeight="1" x14ac:dyDescent="0.2">
      <c r="C4146"/>
      <c r="M4146"/>
    </row>
    <row r="4147" spans="3:13" ht="12.75" customHeight="1" x14ac:dyDescent="0.2">
      <c r="C4147"/>
      <c r="M4147"/>
    </row>
    <row r="4148" spans="3:13" ht="12.75" customHeight="1" x14ac:dyDescent="0.2">
      <c r="C4148"/>
      <c r="M4148"/>
    </row>
    <row r="4149" spans="3:13" ht="12.75" customHeight="1" x14ac:dyDescent="0.2">
      <c r="C4149"/>
      <c r="M4149"/>
    </row>
    <row r="4150" spans="3:13" ht="12.75" customHeight="1" x14ac:dyDescent="0.2">
      <c r="C4150"/>
      <c r="M4150"/>
    </row>
    <row r="4151" spans="3:13" ht="12.75" customHeight="1" x14ac:dyDescent="0.2">
      <c r="C4151"/>
      <c r="M4151"/>
    </row>
    <row r="4152" spans="3:13" ht="12.75" customHeight="1" x14ac:dyDescent="0.2">
      <c r="C4152"/>
      <c r="M4152"/>
    </row>
    <row r="4153" spans="3:13" ht="12.75" customHeight="1" x14ac:dyDescent="0.2">
      <c r="C4153"/>
      <c r="M4153"/>
    </row>
    <row r="4154" spans="3:13" ht="12.75" customHeight="1" x14ac:dyDescent="0.2">
      <c r="C4154"/>
      <c r="M4154"/>
    </row>
    <row r="4155" spans="3:13" ht="12.75" customHeight="1" x14ac:dyDescent="0.2">
      <c r="C4155"/>
      <c r="M4155"/>
    </row>
    <row r="4156" spans="3:13" ht="12.75" customHeight="1" x14ac:dyDescent="0.2">
      <c r="C4156"/>
      <c r="M4156"/>
    </row>
    <row r="4157" spans="3:13" ht="12.75" customHeight="1" x14ac:dyDescent="0.2">
      <c r="C4157"/>
      <c r="M4157"/>
    </row>
    <row r="4158" spans="3:13" ht="12.75" customHeight="1" x14ac:dyDescent="0.2">
      <c r="C4158"/>
      <c r="M4158"/>
    </row>
    <row r="4159" spans="3:13" ht="12.75" customHeight="1" x14ac:dyDescent="0.2">
      <c r="C4159"/>
      <c r="M4159"/>
    </row>
    <row r="4160" spans="3:13" ht="12.75" customHeight="1" x14ac:dyDescent="0.2">
      <c r="C4160"/>
      <c r="M4160"/>
    </row>
    <row r="4161" spans="3:13" ht="12.75" customHeight="1" x14ac:dyDescent="0.2">
      <c r="C4161"/>
      <c r="M4161"/>
    </row>
    <row r="4162" spans="3:13" ht="12.75" customHeight="1" x14ac:dyDescent="0.2">
      <c r="C4162"/>
      <c r="M4162"/>
    </row>
    <row r="4163" spans="3:13" ht="12.75" customHeight="1" x14ac:dyDescent="0.2">
      <c r="C4163"/>
      <c r="M4163"/>
    </row>
    <row r="4164" spans="3:13" ht="12.75" customHeight="1" x14ac:dyDescent="0.2">
      <c r="C4164"/>
      <c r="M4164"/>
    </row>
    <row r="4165" spans="3:13" ht="12.75" customHeight="1" x14ac:dyDescent="0.2">
      <c r="C4165"/>
      <c r="M4165"/>
    </row>
    <row r="4166" spans="3:13" ht="12.75" customHeight="1" x14ac:dyDescent="0.2">
      <c r="C4166"/>
      <c r="M4166"/>
    </row>
    <row r="4167" spans="3:13" ht="12.75" customHeight="1" x14ac:dyDescent="0.2">
      <c r="C4167"/>
      <c r="M4167"/>
    </row>
    <row r="4168" spans="3:13" ht="12.75" customHeight="1" x14ac:dyDescent="0.2">
      <c r="C4168"/>
      <c r="M4168"/>
    </row>
    <row r="4169" spans="3:13" ht="12.75" customHeight="1" x14ac:dyDescent="0.2">
      <c r="C4169"/>
      <c r="M4169"/>
    </row>
    <row r="4170" spans="3:13" ht="12.75" customHeight="1" x14ac:dyDescent="0.2">
      <c r="C4170"/>
      <c r="M4170"/>
    </row>
    <row r="4171" spans="3:13" ht="12.75" customHeight="1" x14ac:dyDescent="0.2">
      <c r="C4171"/>
      <c r="M4171"/>
    </row>
    <row r="4172" spans="3:13" ht="12.75" customHeight="1" x14ac:dyDescent="0.2">
      <c r="C4172"/>
      <c r="M4172"/>
    </row>
    <row r="4173" spans="3:13" ht="12.75" customHeight="1" x14ac:dyDescent="0.2">
      <c r="C4173"/>
      <c r="M4173"/>
    </row>
    <row r="4174" spans="3:13" ht="12.75" customHeight="1" x14ac:dyDescent="0.2">
      <c r="C4174"/>
      <c r="M4174"/>
    </row>
    <row r="4175" spans="3:13" ht="12.75" customHeight="1" x14ac:dyDescent="0.2">
      <c r="C4175"/>
      <c r="M4175"/>
    </row>
    <row r="4176" spans="3:13" ht="12.75" customHeight="1" x14ac:dyDescent="0.2">
      <c r="C4176"/>
      <c r="M4176"/>
    </row>
    <row r="4177" spans="3:13" ht="12.75" customHeight="1" x14ac:dyDescent="0.2">
      <c r="C4177"/>
      <c r="M4177"/>
    </row>
    <row r="4178" spans="3:13" ht="12.75" customHeight="1" x14ac:dyDescent="0.2">
      <c r="C4178"/>
      <c r="M4178"/>
    </row>
    <row r="4179" spans="3:13" ht="12.75" customHeight="1" x14ac:dyDescent="0.2">
      <c r="C4179"/>
      <c r="M4179"/>
    </row>
    <row r="4180" spans="3:13" ht="12.75" customHeight="1" x14ac:dyDescent="0.2">
      <c r="C4180"/>
      <c r="M4180"/>
    </row>
    <row r="4181" spans="3:13" ht="12.75" customHeight="1" x14ac:dyDescent="0.2">
      <c r="C4181"/>
      <c r="M4181"/>
    </row>
    <row r="4182" spans="3:13" ht="12.75" customHeight="1" x14ac:dyDescent="0.2">
      <c r="C4182"/>
      <c r="M4182"/>
    </row>
    <row r="4183" spans="3:13" ht="12.75" customHeight="1" x14ac:dyDescent="0.2">
      <c r="C4183"/>
      <c r="M4183"/>
    </row>
    <row r="4184" spans="3:13" ht="12.75" customHeight="1" x14ac:dyDescent="0.2">
      <c r="C4184"/>
      <c r="M4184"/>
    </row>
    <row r="4185" spans="3:13" ht="12.75" customHeight="1" x14ac:dyDescent="0.2">
      <c r="C4185"/>
      <c r="M4185"/>
    </row>
    <row r="4186" spans="3:13" ht="12.75" customHeight="1" x14ac:dyDescent="0.2">
      <c r="C4186"/>
      <c r="M4186"/>
    </row>
    <row r="4187" spans="3:13" ht="12.75" customHeight="1" x14ac:dyDescent="0.2">
      <c r="C4187"/>
      <c r="M4187"/>
    </row>
    <row r="4188" spans="3:13" ht="12.75" customHeight="1" x14ac:dyDescent="0.2">
      <c r="C4188"/>
      <c r="M4188"/>
    </row>
    <row r="4189" spans="3:13" ht="12.75" customHeight="1" x14ac:dyDescent="0.2">
      <c r="C4189"/>
      <c r="M4189"/>
    </row>
    <row r="4190" spans="3:13" ht="12.75" customHeight="1" x14ac:dyDescent="0.2">
      <c r="C4190"/>
      <c r="M4190"/>
    </row>
    <row r="4191" spans="3:13" ht="12.75" customHeight="1" x14ac:dyDescent="0.2">
      <c r="C4191"/>
      <c r="M4191"/>
    </row>
    <row r="4192" spans="3:13" ht="12.75" customHeight="1" x14ac:dyDescent="0.2">
      <c r="C4192"/>
      <c r="M4192"/>
    </row>
    <row r="4193" spans="3:13" ht="12.75" customHeight="1" x14ac:dyDescent="0.2">
      <c r="C4193"/>
      <c r="M4193"/>
    </row>
    <row r="4194" spans="3:13" ht="12.75" customHeight="1" x14ac:dyDescent="0.2">
      <c r="C4194"/>
      <c r="M4194"/>
    </row>
    <row r="4195" spans="3:13" ht="12.75" customHeight="1" x14ac:dyDescent="0.2">
      <c r="C4195"/>
      <c r="M4195"/>
    </row>
    <row r="4196" spans="3:13" ht="12.75" customHeight="1" x14ac:dyDescent="0.2">
      <c r="C4196"/>
      <c r="M4196"/>
    </row>
    <row r="4197" spans="3:13" ht="12.75" customHeight="1" x14ac:dyDescent="0.2">
      <c r="C4197"/>
      <c r="M4197"/>
    </row>
    <row r="4198" spans="3:13" ht="12.75" customHeight="1" x14ac:dyDescent="0.2">
      <c r="C4198"/>
      <c r="M4198"/>
    </row>
    <row r="4199" spans="3:13" ht="12.75" customHeight="1" x14ac:dyDescent="0.2">
      <c r="C4199"/>
      <c r="M4199"/>
    </row>
    <row r="4200" spans="3:13" ht="12.75" customHeight="1" x14ac:dyDescent="0.2">
      <c r="C4200"/>
      <c r="M4200"/>
    </row>
    <row r="4201" spans="3:13" ht="12.75" customHeight="1" x14ac:dyDescent="0.2">
      <c r="C4201"/>
      <c r="M4201"/>
    </row>
    <row r="4202" spans="3:13" ht="12.75" customHeight="1" x14ac:dyDescent="0.2">
      <c r="C4202"/>
      <c r="M4202"/>
    </row>
    <row r="4203" spans="3:13" ht="12.75" customHeight="1" x14ac:dyDescent="0.2">
      <c r="C4203"/>
      <c r="M4203"/>
    </row>
    <row r="4204" spans="3:13" ht="12.75" customHeight="1" x14ac:dyDescent="0.2">
      <c r="C4204"/>
      <c r="M4204"/>
    </row>
    <row r="4205" spans="3:13" ht="12.75" customHeight="1" x14ac:dyDescent="0.2">
      <c r="C4205"/>
      <c r="M4205"/>
    </row>
    <row r="4206" spans="3:13" ht="12.75" customHeight="1" x14ac:dyDescent="0.2">
      <c r="C4206"/>
      <c r="M4206"/>
    </row>
    <row r="4207" spans="3:13" ht="12.75" customHeight="1" x14ac:dyDescent="0.2">
      <c r="C4207"/>
      <c r="M4207"/>
    </row>
    <row r="4208" spans="3:13" ht="12.75" customHeight="1" x14ac:dyDescent="0.2">
      <c r="C4208"/>
      <c r="M4208"/>
    </row>
    <row r="4209" spans="3:13" ht="12.75" customHeight="1" x14ac:dyDescent="0.2">
      <c r="C4209"/>
      <c r="M4209"/>
    </row>
    <row r="4210" spans="3:13" ht="12.75" customHeight="1" x14ac:dyDescent="0.2">
      <c r="C4210"/>
      <c r="M4210"/>
    </row>
    <row r="4211" spans="3:13" ht="12.75" customHeight="1" x14ac:dyDescent="0.2">
      <c r="C4211"/>
      <c r="M4211"/>
    </row>
    <row r="4212" spans="3:13" ht="12.75" customHeight="1" x14ac:dyDescent="0.2">
      <c r="C4212"/>
      <c r="M4212"/>
    </row>
    <row r="4213" spans="3:13" ht="12.75" customHeight="1" x14ac:dyDescent="0.2">
      <c r="C4213"/>
      <c r="M4213"/>
    </row>
    <row r="4214" spans="3:13" ht="12.75" customHeight="1" x14ac:dyDescent="0.2">
      <c r="C4214"/>
      <c r="M4214"/>
    </row>
    <row r="4215" spans="3:13" ht="12.75" customHeight="1" x14ac:dyDescent="0.2">
      <c r="C4215"/>
      <c r="M4215"/>
    </row>
    <row r="4216" spans="3:13" ht="12.75" customHeight="1" x14ac:dyDescent="0.2">
      <c r="C4216"/>
      <c r="M4216"/>
    </row>
    <row r="4217" spans="3:13" ht="12.75" customHeight="1" x14ac:dyDescent="0.2">
      <c r="C4217"/>
      <c r="M4217"/>
    </row>
    <row r="4218" spans="3:13" ht="12.75" customHeight="1" x14ac:dyDescent="0.2">
      <c r="C4218"/>
      <c r="M4218"/>
    </row>
    <row r="4219" spans="3:13" ht="12.75" customHeight="1" x14ac:dyDescent="0.2">
      <c r="C4219"/>
      <c r="M4219"/>
    </row>
    <row r="4220" spans="3:13" ht="12.75" customHeight="1" x14ac:dyDescent="0.2">
      <c r="C4220"/>
      <c r="M4220"/>
    </row>
    <row r="4221" spans="3:13" ht="12.75" customHeight="1" x14ac:dyDescent="0.2">
      <c r="C4221"/>
      <c r="M4221"/>
    </row>
    <row r="4222" spans="3:13" ht="12.75" customHeight="1" x14ac:dyDescent="0.2">
      <c r="C4222"/>
      <c r="M4222"/>
    </row>
    <row r="4223" spans="3:13" ht="12.75" customHeight="1" x14ac:dyDescent="0.2">
      <c r="C4223"/>
      <c r="M4223"/>
    </row>
    <row r="4224" spans="3:13" ht="12.75" customHeight="1" x14ac:dyDescent="0.2">
      <c r="C4224"/>
      <c r="M4224"/>
    </row>
    <row r="4225" spans="3:13" ht="12.75" customHeight="1" x14ac:dyDescent="0.2">
      <c r="C4225"/>
      <c r="M4225"/>
    </row>
    <row r="4226" spans="3:13" ht="12.75" customHeight="1" x14ac:dyDescent="0.2">
      <c r="C4226"/>
      <c r="M4226"/>
    </row>
    <row r="4227" spans="3:13" ht="12.75" customHeight="1" x14ac:dyDescent="0.2">
      <c r="C4227"/>
      <c r="M4227"/>
    </row>
    <row r="4228" spans="3:13" ht="12.75" customHeight="1" x14ac:dyDescent="0.2">
      <c r="C4228"/>
      <c r="M4228"/>
    </row>
    <row r="4229" spans="3:13" ht="12.75" customHeight="1" x14ac:dyDescent="0.2">
      <c r="C4229"/>
      <c r="M4229"/>
    </row>
    <row r="4230" spans="3:13" ht="12.75" customHeight="1" x14ac:dyDescent="0.2">
      <c r="C4230"/>
      <c r="M4230"/>
    </row>
    <row r="4231" spans="3:13" ht="12.75" customHeight="1" x14ac:dyDescent="0.2">
      <c r="C4231"/>
      <c r="M4231"/>
    </row>
    <row r="4232" spans="3:13" ht="12.75" customHeight="1" x14ac:dyDescent="0.2">
      <c r="C4232"/>
      <c r="M4232"/>
    </row>
    <row r="4233" spans="3:13" ht="12.75" customHeight="1" x14ac:dyDescent="0.2">
      <c r="C4233"/>
      <c r="M4233"/>
    </row>
    <row r="4234" spans="3:13" ht="12.75" customHeight="1" x14ac:dyDescent="0.2">
      <c r="C4234"/>
      <c r="M4234"/>
    </row>
    <row r="4235" spans="3:13" ht="12.75" customHeight="1" x14ac:dyDescent="0.2">
      <c r="C4235"/>
      <c r="M4235"/>
    </row>
    <row r="4236" spans="3:13" ht="12.75" customHeight="1" x14ac:dyDescent="0.2">
      <c r="C4236"/>
      <c r="M4236"/>
    </row>
    <row r="4237" spans="3:13" ht="12.75" customHeight="1" x14ac:dyDescent="0.2">
      <c r="C4237"/>
      <c r="M4237"/>
    </row>
    <row r="4238" spans="3:13" ht="12.75" customHeight="1" x14ac:dyDescent="0.2">
      <c r="C4238"/>
      <c r="M4238"/>
    </row>
    <row r="4239" spans="3:13" ht="12.75" customHeight="1" x14ac:dyDescent="0.2">
      <c r="C4239"/>
      <c r="M4239"/>
    </row>
    <row r="4240" spans="3:13" ht="12.75" customHeight="1" x14ac:dyDescent="0.2">
      <c r="C4240"/>
      <c r="M4240"/>
    </row>
    <row r="4241" spans="3:13" ht="12.75" customHeight="1" x14ac:dyDescent="0.2">
      <c r="C4241"/>
      <c r="M4241"/>
    </row>
    <row r="4242" spans="3:13" ht="12.75" customHeight="1" x14ac:dyDescent="0.2">
      <c r="C4242"/>
      <c r="M4242"/>
    </row>
    <row r="4243" spans="3:13" ht="12.75" customHeight="1" x14ac:dyDescent="0.2">
      <c r="C4243"/>
      <c r="M4243"/>
    </row>
    <row r="4244" spans="3:13" ht="12.75" customHeight="1" x14ac:dyDescent="0.2">
      <c r="C4244"/>
      <c r="M4244"/>
    </row>
    <row r="4245" spans="3:13" ht="12.75" customHeight="1" x14ac:dyDescent="0.2">
      <c r="C4245"/>
      <c r="M4245"/>
    </row>
    <row r="4246" spans="3:13" ht="12.75" customHeight="1" x14ac:dyDescent="0.2">
      <c r="C4246"/>
      <c r="M4246"/>
    </row>
    <row r="4247" spans="3:13" ht="12.75" customHeight="1" x14ac:dyDescent="0.2">
      <c r="C4247"/>
      <c r="M4247"/>
    </row>
    <row r="4248" spans="3:13" ht="12.75" customHeight="1" x14ac:dyDescent="0.2">
      <c r="C4248"/>
      <c r="M4248"/>
    </row>
    <row r="4249" spans="3:13" ht="12.75" customHeight="1" x14ac:dyDescent="0.2">
      <c r="C4249"/>
      <c r="M4249"/>
    </row>
    <row r="4250" spans="3:13" ht="12.75" customHeight="1" x14ac:dyDescent="0.2">
      <c r="C4250"/>
      <c r="M4250"/>
    </row>
    <row r="4251" spans="3:13" ht="12.75" customHeight="1" x14ac:dyDescent="0.2">
      <c r="C4251"/>
      <c r="M4251"/>
    </row>
    <row r="4252" spans="3:13" ht="12.75" customHeight="1" x14ac:dyDescent="0.2">
      <c r="C4252"/>
      <c r="M4252"/>
    </row>
    <row r="4253" spans="3:13" ht="12.75" customHeight="1" x14ac:dyDescent="0.2">
      <c r="C4253"/>
      <c r="M4253"/>
    </row>
    <row r="4254" spans="3:13" ht="12.75" customHeight="1" x14ac:dyDescent="0.2">
      <c r="C4254"/>
      <c r="M4254"/>
    </row>
    <row r="4255" spans="3:13" ht="12.75" customHeight="1" x14ac:dyDescent="0.2">
      <c r="C4255"/>
      <c r="M4255"/>
    </row>
    <row r="4256" spans="3:13" ht="12.75" customHeight="1" x14ac:dyDescent="0.2">
      <c r="C4256"/>
      <c r="M4256"/>
    </row>
    <row r="4257" spans="3:13" ht="12.75" customHeight="1" x14ac:dyDescent="0.2">
      <c r="C4257"/>
      <c r="M4257"/>
    </row>
    <row r="4258" spans="3:13" ht="12.75" customHeight="1" x14ac:dyDescent="0.2">
      <c r="C4258"/>
      <c r="M4258"/>
    </row>
    <row r="4259" spans="3:13" ht="12.75" customHeight="1" x14ac:dyDescent="0.2">
      <c r="C4259"/>
      <c r="M4259"/>
    </row>
    <row r="4260" spans="3:13" ht="12.75" customHeight="1" x14ac:dyDescent="0.2">
      <c r="C4260"/>
      <c r="M4260"/>
    </row>
    <row r="4261" spans="3:13" ht="12.75" customHeight="1" x14ac:dyDescent="0.2">
      <c r="C4261"/>
      <c r="M4261"/>
    </row>
    <row r="4262" spans="3:13" ht="12.75" customHeight="1" x14ac:dyDescent="0.2">
      <c r="C4262"/>
      <c r="M4262"/>
    </row>
    <row r="4263" spans="3:13" ht="12.75" customHeight="1" x14ac:dyDescent="0.2">
      <c r="C4263"/>
      <c r="M4263"/>
    </row>
    <row r="4264" spans="3:13" ht="12.75" customHeight="1" x14ac:dyDescent="0.2">
      <c r="C4264"/>
      <c r="M4264"/>
    </row>
    <row r="4265" spans="3:13" ht="12.75" customHeight="1" x14ac:dyDescent="0.2">
      <c r="C4265"/>
      <c r="M4265"/>
    </row>
    <row r="4266" spans="3:13" ht="12.75" customHeight="1" x14ac:dyDescent="0.2">
      <c r="C4266"/>
      <c r="M4266"/>
    </row>
    <row r="4267" spans="3:13" ht="12.75" customHeight="1" x14ac:dyDescent="0.2">
      <c r="C4267"/>
      <c r="M4267"/>
    </row>
    <row r="4268" spans="3:13" ht="12.75" customHeight="1" x14ac:dyDescent="0.2">
      <c r="C4268"/>
      <c r="M4268"/>
    </row>
    <row r="4269" spans="3:13" ht="12.75" customHeight="1" x14ac:dyDescent="0.2">
      <c r="C4269"/>
      <c r="M4269"/>
    </row>
    <row r="4270" spans="3:13" ht="12.75" customHeight="1" x14ac:dyDescent="0.2">
      <c r="C4270"/>
      <c r="M4270"/>
    </row>
    <row r="4271" spans="3:13" ht="12.75" customHeight="1" x14ac:dyDescent="0.2">
      <c r="C4271"/>
      <c r="M4271"/>
    </row>
    <row r="4272" spans="3:13" ht="12.75" customHeight="1" x14ac:dyDescent="0.2">
      <c r="C4272"/>
      <c r="M4272"/>
    </row>
    <row r="4273" spans="3:13" ht="12.75" customHeight="1" x14ac:dyDescent="0.2">
      <c r="C4273"/>
      <c r="M4273"/>
    </row>
    <row r="4274" spans="3:13" ht="12.75" customHeight="1" x14ac:dyDescent="0.2">
      <c r="C4274"/>
      <c r="M4274"/>
    </row>
    <row r="4275" spans="3:13" ht="12.75" customHeight="1" x14ac:dyDescent="0.2">
      <c r="C4275"/>
      <c r="M4275"/>
    </row>
    <row r="4276" spans="3:13" ht="12.75" customHeight="1" x14ac:dyDescent="0.2">
      <c r="C4276"/>
      <c r="M4276"/>
    </row>
    <row r="4277" spans="3:13" ht="12.75" customHeight="1" x14ac:dyDescent="0.2">
      <c r="C4277"/>
      <c r="M4277"/>
    </row>
    <row r="4278" spans="3:13" ht="12.75" customHeight="1" x14ac:dyDescent="0.2">
      <c r="C4278"/>
      <c r="M4278"/>
    </row>
    <row r="4279" spans="3:13" ht="12.75" customHeight="1" x14ac:dyDescent="0.2">
      <c r="C4279"/>
      <c r="M4279"/>
    </row>
    <row r="4280" spans="3:13" ht="12.75" customHeight="1" x14ac:dyDescent="0.2">
      <c r="C4280"/>
      <c r="M4280"/>
    </row>
    <row r="4281" spans="3:13" ht="12.75" customHeight="1" x14ac:dyDescent="0.2">
      <c r="C4281"/>
      <c r="M4281"/>
    </row>
    <row r="4282" spans="3:13" ht="12.75" customHeight="1" x14ac:dyDescent="0.2">
      <c r="C4282"/>
      <c r="M4282"/>
    </row>
    <row r="4283" spans="3:13" ht="12.75" customHeight="1" x14ac:dyDescent="0.2">
      <c r="C4283"/>
      <c r="M4283"/>
    </row>
    <row r="4284" spans="3:13" ht="12.75" customHeight="1" x14ac:dyDescent="0.2">
      <c r="C4284"/>
      <c r="M4284"/>
    </row>
    <row r="4285" spans="3:13" ht="12.75" customHeight="1" x14ac:dyDescent="0.2">
      <c r="C4285"/>
      <c r="M4285"/>
    </row>
    <row r="4286" spans="3:13" ht="12.75" customHeight="1" x14ac:dyDescent="0.2">
      <c r="C4286"/>
      <c r="M4286"/>
    </row>
    <row r="4287" spans="3:13" ht="12.75" customHeight="1" x14ac:dyDescent="0.2">
      <c r="C4287"/>
      <c r="M4287"/>
    </row>
    <row r="4288" spans="3:13" ht="12.75" customHeight="1" x14ac:dyDescent="0.2">
      <c r="C4288"/>
      <c r="M4288"/>
    </row>
    <row r="4289" spans="3:13" ht="12.75" customHeight="1" x14ac:dyDescent="0.2">
      <c r="C4289"/>
      <c r="M4289"/>
    </row>
    <row r="4290" spans="3:13" ht="12.75" customHeight="1" x14ac:dyDescent="0.2">
      <c r="C4290"/>
      <c r="M4290"/>
    </row>
    <row r="4291" spans="3:13" ht="12.75" customHeight="1" x14ac:dyDescent="0.2">
      <c r="C4291"/>
      <c r="M4291"/>
    </row>
    <row r="4292" spans="3:13" ht="12.75" customHeight="1" x14ac:dyDescent="0.2">
      <c r="C4292"/>
      <c r="M4292"/>
    </row>
    <row r="4293" spans="3:13" ht="12.75" customHeight="1" x14ac:dyDescent="0.2">
      <c r="C4293"/>
      <c r="M4293"/>
    </row>
    <row r="4294" spans="3:13" ht="12.75" customHeight="1" x14ac:dyDescent="0.2">
      <c r="C4294"/>
      <c r="M4294"/>
    </row>
    <row r="4295" spans="3:13" ht="12.75" customHeight="1" x14ac:dyDescent="0.2">
      <c r="C4295"/>
      <c r="M4295"/>
    </row>
    <row r="4296" spans="3:13" ht="12.75" customHeight="1" x14ac:dyDescent="0.2">
      <c r="C4296"/>
      <c r="M4296"/>
    </row>
    <row r="4306" spans="3:13" ht="12.75" customHeight="1" x14ac:dyDescent="0.2">
      <c r="C4306"/>
      <c r="M4306"/>
    </row>
    <row r="4307" spans="3:13" ht="12.75" customHeight="1" x14ac:dyDescent="0.2">
      <c r="C4307"/>
      <c r="M4307"/>
    </row>
    <row r="4308" spans="3:13" ht="12.75" customHeight="1" x14ac:dyDescent="0.2">
      <c r="C4308"/>
      <c r="M4308"/>
    </row>
    <row r="4309" spans="3:13" ht="12.75" customHeight="1" x14ac:dyDescent="0.2">
      <c r="C4309"/>
      <c r="M4309"/>
    </row>
    <row r="60967" spans="3:13" ht="12.75" customHeight="1" x14ac:dyDescent="0.2">
      <c r="C60967"/>
      <c r="M60967"/>
    </row>
    <row r="60983" spans="3:13" ht="12.75" customHeight="1" x14ac:dyDescent="0.2">
      <c r="C60983"/>
      <c r="M60983"/>
    </row>
    <row r="60999" spans="3:13" ht="12.75" customHeight="1" x14ac:dyDescent="0.2">
      <c r="C60999"/>
      <c r="M60999"/>
    </row>
    <row r="61015" spans="3:13" ht="12.75" customHeight="1" x14ac:dyDescent="0.2">
      <c r="C61015"/>
      <c r="M61015"/>
    </row>
    <row r="61028" spans="3:13" ht="12.75" customHeight="1" x14ac:dyDescent="0.2">
      <c r="C61028"/>
      <c r="M61028"/>
    </row>
    <row r="61029" spans="3:13" ht="12.75" customHeight="1" x14ac:dyDescent="0.2">
      <c r="C61029"/>
      <c r="M61029"/>
    </row>
    <row r="61031" spans="3:13" ht="12.75" customHeight="1" x14ac:dyDescent="0.2">
      <c r="C61031"/>
      <c r="M61031"/>
    </row>
    <row r="61042" spans="3:13" ht="12.75" customHeight="1" x14ac:dyDescent="0.2">
      <c r="C61042"/>
      <c r="M61042"/>
    </row>
    <row r="61043" spans="3:13" ht="12.75" customHeight="1" x14ac:dyDescent="0.2">
      <c r="C61043"/>
      <c r="M61043"/>
    </row>
    <row r="61044" spans="3:13" ht="12.75" customHeight="1" x14ac:dyDescent="0.2">
      <c r="C61044"/>
      <c r="M61044"/>
    </row>
    <row r="61045" spans="3:13" ht="12.75" customHeight="1" x14ac:dyDescent="0.2">
      <c r="C61045"/>
      <c r="M61045"/>
    </row>
    <row r="61047" spans="3:13" ht="12.75" customHeight="1" x14ac:dyDescent="0.2">
      <c r="C61047"/>
      <c r="M61047"/>
    </row>
    <row r="61058" spans="3:13" ht="12.75" customHeight="1" x14ac:dyDescent="0.2">
      <c r="C61058"/>
      <c r="M61058"/>
    </row>
    <row r="61059" spans="3:13" ht="12.75" customHeight="1" x14ac:dyDescent="0.2">
      <c r="C61059"/>
      <c r="M61059"/>
    </row>
    <row r="61060" spans="3:13" ht="12.75" customHeight="1" x14ac:dyDescent="0.2">
      <c r="C61060"/>
      <c r="M61060"/>
    </row>
    <row r="61061" spans="3:13" ht="12.75" customHeight="1" x14ac:dyDescent="0.2">
      <c r="C61061"/>
      <c r="M61061"/>
    </row>
    <row r="61063" spans="3:13" ht="12.75" customHeight="1" x14ac:dyDescent="0.2">
      <c r="C61063"/>
      <c r="M61063"/>
    </row>
    <row r="61074" spans="3:13" ht="12.75" customHeight="1" x14ac:dyDescent="0.2">
      <c r="C61074"/>
      <c r="M61074"/>
    </row>
    <row r="61075" spans="3:13" ht="12.75" customHeight="1" x14ac:dyDescent="0.2">
      <c r="C61075"/>
      <c r="M61075"/>
    </row>
    <row r="61076" spans="3:13" ht="12.75" customHeight="1" x14ac:dyDescent="0.2">
      <c r="C61076"/>
      <c r="M61076"/>
    </row>
    <row r="61077" spans="3:13" ht="12.75" customHeight="1" x14ac:dyDescent="0.2">
      <c r="C61077"/>
      <c r="M61077"/>
    </row>
    <row r="61079" spans="3:13" ht="12.75" customHeight="1" x14ac:dyDescent="0.2">
      <c r="C61079"/>
      <c r="M61079"/>
    </row>
    <row r="61090" spans="3:13" ht="12.75" customHeight="1" x14ac:dyDescent="0.2">
      <c r="C61090"/>
      <c r="M61090"/>
    </row>
    <row r="61091" spans="3:13" ht="12.75" customHeight="1" x14ac:dyDescent="0.2">
      <c r="C61091"/>
      <c r="M61091"/>
    </row>
    <row r="61092" spans="3:13" ht="12.75" customHeight="1" x14ac:dyDescent="0.2">
      <c r="C61092"/>
      <c r="M61092"/>
    </row>
    <row r="61093" spans="3:13" ht="12.75" customHeight="1" x14ac:dyDescent="0.2">
      <c r="C61093"/>
      <c r="M61093"/>
    </row>
    <row r="61095" spans="3:13" ht="12.75" customHeight="1" x14ac:dyDescent="0.2">
      <c r="C61095"/>
      <c r="M61095"/>
    </row>
    <row r="61106" spans="3:13" ht="12.75" customHeight="1" x14ac:dyDescent="0.2">
      <c r="C61106"/>
      <c r="M61106"/>
    </row>
    <row r="61107" spans="3:13" ht="12.75" customHeight="1" x14ac:dyDescent="0.2">
      <c r="C61107"/>
      <c r="M61107"/>
    </row>
    <row r="61108" spans="3:13" ht="12.75" customHeight="1" x14ac:dyDescent="0.2">
      <c r="C61108"/>
      <c r="M61108"/>
    </row>
    <row r="61109" spans="3:13" ht="12.75" customHeight="1" x14ac:dyDescent="0.2">
      <c r="C61109"/>
      <c r="M61109"/>
    </row>
    <row r="61111" spans="3:13" ht="12.75" customHeight="1" x14ac:dyDescent="0.2">
      <c r="C61111"/>
      <c r="M61111"/>
    </row>
    <row r="61122" spans="3:13" ht="12.75" customHeight="1" x14ac:dyDescent="0.2">
      <c r="C61122"/>
      <c r="M61122"/>
    </row>
    <row r="61123" spans="3:13" ht="12.75" customHeight="1" x14ac:dyDescent="0.2">
      <c r="C61123"/>
      <c r="M61123"/>
    </row>
    <row r="61124" spans="3:13" ht="12.75" customHeight="1" x14ac:dyDescent="0.2">
      <c r="C61124"/>
      <c r="M61124"/>
    </row>
    <row r="61125" spans="3:13" ht="12.75" customHeight="1" x14ac:dyDescent="0.2">
      <c r="C61125"/>
      <c r="M61125"/>
    </row>
    <row r="61127" spans="3:13" ht="12.75" customHeight="1" x14ac:dyDescent="0.2">
      <c r="C61127"/>
      <c r="M61127"/>
    </row>
    <row r="61138" spans="3:13" ht="12.75" customHeight="1" x14ac:dyDescent="0.2">
      <c r="C61138"/>
      <c r="M61138"/>
    </row>
    <row r="61139" spans="3:13" ht="12.75" customHeight="1" x14ac:dyDescent="0.2">
      <c r="C61139"/>
      <c r="M61139"/>
    </row>
    <row r="61140" spans="3:13" ht="12.75" customHeight="1" x14ac:dyDescent="0.2">
      <c r="C61140"/>
      <c r="M61140"/>
    </row>
    <row r="61141" spans="3:13" ht="12.75" customHeight="1" x14ac:dyDescent="0.2">
      <c r="C61141"/>
      <c r="M61141"/>
    </row>
    <row r="61143" spans="3:13" ht="12.75" customHeight="1" x14ac:dyDescent="0.2">
      <c r="C61143"/>
      <c r="M61143"/>
    </row>
    <row r="61154" spans="3:13" ht="12.75" customHeight="1" x14ac:dyDescent="0.2">
      <c r="C61154"/>
      <c r="M61154"/>
    </row>
    <row r="61155" spans="3:13" ht="12.75" customHeight="1" x14ac:dyDescent="0.2">
      <c r="C61155"/>
      <c r="M61155"/>
    </row>
    <row r="61156" spans="3:13" ht="12.75" customHeight="1" x14ac:dyDescent="0.2">
      <c r="C61156"/>
      <c r="M61156"/>
    </row>
    <row r="61157" spans="3:13" ht="12.75" customHeight="1" x14ac:dyDescent="0.2">
      <c r="C61157"/>
      <c r="M61157"/>
    </row>
    <row r="61159" spans="3:13" ht="12.75" customHeight="1" x14ac:dyDescent="0.2">
      <c r="C61159"/>
      <c r="M61159"/>
    </row>
    <row r="61167" spans="3:13" ht="12.75" customHeight="1" x14ac:dyDescent="0.2">
      <c r="C61167"/>
      <c r="M61167"/>
    </row>
    <row r="61170" spans="3:13" ht="12.75" customHeight="1" x14ac:dyDescent="0.2">
      <c r="C61170"/>
      <c r="M61170"/>
    </row>
    <row r="61171" spans="3:13" ht="12.75" customHeight="1" x14ac:dyDescent="0.2">
      <c r="C61171"/>
      <c r="M61171"/>
    </row>
    <row r="61172" spans="3:13" ht="12.75" customHeight="1" x14ac:dyDescent="0.2">
      <c r="C61172"/>
      <c r="M61172"/>
    </row>
    <row r="61173" spans="3:13" ht="12.75" customHeight="1" x14ac:dyDescent="0.2">
      <c r="C61173"/>
      <c r="M61173"/>
    </row>
    <row r="61175" spans="3:13" ht="12.75" customHeight="1" x14ac:dyDescent="0.2">
      <c r="C61175"/>
      <c r="M61175"/>
    </row>
    <row r="61183" spans="3:13" ht="12.75" customHeight="1" x14ac:dyDescent="0.2">
      <c r="C61183"/>
      <c r="M61183"/>
    </row>
    <row r="61186" spans="3:13" ht="12.75" customHeight="1" x14ac:dyDescent="0.2">
      <c r="C61186"/>
      <c r="M61186"/>
    </row>
    <row r="61187" spans="3:13" ht="12.75" customHeight="1" x14ac:dyDescent="0.2">
      <c r="C61187"/>
      <c r="M61187"/>
    </row>
    <row r="61188" spans="3:13" ht="12.75" customHeight="1" x14ac:dyDescent="0.2">
      <c r="C61188"/>
      <c r="M61188"/>
    </row>
    <row r="61189" spans="3:13" ht="12.75" customHeight="1" x14ac:dyDescent="0.2">
      <c r="C61189"/>
      <c r="M61189"/>
    </row>
    <row r="61191" spans="3:13" ht="12.75" customHeight="1" x14ac:dyDescent="0.2">
      <c r="C61191"/>
      <c r="M61191"/>
    </row>
    <row r="61199" spans="3:13" ht="12.75" customHeight="1" x14ac:dyDescent="0.2">
      <c r="C61199"/>
      <c r="M61199"/>
    </row>
    <row r="61200" spans="3:13" ht="12.75" customHeight="1" x14ac:dyDescent="0.2">
      <c r="C61200"/>
      <c r="M61200"/>
    </row>
    <row r="61202" spans="3:13" ht="12.75" customHeight="1" x14ac:dyDescent="0.2">
      <c r="C61202"/>
      <c r="M61202"/>
    </row>
    <row r="61203" spans="3:13" ht="12.75" customHeight="1" x14ac:dyDescent="0.2">
      <c r="C61203"/>
      <c r="M61203"/>
    </row>
    <row r="61204" spans="3:13" ht="12.75" customHeight="1" x14ac:dyDescent="0.2">
      <c r="C61204"/>
      <c r="M61204"/>
    </row>
    <row r="61205" spans="3:13" ht="12.75" customHeight="1" x14ac:dyDescent="0.2">
      <c r="C61205"/>
      <c r="M61205"/>
    </row>
    <row r="61207" spans="3:13" ht="12.75" customHeight="1" x14ac:dyDescent="0.2">
      <c r="C61207"/>
      <c r="M61207"/>
    </row>
    <row r="61215" spans="3:13" ht="12.75" customHeight="1" x14ac:dyDescent="0.2">
      <c r="C61215"/>
      <c r="M61215"/>
    </row>
    <row r="61216" spans="3:13" ht="12.75" customHeight="1" x14ac:dyDescent="0.2">
      <c r="C61216"/>
      <c r="M61216"/>
    </row>
    <row r="61217" spans="3:13" ht="12.75" customHeight="1" x14ac:dyDescent="0.2">
      <c r="C61217"/>
      <c r="M61217"/>
    </row>
    <row r="61218" spans="3:13" ht="12.75" customHeight="1" x14ac:dyDescent="0.2">
      <c r="C61218"/>
      <c r="M61218"/>
    </row>
    <row r="61219" spans="3:13" ht="12.75" customHeight="1" x14ac:dyDescent="0.2">
      <c r="C61219"/>
      <c r="M61219"/>
    </row>
    <row r="61220" spans="3:13" ht="12.75" customHeight="1" x14ac:dyDescent="0.2">
      <c r="C61220"/>
      <c r="M61220"/>
    </row>
    <row r="61221" spans="3:13" ht="12.75" customHeight="1" x14ac:dyDescent="0.2">
      <c r="C61221"/>
      <c r="M61221"/>
    </row>
    <row r="61223" spans="3:13" ht="12.75" customHeight="1" x14ac:dyDescent="0.2">
      <c r="C61223"/>
      <c r="M61223"/>
    </row>
    <row r="61231" spans="3:13" ht="12.75" customHeight="1" x14ac:dyDescent="0.2">
      <c r="C61231"/>
      <c r="M61231"/>
    </row>
    <row r="61232" spans="3:13" ht="12.75" customHeight="1" x14ac:dyDescent="0.2">
      <c r="C61232"/>
      <c r="M61232"/>
    </row>
    <row r="61233" spans="3:13" ht="12.75" customHeight="1" x14ac:dyDescent="0.2">
      <c r="C61233"/>
      <c r="M61233"/>
    </row>
    <row r="61234" spans="3:13" ht="12.75" customHeight="1" x14ac:dyDescent="0.2">
      <c r="C61234"/>
      <c r="M61234"/>
    </row>
    <row r="61235" spans="3:13" ht="12.75" customHeight="1" x14ac:dyDescent="0.2">
      <c r="C61235"/>
      <c r="M61235"/>
    </row>
    <row r="61236" spans="3:13" ht="12.75" customHeight="1" x14ac:dyDescent="0.2">
      <c r="C61236"/>
      <c r="M61236"/>
    </row>
    <row r="61237" spans="3:13" ht="12.75" customHeight="1" x14ac:dyDescent="0.2">
      <c r="C61237"/>
      <c r="M61237"/>
    </row>
    <row r="61239" spans="3:13" ht="12.75" customHeight="1" x14ac:dyDescent="0.2">
      <c r="C61239"/>
      <c r="M61239"/>
    </row>
    <row r="61245" spans="3:13" ht="12.75" customHeight="1" x14ac:dyDescent="0.2">
      <c r="C61245"/>
      <c r="M61245"/>
    </row>
    <row r="61246" spans="3:13" ht="12.75" customHeight="1" x14ac:dyDescent="0.2">
      <c r="C61246"/>
      <c r="M61246"/>
    </row>
    <row r="61247" spans="3:13" ht="12.75" customHeight="1" x14ac:dyDescent="0.2">
      <c r="C61247"/>
      <c r="M61247"/>
    </row>
    <row r="61248" spans="3:13" ht="12.75" customHeight="1" x14ac:dyDescent="0.2">
      <c r="C61248"/>
      <c r="M61248"/>
    </row>
    <row r="61249" spans="3:13" ht="12.75" customHeight="1" x14ac:dyDescent="0.2">
      <c r="C61249"/>
      <c r="M61249"/>
    </row>
    <row r="61250" spans="3:13" ht="12.75" customHeight="1" x14ac:dyDescent="0.2">
      <c r="C61250"/>
      <c r="M61250"/>
    </row>
    <row r="61251" spans="3:13" ht="12.75" customHeight="1" x14ac:dyDescent="0.2">
      <c r="C61251"/>
      <c r="M61251"/>
    </row>
    <row r="61252" spans="3:13" ht="12.75" customHeight="1" x14ac:dyDescent="0.2">
      <c r="C61252"/>
      <c r="M61252"/>
    </row>
    <row r="61253" spans="3:13" ht="12.75" customHeight="1" x14ac:dyDescent="0.2">
      <c r="C61253"/>
      <c r="M61253"/>
    </row>
    <row r="61254" spans="3:13" ht="12.75" customHeight="1" x14ac:dyDescent="0.2">
      <c r="C61254"/>
      <c r="M61254"/>
    </row>
    <row r="61255" spans="3:13" ht="12.75" customHeight="1" x14ac:dyDescent="0.2">
      <c r="C61255"/>
      <c r="M61255"/>
    </row>
    <row r="61256" spans="3:13" ht="12.75" customHeight="1" x14ac:dyDescent="0.2">
      <c r="C61256"/>
      <c r="M61256"/>
    </row>
    <row r="61261" spans="3:13" ht="12.75" customHeight="1" x14ac:dyDescent="0.2">
      <c r="C61261"/>
      <c r="M61261"/>
    </row>
    <row r="61262" spans="3:13" ht="12.75" customHeight="1" x14ac:dyDescent="0.2">
      <c r="C61262"/>
      <c r="M61262"/>
    </row>
    <row r="61263" spans="3:13" ht="12.75" customHeight="1" x14ac:dyDescent="0.2">
      <c r="C61263"/>
      <c r="M61263"/>
    </row>
    <row r="61264" spans="3:13" ht="12.75" customHeight="1" x14ac:dyDescent="0.2">
      <c r="C61264"/>
      <c r="M61264"/>
    </row>
    <row r="61265" spans="3:13" ht="12.75" customHeight="1" x14ac:dyDescent="0.2">
      <c r="C61265"/>
      <c r="M61265"/>
    </row>
    <row r="61266" spans="3:13" ht="12.75" customHeight="1" x14ac:dyDescent="0.2">
      <c r="C61266"/>
      <c r="M61266"/>
    </row>
    <row r="61267" spans="3:13" ht="12.75" customHeight="1" x14ac:dyDescent="0.2">
      <c r="C61267"/>
      <c r="M61267"/>
    </row>
    <row r="61268" spans="3:13" ht="12.75" customHeight="1" x14ac:dyDescent="0.2">
      <c r="C61268"/>
      <c r="M61268"/>
    </row>
    <row r="61269" spans="3:13" ht="12.75" customHeight="1" x14ac:dyDescent="0.2">
      <c r="C61269"/>
      <c r="M61269"/>
    </row>
    <row r="61270" spans="3:13" ht="12.75" customHeight="1" x14ac:dyDescent="0.2">
      <c r="C61270"/>
      <c r="M61270"/>
    </row>
    <row r="61271" spans="3:13" ht="12.75" customHeight="1" x14ac:dyDescent="0.2">
      <c r="C61271"/>
      <c r="M61271"/>
    </row>
    <row r="61272" spans="3:13" ht="12.75" customHeight="1" x14ac:dyDescent="0.2">
      <c r="C61272"/>
      <c r="M61272"/>
    </row>
    <row r="61277" spans="3:13" ht="12.75" customHeight="1" x14ac:dyDescent="0.2">
      <c r="C61277"/>
      <c r="M61277"/>
    </row>
    <row r="61278" spans="3:13" ht="12.75" customHeight="1" x14ac:dyDescent="0.2">
      <c r="C61278"/>
      <c r="M61278"/>
    </row>
    <row r="61279" spans="3:13" ht="12.75" customHeight="1" x14ac:dyDescent="0.2">
      <c r="C61279"/>
      <c r="M61279"/>
    </row>
    <row r="61280" spans="3:13" ht="12.75" customHeight="1" x14ac:dyDescent="0.2">
      <c r="C61280"/>
      <c r="M61280"/>
    </row>
    <row r="61281" spans="3:13" ht="12.75" customHeight="1" x14ac:dyDescent="0.2">
      <c r="C61281"/>
      <c r="M61281"/>
    </row>
    <row r="61282" spans="3:13" ht="12.75" customHeight="1" x14ac:dyDescent="0.2">
      <c r="C61282"/>
      <c r="M61282"/>
    </row>
    <row r="61283" spans="3:13" ht="12.75" customHeight="1" x14ac:dyDescent="0.2">
      <c r="C61283"/>
      <c r="M61283"/>
    </row>
    <row r="61284" spans="3:13" ht="12.75" customHeight="1" x14ac:dyDescent="0.2">
      <c r="C61284"/>
      <c r="M61284"/>
    </row>
    <row r="61285" spans="3:13" ht="12.75" customHeight="1" x14ac:dyDescent="0.2">
      <c r="C61285"/>
      <c r="M61285"/>
    </row>
    <row r="61286" spans="3:13" ht="12.75" customHeight="1" x14ac:dyDescent="0.2">
      <c r="C61286"/>
      <c r="M61286"/>
    </row>
    <row r="61287" spans="3:13" ht="12.75" customHeight="1" x14ac:dyDescent="0.2">
      <c r="C61287"/>
      <c r="M61287"/>
    </row>
    <row r="61288" spans="3:13" ht="12.75" customHeight="1" x14ac:dyDescent="0.2">
      <c r="C61288"/>
      <c r="M61288"/>
    </row>
    <row r="61293" spans="3:13" ht="12.75" customHeight="1" x14ac:dyDescent="0.2">
      <c r="C61293"/>
      <c r="M61293"/>
    </row>
    <row r="61294" spans="3:13" ht="12.75" customHeight="1" x14ac:dyDescent="0.2">
      <c r="C61294"/>
      <c r="M61294"/>
    </row>
    <row r="61295" spans="3:13" ht="12.75" customHeight="1" x14ac:dyDescent="0.2">
      <c r="C61295"/>
      <c r="M61295"/>
    </row>
    <row r="61296" spans="3:13" ht="12.75" customHeight="1" x14ac:dyDescent="0.2">
      <c r="C61296"/>
      <c r="M61296"/>
    </row>
    <row r="61297" spans="3:13" ht="12.75" customHeight="1" x14ac:dyDescent="0.2">
      <c r="C61297"/>
      <c r="M61297"/>
    </row>
    <row r="61298" spans="3:13" ht="12.75" customHeight="1" x14ac:dyDescent="0.2">
      <c r="C61298"/>
      <c r="M61298"/>
    </row>
    <row r="61299" spans="3:13" ht="12.75" customHeight="1" x14ac:dyDescent="0.2">
      <c r="C61299"/>
      <c r="M61299"/>
    </row>
    <row r="61300" spans="3:13" ht="12.75" customHeight="1" x14ac:dyDescent="0.2">
      <c r="C61300"/>
      <c r="M61300"/>
    </row>
    <row r="61301" spans="3:13" ht="12.75" customHeight="1" x14ac:dyDescent="0.2">
      <c r="C61301"/>
      <c r="M61301"/>
    </row>
    <row r="61302" spans="3:13" ht="12.75" customHeight="1" x14ac:dyDescent="0.2">
      <c r="C61302"/>
      <c r="M61302"/>
    </row>
    <row r="61303" spans="3:13" ht="12.75" customHeight="1" x14ac:dyDescent="0.2">
      <c r="C61303"/>
      <c r="M61303"/>
    </row>
    <row r="61304" spans="3:13" ht="12.75" customHeight="1" x14ac:dyDescent="0.2">
      <c r="C61304"/>
      <c r="M61304"/>
    </row>
    <row r="61308" spans="3:13" ht="12.75" customHeight="1" x14ac:dyDescent="0.2">
      <c r="C61308"/>
      <c r="M61308"/>
    </row>
    <row r="61309" spans="3:13" ht="12.75" customHeight="1" x14ac:dyDescent="0.2">
      <c r="C61309"/>
      <c r="M61309"/>
    </row>
    <row r="61310" spans="3:13" ht="12.75" customHeight="1" x14ac:dyDescent="0.2">
      <c r="C61310"/>
      <c r="M61310"/>
    </row>
    <row r="61311" spans="3:13" ht="12.75" customHeight="1" x14ac:dyDescent="0.2">
      <c r="C61311"/>
      <c r="M61311"/>
    </row>
    <row r="61312" spans="3:13" ht="12.75" customHeight="1" x14ac:dyDescent="0.2">
      <c r="C61312"/>
      <c r="M61312"/>
    </row>
    <row r="61313" spans="3:13" ht="12.75" customHeight="1" x14ac:dyDescent="0.2">
      <c r="C61313"/>
      <c r="M61313"/>
    </row>
    <row r="61314" spans="3:13" ht="12.75" customHeight="1" x14ac:dyDescent="0.2">
      <c r="C61314"/>
      <c r="M61314"/>
    </row>
    <row r="61315" spans="3:13" ht="12.75" customHeight="1" x14ac:dyDescent="0.2">
      <c r="C61315"/>
      <c r="M61315"/>
    </row>
    <row r="61316" spans="3:13" ht="12.75" customHeight="1" x14ac:dyDescent="0.2">
      <c r="C61316"/>
      <c r="M61316"/>
    </row>
    <row r="61317" spans="3:13" ht="12.75" customHeight="1" x14ac:dyDescent="0.2">
      <c r="C61317"/>
      <c r="M61317"/>
    </row>
    <row r="61318" spans="3:13" ht="12.75" customHeight="1" x14ac:dyDescent="0.2">
      <c r="C61318"/>
      <c r="M61318"/>
    </row>
    <row r="61319" spans="3:13" ht="12.75" customHeight="1" x14ac:dyDescent="0.2">
      <c r="C61319"/>
      <c r="M61319"/>
    </row>
    <row r="61320" spans="3:13" ht="12.75" customHeight="1" x14ac:dyDescent="0.2">
      <c r="C61320"/>
      <c r="M61320"/>
    </row>
    <row r="61324" spans="3:13" ht="12.75" customHeight="1" x14ac:dyDescent="0.2">
      <c r="C61324"/>
      <c r="M61324"/>
    </row>
    <row r="61325" spans="3:13" ht="12.75" customHeight="1" x14ac:dyDescent="0.2">
      <c r="C61325"/>
      <c r="M61325"/>
    </row>
    <row r="61326" spans="3:13" ht="12.75" customHeight="1" x14ac:dyDescent="0.2">
      <c r="C61326"/>
      <c r="M61326"/>
    </row>
    <row r="61327" spans="3:13" ht="12.75" customHeight="1" x14ac:dyDescent="0.2">
      <c r="C61327"/>
      <c r="M61327"/>
    </row>
    <row r="61328" spans="3:13" ht="12.75" customHeight="1" x14ac:dyDescent="0.2">
      <c r="C61328"/>
      <c r="M61328"/>
    </row>
    <row r="61329" spans="3:13" ht="12.75" customHeight="1" x14ac:dyDescent="0.2">
      <c r="C61329"/>
      <c r="M61329"/>
    </row>
    <row r="61330" spans="3:13" ht="12.75" customHeight="1" x14ac:dyDescent="0.2">
      <c r="C61330"/>
      <c r="M61330"/>
    </row>
    <row r="61331" spans="3:13" ht="12.75" customHeight="1" x14ac:dyDescent="0.2">
      <c r="C61331"/>
      <c r="M61331"/>
    </row>
    <row r="61332" spans="3:13" ht="12.75" customHeight="1" x14ac:dyDescent="0.2">
      <c r="C61332"/>
      <c r="M61332"/>
    </row>
    <row r="61333" spans="3:13" ht="12.75" customHeight="1" x14ac:dyDescent="0.2">
      <c r="C61333"/>
      <c r="M61333"/>
    </row>
    <row r="61334" spans="3:13" ht="12.75" customHeight="1" x14ac:dyDescent="0.2">
      <c r="C61334"/>
      <c r="M61334"/>
    </row>
    <row r="61335" spans="3:13" ht="12.75" customHeight="1" x14ac:dyDescent="0.2">
      <c r="C61335"/>
      <c r="M61335"/>
    </row>
    <row r="61336" spans="3:13" ht="12.75" customHeight="1" x14ac:dyDescent="0.2">
      <c r="C61336"/>
      <c r="M61336"/>
    </row>
    <row r="61340" spans="3:13" ht="12.75" customHeight="1" x14ac:dyDescent="0.2">
      <c r="C61340"/>
      <c r="M61340"/>
    </row>
    <row r="61341" spans="3:13" ht="12.75" customHeight="1" x14ac:dyDescent="0.2">
      <c r="C61341"/>
      <c r="M61341"/>
    </row>
    <row r="61342" spans="3:13" ht="12.75" customHeight="1" x14ac:dyDescent="0.2">
      <c r="C61342"/>
      <c r="M61342"/>
    </row>
    <row r="61343" spans="3:13" ht="12.75" customHeight="1" x14ac:dyDescent="0.2">
      <c r="C61343"/>
      <c r="M61343"/>
    </row>
    <row r="61344" spans="3:13" ht="12.75" customHeight="1" x14ac:dyDescent="0.2">
      <c r="C61344"/>
      <c r="M61344"/>
    </row>
    <row r="61345" spans="3:13" ht="12.75" customHeight="1" x14ac:dyDescent="0.2">
      <c r="C61345"/>
      <c r="M61345"/>
    </row>
    <row r="61346" spans="3:13" ht="12.75" customHeight="1" x14ac:dyDescent="0.2">
      <c r="C61346"/>
      <c r="M61346"/>
    </row>
    <row r="61347" spans="3:13" ht="12.75" customHeight="1" x14ac:dyDescent="0.2">
      <c r="C61347"/>
      <c r="M61347"/>
    </row>
    <row r="61348" spans="3:13" ht="12.75" customHeight="1" x14ac:dyDescent="0.2">
      <c r="C61348"/>
      <c r="M61348"/>
    </row>
    <row r="61349" spans="3:13" ht="12.75" customHeight="1" x14ac:dyDescent="0.2">
      <c r="C61349"/>
      <c r="M61349"/>
    </row>
    <row r="61350" spans="3:13" ht="12.75" customHeight="1" x14ac:dyDescent="0.2">
      <c r="C61350"/>
      <c r="M61350"/>
    </row>
    <row r="61351" spans="3:13" ht="12.75" customHeight="1" x14ac:dyDescent="0.2">
      <c r="C61351"/>
      <c r="M61351"/>
    </row>
    <row r="61352" spans="3:13" ht="12.75" customHeight="1" x14ac:dyDescent="0.2">
      <c r="C61352"/>
      <c r="M61352"/>
    </row>
    <row r="61356" spans="3:13" ht="12.75" customHeight="1" x14ac:dyDescent="0.2">
      <c r="C61356"/>
      <c r="M61356"/>
    </row>
    <row r="61357" spans="3:13" ht="12.75" customHeight="1" x14ac:dyDescent="0.2">
      <c r="C61357"/>
      <c r="M61357"/>
    </row>
    <row r="61358" spans="3:13" ht="12.75" customHeight="1" x14ac:dyDescent="0.2">
      <c r="C61358"/>
      <c r="M61358"/>
    </row>
    <row r="61359" spans="3:13" ht="12.75" customHeight="1" x14ac:dyDescent="0.2">
      <c r="C61359"/>
      <c r="M61359"/>
    </row>
    <row r="61360" spans="3:13" ht="12.75" customHeight="1" x14ac:dyDescent="0.2">
      <c r="C61360"/>
      <c r="M61360"/>
    </row>
    <row r="61361" spans="3:13" ht="12.75" customHeight="1" x14ac:dyDescent="0.2">
      <c r="C61361"/>
      <c r="M61361"/>
    </row>
    <row r="61362" spans="3:13" ht="12.75" customHeight="1" x14ac:dyDescent="0.2">
      <c r="C61362"/>
      <c r="M61362"/>
    </row>
    <row r="61363" spans="3:13" ht="12.75" customHeight="1" x14ac:dyDescent="0.2">
      <c r="C61363"/>
      <c r="M61363"/>
    </row>
    <row r="61364" spans="3:13" ht="12.75" customHeight="1" x14ac:dyDescent="0.2">
      <c r="C61364"/>
      <c r="M61364"/>
    </row>
    <row r="61365" spans="3:13" ht="12.75" customHeight="1" x14ac:dyDescent="0.2">
      <c r="C61365"/>
      <c r="M61365"/>
    </row>
    <row r="61366" spans="3:13" ht="12.75" customHeight="1" x14ac:dyDescent="0.2">
      <c r="C61366"/>
      <c r="M61366"/>
    </row>
    <row r="61367" spans="3:13" ht="12.75" customHeight="1" x14ac:dyDescent="0.2">
      <c r="C61367"/>
      <c r="M61367"/>
    </row>
    <row r="61368" spans="3:13" ht="12.75" customHeight="1" x14ac:dyDescent="0.2">
      <c r="C61368"/>
      <c r="M61368"/>
    </row>
    <row r="61372" spans="3:13" ht="12.75" customHeight="1" x14ac:dyDescent="0.2">
      <c r="C61372"/>
      <c r="M61372"/>
    </row>
    <row r="61373" spans="3:13" ht="12.75" customHeight="1" x14ac:dyDescent="0.2">
      <c r="C61373"/>
      <c r="M61373"/>
    </row>
    <row r="61374" spans="3:13" ht="12.75" customHeight="1" x14ac:dyDescent="0.2">
      <c r="C61374"/>
      <c r="M61374"/>
    </row>
    <row r="61375" spans="3:13" ht="12.75" customHeight="1" x14ac:dyDescent="0.2">
      <c r="C61375"/>
      <c r="M61375"/>
    </row>
    <row r="61376" spans="3:13" ht="12.75" customHeight="1" x14ac:dyDescent="0.2">
      <c r="C61376"/>
      <c r="M61376"/>
    </row>
    <row r="61377" spans="3:13" ht="12.75" customHeight="1" x14ac:dyDescent="0.2">
      <c r="C61377"/>
      <c r="M61377"/>
    </row>
    <row r="61378" spans="3:13" ht="12.75" customHeight="1" x14ac:dyDescent="0.2">
      <c r="C61378"/>
      <c r="M61378"/>
    </row>
    <row r="61379" spans="3:13" ht="12.75" customHeight="1" x14ac:dyDescent="0.2">
      <c r="C61379"/>
      <c r="M61379"/>
    </row>
    <row r="61380" spans="3:13" ht="12.75" customHeight="1" x14ac:dyDescent="0.2">
      <c r="C61380"/>
      <c r="M61380"/>
    </row>
    <row r="61381" spans="3:13" ht="12.75" customHeight="1" x14ac:dyDescent="0.2">
      <c r="C61381"/>
      <c r="M61381"/>
    </row>
    <row r="61382" spans="3:13" ht="12.75" customHeight="1" x14ac:dyDescent="0.2">
      <c r="C61382"/>
      <c r="M61382"/>
    </row>
    <row r="61383" spans="3:13" ht="12.75" customHeight="1" x14ac:dyDescent="0.2">
      <c r="C61383"/>
      <c r="M61383"/>
    </row>
    <row r="61384" spans="3:13" ht="12.75" customHeight="1" x14ac:dyDescent="0.2">
      <c r="C61384"/>
      <c r="M61384"/>
    </row>
    <row r="61388" spans="3:13" ht="12.75" customHeight="1" x14ac:dyDescent="0.2">
      <c r="C61388"/>
      <c r="M61388"/>
    </row>
    <row r="61389" spans="3:13" ht="12.75" customHeight="1" x14ac:dyDescent="0.2">
      <c r="C61389"/>
      <c r="M61389"/>
    </row>
    <row r="61390" spans="3:13" ht="12.75" customHeight="1" x14ac:dyDescent="0.2">
      <c r="C61390"/>
      <c r="M61390"/>
    </row>
    <row r="61391" spans="3:13" ht="12.75" customHeight="1" x14ac:dyDescent="0.2">
      <c r="C61391"/>
      <c r="M61391"/>
    </row>
    <row r="61392" spans="3:13" ht="12.75" customHeight="1" x14ac:dyDescent="0.2">
      <c r="C61392"/>
      <c r="M61392"/>
    </row>
    <row r="61393" spans="3:13" ht="12.75" customHeight="1" x14ac:dyDescent="0.2">
      <c r="C61393"/>
      <c r="M61393"/>
    </row>
    <row r="61394" spans="3:13" ht="12.75" customHeight="1" x14ac:dyDescent="0.2">
      <c r="C61394"/>
      <c r="M61394"/>
    </row>
    <row r="61395" spans="3:13" ht="12.75" customHeight="1" x14ac:dyDescent="0.2">
      <c r="C61395"/>
      <c r="M61395"/>
    </row>
    <row r="61396" spans="3:13" ht="12.75" customHeight="1" x14ac:dyDescent="0.2">
      <c r="C61396"/>
      <c r="M61396"/>
    </row>
    <row r="61397" spans="3:13" ht="12.75" customHeight="1" x14ac:dyDescent="0.2">
      <c r="C61397"/>
      <c r="M61397"/>
    </row>
    <row r="61398" spans="3:13" ht="12.75" customHeight="1" x14ac:dyDescent="0.2">
      <c r="C61398"/>
      <c r="M61398"/>
    </row>
    <row r="61399" spans="3:13" ht="12.75" customHeight="1" x14ac:dyDescent="0.2">
      <c r="C61399"/>
      <c r="M61399"/>
    </row>
    <row r="61400" spans="3:13" ht="12.75" customHeight="1" x14ac:dyDescent="0.2">
      <c r="C61400"/>
      <c r="M61400"/>
    </row>
    <row r="61404" spans="3:13" ht="12.75" customHeight="1" x14ac:dyDescent="0.2">
      <c r="C61404"/>
      <c r="M61404"/>
    </row>
    <row r="61405" spans="3:13" ht="12.75" customHeight="1" x14ac:dyDescent="0.2">
      <c r="C61405"/>
      <c r="M61405"/>
    </row>
    <row r="61406" spans="3:13" ht="12.75" customHeight="1" x14ac:dyDescent="0.2">
      <c r="C61406"/>
      <c r="M61406"/>
    </row>
    <row r="61407" spans="3:13" ht="12.75" customHeight="1" x14ac:dyDescent="0.2">
      <c r="C61407"/>
      <c r="M61407"/>
    </row>
    <row r="61408" spans="3:13" ht="12.75" customHeight="1" x14ac:dyDescent="0.2">
      <c r="C61408"/>
      <c r="M61408"/>
    </row>
    <row r="61409" spans="3:13" ht="12.75" customHeight="1" x14ac:dyDescent="0.2">
      <c r="C61409"/>
      <c r="M61409"/>
    </row>
    <row r="61410" spans="3:13" ht="12.75" customHeight="1" x14ac:dyDescent="0.2">
      <c r="C61410"/>
      <c r="M61410"/>
    </row>
    <row r="61411" spans="3:13" ht="12.75" customHeight="1" x14ac:dyDescent="0.2">
      <c r="C61411"/>
      <c r="M61411"/>
    </row>
    <row r="61412" spans="3:13" ht="12.75" customHeight="1" x14ac:dyDescent="0.2">
      <c r="C61412"/>
      <c r="M61412"/>
    </row>
    <row r="61413" spans="3:13" ht="12.75" customHeight="1" x14ac:dyDescent="0.2">
      <c r="C61413"/>
      <c r="M61413"/>
    </row>
    <row r="61414" spans="3:13" ht="12.75" customHeight="1" x14ac:dyDescent="0.2">
      <c r="C61414"/>
      <c r="M61414"/>
    </row>
    <row r="61415" spans="3:13" ht="12.75" customHeight="1" x14ac:dyDescent="0.2">
      <c r="C61415"/>
      <c r="M61415"/>
    </row>
    <row r="61416" spans="3:13" ht="12.75" customHeight="1" x14ac:dyDescent="0.2">
      <c r="C61416"/>
      <c r="M61416"/>
    </row>
    <row r="61420" spans="3:13" ht="12.75" customHeight="1" x14ac:dyDescent="0.2">
      <c r="C61420"/>
      <c r="M61420"/>
    </row>
    <row r="61421" spans="3:13" ht="12.75" customHeight="1" x14ac:dyDescent="0.2">
      <c r="C61421"/>
      <c r="M61421"/>
    </row>
    <row r="61422" spans="3:13" ht="12.75" customHeight="1" x14ac:dyDescent="0.2">
      <c r="C61422"/>
      <c r="M61422"/>
    </row>
    <row r="61423" spans="3:13" ht="12.75" customHeight="1" x14ac:dyDescent="0.2">
      <c r="C61423"/>
      <c r="M61423"/>
    </row>
    <row r="61424" spans="3:13" ht="12.75" customHeight="1" x14ac:dyDescent="0.2">
      <c r="C61424"/>
      <c r="M61424"/>
    </row>
    <row r="61425" spans="3:13" ht="12.75" customHeight="1" x14ac:dyDescent="0.2">
      <c r="C61425"/>
      <c r="M61425"/>
    </row>
    <row r="61426" spans="3:13" ht="12.75" customHeight="1" x14ac:dyDescent="0.2">
      <c r="C61426"/>
      <c r="M61426"/>
    </row>
    <row r="61427" spans="3:13" ht="12.75" customHeight="1" x14ac:dyDescent="0.2">
      <c r="C61427"/>
      <c r="M61427"/>
    </row>
    <row r="61428" spans="3:13" ht="12.75" customHeight="1" x14ac:dyDescent="0.2">
      <c r="C61428"/>
      <c r="M61428"/>
    </row>
    <row r="61429" spans="3:13" ht="12.75" customHeight="1" x14ac:dyDescent="0.2">
      <c r="C61429"/>
      <c r="M61429"/>
    </row>
    <row r="61430" spans="3:13" ht="12.75" customHeight="1" x14ac:dyDescent="0.2">
      <c r="C61430"/>
      <c r="M61430"/>
    </row>
    <row r="61431" spans="3:13" ht="12.75" customHeight="1" x14ac:dyDescent="0.2">
      <c r="C61431"/>
      <c r="M61431"/>
    </row>
    <row r="61432" spans="3:13" ht="12.75" customHeight="1" x14ac:dyDescent="0.2">
      <c r="C61432"/>
      <c r="M61432"/>
    </row>
    <row r="61433" spans="3:13" ht="12.75" customHeight="1" x14ac:dyDescent="0.2">
      <c r="C61433"/>
      <c r="M61433"/>
    </row>
    <row r="61436" spans="3:13" ht="12.75" customHeight="1" x14ac:dyDescent="0.2">
      <c r="C61436"/>
      <c r="M61436"/>
    </row>
    <row r="61437" spans="3:13" ht="12.75" customHeight="1" x14ac:dyDescent="0.2">
      <c r="C61437"/>
      <c r="M61437"/>
    </row>
    <row r="61438" spans="3:13" ht="12.75" customHeight="1" x14ac:dyDescent="0.2">
      <c r="C61438"/>
      <c r="M61438"/>
    </row>
    <row r="61439" spans="3:13" ht="12.75" customHeight="1" x14ac:dyDescent="0.2">
      <c r="C61439"/>
      <c r="M61439"/>
    </row>
    <row r="61440" spans="3:13" ht="12.75" customHeight="1" x14ac:dyDescent="0.2">
      <c r="C61440"/>
      <c r="M61440"/>
    </row>
    <row r="61441" spans="3:13" ht="12.75" customHeight="1" x14ac:dyDescent="0.2">
      <c r="C61441"/>
      <c r="M61441"/>
    </row>
    <row r="61442" spans="3:13" ht="12.75" customHeight="1" x14ac:dyDescent="0.2">
      <c r="C61442"/>
      <c r="M61442"/>
    </row>
    <row r="61443" spans="3:13" ht="12.75" customHeight="1" x14ac:dyDescent="0.2">
      <c r="C61443"/>
      <c r="M61443"/>
    </row>
    <row r="61444" spans="3:13" ht="12.75" customHeight="1" x14ac:dyDescent="0.2">
      <c r="C61444"/>
      <c r="M61444"/>
    </row>
    <row r="61445" spans="3:13" ht="12.75" customHeight="1" x14ac:dyDescent="0.2">
      <c r="C61445"/>
      <c r="M61445"/>
    </row>
    <row r="61446" spans="3:13" ht="12.75" customHeight="1" x14ac:dyDescent="0.2">
      <c r="C61446"/>
      <c r="M61446"/>
    </row>
    <row r="61447" spans="3:13" ht="12.75" customHeight="1" x14ac:dyDescent="0.2">
      <c r="C61447"/>
      <c r="M61447"/>
    </row>
    <row r="61448" spans="3:13" ht="12.75" customHeight="1" x14ac:dyDescent="0.2">
      <c r="C61448"/>
      <c r="M61448"/>
    </row>
    <row r="61449" spans="3:13" ht="12.75" customHeight="1" x14ac:dyDescent="0.2">
      <c r="C61449"/>
      <c r="M61449"/>
    </row>
    <row r="61452" spans="3:13" ht="12.75" customHeight="1" x14ac:dyDescent="0.2">
      <c r="C61452"/>
      <c r="M61452"/>
    </row>
    <row r="61453" spans="3:13" ht="12.75" customHeight="1" x14ac:dyDescent="0.2">
      <c r="C61453"/>
      <c r="M61453"/>
    </row>
    <row r="61454" spans="3:13" ht="12.75" customHeight="1" x14ac:dyDescent="0.2">
      <c r="C61454"/>
      <c r="M61454"/>
    </row>
    <row r="61455" spans="3:13" ht="12.75" customHeight="1" x14ac:dyDescent="0.2">
      <c r="C61455"/>
      <c r="M61455"/>
    </row>
    <row r="61456" spans="3:13" ht="12.75" customHeight="1" x14ac:dyDescent="0.2">
      <c r="C61456"/>
      <c r="M61456"/>
    </row>
    <row r="61457" spans="3:13" ht="12.75" customHeight="1" x14ac:dyDescent="0.2">
      <c r="C61457"/>
      <c r="M61457"/>
    </row>
    <row r="61458" spans="3:13" ht="12.75" customHeight="1" x14ac:dyDescent="0.2">
      <c r="C61458"/>
      <c r="M61458"/>
    </row>
    <row r="61459" spans="3:13" ht="12.75" customHeight="1" x14ac:dyDescent="0.2">
      <c r="C61459"/>
      <c r="M61459"/>
    </row>
    <row r="61460" spans="3:13" ht="12.75" customHeight="1" x14ac:dyDescent="0.2">
      <c r="C61460"/>
      <c r="M61460"/>
    </row>
    <row r="61461" spans="3:13" ht="12.75" customHeight="1" x14ac:dyDescent="0.2">
      <c r="C61461"/>
      <c r="M61461"/>
    </row>
    <row r="61462" spans="3:13" ht="12.75" customHeight="1" x14ac:dyDescent="0.2">
      <c r="C61462"/>
      <c r="M61462"/>
    </row>
    <row r="61463" spans="3:13" ht="12.75" customHeight="1" x14ac:dyDescent="0.2">
      <c r="C61463"/>
      <c r="M61463"/>
    </row>
    <row r="61464" spans="3:13" ht="12.75" customHeight="1" x14ac:dyDescent="0.2">
      <c r="C61464"/>
      <c r="M61464"/>
    </row>
    <row r="61465" spans="3:13" ht="12.75" customHeight="1" x14ac:dyDescent="0.2">
      <c r="C61465"/>
      <c r="M61465"/>
    </row>
    <row r="61466" spans="3:13" ht="12.75" customHeight="1" x14ac:dyDescent="0.2">
      <c r="C61466"/>
      <c r="M61466"/>
    </row>
    <row r="61468" spans="3:13" ht="12.75" customHeight="1" x14ac:dyDescent="0.2">
      <c r="C61468"/>
      <c r="M61468"/>
    </row>
    <row r="61469" spans="3:13" ht="12.75" customHeight="1" x14ac:dyDescent="0.2">
      <c r="C61469"/>
      <c r="M61469"/>
    </row>
    <row r="61470" spans="3:13" ht="12.75" customHeight="1" x14ac:dyDescent="0.2">
      <c r="C61470"/>
      <c r="M61470"/>
    </row>
    <row r="61471" spans="3:13" ht="12.75" customHeight="1" x14ac:dyDescent="0.2">
      <c r="C61471"/>
      <c r="M61471"/>
    </row>
    <row r="61472" spans="3:13" ht="12.75" customHeight="1" x14ac:dyDescent="0.2">
      <c r="C61472"/>
      <c r="M61472"/>
    </row>
    <row r="61473" spans="3:13" ht="12.75" customHeight="1" x14ac:dyDescent="0.2">
      <c r="C61473"/>
      <c r="M61473"/>
    </row>
    <row r="61474" spans="3:13" ht="12.75" customHeight="1" x14ac:dyDescent="0.2">
      <c r="C61474"/>
      <c r="M61474"/>
    </row>
    <row r="61475" spans="3:13" ht="12.75" customHeight="1" x14ac:dyDescent="0.2">
      <c r="C61475"/>
      <c r="M61475"/>
    </row>
    <row r="61476" spans="3:13" ht="12.75" customHeight="1" x14ac:dyDescent="0.2">
      <c r="C61476"/>
      <c r="M61476"/>
    </row>
    <row r="61477" spans="3:13" ht="12.75" customHeight="1" x14ac:dyDescent="0.2">
      <c r="C61477"/>
      <c r="M61477"/>
    </row>
    <row r="61478" spans="3:13" ht="12.75" customHeight="1" x14ac:dyDescent="0.2">
      <c r="C61478"/>
      <c r="M61478"/>
    </row>
    <row r="61479" spans="3:13" ht="12.75" customHeight="1" x14ac:dyDescent="0.2">
      <c r="C61479"/>
      <c r="M61479"/>
    </row>
    <row r="61480" spans="3:13" ht="12.75" customHeight="1" x14ac:dyDescent="0.2">
      <c r="C61480"/>
      <c r="M61480"/>
    </row>
    <row r="61481" spans="3:13" ht="12.75" customHeight="1" x14ac:dyDescent="0.2">
      <c r="C61481"/>
      <c r="M61481"/>
    </row>
    <row r="61482" spans="3:13" ht="12.75" customHeight="1" x14ac:dyDescent="0.2">
      <c r="C61482"/>
      <c r="M61482"/>
    </row>
    <row r="61483" spans="3:13" ht="12.75" customHeight="1" x14ac:dyDescent="0.2">
      <c r="C61483"/>
      <c r="M61483"/>
    </row>
    <row r="61484" spans="3:13" ht="12.75" customHeight="1" x14ac:dyDescent="0.2">
      <c r="C61484"/>
      <c r="M61484"/>
    </row>
    <row r="61485" spans="3:13" ht="12.75" customHeight="1" x14ac:dyDescent="0.2">
      <c r="C61485"/>
      <c r="M61485"/>
    </row>
    <row r="61486" spans="3:13" ht="12.75" customHeight="1" x14ac:dyDescent="0.2">
      <c r="C61486"/>
      <c r="M61486"/>
    </row>
    <row r="61487" spans="3:13" ht="12.75" customHeight="1" x14ac:dyDescent="0.2">
      <c r="C61487"/>
      <c r="M61487"/>
    </row>
    <row r="61488" spans="3:13" ht="12.75" customHeight="1" x14ac:dyDescent="0.2">
      <c r="C61488"/>
      <c r="M61488"/>
    </row>
    <row r="61489" spans="3:13" ht="12.75" customHeight="1" x14ac:dyDescent="0.2">
      <c r="C61489"/>
      <c r="M61489"/>
    </row>
    <row r="61490" spans="3:13" ht="12.75" customHeight="1" x14ac:dyDescent="0.2">
      <c r="C61490"/>
      <c r="M61490"/>
    </row>
    <row r="61491" spans="3:13" ht="12.75" customHeight="1" x14ac:dyDescent="0.2">
      <c r="C61491"/>
      <c r="M61491"/>
    </row>
    <row r="61492" spans="3:13" ht="12.75" customHeight="1" x14ac:dyDescent="0.2">
      <c r="C61492"/>
      <c r="M61492"/>
    </row>
    <row r="61493" spans="3:13" ht="12.75" customHeight="1" x14ac:dyDescent="0.2">
      <c r="C61493"/>
      <c r="M61493"/>
    </row>
    <row r="61494" spans="3:13" ht="12.75" customHeight="1" x14ac:dyDescent="0.2">
      <c r="C61494"/>
      <c r="M61494"/>
    </row>
    <row r="61495" spans="3:13" ht="12.75" customHeight="1" x14ac:dyDescent="0.2">
      <c r="C61495"/>
      <c r="M61495"/>
    </row>
    <row r="61496" spans="3:13" ht="12.75" customHeight="1" x14ac:dyDescent="0.2">
      <c r="C61496"/>
      <c r="M61496"/>
    </row>
    <row r="61497" spans="3:13" ht="12.75" customHeight="1" x14ac:dyDescent="0.2">
      <c r="C61497"/>
      <c r="M61497"/>
    </row>
    <row r="61498" spans="3:13" ht="12.75" customHeight="1" x14ac:dyDescent="0.2">
      <c r="C61498"/>
      <c r="M61498"/>
    </row>
    <row r="61499" spans="3:13" ht="12.75" customHeight="1" x14ac:dyDescent="0.2">
      <c r="C61499"/>
      <c r="M61499"/>
    </row>
    <row r="61500" spans="3:13" ht="12.75" customHeight="1" x14ac:dyDescent="0.2">
      <c r="C61500"/>
      <c r="M61500"/>
    </row>
    <row r="61501" spans="3:13" ht="12.75" customHeight="1" x14ac:dyDescent="0.2">
      <c r="C61501"/>
      <c r="M61501"/>
    </row>
    <row r="61502" spans="3:13" ht="12.75" customHeight="1" x14ac:dyDescent="0.2">
      <c r="C61502"/>
      <c r="M61502"/>
    </row>
    <row r="61503" spans="3:13" ht="12.75" customHeight="1" x14ac:dyDescent="0.2">
      <c r="C61503"/>
      <c r="M61503"/>
    </row>
    <row r="61504" spans="3:13" ht="12.75" customHeight="1" x14ac:dyDescent="0.2">
      <c r="C61504"/>
      <c r="M61504"/>
    </row>
    <row r="61505" spans="3:13" ht="12.75" customHeight="1" x14ac:dyDescent="0.2">
      <c r="C61505"/>
      <c r="M61505"/>
    </row>
    <row r="61506" spans="3:13" ht="12.75" customHeight="1" x14ac:dyDescent="0.2">
      <c r="C61506"/>
      <c r="M61506"/>
    </row>
    <row r="61507" spans="3:13" ht="12.75" customHeight="1" x14ac:dyDescent="0.2">
      <c r="C61507"/>
      <c r="M61507"/>
    </row>
    <row r="61508" spans="3:13" ht="12.75" customHeight="1" x14ac:dyDescent="0.2">
      <c r="C61508"/>
      <c r="M61508"/>
    </row>
    <row r="61509" spans="3:13" ht="12.75" customHeight="1" x14ac:dyDescent="0.2">
      <c r="C61509"/>
      <c r="M61509"/>
    </row>
    <row r="61510" spans="3:13" ht="12.75" customHeight="1" x14ac:dyDescent="0.2">
      <c r="C61510"/>
      <c r="M61510"/>
    </row>
    <row r="61511" spans="3:13" ht="12.75" customHeight="1" x14ac:dyDescent="0.2">
      <c r="C61511"/>
      <c r="M61511"/>
    </row>
    <row r="61512" spans="3:13" ht="12.75" customHeight="1" x14ac:dyDescent="0.2">
      <c r="C61512"/>
      <c r="M61512"/>
    </row>
    <row r="61513" spans="3:13" ht="12.75" customHeight="1" x14ac:dyDescent="0.2">
      <c r="C61513"/>
      <c r="M61513"/>
    </row>
    <row r="61514" spans="3:13" ht="12.75" customHeight="1" x14ac:dyDescent="0.2">
      <c r="C61514"/>
      <c r="M61514"/>
    </row>
    <row r="61515" spans="3:13" ht="12.75" customHeight="1" x14ac:dyDescent="0.2">
      <c r="C61515"/>
      <c r="M61515"/>
    </row>
    <row r="61516" spans="3:13" ht="12.75" customHeight="1" x14ac:dyDescent="0.2">
      <c r="C61516"/>
      <c r="M61516"/>
    </row>
    <row r="61517" spans="3:13" ht="12.75" customHeight="1" x14ac:dyDescent="0.2">
      <c r="C61517"/>
      <c r="M61517"/>
    </row>
    <row r="61518" spans="3:13" ht="12.75" customHeight="1" x14ac:dyDescent="0.2">
      <c r="C61518"/>
      <c r="M61518"/>
    </row>
    <row r="61519" spans="3:13" ht="12.75" customHeight="1" x14ac:dyDescent="0.2">
      <c r="C61519"/>
      <c r="M61519"/>
    </row>
    <row r="61520" spans="3:13" ht="12.75" customHeight="1" x14ac:dyDescent="0.2">
      <c r="C61520"/>
      <c r="M61520"/>
    </row>
    <row r="61521" spans="3:13" ht="12.75" customHeight="1" x14ac:dyDescent="0.2">
      <c r="C61521"/>
      <c r="M61521"/>
    </row>
    <row r="61522" spans="3:13" ht="12.75" customHeight="1" x14ac:dyDescent="0.2">
      <c r="C61522"/>
      <c r="M61522"/>
    </row>
    <row r="61523" spans="3:13" ht="12.75" customHeight="1" x14ac:dyDescent="0.2">
      <c r="C61523"/>
      <c r="M61523"/>
    </row>
    <row r="61524" spans="3:13" ht="12.75" customHeight="1" x14ac:dyDescent="0.2">
      <c r="C61524"/>
      <c r="M61524"/>
    </row>
    <row r="61525" spans="3:13" ht="12.75" customHeight="1" x14ac:dyDescent="0.2">
      <c r="C61525"/>
      <c r="M61525"/>
    </row>
    <row r="61526" spans="3:13" ht="12.75" customHeight="1" x14ac:dyDescent="0.2">
      <c r="C61526"/>
      <c r="M61526"/>
    </row>
    <row r="61527" spans="3:13" ht="12.75" customHeight="1" x14ac:dyDescent="0.2">
      <c r="C61527"/>
      <c r="M61527"/>
    </row>
    <row r="61528" spans="3:13" ht="12.75" customHeight="1" x14ac:dyDescent="0.2">
      <c r="C61528"/>
      <c r="M61528"/>
    </row>
    <row r="61529" spans="3:13" ht="12.75" customHeight="1" x14ac:dyDescent="0.2">
      <c r="C61529"/>
      <c r="M61529"/>
    </row>
    <row r="61530" spans="3:13" ht="12.75" customHeight="1" x14ac:dyDescent="0.2">
      <c r="C61530"/>
      <c r="M61530"/>
    </row>
    <row r="61531" spans="3:13" ht="12.75" customHeight="1" x14ac:dyDescent="0.2">
      <c r="C61531"/>
      <c r="M61531"/>
    </row>
    <row r="61532" spans="3:13" ht="12.75" customHeight="1" x14ac:dyDescent="0.2">
      <c r="C61532"/>
      <c r="M61532"/>
    </row>
    <row r="61533" spans="3:13" ht="12.75" customHeight="1" x14ac:dyDescent="0.2">
      <c r="C61533"/>
      <c r="M61533"/>
    </row>
    <row r="61534" spans="3:13" ht="12.75" customHeight="1" x14ac:dyDescent="0.2">
      <c r="C61534"/>
      <c r="M61534"/>
    </row>
    <row r="61535" spans="3:13" ht="12.75" customHeight="1" x14ac:dyDescent="0.2">
      <c r="C61535"/>
      <c r="M61535"/>
    </row>
    <row r="61536" spans="3:13" ht="12.75" customHeight="1" x14ac:dyDescent="0.2">
      <c r="C61536"/>
      <c r="M61536"/>
    </row>
    <row r="61537" spans="3:13" ht="12.75" customHeight="1" x14ac:dyDescent="0.2">
      <c r="C61537"/>
      <c r="M61537"/>
    </row>
    <row r="61538" spans="3:13" ht="12.75" customHeight="1" x14ac:dyDescent="0.2">
      <c r="C61538"/>
      <c r="M61538"/>
    </row>
    <row r="61539" spans="3:13" ht="12.75" customHeight="1" x14ac:dyDescent="0.2">
      <c r="C61539"/>
      <c r="M61539"/>
    </row>
    <row r="61540" spans="3:13" ht="12.75" customHeight="1" x14ac:dyDescent="0.2">
      <c r="C61540"/>
      <c r="M61540"/>
    </row>
    <row r="61541" spans="3:13" ht="12.75" customHeight="1" x14ac:dyDescent="0.2">
      <c r="C61541"/>
      <c r="M61541"/>
    </row>
    <row r="61542" spans="3:13" ht="12.75" customHeight="1" x14ac:dyDescent="0.2">
      <c r="C61542"/>
      <c r="M61542"/>
    </row>
    <row r="61543" spans="3:13" ht="12.75" customHeight="1" x14ac:dyDescent="0.2">
      <c r="C61543"/>
      <c r="M61543"/>
    </row>
    <row r="61544" spans="3:13" ht="12.75" customHeight="1" x14ac:dyDescent="0.2">
      <c r="C61544"/>
      <c r="M61544"/>
    </row>
    <row r="61545" spans="3:13" ht="12.75" customHeight="1" x14ac:dyDescent="0.2">
      <c r="C61545"/>
      <c r="M61545"/>
    </row>
    <row r="61546" spans="3:13" ht="12.75" customHeight="1" x14ac:dyDescent="0.2">
      <c r="C61546"/>
      <c r="M61546"/>
    </row>
    <row r="61547" spans="3:13" ht="12.75" customHeight="1" x14ac:dyDescent="0.2">
      <c r="C61547"/>
      <c r="M61547"/>
    </row>
    <row r="61548" spans="3:13" ht="12.75" customHeight="1" x14ac:dyDescent="0.2">
      <c r="C61548"/>
      <c r="M61548"/>
    </row>
    <row r="61549" spans="3:13" ht="12.75" customHeight="1" x14ac:dyDescent="0.2">
      <c r="C61549"/>
      <c r="M61549"/>
    </row>
    <row r="61550" spans="3:13" ht="12.75" customHeight="1" x14ac:dyDescent="0.2">
      <c r="C61550"/>
      <c r="M61550"/>
    </row>
    <row r="61551" spans="3:13" ht="12.75" customHeight="1" x14ac:dyDescent="0.2">
      <c r="C61551"/>
      <c r="M61551"/>
    </row>
    <row r="61552" spans="3:13" ht="12.75" customHeight="1" x14ac:dyDescent="0.2">
      <c r="C61552"/>
      <c r="M61552"/>
    </row>
    <row r="61553" spans="3:13" ht="12.75" customHeight="1" x14ac:dyDescent="0.2">
      <c r="C61553"/>
      <c r="M61553"/>
    </row>
    <row r="61554" spans="3:13" ht="12.75" customHeight="1" x14ac:dyDescent="0.2">
      <c r="C61554"/>
      <c r="M61554"/>
    </row>
    <row r="61555" spans="3:13" ht="12.75" customHeight="1" x14ac:dyDescent="0.2">
      <c r="C61555"/>
      <c r="M61555"/>
    </row>
    <row r="61556" spans="3:13" ht="12.75" customHeight="1" x14ac:dyDescent="0.2">
      <c r="C61556"/>
      <c r="M61556"/>
    </row>
    <row r="61557" spans="3:13" ht="12.75" customHeight="1" x14ac:dyDescent="0.2">
      <c r="C61557"/>
      <c r="M61557"/>
    </row>
    <row r="61558" spans="3:13" ht="12.75" customHeight="1" x14ac:dyDescent="0.2">
      <c r="C61558"/>
      <c r="M61558"/>
    </row>
    <row r="61559" spans="3:13" ht="12.75" customHeight="1" x14ac:dyDescent="0.2">
      <c r="C61559"/>
      <c r="M61559"/>
    </row>
    <row r="61560" spans="3:13" ht="12.75" customHeight="1" x14ac:dyDescent="0.2">
      <c r="C61560"/>
      <c r="M61560"/>
    </row>
    <row r="61561" spans="3:13" ht="12.75" customHeight="1" x14ac:dyDescent="0.2">
      <c r="C61561"/>
      <c r="M61561"/>
    </row>
    <row r="61562" spans="3:13" ht="12.75" customHeight="1" x14ac:dyDescent="0.2">
      <c r="C61562"/>
      <c r="M61562"/>
    </row>
    <row r="61563" spans="3:13" ht="12.75" customHeight="1" x14ac:dyDescent="0.2">
      <c r="C61563"/>
      <c r="M61563"/>
    </row>
    <row r="61564" spans="3:13" ht="12.75" customHeight="1" x14ac:dyDescent="0.2">
      <c r="C61564"/>
      <c r="M61564"/>
    </row>
    <row r="61565" spans="3:13" ht="12.75" customHeight="1" x14ac:dyDescent="0.2">
      <c r="C61565"/>
      <c r="M61565"/>
    </row>
    <row r="61566" spans="3:13" ht="12.75" customHeight="1" x14ac:dyDescent="0.2">
      <c r="C61566"/>
      <c r="M61566"/>
    </row>
    <row r="61567" spans="3:13" ht="12.75" customHeight="1" x14ac:dyDescent="0.2">
      <c r="C61567"/>
      <c r="M61567"/>
    </row>
    <row r="61568" spans="3:13" ht="12.75" customHeight="1" x14ac:dyDescent="0.2">
      <c r="C61568"/>
      <c r="M61568"/>
    </row>
    <row r="61569" spans="3:13" ht="12.75" customHeight="1" x14ac:dyDescent="0.2">
      <c r="C61569"/>
      <c r="M61569"/>
    </row>
    <row r="61570" spans="3:13" ht="12.75" customHeight="1" x14ac:dyDescent="0.2">
      <c r="C61570"/>
      <c r="M61570"/>
    </row>
    <row r="61571" spans="3:13" ht="12.75" customHeight="1" x14ac:dyDescent="0.2">
      <c r="C61571"/>
      <c r="M61571"/>
    </row>
    <row r="61572" spans="3:13" ht="12.75" customHeight="1" x14ac:dyDescent="0.2">
      <c r="C61572"/>
      <c r="M61572"/>
    </row>
    <row r="61573" spans="3:13" ht="12.75" customHeight="1" x14ac:dyDescent="0.2">
      <c r="C61573"/>
      <c r="M61573"/>
    </row>
    <row r="61574" spans="3:13" ht="12.75" customHeight="1" x14ac:dyDescent="0.2">
      <c r="C61574"/>
      <c r="M61574"/>
    </row>
    <row r="61575" spans="3:13" ht="12.75" customHeight="1" x14ac:dyDescent="0.2">
      <c r="C61575"/>
      <c r="M61575"/>
    </row>
    <row r="61576" spans="3:13" ht="12.75" customHeight="1" x14ac:dyDescent="0.2">
      <c r="C61576"/>
      <c r="M61576"/>
    </row>
    <row r="61577" spans="3:13" ht="12.75" customHeight="1" x14ac:dyDescent="0.2">
      <c r="C61577"/>
      <c r="M61577"/>
    </row>
    <row r="61578" spans="3:13" ht="12.75" customHeight="1" x14ac:dyDescent="0.2">
      <c r="C61578"/>
      <c r="M61578"/>
    </row>
    <row r="61579" spans="3:13" ht="12.75" customHeight="1" x14ac:dyDescent="0.2">
      <c r="C61579"/>
      <c r="M61579"/>
    </row>
    <row r="61580" spans="3:13" ht="12.75" customHeight="1" x14ac:dyDescent="0.2">
      <c r="C61580"/>
      <c r="M61580"/>
    </row>
    <row r="61581" spans="3:13" ht="12.75" customHeight="1" x14ac:dyDescent="0.2">
      <c r="C61581"/>
      <c r="M61581"/>
    </row>
    <row r="61582" spans="3:13" ht="12.75" customHeight="1" x14ac:dyDescent="0.2">
      <c r="C61582"/>
      <c r="M61582"/>
    </row>
    <row r="61583" spans="3:13" ht="12.75" customHeight="1" x14ac:dyDescent="0.2">
      <c r="C61583"/>
      <c r="M61583"/>
    </row>
    <row r="61584" spans="3:13" ht="12.75" customHeight="1" x14ac:dyDescent="0.2">
      <c r="C61584"/>
      <c r="M61584"/>
    </row>
    <row r="61585" spans="3:13" ht="12.75" customHeight="1" x14ac:dyDescent="0.2">
      <c r="C61585"/>
      <c r="M61585"/>
    </row>
    <row r="61586" spans="3:13" ht="12.75" customHeight="1" x14ac:dyDescent="0.2">
      <c r="C61586"/>
      <c r="M61586"/>
    </row>
    <row r="61587" spans="3:13" ht="12.75" customHeight="1" x14ac:dyDescent="0.2">
      <c r="C61587"/>
      <c r="M61587"/>
    </row>
    <row r="61588" spans="3:13" ht="12.75" customHeight="1" x14ac:dyDescent="0.2">
      <c r="C61588"/>
      <c r="M61588"/>
    </row>
    <row r="61589" spans="3:13" ht="12.75" customHeight="1" x14ac:dyDescent="0.2">
      <c r="C61589"/>
      <c r="M61589"/>
    </row>
    <row r="61590" spans="3:13" ht="12.75" customHeight="1" x14ac:dyDescent="0.2">
      <c r="C61590"/>
      <c r="M61590"/>
    </row>
    <row r="61591" spans="3:13" ht="12.75" customHeight="1" x14ac:dyDescent="0.2">
      <c r="C61591"/>
      <c r="M61591"/>
    </row>
    <row r="61592" spans="3:13" ht="12.75" customHeight="1" x14ac:dyDescent="0.2">
      <c r="C61592"/>
      <c r="M61592"/>
    </row>
    <row r="61593" spans="3:13" ht="12.75" customHeight="1" x14ac:dyDescent="0.2">
      <c r="C61593"/>
      <c r="M61593"/>
    </row>
    <row r="61594" spans="3:13" ht="12.75" customHeight="1" x14ac:dyDescent="0.2">
      <c r="C61594"/>
      <c r="M61594"/>
    </row>
    <row r="61595" spans="3:13" ht="12.75" customHeight="1" x14ac:dyDescent="0.2">
      <c r="C61595"/>
      <c r="M61595"/>
    </row>
    <row r="61596" spans="3:13" ht="12.75" customHeight="1" x14ac:dyDescent="0.2">
      <c r="C61596"/>
      <c r="M61596"/>
    </row>
    <row r="61597" spans="3:13" ht="12.75" customHeight="1" x14ac:dyDescent="0.2">
      <c r="C61597"/>
      <c r="M61597"/>
    </row>
    <row r="61598" spans="3:13" ht="12.75" customHeight="1" x14ac:dyDescent="0.2">
      <c r="C61598"/>
      <c r="M61598"/>
    </row>
    <row r="61599" spans="3:13" ht="12.75" customHeight="1" x14ac:dyDescent="0.2">
      <c r="C61599"/>
      <c r="M61599"/>
    </row>
    <row r="61600" spans="3:13" ht="12.75" customHeight="1" x14ac:dyDescent="0.2">
      <c r="C61600"/>
      <c r="M61600"/>
    </row>
    <row r="61601" spans="3:13" ht="12.75" customHeight="1" x14ac:dyDescent="0.2">
      <c r="C61601"/>
      <c r="M61601"/>
    </row>
    <row r="61602" spans="3:13" ht="12.75" customHeight="1" x14ac:dyDescent="0.2">
      <c r="C61602"/>
      <c r="M61602"/>
    </row>
    <row r="61603" spans="3:13" ht="12.75" customHeight="1" x14ac:dyDescent="0.2">
      <c r="C61603"/>
      <c r="M61603"/>
    </row>
    <row r="61604" spans="3:13" ht="12.75" customHeight="1" x14ac:dyDescent="0.2">
      <c r="C61604"/>
      <c r="M61604"/>
    </row>
    <row r="61605" spans="3:13" ht="12.75" customHeight="1" x14ac:dyDescent="0.2">
      <c r="C61605"/>
      <c r="M61605"/>
    </row>
    <row r="61606" spans="3:13" ht="12.75" customHeight="1" x14ac:dyDescent="0.2">
      <c r="C61606"/>
      <c r="M61606"/>
    </row>
    <row r="61607" spans="3:13" ht="12.75" customHeight="1" x14ac:dyDescent="0.2">
      <c r="C61607"/>
      <c r="M61607"/>
    </row>
    <row r="61608" spans="3:13" ht="12.75" customHeight="1" x14ac:dyDescent="0.2">
      <c r="C61608"/>
      <c r="M61608"/>
    </row>
    <row r="61609" spans="3:13" ht="12.75" customHeight="1" x14ac:dyDescent="0.2">
      <c r="C61609"/>
      <c r="M61609"/>
    </row>
    <row r="61610" spans="3:13" ht="12.75" customHeight="1" x14ac:dyDescent="0.2">
      <c r="C61610"/>
      <c r="M61610"/>
    </row>
    <row r="61611" spans="3:13" ht="12.75" customHeight="1" x14ac:dyDescent="0.2">
      <c r="C61611"/>
      <c r="M61611"/>
    </row>
    <row r="61612" spans="3:13" ht="12.75" customHeight="1" x14ac:dyDescent="0.2">
      <c r="C61612"/>
      <c r="M61612"/>
    </row>
    <row r="61613" spans="3:13" ht="12.75" customHeight="1" x14ac:dyDescent="0.2">
      <c r="C61613"/>
      <c r="M61613"/>
    </row>
    <row r="61614" spans="3:13" ht="12.75" customHeight="1" x14ac:dyDescent="0.2">
      <c r="C61614"/>
      <c r="M61614"/>
    </row>
    <row r="61615" spans="3:13" ht="12.75" customHeight="1" x14ac:dyDescent="0.2">
      <c r="C61615"/>
      <c r="M61615"/>
    </row>
    <row r="61616" spans="3:13" ht="12.75" customHeight="1" x14ac:dyDescent="0.2">
      <c r="C61616"/>
      <c r="M61616"/>
    </row>
    <row r="61617" spans="3:13" ht="12.75" customHeight="1" x14ac:dyDescent="0.2">
      <c r="C61617"/>
      <c r="M61617"/>
    </row>
    <row r="61618" spans="3:13" ht="12.75" customHeight="1" x14ac:dyDescent="0.2">
      <c r="C61618"/>
      <c r="M61618"/>
    </row>
    <row r="61619" spans="3:13" ht="12.75" customHeight="1" x14ac:dyDescent="0.2">
      <c r="C61619"/>
      <c r="M61619"/>
    </row>
    <row r="61620" spans="3:13" ht="12.75" customHeight="1" x14ac:dyDescent="0.2">
      <c r="C61620"/>
      <c r="M61620"/>
    </row>
    <row r="61621" spans="3:13" ht="12.75" customHeight="1" x14ac:dyDescent="0.2">
      <c r="C61621"/>
      <c r="M61621"/>
    </row>
    <row r="61622" spans="3:13" ht="12.75" customHeight="1" x14ac:dyDescent="0.2">
      <c r="C61622"/>
      <c r="M61622"/>
    </row>
    <row r="61623" spans="3:13" ht="12.75" customHeight="1" x14ac:dyDescent="0.2">
      <c r="C61623"/>
      <c r="M61623"/>
    </row>
    <row r="61624" spans="3:13" ht="12.75" customHeight="1" x14ac:dyDescent="0.2">
      <c r="C61624"/>
      <c r="M61624"/>
    </row>
    <row r="61625" spans="3:13" ht="12.75" customHeight="1" x14ac:dyDescent="0.2">
      <c r="C61625"/>
      <c r="M61625"/>
    </row>
    <row r="61626" spans="3:13" ht="12.75" customHeight="1" x14ac:dyDescent="0.2">
      <c r="C61626"/>
      <c r="M61626"/>
    </row>
    <row r="61627" spans="3:13" ht="12.75" customHeight="1" x14ac:dyDescent="0.2">
      <c r="C61627"/>
      <c r="M61627"/>
    </row>
    <row r="61628" spans="3:13" ht="12.75" customHeight="1" x14ac:dyDescent="0.2">
      <c r="C61628"/>
      <c r="M61628"/>
    </row>
    <row r="61629" spans="3:13" ht="12.75" customHeight="1" x14ac:dyDescent="0.2">
      <c r="C61629"/>
      <c r="M61629"/>
    </row>
    <row r="61630" spans="3:13" ht="12.75" customHeight="1" x14ac:dyDescent="0.2">
      <c r="C61630"/>
      <c r="M61630"/>
    </row>
    <row r="61631" spans="3:13" ht="12.75" customHeight="1" x14ac:dyDescent="0.2">
      <c r="C61631"/>
      <c r="M61631"/>
    </row>
    <row r="61632" spans="3:13" ht="12.75" customHeight="1" x14ac:dyDescent="0.2">
      <c r="C61632"/>
      <c r="M61632"/>
    </row>
    <row r="61633" spans="3:13" ht="12.75" customHeight="1" x14ac:dyDescent="0.2">
      <c r="C61633"/>
      <c r="M61633"/>
    </row>
    <row r="61634" spans="3:13" ht="12.75" customHeight="1" x14ac:dyDescent="0.2">
      <c r="C61634"/>
      <c r="M61634"/>
    </row>
    <row r="61635" spans="3:13" ht="12.75" customHeight="1" x14ac:dyDescent="0.2">
      <c r="C61635"/>
      <c r="M61635"/>
    </row>
    <row r="61636" spans="3:13" ht="12.75" customHeight="1" x14ac:dyDescent="0.2">
      <c r="C61636"/>
      <c r="M61636"/>
    </row>
    <row r="61637" spans="3:13" ht="12.75" customHeight="1" x14ac:dyDescent="0.2">
      <c r="C61637"/>
      <c r="M61637"/>
    </row>
    <row r="61638" spans="3:13" ht="12.75" customHeight="1" x14ac:dyDescent="0.2">
      <c r="C61638"/>
      <c r="M61638"/>
    </row>
    <row r="61639" spans="3:13" ht="12.75" customHeight="1" x14ac:dyDescent="0.2">
      <c r="C61639"/>
      <c r="M61639"/>
    </row>
    <row r="61640" spans="3:13" ht="12.75" customHeight="1" x14ac:dyDescent="0.2">
      <c r="C61640"/>
      <c r="M61640"/>
    </row>
    <row r="61641" spans="3:13" ht="12.75" customHeight="1" x14ac:dyDescent="0.2">
      <c r="C61641"/>
      <c r="M61641"/>
    </row>
    <row r="61642" spans="3:13" ht="12.75" customHeight="1" x14ac:dyDescent="0.2">
      <c r="C61642"/>
      <c r="M61642"/>
    </row>
    <row r="61643" spans="3:13" ht="12.75" customHeight="1" x14ac:dyDescent="0.2">
      <c r="C61643"/>
      <c r="M61643"/>
    </row>
    <row r="61644" spans="3:13" ht="12.75" customHeight="1" x14ac:dyDescent="0.2">
      <c r="C61644"/>
      <c r="M61644"/>
    </row>
    <row r="61645" spans="3:13" ht="12.75" customHeight="1" x14ac:dyDescent="0.2">
      <c r="C61645"/>
      <c r="M61645"/>
    </row>
    <row r="61646" spans="3:13" ht="12.75" customHeight="1" x14ac:dyDescent="0.2">
      <c r="C61646"/>
      <c r="M61646"/>
    </row>
    <row r="61647" spans="3:13" ht="12.75" customHeight="1" x14ac:dyDescent="0.2">
      <c r="C61647"/>
      <c r="M61647"/>
    </row>
    <row r="61648" spans="3:13" ht="12.75" customHeight="1" x14ac:dyDescent="0.2">
      <c r="C61648"/>
      <c r="M61648"/>
    </row>
    <row r="61649" spans="3:13" ht="12.75" customHeight="1" x14ac:dyDescent="0.2">
      <c r="C61649"/>
      <c r="M61649"/>
    </row>
    <row r="61650" spans="3:13" ht="12.75" customHeight="1" x14ac:dyDescent="0.2">
      <c r="C61650"/>
      <c r="M61650"/>
    </row>
    <row r="61651" spans="3:13" ht="12.75" customHeight="1" x14ac:dyDescent="0.2">
      <c r="C61651"/>
      <c r="M61651"/>
    </row>
    <row r="61652" spans="3:13" ht="12.75" customHeight="1" x14ac:dyDescent="0.2">
      <c r="C61652"/>
      <c r="M61652"/>
    </row>
    <row r="61653" spans="3:13" ht="12.75" customHeight="1" x14ac:dyDescent="0.2">
      <c r="C61653"/>
      <c r="M61653"/>
    </row>
    <row r="61654" spans="3:13" ht="12.75" customHeight="1" x14ac:dyDescent="0.2">
      <c r="C61654"/>
      <c r="M61654"/>
    </row>
    <row r="61655" spans="3:13" ht="12.75" customHeight="1" x14ac:dyDescent="0.2">
      <c r="C61655"/>
      <c r="M61655"/>
    </row>
    <row r="61656" spans="3:13" ht="12.75" customHeight="1" x14ac:dyDescent="0.2">
      <c r="C61656"/>
      <c r="M61656"/>
    </row>
    <row r="61657" spans="3:13" ht="12.75" customHeight="1" x14ac:dyDescent="0.2">
      <c r="C61657"/>
      <c r="M61657"/>
    </row>
    <row r="61658" spans="3:13" ht="12.75" customHeight="1" x14ac:dyDescent="0.2">
      <c r="C61658"/>
      <c r="M61658"/>
    </row>
    <row r="61659" spans="3:13" ht="12.75" customHeight="1" x14ac:dyDescent="0.2">
      <c r="C61659"/>
      <c r="M61659"/>
    </row>
    <row r="61660" spans="3:13" ht="12.75" customHeight="1" x14ac:dyDescent="0.2">
      <c r="C61660"/>
      <c r="M61660"/>
    </row>
    <row r="61661" spans="3:13" ht="12.75" customHeight="1" x14ac:dyDescent="0.2">
      <c r="C61661"/>
      <c r="M61661"/>
    </row>
    <row r="61662" spans="3:13" ht="12.75" customHeight="1" x14ac:dyDescent="0.2">
      <c r="C61662"/>
      <c r="M61662"/>
    </row>
    <row r="61663" spans="3:13" ht="12.75" customHeight="1" x14ac:dyDescent="0.2">
      <c r="C61663"/>
      <c r="M61663"/>
    </row>
    <row r="61664" spans="3:13" ht="12.75" customHeight="1" x14ac:dyDescent="0.2">
      <c r="C61664"/>
      <c r="M61664"/>
    </row>
    <row r="61665" spans="3:13" ht="12.75" customHeight="1" x14ac:dyDescent="0.2">
      <c r="C61665"/>
      <c r="M61665"/>
    </row>
    <row r="61666" spans="3:13" ht="12.75" customHeight="1" x14ac:dyDescent="0.2">
      <c r="C61666"/>
      <c r="M61666"/>
    </row>
    <row r="61667" spans="3:13" ht="12.75" customHeight="1" x14ac:dyDescent="0.2">
      <c r="C61667"/>
      <c r="M61667"/>
    </row>
    <row r="61668" spans="3:13" ht="12.75" customHeight="1" x14ac:dyDescent="0.2">
      <c r="C61668"/>
      <c r="M61668"/>
    </row>
    <row r="61669" spans="3:13" ht="12.75" customHeight="1" x14ac:dyDescent="0.2">
      <c r="C61669"/>
      <c r="M61669"/>
    </row>
    <row r="61670" spans="3:13" ht="12.75" customHeight="1" x14ac:dyDescent="0.2">
      <c r="C61670"/>
      <c r="M61670"/>
    </row>
    <row r="61671" spans="3:13" ht="12.75" customHeight="1" x14ac:dyDescent="0.2">
      <c r="C61671"/>
      <c r="M61671"/>
    </row>
    <row r="61672" spans="3:13" ht="12.75" customHeight="1" x14ac:dyDescent="0.2">
      <c r="C61672"/>
      <c r="M61672"/>
    </row>
    <row r="61673" spans="3:13" ht="12.75" customHeight="1" x14ac:dyDescent="0.2">
      <c r="C61673"/>
      <c r="M61673"/>
    </row>
    <row r="61674" spans="3:13" ht="12.75" customHeight="1" x14ac:dyDescent="0.2">
      <c r="C61674"/>
      <c r="M61674"/>
    </row>
    <row r="61675" spans="3:13" ht="12.75" customHeight="1" x14ac:dyDescent="0.2">
      <c r="C61675"/>
      <c r="M61675"/>
    </row>
    <row r="61676" spans="3:13" ht="12.75" customHeight="1" x14ac:dyDescent="0.2">
      <c r="C61676"/>
      <c r="M61676"/>
    </row>
    <row r="61677" spans="3:13" ht="12.75" customHeight="1" x14ac:dyDescent="0.2">
      <c r="C61677"/>
      <c r="M61677"/>
    </row>
    <row r="61678" spans="3:13" ht="12.75" customHeight="1" x14ac:dyDescent="0.2">
      <c r="C61678"/>
      <c r="M61678"/>
    </row>
    <row r="61679" spans="3:13" ht="12.75" customHeight="1" x14ac:dyDescent="0.2">
      <c r="C61679"/>
      <c r="M61679"/>
    </row>
    <row r="61680" spans="3:13" ht="12.75" customHeight="1" x14ac:dyDescent="0.2">
      <c r="C61680"/>
      <c r="M61680"/>
    </row>
    <row r="61681" spans="3:13" ht="12.75" customHeight="1" x14ac:dyDescent="0.2">
      <c r="C61681"/>
      <c r="M61681"/>
    </row>
    <row r="61682" spans="3:13" ht="12.75" customHeight="1" x14ac:dyDescent="0.2">
      <c r="C61682"/>
      <c r="M61682"/>
    </row>
    <row r="61683" spans="3:13" ht="12.75" customHeight="1" x14ac:dyDescent="0.2">
      <c r="C61683"/>
      <c r="M61683"/>
    </row>
    <row r="61684" spans="3:13" ht="12.75" customHeight="1" x14ac:dyDescent="0.2">
      <c r="C61684"/>
      <c r="M61684"/>
    </row>
    <row r="61685" spans="3:13" ht="12.75" customHeight="1" x14ac:dyDescent="0.2">
      <c r="C61685"/>
      <c r="M61685"/>
    </row>
    <row r="61686" spans="3:13" ht="12.75" customHeight="1" x14ac:dyDescent="0.2">
      <c r="C61686"/>
      <c r="M61686"/>
    </row>
    <row r="61687" spans="3:13" ht="12.75" customHeight="1" x14ac:dyDescent="0.2">
      <c r="C61687"/>
      <c r="M61687"/>
    </row>
    <row r="61688" spans="3:13" ht="12.75" customHeight="1" x14ac:dyDescent="0.2">
      <c r="C61688"/>
      <c r="M61688"/>
    </row>
    <row r="61689" spans="3:13" ht="12.75" customHeight="1" x14ac:dyDescent="0.2">
      <c r="C61689"/>
      <c r="M61689"/>
    </row>
    <row r="61690" spans="3:13" ht="12.75" customHeight="1" x14ac:dyDescent="0.2">
      <c r="C61690"/>
      <c r="M61690"/>
    </row>
    <row r="61691" spans="3:13" ht="12.75" customHeight="1" x14ac:dyDescent="0.2">
      <c r="C61691"/>
      <c r="M61691"/>
    </row>
    <row r="61692" spans="3:13" ht="12.75" customHeight="1" x14ac:dyDescent="0.2">
      <c r="C61692"/>
      <c r="M61692"/>
    </row>
    <row r="61693" spans="3:13" ht="12.75" customHeight="1" x14ac:dyDescent="0.2">
      <c r="C61693"/>
      <c r="M61693"/>
    </row>
    <row r="61694" spans="3:13" ht="12.75" customHeight="1" x14ac:dyDescent="0.2">
      <c r="C61694"/>
      <c r="M61694"/>
    </row>
    <row r="61695" spans="3:13" ht="12.75" customHeight="1" x14ac:dyDescent="0.2">
      <c r="C61695"/>
      <c r="M61695"/>
    </row>
    <row r="61696" spans="3:13" ht="12.75" customHeight="1" x14ac:dyDescent="0.2">
      <c r="C61696"/>
      <c r="M61696"/>
    </row>
    <row r="61697" spans="3:13" ht="12.75" customHeight="1" x14ac:dyDescent="0.2">
      <c r="C61697"/>
      <c r="M61697"/>
    </row>
    <row r="61698" spans="3:13" ht="12.75" customHeight="1" x14ac:dyDescent="0.2">
      <c r="C61698"/>
      <c r="M61698"/>
    </row>
    <row r="61699" spans="3:13" ht="12.75" customHeight="1" x14ac:dyDescent="0.2">
      <c r="C61699"/>
      <c r="M61699"/>
    </row>
    <row r="61700" spans="3:13" ht="12.75" customHeight="1" x14ac:dyDescent="0.2">
      <c r="C61700"/>
      <c r="M61700"/>
    </row>
    <row r="61701" spans="3:13" ht="12.75" customHeight="1" x14ac:dyDescent="0.2">
      <c r="C61701"/>
      <c r="M61701"/>
    </row>
    <row r="61702" spans="3:13" ht="12.75" customHeight="1" x14ac:dyDescent="0.2">
      <c r="C61702"/>
      <c r="M61702"/>
    </row>
    <row r="61703" spans="3:13" ht="12.75" customHeight="1" x14ac:dyDescent="0.2">
      <c r="C61703"/>
      <c r="M61703"/>
    </row>
    <row r="61704" spans="3:13" ht="12.75" customHeight="1" x14ac:dyDescent="0.2">
      <c r="C61704"/>
      <c r="M61704"/>
    </row>
    <row r="61705" spans="3:13" ht="12.75" customHeight="1" x14ac:dyDescent="0.2">
      <c r="C61705"/>
      <c r="M61705"/>
    </row>
    <row r="61706" spans="3:13" ht="12.75" customHeight="1" x14ac:dyDescent="0.2">
      <c r="C61706"/>
      <c r="M61706"/>
    </row>
    <row r="61707" spans="3:13" ht="12.75" customHeight="1" x14ac:dyDescent="0.2">
      <c r="C61707"/>
      <c r="M61707"/>
    </row>
    <row r="61708" spans="3:13" ht="12.75" customHeight="1" x14ac:dyDescent="0.2">
      <c r="C61708"/>
      <c r="M61708"/>
    </row>
    <row r="61709" spans="3:13" ht="12.75" customHeight="1" x14ac:dyDescent="0.2">
      <c r="C61709"/>
      <c r="M61709"/>
    </row>
    <row r="61710" spans="3:13" ht="12.75" customHeight="1" x14ac:dyDescent="0.2">
      <c r="C61710"/>
      <c r="M61710"/>
    </row>
    <row r="61711" spans="3:13" ht="12.75" customHeight="1" x14ac:dyDescent="0.2">
      <c r="C61711"/>
      <c r="M61711"/>
    </row>
    <row r="61712" spans="3:13" ht="12.75" customHeight="1" x14ac:dyDescent="0.2">
      <c r="C61712"/>
      <c r="M61712"/>
    </row>
    <row r="61713" spans="3:13" ht="12.75" customHeight="1" x14ac:dyDescent="0.2">
      <c r="C61713"/>
      <c r="M61713"/>
    </row>
    <row r="61714" spans="3:13" ht="12.75" customHeight="1" x14ac:dyDescent="0.2">
      <c r="C61714"/>
      <c r="M61714"/>
    </row>
    <row r="61715" spans="3:13" ht="12.75" customHeight="1" x14ac:dyDescent="0.2">
      <c r="C61715"/>
      <c r="M61715"/>
    </row>
    <row r="61716" spans="3:13" ht="12.75" customHeight="1" x14ac:dyDescent="0.2">
      <c r="C61716"/>
      <c r="M61716"/>
    </row>
    <row r="61717" spans="3:13" ht="12.75" customHeight="1" x14ac:dyDescent="0.2">
      <c r="C61717"/>
      <c r="M61717"/>
    </row>
    <row r="61718" spans="3:13" ht="12.75" customHeight="1" x14ac:dyDescent="0.2">
      <c r="C61718"/>
      <c r="M61718"/>
    </row>
    <row r="61719" spans="3:13" ht="12.75" customHeight="1" x14ac:dyDescent="0.2">
      <c r="C61719"/>
      <c r="M61719"/>
    </row>
    <row r="61720" spans="3:13" ht="12.75" customHeight="1" x14ac:dyDescent="0.2">
      <c r="C61720"/>
      <c r="M61720"/>
    </row>
    <row r="61721" spans="3:13" ht="12.75" customHeight="1" x14ac:dyDescent="0.2">
      <c r="C61721"/>
      <c r="M61721"/>
    </row>
    <row r="61722" spans="3:13" ht="12.75" customHeight="1" x14ac:dyDescent="0.2">
      <c r="C61722"/>
      <c r="M61722"/>
    </row>
    <row r="61723" spans="3:13" ht="12.75" customHeight="1" x14ac:dyDescent="0.2">
      <c r="C61723"/>
      <c r="M61723"/>
    </row>
    <row r="61724" spans="3:13" ht="12.75" customHeight="1" x14ac:dyDescent="0.2">
      <c r="C61724"/>
      <c r="M61724"/>
    </row>
    <row r="61725" spans="3:13" ht="12.75" customHeight="1" x14ac:dyDescent="0.2">
      <c r="C61725"/>
      <c r="M61725"/>
    </row>
    <row r="61726" spans="3:13" ht="12.75" customHeight="1" x14ac:dyDescent="0.2">
      <c r="C61726"/>
      <c r="M61726"/>
    </row>
    <row r="61727" spans="3:13" ht="12.75" customHeight="1" x14ac:dyDescent="0.2">
      <c r="C61727"/>
      <c r="M61727"/>
    </row>
    <row r="61728" spans="3:13" ht="12.75" customHeight="1" x14ac:dyDescent="0.2">
      <c r="C61728"/>
      <c r="M61728"/>
    </row>
    <row r="61729" spans="3:13" ht="12.75" customHeight="1" x14ac:dyDescent="0.2">
      <c r="C61729"/>
      <c r="M61729"/>
    </row>
    <row r="61730" spans="3:13" ht="12.75" customHeight="1" x14ac:dyDescent="0.2">
      <c r="C61730"/>
      <c r="M61730"/>
    </row>
    <row r="61731" spans="3:13" ht="12.75" customHeight="1" x14ac:dyDescent="0.2">
      <c r="C61731"/>
      <c r="M61731"/>
    </row>
    <row r="61732" spans="3:13" ht="12.75" customHeight="1" x14ac:dyDescent="0.2">
      <c r="C61732"/>
      <c r="M61732"/>
    </row>
    <row r="61733" spans="3:13" ht="12.75" customHeight="1" x14ac:dyDescent="0.2">
      <c r="C61733"/>
      <c r="M61733"/>
    </row>
    <row r="61734" spans="3:13" ht="12.75" customHeight="1" x14ac:dyDescent="0.2">
      <c r="C61734"/>
      <c r="M61734"/>
    </row>
    <row r="61735" spans="3:13" ht="12.75" customHeight="1" x14ac:dyDescent="0.2">
      <c r="C61735"/>
      <c r="M61735"/>
    </row>
    <row r="61736" spans="3:13" ht="12.75" customHeight="1" x14ac:dyDescent="0.2">
      <c r="C61736"/>
      <c r="M61736"/>
    </row>
    <row r="61737" spans="3:13" ht="12.75" customHeight="1" x14ac:dyDescent="0.2">
      <c r="C61737"/>
      <c r="M61737"/>
    </row>
    <row r="61738" spans="3:13" ht="12.75" customHeight="1" x14ac:dyDescent="0.2">
      <c r="C61738"/>
      <c r="M61738"/>
    </row>
    <row r="61739" spans="3:13" ht="12.75" customHeight="1" x14ac:dyDescent="0.2">
      <c r="C61739"/>
      <c r="M61739"/>
    </row>
    <row r="61740" spans="3:13" ht="12.75" customHeight="1" x14ac:dyDescent="0.2">
      <c r="C61740"/>
      <c r="M61740"/>
    </row>
    <row r="61741" spans="3:13" ht="12.75" customHeight="1" x14ac:dyDescent="0.2">
      <c r="C61741"/>
      <c r="M61741"/>
    </row>
    <row r="61742" spans="3:13" ht="12.75" customHeight="1" x14ac:dyDescent="0.2">
      <c r="C61742"/>
      <c r="M61742"/>
    </row>
    <row r="61743" spans="3:13" ht="12.75" customHeight="1" x14ac:dyDescent="0.2">
      <c r="C61743"/>
      <c r="M61743"/>
    </row>
    <row r="61744" spans="3:13" ht="12.75" customHeight="1" x14ac:dyDescent="0.2">
      <c r="C61744"/>
      <c r="M61744"/>
    </row>
    <row r="61745" spans="3:13" ht="12.75" customHeight="1" x14ac:dyDescent="0.2">
      <c r="C61745"/>
      <c r="M61745"/>
    </row>
    <row r="61746" spans="3:13" ht="12.75" customHeight="1" x14ac:dyDescent="0.2">
      <c r="C61746"/>
      <c r="M61746"/>
    </row>
    <row r="61747" spans="3:13" ht="12.75" customHeight="1" x14ac:dyDescent="0.2">
      <c r="C61747"/>
      <c r="M61747"/>
    </row>
    <row r="61748" spans="3:13" ht="12.75" customHeight="1" x14ac:dyDescent="0.2">
      <c r="C61748"/>
      <c r="M61748"/>
    </row>
    <row r="61749" spans="3:13" ht="12.75" customHeight="1" x14ac:dyDescent="0.2">
      <c r="C61749"/>
      <c r="M61749"/>
    </row>
    <row r="61750" spans="3:13" ht="12.75" customHeight="1" x14ac:dyDescent="0.2">
      <c r="C61750"/>
      <c r="M61750"/>
    </row>
    <row r="61751" spans="3:13" ht="12.75" customHeight="1" x14ac:dyDescent="0.2">
      <c r="C61751"/>
      <c r="M61751"/>
    </row>
    <row r="61752" spans="3:13" ht="12.75" customHeight="1" x14ac:dyDescent="0.2">
      <c r="C61752"/>
      <c r="M61752"/>
    </row>
    <row r="61753" spans="3:13" ht="12.75" customHeight="1" x14ac:dyDescent="0.2">
      <c r="C61753"/>
      <c r="M61753"/>
    </row>
    <row r="61754" spans="3:13" ht="12.75" customHeight="1" x14ac:dyDescent="0.2">
      <c r="C61754"/>
      <c r="M61754"/>
    </row>
    <row r="61755" spans="3:13" ht="12.75" customHeight="1" x14ac:dyDescent="0.2">
      <c r="C61755"/>
      <c r="M61755"/>
    </row>
    <row r="61756" spans="3:13" ht="12.75" customHeight="1" x14ac:dyDescent="0.2">
      <c r="C61756"/>
      <c r="M61756"/>
    </row>
    <row r="61757" spans="3:13" ht="12.75" customHeight="1" x14ac:dyDescent="0.2">
      <c r="C61757"/>
      <c r="M61757"/>
    </row>
    <row r="61758" spans="3:13" ht="12.75" customHeight="1" x14ac:dyDescent="0.2">
      <c r="C61758"/>
      <c r="M61758"/>
    </row>
    <row r="61759" spans="3:13" ht="12.75" customHeight="1" x14ac:dyDescent="0.2">
      <c r="C61759"/>
      <c r="M61759"/>
    </row>
    <row r="61760" spans="3:13" ht="12.75" customHeight="1" x14ac:dyDescent="0.2">
      <c r="C61760"/>
      <c r="M61760"/>
    </row>
    <row r="61761" spans="3:13" ht="12.75" customHeight="1" x14ac:dyDescent="0.2">
      <c r="C61761"/>
      <c r="M61761"/>
    </row>
    <row r="61762" spans="3:13" ht="12.75" customHeight="1" x14ac:dyDescent="0.2">
      <c r="C61762"/>
      <c r="M61762"/>
    </row>
    <row r="61763" spans="3:13" ht="12.75" customHeight="1" x14ac:dyDescent="0.2">
      <c r="C61763"/>
      <c r="M61763"/>
    </row>
    <row r="61764" spans="3:13" ht="12.75" customHeight="1" x14ac:dyDescent="0.2">
      <c r="C61764"/>
      <c r="M61764"/>
    </row>
    <row r="61765" spans="3:13" ht="12.75" customHeight="1" x14ac:dyDescent="0.2">
      <c r="C61765"/>
      <c r="M61765"/>
    </row>
    <row r="61766" spans="3:13" ht="12.75" customHeight="1" x14ac:dyDescent="0.2">
      <c r="C61766"/>
      <c r="M61766"/>
    </row>
    <row r="61767" spans="3:13" ht="12.75" customHeight="1" x14ac:dyDescent="0.2">
      <c r="C61767"/>
      <c r="M61767"/>
    </row>
    <row r="61768" spans="3:13" ht="12.75" customHeight="1" x14ac:dyDescent="0.2">
      <c r="C61768"/>
      <c r="M61768"/>
    </row>
    <row r="61769" spans="3:13" ht="12.75" customHeight="1" x14ac:dyDescent="0.2">
      <c r="C61769"/>
      <c r="M61769"/>
    </row>
    <row r="61770" spans="3:13" ht="12.75" customHeight="1" x14ac:dyDescent="0.2">
      <c r="C61770"/>
      <c r="M61770"/>
    </row>
    <row r="61771" spans="3:13" ht="12.75" customHeight="1" x14ac:dyDescent="0.2">
      <c r="C61771"/>
      <c r="M61771"/>
    </row>
    <row r="61772" spans="3:13" ht="12.75" customHeight="1" x14ac:dyDescent="0.2">
      <c r="C61772"/>
      <c r="M61772"/>
    </row>
    <row r="61773" spans="3:13" ht="12.75" customHeight="1" x14ac:dyDescent="0.2">
      <c r="C61773"/>
      <c r="M61773"/>
    </row>
    <row r="61774" spans="3:13" ht="12.75" customHeight="1" x14ac:dyDescent="0.2">
      <c r="C61774"/>
      <c r="M61774"/>
    </row>
    <row r="61775" spans="3:13" ht="12.75" customHeight="1" x14ac:dyDescent="0.2">
      <c r="C61775"/>
      <c r="M61775"/>
    </row>
    <row r="61776" spans="3:13" ht="12.75" customHeight="1" x14ac:dyDescent="0.2">
      <c r="C61776"/>
      <c r="M61776"/>
    </row>
    <row r="61777" spans="3:13" ht="12.75" customHeight="1" x14ac:dyDescent="0.2">
      <c r="C61777"/>
      <c r="M61777"/>
    </row>
    <row r="61778" spans="3:13" ht="12.75" customHeight="1" x14ac:dyDescent="0.2">
      <c r="C61778"/>
      <c r="M61778"/>
    </row>
    <row r="61779" spans="3:13" ht="12.75" customHeight="1" x14ac:dyDescent="0.2">
      <c r="C61779"/>
      <c r="M61779"/>
    </row>
    <row r="61780" spans="3:13" ht="12.75" customHeight="1" x14ac:dyDescent="0.2">
      <c r="C61780"/>
      <c r="M61780"/>
    </row>
    <row r="61781" spans="3:13" ht="12.75" customHeight="1" x14ac:dyDescent="0.2">
      <c r="C61781"/>
      <c r="M61781"/>
    </row>
    <row r="61782" spans="3:13" ht="12.75" customHeight="1" x14ac:dyDescent="0.2">
      <c r="C61782"/>
      <c r="M61782"/>
    </row>
    <row r="61783" spans="3:13" ht="12.75" customHeight="1" x14ac:dyDescent="0.2">
      <c r="C61783"/>
      <c r="M61783"/>
    </row>
    <row r="61784" spans="3:13" ht="12.75" customHeight="1" x14ac:dyDescent="0.2">
      <c r="C61784"/>
      <c r="M61784"/>
    </row>
    <row r="61785" spans="3:13" ht="12.75" customHeight="1" x14ac:dyDescent="0.2">
      <c r="C61785"/>
      <c r="M61785"/>
    </row>
    <row r="61786" spans="3:13" ht="12.75" customHeight="1" x14ac:dyDescent="0.2">
      <c r="C61786"/>
      <c r="M61786"/>
    </row>
    <row r="61787" spans="3:13" ht="12.75" customHeight="1" x14ac:dyDescent="0.2">
      <c r="C61787"/>
      <c r="M61787"/>
    </row>
    <row r="61788" spans="3:13" ht="12.75" customHeight="1" x14ac:dyDescent="0.2">
      <c r="C61788"/>
      <c r="M61788"/>
    </row>
    <row r="61789" spans="3:13" ht="12.75" customHeight="1" x14ac:dyDescent="0.2">
      <c r="C61789"/>
      <c r="M61789"/>
    </row>
    <row r="61790" spans="3:13" ht="12.75" customHeight="1" x14ac:dyDescent="0.2">
      <c r="C61790"/>
      <c r="M61790"/>
    </row>
    <row r="61791" spans="3:13" ht="12.75" customHeight="1" x14ac:dyDescent="0.2">
      <c r="C61791"/>
      <c r="M61791"/>
    </row>
    <row r="61792" spans="3:13" ht="12.75" customHeight="1" x14ac:dyDescent="0.2">
      <c r="C61792"/>
      <c r="M61792"/>
    </row>
    <row r="61793" spans="3:13" ht="12.75" customHeight="1" x14ac:dyDescent="0.2">
      <c r="C61793"/>
      <c r="M61793"/>
    </row>
    <row r="61794" spans="3:13" ht="12.75" customHeight="1" x14ac:dyDescent="0.2">
      <c r="C61794"/>
      <c r="M61794"/>
    </row>
    <row r="61795" spans="3:13" ht="12.75" customHeight="1" x14ac:dyDescent="0.2">
      <c r="C61795"/>
      <c r="M61795"/>
    </row>
    <row r="61796" spans="3:13" ht="12.75" customHeight="1" x14ac:dyDescent="0.2">
      <c r="C61796"/>
      <c r="M61796"/>
    </row>
    <row r="61797" spans="3:13" ht="12.75" customHeight="1" x14ac:dyDescent="0.2">
      <c r="C61797"/>
      <c r="M61797"/>
    </row>
    <row r="61798" spans="3:13" ht="12.75" customHeight="1" x14ac:dyDescent="0.2">
      <c r="C61798"/>
      <c r="M61798"/>
    </row>
    <row r="61799" spans="3:13" ht="12.75" customHeight="1" x14ac:dyDescent="0.2">
      <c r="C61799"/>
      <c r="M61799"/>
    </row>
    <row r="61800" spans="3:13" ht="12.75" customHeight="1" x14ac:dyDescent="0.2">
      <c r="C61800"/>
      <c r="M61800"/>
    </row>
    <row r="61801" spans="3:13" ht="12.75" customHeight="1" x14ac:dyDescent="0.2">
      <c r="C61801"/>
      <c r="M61801"/>
    </row>
    <row r="61802" spans="3:13" ht="12.75" customHeight="1" x14ac:dyDescent="0.2">
      <c r="C61802"/>
      <c r="M61802"/>
    </row>
    <row r="61803" spans="3:13" ht="12.75" customHeight="1" x14ac:dyDescent="0.2">
      <c r="C61803"/>
      <c r="M61803"/>
    </row>
    <row r="61804" spans="3:13" ht="12.75" customHeight="1" x14ac:dyDescent="0.2">
      <c r="C61804"/>
      <c r="M61804"/>
    </row>
    <row r="61805" spans="3:13" ht="12.75" customHeight="1" x14ac:dyDescent="0.2">
      <c r="C61805"/>
      <c r="M61805"/>
    </row>
    <row r="61806" spans="3:13" ht="12.75" customHeight="1" x14ac:dyDescent="0.2">
      <c r="C61806"/>
      <c r="M61806"/>
    </row>
    <row r="61807" spans="3:13" ht="12.75" customHeight="1" x14ac:dyDescent="0.2">
      <c r="C61807"/>
      <c r="M61807"/>
    </row>
    <row r="61808" spans="3:13" ht="12.75" customHeight="1" x14ac:dyDescent="0.2">
      <c r="C61808"/>
      <c r="M61808"/>
    </row>
    <row r="61809" spans="3:13" ht="12.75" customHeight="1" x14ac:dyDescent="0.2">
      <c r="C61809"/>
      <c r="M61809"/>
    </row>
    <row r="61810" spans="3:13" ht="12.75" customHeight="1" x14ac:dyDescent="0.2">
      <c r="C61810"/>
      <c r="M61810"/>
    </row>
    <row r="61811" spans="3:13" ht="12.75" customHeight="1" x14ac:dyDescent="0.2">
      <c r="C61811"/>
      <c r="M61811"/>
    </row>
    <row r="61812" spans="3:13" ht="12.75" customHeight="1" x14ac:dyDescent="0.2">
      <c r="C61812"/>
      <c r="M61812"/>
    </row>
    <row r="61813" spans="3:13" ht="12.75" customHeight="1" x14ac:dyDescent="0.2">
      <c r="C61813"/>
      <c r="M61813"/>
    </row>
    <row r="61814" spans="3:13" ht="12.75" customHeight="1" x14ac:dyDescent="0.2">
      <c r="C61814"/>
      <c r="M61814"/>
    </row>
    <row r="61815" spans="3:13" ht="12.75" customHeight="1" x14ac:dyDescent="0.2">
      <c r="C61815"/>
      <c r="M61815"/>
    </row>
    <row r="61816" spans="3:13" ht="12.75" customHeight="1" x14ac:dyDescent="0.2">
      <c r="C61816"/>
      <c r="M61816"/>
    </row>
    <row r="61817" spans="3:13" ht="12.75" customHeight="1" x14ac:dyDescent="0.2">
      <c r="C61817"/>
      <c r="M61817"/>
    </row>
    <row r="61818" spans="3:13" ht="12.75" customHeight="1" x14ac:dyDescent="0.2">
      <c r="C61818"/>
      <c r="M61818"/>
    </row>
    <row r="61819" spans="3:13" ht="12.75" customHeight="1" x14ac:dyDescent="0.2">
      <c r="C61819"/>
      <c r="M61819"/>
    </row>
    <row r="61820" spans="3:13" ht="12.75" customHeight="1" x14ac:dyDescent="0.2">
      <c r="C61820"/>
      <c r="M61820"/>
    </row>
    <row r="61821" spans="3:13" ht="12.75" customHeight="1" x14ac:dyDescent="0.2">
      <c r="C61821"/>
      <c r="M61821"/>
    </row>
    <row r="61822" spans="3:13" ht="12.75" customHeight="1" x14ac:dyDescent="0.2">
      <c r="C61822"/>
      <c r="M61822"/>
    </row>
    <row r="61823" spans="3:13" ht="12.75" customHeight="1" x14ac:dyDescent="0.2">
      <c r="C61823"/>
      <c r="M61823"/>
    </row>
    <row r="61824" spans="3:13" ht="12.75" customHeight="1" x14ac:dyDescent="0.2">
      <c r="C61824"/>
      <c r="M61824"/>
    </row>
    <row r="61825" spans="3:13" ht="12.75" customHeight="1" x14ac:dyDescent="0.2">
      <c r="C61825"/>
      <c r="M61825"/>
    </row>
    <row r="61826" spans="3:13" ht="12.75" customHeight="1" x14ac:dyDescent="0.2">
      <c r="C61826"/>
      <c r="M61826"/>
    </row>
    <row r="61827" spans="3:13" ht="12.75" customHeight="1" x14ac:dyDescent="0.2">
      <c r="C61827"/>
      <c r="M61827"/>
    </row>
    <row r="61828" spans="3:13" ht="12.75" customHeight="1" x14ac:dyDescent="0.2">
      <c r="C61828"/>
      <c r="M61828"/>
    </row>
    <row r="61829" spans="3:13" ht="12.75" customHeight="1" x14ac:dyDescent="0.2">
      <c r="C61829"/>
      <c r="M61829"/>
    </row>
    <row r="61830" spans="3:13" ht="12.75" customHeight="1" x14ac:dyDescent="0.2">
      <c r="C61830"/>
      <c r="M61830"/>
    </row>
    <row r="61831" spans="3:13" ht="12.75" customHeight="1" x14ac:dyDescent="0.2">
      <c r="C61831"/>
      <c r="M61831"/>
    </row>
    <row r="61832" spans="3:13" ht="12.75" customHeight="1" x14ac:dyDescent="0.2">
      <c r="C61832"/>
      <c r="M61832"/>
    </row>
    <row r="61833" spans="3:13" ht="12.75" customHeight="1" x14ac:dyDescent="0.2">
      <c r="C61833"/>
      <c r="M61833"/>
    </row>
    <row r="61834" spans="3:13" ht="12.75" customHeight="1" x14ac:dyDescent="0.2">
      <c r="C61834"/>
      <c r="M61834"/>
    </row>
    <row r="61835" spans="3:13" ht="12.75" customHeight="1" x14ac:dyDescent="0.2">
      <c r="C61835"/>
      <c r="M61835"/>
    </row>
    <row r="61836" spans="3:13" ht="12.75" customHeight="1" x14ac:dyDescent="0.2">
      <c r="C61836"/>
      <c r="M61836"/>
    </row>
    <row r="61837" spans="3:13" ht="12.75" customHeight="1" x14ac:dyDescent="0.2">
      <c r="C61837"/>
      <c r="M61837"/>
    </row>
    <row r="61838" spans="3:13" ht="12.75" customHeight="1" x14ac:dyDescent="0.2">
      <c r="C61838"/>
      <c r="M61838"/>
    </row>
    <row r="61839" spans="3:13" ht="12.75" customHeight="1" x14ac:dyDescent="0.2">
      <c r="C61839"/>
      <c r="M61839"/>
    </row>
    <row r="61840" spans="3:13" ht="12.75" customHeight="1" x14ac:dyDescent="0.2">
      <c r="C61840"/>
      <c r="M61840"/>
    </row>
    <row r="61841" spans="3:13" ht="12.75" customHeight="1" x14ac:dyDescent="0.2">
      <c r="C61841"/>
      <c r="M61841"/>
    </row>
    <row r="61842" spans="3:13" ht="12.75" customHeight="1" x14ac:dyDescent="0.2">
      <c r="C61842"/>
      <c r="M61842"/>
    </row>
    <row r="61843" spans="3:13" ht="12.75" customHeight="1" x14ac:dyDescent="0.2">
      <c r="C61843"/>
      <c r="M61843"/>
    </row>
    <row r="61844" spans="3:13" ht="12.75" customHeight="1" x14ac:dyDescent="0.2">
      <c r="C61844"/>
      <c r="M61844"/>
    </row>
    <row r="61845" spans="3:13" ht="12.75" customHeight="1" x14ac:dyDescent="0.2">
      <c r="C61845"/>
      <c r="M61845"/>
    </row>
    <row r="61846" spans="3:13" ht="12.75" customHeight="1" x14ac:dyDescent="0.2">
      <c r="C61846"/>
      <c r="M61846"/>
    </row>
    <row r="61847" spans="3:13" ht="12.75" customHeight="1" x14ac:dyDescent="0.2">
      <c r="C61847"/>
      <c r="M61847"/>
    </row>
    <row r="61848" spans="3:13" ht="12.75" customHeight="1" x14ac:dyDescent="0.2">
      <c r="C61848"/>
      <c r="M61848"/>
    </row>
    <row r="61849" spans="3:13" ht="12.75" customHeight="1" x14ac:dyDescent="0.2">
      <c r="C61849"/>
      <c r="M61849"/>
    </row>
    <row r="61850" spans="3:13" ht="12.75" customHeight="1" x14ac:dyDescent="0.2">
      <c r="C61850"/>
      <c r="M61850"/>
    </row>
    <row r="61851" spans="3:13" ht="12.75" customHeight="1" x14ac:dyDescent="0.2">
      <c r="C61851"/>
      <c r="M61851"/>
    </row>
    <row r="61852" spans="3:13" ht="12.75" customHeight="1" x14ac:dyDescent="0.2">
      <c r="C61852"/>
      <c r="M61852"/>
    </row>
    <row r="61853" spans="3:13" ht="12.75" customHeight="1" x14ac:dyDescent="0.2">
      <c r="C61853"/>
      <c r="M61853"/>
    </row>
    <row r="61854" spans="3:13" ht="12.75" customHeight="1" x14ac:dyDescent="0.2">
      <c r="C61854"/>
      <c r="M61854"/>
    </row>
    <row r="61855" spans="3:13" ht="12.75" customHeight="1" x14ac:dyDescent="0.2">
      <c r="C61855"/>
      <c r="M61855"/>
    </row>
    <row r="61856" spans="3:13" ht="12.75" customHeight="1" x14ac:dyDescent="0.2">
      <c r="C61856"/>
      <c r="M61856"/>
    </row>
    <row r="61857" spans="3:13" ht="12.75" customHeight="1" x14ac:dyDescent="0.2">
      <c r="C61857"/>
      <c r="M61857"/>
    </row>
    <row r="61858" spans="3:13" ht="12.75" customHeight="1" x14ac:dyDescent="0.2">
      <c r="C61858"/>
      <c r="M61858"/>
    </row>
    <row r="61859" spans="3:13" ht="12.75" customHeight="1" x14ac:dyDescent="0.2">
      <c r="C61859"/>
      <c r="M61859"/>
    </row>
    <row r="61860" spans="3:13" ht="12.75" customHeight="1" x14ac:dyDescent="0.2">
      <c r="C61860"/>
      <c r="M61860"/>
    </row>
    <row r="61861" spans="3:13" ht="12.75" customHeight="1" x14ac:dyDescent="0.2">
      <c r="C61861"/>
      <c r="M61861"/>
    </row>
    <row r="61862" spans="3:13" ht="12.75" customHeight="1" x14ac:dyDescent="0.2">
      <c r="C61862"/>
      <c r="M61862"/>
    </row>
    <row r="61863" spans="3:13" ht="12.75" customHeight="1" x14ac:dyDescent="0.2">
      <c r="C61863"/>
      <c r="M61863"/>
    </row>
    <row r="61864" spans="3:13" ht="12.75" customHeight="1" x14ac:dyDescent="0.2">
      <c r="C61864"/>
      <c r="M61864"/>
    </row>
    <row r="61865" spans="3:13" ht="12.75" customHeight="1" x14ac:dyDescent="0.2">
      <c r="C61865"/>
      <c r="M61865"/>
    </row>
    <row r="61866" spans="3:13" ht="12.75" customHeight="1" x14ac:dyDescent="0.2">
      <c r="C61866"/>
      <c r="M61866"/>
    </row>
    <row r="61867" spans="3:13" ht="12.75" customHeight="1" x14ac:dyDescent="0.2">
      <c r="C61867"/>
      <c r="M61867"/>
    </row>
    <row r="61868" spans="3:13" ht="12.75" customHeight="1" x14ac:dyDescent="0.2">
      <c r="C61868"/>
      <c r="M61868"/>
    </row>
    <row r="61869" spans="3:13" ht="12.75" customHeight="1" x14ac:dyDescent="0.2">
      <c r="C61869"/>
      <c r="M61869"/>
    </row>
    <row r="61870" spans="3:13" ht="12.75" customHeight="1" x14ac:dyDescent="0.2">
      <c r="C61870"/>
      <c r="M61870"/>
    </row>
    <row r="61871" spans="3:13" ht="12.75" customHeight="1" x14ac:dyDescent="0.2">
      <c r="C61871"/>
      <c r="M61871"/>
    </row>
    <row r="61872" spans="3:13" ht="12.75" customHeight="1" x14ac:dyDescent="0.2">
      <c r="C61872"/>
      <c r="M61872"/>
    </row>
    <row r="61873" spans="3:13" ht="12.75" customHeight="1" x14ac:dyDescent="0.2">
      <c r="C61873"/>
      <c r="M61873"/>
    </row>
    <row r="61874" spans="3:13" ht="12.75" customHeight="1" x14ac:dyDescent="0.2">
      <c r="C61874"/>
      <c r="M61874"/>
    </row>
    <row r="61875" spans="3:13" ht="12.75" customHeight="1" x14ac:dyDescent="0.2">
      <c r="C61875"/>
      <c r="M61875"/>
    </row>
    <row r="61876" spans="3:13" ht="12.75" customHeight="1" x14ac:dyDescent="0.2">
      <c r="C61876"/>
      <c r="M61876"/>
    </row>
    <row r="61877" spans="3:13" ht="12.75" customHeight="1" x14ac:dyDescent="0.2">
      <c r="C61877"/>
      <c r="M61877"/>
    </row>
    <row r="61878" spans="3:13" ht="12.75" customHeight="1" x14ac:dyDescent="0.2">
      <c r="C61878"/>
      <c r="M61878"/>
    </row>
    <row r="61879" spans="3:13" ht="12.75" customHeight="1" x14ac:dyDescent="0.2">
      <c r="C61879"/>
      <c r="M61879"/>
    </row>
    <row r="61880" spans="3:13" ht="12.75" customHeight="1" x14ac:dyDescent="0.2">
      <c r="C61880"/>
      <c r="M61880"/>
    </row>
    <row r="61881" spans="3:13" ht="12.75" customHeight="1" x14ac:dyDescent="0.2">
      <c r="C61881"/>
      <c r="M61881"/>
    </row>
    <row r="61882" spans="3:13" ht="12.75" customHeight="1" x14ac:dyDescent="0.2">
      <c r="C61882"/>
      <c r="M61882"/>
    </row>
    <row r="61883" spans="3:13" ht="12.75" customHeight="1" x14ac:dyDescent="0.2">
      <c r="C61883"/>
      <c r="M61883"/>
    </row>
    <row r="61884" spans="3:13" ht="12.75" customHeight="1" x14ac:dyDescent="0.2">
      <c r="C61884"/>
      <c r="M61884"/>
    </row>
    <row r="61885" spans="3:13" ht="12.75" customHeight="1" x14ac:dyDescent="0.2">
      <c r="C61885"/>
      <c r="M61885"/>
    </row>
    <row r="61886" spans="3:13" ht="12.75" customHeight="1" x14ac:dyDescent="0.2">
      <c r="C61886"/>
      <c r="M61886"/>
    </row>
    <row r="61887" spans="3:13" ht="12.75" customHeight="1" x14ac:dyDescent="0.2">
      <c r="C61887"/>
      <c r="M61887"/>
    </row>
    <row r="61888" spans="3:13" ht="12.75" customHeight="1" x14ac:dyDescent="0.2">
      <c r="C61888"/>
      <c r="M61888"/>
    </row>
    <row r="61889" spans="3:13" ht="12.75" customHeight="1" x14ac:dyDescent="0.2">
      <c r="C61889"/>
      <c r="M61889"/>
    </row>
    <row r="61890" spans="3:13" ht="12.75" customHeight="1" x14ac:dyDescent="0.2">
      <c r="C61890"/>
      <c r="M61890"/>
    </row>
    <row r="61891" spans="3:13" ht="12.75" customHeight="1" x14ac:dyDescent="0.2">
      <c r="C61891"/>
      <c r="M61891"/>
    </row>
    <row r="61892" spans="3:13" ht="12.75" customHeight="1" x14ac:dyDescent="0.2">
      <c r="C61892"/>
      <c r="M61892"/>
    </row>
    <row r="61893" spans="3:13" ht="12.75" customHeight="1" x14ac:dyDescent="0.2">
      <c r="C61893"/>
      <c r="M61893"/>
    </row>
    <row r="61894" spans="3:13" ht="12.75" customHeight="1" x14ac:dyDescent="0.2">
      <c r="C61894"/>
      <c r="M61894"/>
    </row>
    <row r="61895" spans="3:13" ht="12.75" customHeight="1" x14ac:dyDescent="0.2">
      <c r="C61895"/>
      <c r="M61895"/>
    </row>
    <row r="61896" spans="3:13" ht="12.75" customHeight="1" x14ac:dyDescent="0.2">
      <c r="C61896"/>
      <c r="M61896"/>
    </row>
    <row r="61897" spans="3:13" ht="12.75" customHeight="1" x14ac:dyDescent="0.2">
      <c r="C61897"/>
      <c r="M61897"/>
    </row>
    <row r="61898" spans="3:13" ht="12.75" customHeight="1" x14ac:dyDescent="0.2">
      <c r="C61898"/>
      <c r="M61898"/>
    </row>
    <row r="61899" spans="3:13" ht="12.75" customHeight="1" x14ac:dyDescent="0.2">
      <c r="C61899"/>
      <c r="M61899"/>
    </row>
    <row r="61900" spans="3:13" ht="12.75" customHeight="1" x14ac:dyDescent="0.2">
      <c r="C61900"/>
      <c r="M61900"/>
    </row>
    <row r="61901" spans="3:13" ht="12.75" customHeight="1" x14ac:dyDescent="0.2">
      <c r="C61901"/>
      <c r="M61901"/>
    </row>
    <row r="61902" spans="3:13" ht="12.75" customHeight="1" x14ac:dyDescent="0.2">
      <c r="C61902"/>
      <c r="M61902"/>
    </row>
    <row r="61903" spans="3:13" ht="12.75" customHeight="1" x14ac:dyDescent="0.2">
      <c r="C61903"/>
      <c r="M61903"/>
    </row>
    <row r="61904" spans="3:13" ht="12.75" customHeight="1" x14ac:dyDescent="0.2">
      <c r="C61904"/>
      <c r="M61904"/>
    </row>
    <row r="61905" spans="3:13" ht="12.75" customHeight="1" x14ac:dyDescent="0.2">
      <c r="C61905"/>
      <c r="M61905"/>
    </row>
    <row r="61906" spans="3:13" ht="12.75" customHeight="1" x14ac:dyDescent="0.2">
      <c r="C61906"/>
      <c r="M61906"/>
    </row>
    <row r="61907" spans="3:13" ht="12.75" customHeight="1" x14ac:dyDescent="0.2">
      <c r="C61907"/>
      <c r="M61907"/>
    </row>
    <row r="61908" spans="3:13" ht="12.75" customHeight="1" x14ac:dyDescent="0.2">
      <c r="C61908"/>
      <c r="M61908"/>
    </row>
    <row r="61909" spans="3:13" ht="12.75" customHeight="1" x14ac:dyDescent="0.2">
      <c r="C61909"/>
      <c r="M61909"/>
    </row>
    <row r="61910" spans="3:13" ht="12.75" customHeight="1" x14ac:dyDescent="0.2">
      <c r="C61910"/>
      <c r="M61910"/>
    </row>
    <row r="61911" spans="3:13" ht="12.75" customHeight="1" x14ac:dyDescent="0.2">
      <c r="C61911"/>
      <c r="M61911"/>
    </row>
    <row r="61912" spans="3:13" ht="12.75" customHeight="1" x14ac:dyDescent="0.2">
      <c r="C61912"/>
      <c r="M61912"/>
    </row>
    <row r="61913" spans="3:13" ht="12.75" customHeight="1" x14ac:dyDescent="0.2">
      <c r="C61913"/>
      <c r="M61913"/>
    </row>
    <row r="61914" spans="3:13" ht="12.75" customHeight="1" x14ac:dyDescent="0.2">
      <c r="C61914"/>
      <c r="M61914"/>
    </row>
    <row r="61915" spans="3:13" ht="12.75" customHeight="1" x14ac:dyDescent="0.2">
      <c r="C61915"/>
      <c r="M61915"/>
    </row>
    <row r="61916" spans="3:13" ht="12.75" customHeight="1" x14ac:dyDescent="0.2">
      <c r="C61916"/>
      <c r="M61916"/>
    </row>
    <row r="61917" spans="3:13" ht="12.75" customHeight="1" x14ac:dyDescent="0.2">
      <c r="C61917"/>
      <c r="M61917"/>
    </row>
    <row r="61918" spans="3:13" ht="12.75" customHeight="1" x14ac:dyDescent="0.2">
      <c r="C61918"/>
      <c r="M61918"/>
    </row>
    <row r="61919" spans="3:13" ht="12.75" customHeight="1" x14ac:dyDescent="0.2">
      <c r="C61919"/>
      <c r="M61919"/>
    </row>
    <row r="61920" spans="3:13" ht="12.75" customHeight="1" x14ac:dyDescent="0.2">
      <c r="C61920"/>
      <c r="M61920"/>
    </row>
    <row r="61921" spans="3:13" ht="12.75" customHeight="1" x14ac:dyDescent="0.2">
      <c r="C61921"/>
      <c r="M61921"/>
    </row>
    <row r="61922" spans="3:13" ht="12.75" customHeight="1" x14ac:dyDescent="0.2">
      <c r="C61922"/>
      <c r="M61922"/>
    </row>
    <row r="61923" spans="3:13" ht="12.75" customHeight="1" x14ac:dyDescent="0.2">
      <c r="C61923"/>
      <c r="M61923"/>
    </row>
    <row r="61924" spans="3:13" ht="12.75" customHeight="1" x14ac:dyDescent="0.2">
      <c r="C61924"/>
      <c r="M61924"/>
    </row>
    <row r="61925" spans="3:13" ht="12.75" customHeight="1" x14ac:dyDescent="0.2">
      <c r="C61925"/>
      <c r="M61925"/>
    </row>
    <row r="61926" spans="3:13" ht="12.75" customHeight="1" x14ac:dyDescent="0.2">
      <c r="C61926"/>
      <c r="M61926"/>
    </row>
    <row r="61927" spans="3:13" ht="12.75" customHeight="1" x14ac:dyDescent="0.2">
      <c r="C61927"/>
      <c r="M61927"/>
    </row>
    <row r="61928" spans="3:13" ht="12.75" customHeight="1" x14ac:dyDescent="0.2">
      <c r="C61928"/>
      <c r="M61928"/>
    </row>
    <row r="61929" spans="3:13" ht="12.75" customHeight="1" x14ac:dyDescent="0.2">
      <c r="C61929"/>
      <c r="M61929"/>
    </row>
    <row r="61930" spans="3:13" ht="12.75" customHeight="1" x14ac:dyDescent="0.2">
      <c r="C61930"/>
      <c r="M61930"/>
    </row>
    <row r="61931" spans="3:13" ht="12.75" customHeight="1" x14ac:dyDescent="0.2">
      <c r="C61931"/>
      <c r="M61931"/>
    </row>
    <row r="61932" spans="3:13" ht="12.75" customHeight="1" x14ac:dyDescent="0.2">
      <c r="C61932"/>
      <c r="M61932"/>
    </row>
    <row r="61933" spans="3:13" ht="12.75" customHeight="1" x14ac:dyDescent="0.2">
      <c r="C61933"/>
      <c r="M61933"/>
    </row>
    <row r="61934" spans="3:13" ht="12.75" customHeight="1" x14ac:dyDescent="0.2">
      <c r="C61934"/>
      <c r="M61934"/>
    </row>
    <row r="61935" spans="3:13" ht="12.75" customHeight="1" x14ac:dyDescent="0.2">
      <c r="C61935"/>
      <c r="M61935"/>
    </row>
    <row r="61936" spans="3:13" ht="12.75" customHeight="1" x14ac:dyDescent="0.2">
      <c r="C61936"/>
      <c r="M61936"/>
    </row>
    <row r="61937" spans="3:13" ht="12.75" customHeight="1" x14ac:dyDescent="0.2">
      <c r="C61937"/>
      <c r="M61937"/>
    </row>
    <row r="61938" spans="3:13" ht="12.75" customHeight="1" x14ac:dyDescent="0.2">
      <c r="C61938"/>
      <c r="M61938"/>
    </row>
    <row r="61939" spans="3:13" ht="12.75" customHeight="1" x14ac:dyDescent="0.2">
      <c r="C61939"/>
      <c r="M61939"/>
    </row>
    <row r="61940" spans="3:13" ht="12.75" customHeight="1" x14ac:dyDescent="0.2">
      <c r="C61940"/>
      <c r="M61940"/>
    </row>
    <row r="61941" spans="3:13" ht="12.75" customHeight="1" x14ac:dyDescent="0.2">
      <c r="C61941"/>
      <c r="M61941"/>
    </row>
    <row r="61942" spans="3:13" ht="12.75" customHeight="1" x14ac:dyDescent="0.2">
      <c r="C61942"/>
      <c r="M61942"/>
    </row>
    <row r="61943" spans="3:13" ht="12.75" customHeight="1" x14ac:dyDescent="0.2">
      <c r="C61943"/>
      <c r="M61943"/>
    </row>
    <row r="61944" spans="3:13" ht="12.75" customHeight="1" x14ac:dyDescent="0.2">
      <c r="C61944"/>
      <c r="M61944"/>
    </row>
    <row r="61945" spans="3:13" ht="12.75" customHeight="1" x14ac:dyDescent="0.2">
      <c r="C61945"/>
      <c r="M61945"/>
    </row>
    <row r="61946" spans="3:13" ht="12.75" customHeight="1" x14ac:dyDescent="0.2">
      <c r="C61946"/>
      <c r="M61946"/>
    </row>
    <row r="61947" spans="3:13" ht="12.75" customHeight="1" x14ac:dyDescent="0.2">
      <c r="C61947"/>
      <c r="M61947"/>
    </row>
    <row r="61948" spans="3:13" ht="12.75" customHeight="1" x14ac:dyDescent="0.2">
      <c r="C61948"/>
      <c r="M61948"/>
    </row>
    <row r="61949" spans="3:13" ht="12.75" customHeight="1" x14ac:dyDescent="0.2">
      <c r="C61949"/>
      <c r="M61949"/>
    </row>
    <row r="61950" spans="3:13" ht="12.75" customHeight="1" x14ac:dyDescent="0.2">
      <c r="C61950"/>
      <c r="M61950"/>
    </row>
    <row r="61951" spans="3:13" ht="12.75" customHeight="1" x14ac:dyDescent="0.2">
      <c r="C61951"/>
      <c r="M61951"/>
    </row>
    <row r="61952" spans="3:13" ht="12.75" customHeight="1" x14ac:dyDescent="0.2">
      <c r="C61952"/>
      <c r="M61952"/>
    </row>
    <row r="61953" spans="3:13" ht="12.75" customHeight="1" x14ac:dyDescent="0.2">
      <c r="C61953"/>
      <c r="M61953"/>
    </row>
    <row r="61954" spans="3:13" ht="12.75" customHeight="1" x14ac:dyDescent="0.2">
      <c r="C61954"/>
      <c r="M61954"/>
    </row>
    <row r="61955" spans="3:13" ht="12.75" customHeight="1" x14ac:dyDescent="0.2">
      <c r="C61955"/>
      <c r="M61955"/>
    </row>
    <row r="61956" spans="3:13" ht="12.75" customHeight="1" x14ac:dyDescent="0.2">
      <c r="C61956"/>
      <c r="M61956"/>
    </row>
    <row r="61957" spans="3:13" ht="12.75" customHeight="1" x14ac:dyDescent="0.2">
      <c r="C61957"/>
      <c r="M61957"/>
    </row>
    <row r="61958" spans="3:13" ht="12.75" customHeight="1" x14ac:dyDescent="0.2">
      <c r="C61958"/>
      <c r="M61958"/>
    </row>
    <row r="61959" spans="3:13" ht="12.75" customHeight="1" x14ac:dyDescent="0.2">
      <c r="C61959"/>
      <c r="M61959"/>
    </row>
    <row r="61960" spans="3:13" ht="12.75" customHeight="1" x14ac:dyDescent="0.2">
      <c r="C61960"/>
      <c r="M61960"/>
    </row>
    <row r="61961" spans="3:13" ht="12.75" customHeight="1" x14ac:dyDescent="0.2">
      <c r="C61961"/>
      <c r="M61961"/>
    </row>
    <row r="61962" spans="3:13" ht="12.75" customHeight="1" x14ac:dyDescent="0.2">
      <c r="C61962"/>
      <c r="M61962"/>
    </row>
    <row r="61963" spans="3:13" ht="12.75" customHeight="1" x14ac:dyDescent="0.2">
      <c r="C61963"/>
      <c r="M61963"/>
    </row>
    <row r="61964" spans="3:13" ht="12.75" customHeight="1" x14ac:dyDescent="0.2">
      <c r="C61964"/>
      <c r="M61964"/>
    </row>
    <row r="61965" spans="3:13" ht="12.75" customHeight="1" x14ac:dyDescent="0.2">
      <c r="C61965"/>
      <c r="M61965"/>
    </row>
    <row r="61966" spans="3:13" ht="12.75" customHeight="1" x14ac:dyDescent="0.2">
      <c r="C61966"/>
      <c r="M61966"/>
    </row>
    <row r="61967" spans="3:13" ht="12.75" customHeight="1" x14ac:dyDescent="0.2">
      <c r="C61967"/>
      <c r="M61967"/>
    </row>
    <row r="61968" spans="3:13" ht="12.75" customHeight="1" x14ac:dyDescent="0.2">
      <c r="C61968"/>
      <c r="M61968"/>
    </row>
    <row r="61969" spans="3:13" ht="12.75" customHeight="1" x14ac:dyDescent="0.2">
      <c r="C61969"/>
      <c r="M61969"/>
    </row>
    <row r="61970" spans="3:13" ht="12.75" customHeight="1" x14ac:dyDescent="0.2">
      <c r="C61970"/>
      <c r="M61970"/>
    </row>
    <row r="61971" spans="3:13" ht="12.75" customHeight="1" x14ac:dyDescent="0.2">
      <c r="C61971"/>
      <c r="M61971"/>
    </row>
    <row r="61972" spans="3:13" ht="12.75" customHeight="1" x14ac:dyDescent="0.2">
      <c r="C61972"/>
      <c r="M61972"/>
    </row>
    <row r="61973" spans="3:13" ht="12.75" customHeight="1" x14ac:dyDescent="0.2">
      <c r="C61973"/>
      <c r="M61973"/>
    </row>
    <row r="61974" spans="3:13" ht="12.75" customHeight="1" x14ac:dyDescent="0.2">
      <c r="C61974"/>
      <c r="M61974"/>
    </row>
    <row r="61975" spans="3:13" ht="12.75" customHeight="1" x14ac:dyDescent="0.2">
      <c r="C61975"/>
      <c r="M61975"/>
    </row>
    <row r="61976" spans="3:13" ht="12.75" customHeight="1" x14ac:dyDescent="0.2">
      <c r="C61976"/>
      <c r="M61976"/>
    </row>
    <row r="61977" spans="3:13" ht="12.75" customHeight="1" x14ac:dyDescent="0.2">
      <c r="C61977"/>
      <c r="M61977"/>
    </row>
    <row r="61978" spans="3:13" ht="12.75" customHeight="1" x14ac:dyDescent="0.2">
      <c r="C61978"/>
      <c r="M61978"/>
    </row>
    <row r="61979" spans="3:13" ht="12.75" customHeight="1" x14ac:dyDescent="0.2">
      <c r="C61979"/>
      <c r="M61979"/>
    </row>
    <row r="61980" spans="3:13" ht="12.75" customHeight="1" x14ac:dyDescent="0.2">
      <c r="C61980"/>
      <c r="M61980"/>
    </row>
    <row r="61981" spans="3:13" ht="12.75" customHeight="1" x14ac:dyDescent="0.2">
      <c r="C61981"/>
      <c r="M61981"/>
    </row>
    <row r="61982" spans="3:13" ht="12.75" customHeight="1" x14ac:dyDescent="0.2">
      <c r="C61982"/>
      <c r="M61982"/>
    </row>
    <row r="61983" spans="3:13" ht="12.75" customHeight="1" x14ac:dyDescent="0.2">
      <c r="C61983"/>
      <c r="M61983"/>
    </row>
    <row r="61984" spans="3:13" ht="12.75" customHeight="1" x14ac:dyDescent="0.2">
      <c r="C61984"/>
      <c r="M61984"/>
    </row>
    <row r="61985" spans="3:13" ht="12.75" customHeight="1" x14ac:dyDescent="0.2">
      <c r="C61985"/>
      <c r="M61985"/>
    </row>
    <row r="61986" spans="3:13" ht="12.75" customHeight="1" x14ac:dyDescent="0.2">
      <c r="C61986"/>
      <c r="M61986"/>
    </row>
    <row r="61987" spans="3:13" ht="12.75" customHeight="1" x14ac:dyDescent="0.2">
      <c r="C61987"/>
      <c r="M61987"/>
    </row>
    <row r="61988" spans="3:13" ht="12.75" customHeight="1" x14ac:dyDescent="0.2">
      <c r="C61988"/>
      <c r="M61988"/>
    </row>
    <row r="61989" spans="3:13" ht="12.75" customHeight="1" x14ac:dyDescent="0.2">
      <c r="C61989"/>
      <c r="M61989"/>
    </row>
    <row r="61990" spans="3:13" ht="12.75" customHeight="1" x14ac:dyDescent="0.2">
      <c r="C61990"/>
      <c r="M61990"/>
    </row>
    <row r="61991" spans="3:13" ht="12.75" customHeight="1" x14ac:dyDescent="0.2">
      <c r="C61991"/>
      <c r="M61991"/>
    </row>
    <row r="61992" spans="3:13" ht="12.75" customHeight="1" x14ac:dyDescent="0.2">
      <c r="C61992"/>
      <c r="M61992"/>
    </row>
    <row r="61993" spans="3:13" ht="12.75" customHeight="1" x14ac:dyDescent="0.2">
      <c r="C61993"/>
      <c r="M61993"/>
    </row>
    <row r="61994" spans="3:13" ht="12.75" customHeight="1" x14ac:dyDescent="0.2">
      <c r="C61994"/>
      <c r="M61994"/>
    </row>
    <row r="61995" spans="3:13" ht="12.75" customHeight="1" x14ac:dyDescent="0.2">
      <c r="C61995"/>
      <c r="M61995"/>
    </row>
    <row r="61996" spans="3:13" ht="12.75" customHeight="1" x14ac:dyDescent="0.2">
      <c r="C61996"/>
      <c r="M61996"/>
    </row>
    <row r="61997" spans="3:13" ht="12.75" customHeight="1" x14ac:dyDescent="0.2">
      <c r="C61997"/>
      <c r="M61997"/>
    </row>
    <row r="61998" spans="3:13" ht="12.75" customHeight="1" x14ac:dyDescent="0.2">
      <c r="C61998"/>
      <c r="M61998"/>
    </row>
    <row r="61999" spans="3:13" ht="12.75" customHeight="1" x14ac:dyDescent="0.2">
      <c r="C61999"/>
      <c r="M61999"/>
    </row>
    <row r="62000" spans="3:13" ht="12.75" customHeight="1" x14ac:dyDescent="0.2">
      <c r="C62000"/>
      <c r="M62000"/>
    </row>
    <row r="62001" spans="3:13" ht="12.75" customHeight="1" x14ac:dyDescent="0.2">
      <c r="C62001"/>
      <c r="M62001"/>
    </row>
    <row r="62002" spans="3:13" ht="12.75" customHeight="1" x14ac:dyDescent="0.2">
      <c r="C62002"/>
      <c r="M62002"/>
    </row>
    <row r="62003" spans="3:13" ht="12.75" customHeight="1" x14ac:dyDescent="0.2">
      <c r="C62003"/>
      <c r="M62003"/>
    </row>
    <row r="62004" spans="3:13" ht="12.75" customHeight="1" x14ac:dyDescent="0.2">
      <c r="C62004"/>
      <c r="M62004"/>
    </row>
    <row r="62005" spans="3:13" ht="12.75" customHeight="1" x14ac:dyDescent="0.2">
      <c r="C62005"/>
      <c r="M62005"/>
    </row>
    <row r="62006" spans="3:13" ht="12.75" customHeight="1" x14ac:dyDescent="0.2">
      <c r="C62006"/>
      <c r="M62006"/>
    </row>
    <row r="62007" spans="3:13" ht="12.75" customHeight="1" x14ac:dyDescent="0.2">
      <c r="C62007"/>
      <c r="M62007"/>
    </row>
    <row r="62008" spans="3:13" ht="12.75" customHeight="1" x14ac:dyDescent="0.2">
      <c r="C62008"/>
      <c r="M62008"/>
    </row>
    <row r="62009" spans="3:13" ht="12.75" customHeight="1" x14ac:dyDescent="0.2">
      <c r="C62009"/>
      <c r="M62009"/>
    </row>
    <row r="62010" spans="3:13" ht="12.75" customHeight="1" x14ac:dyDescent="0.2">
      <c r="C62010"/>
      <c r="M62010"/>
    </row>
    <row r="62011" spans="3:13" ht="12.75" customHeight="1" x14ac:dyDescent="0.2">
      <c r="C62011"/>
      <c r="M62011"/>
    </row>
    <row r="62012" spans="3:13" ht="12.75" customHeight="1" x14ac:dyDescent="0.2">
      <c r="C62012"/>
      <c r="M62012"/>
    </row>
    <row r="62013" spans="3:13" ht="12.75" customHeight="1" x14ac:dyDescent="0.2">
      <c r="C62013"/>
      <c r="M62013"/>
    </row>
    <row r="62014" spans="3:13" ht="12.75" customHeight="1" x14ac:dyDescent="0.2">
      <c r="C62014"/>
      <c r="M62014"/>
    </row>
    <row r="62015" spans="3:13" ht="12.75" customHeight="1" x14ac:dyDescent="0.2">
      <c r="C62015"/>
      <c r="M62015"/>
    </row>
    <row r="62016" spans="3:13" ht="12.75" customHeight="1" x14ac:dyDescent="0.2">
      <c r="C62016"/>
      <c r="M62016"/>
    </row>
    <row r="62017" spans="3:13" ht="12.75" customHeight="1" x14ac:dyDescent="0.2">
      <c r="C62017"/>
      <c r="M62017"/>
    </row>
    <row r="62018" spans="3:13" ht="12.75" customHeight="1" x14ac:dyDescent="0.2">
      <c r="C62018"/>
      <c r="M62018"/>
    </row>
    <row r="62019" spans="3:13" ht="12.75" customHeight="1" x14ac:dyDescent="0.2">
      <c r="C62019"/>
      <c r="M62019"/>
    </row>
    <row r="62020" spans="3:13" ht="12.75" customHeight="1" x14ac:dyDescent="0.2">
      <c r="C62020"/>
      <c r="M62020"/>
    </row>
    <row r="62021" spans="3:13" ht="12.75" customHeight="1" x14ac:dyDescent="0.2">
      <c r="C62021"/>
      <c r="M62021"/>
    </row>
    <row r="62022" spans="3:13" ht="12.75" customHeight="1" x14ac:dyDescent="0.2">
      <c r="C62022"/>
      <c r="M62022"/>
    </row>
    <row r="62023" spans="3:13" ht="12.75" customHeight="1" x14ac:dyDescent="0.2">
      <c r="C62023"/>
      <c r="M62023"/>
    </row>
    <row r="62024" spans="3:13" ht="12.75" customHeight="1" x14ac:dyDescent="0.2">
      <c r="C62024"/>
      <c r="M62024"/>
    </row>
    <row r="62025" spans="3:13" ht="12.75" customHeight="1" x14ac:dyDescent="0.2">
      <c r="C62025"/>
      <c r="M62025"/>
    </row>
    <row r="62026" spans="3:13" ht="12.75" customHeight="1" x14ac:dyDescent="0.2">
      <c r="C62026"/>
      <c r="M62026"/>
    </row>
    <row r="62027" spans="3:13" ht="12.75" customHeight="1" x14ac:dyDescent="0.2">
      <c r="C62027"/>
      <c r="M62027"/>
    </row>
    <row r="62028" spans="3:13" ht="12.75" customHeight="1" x14ac:dyDescent="0.2">
      <c r="C62028"/>
      <c r="M62028"/>
    </row>
    <row r="62029" spans="3:13" ht="12.75" customHeight="1" x14ac:dyDescent="0.2">
      <c r="C62029"/>
      <c r="M62029"/>
    </row>
    <row r="62030" spans="3:13" ht="12.75" customHeight="1" x14ac:dyDescent="0.2">
      <c r="C62030"/>
      <c r="M62030"/>
    </row>
    <row r="62031" spans="3:13" ht="12.75" customHeight="1" x14ac:dyDescent="0.2">
      <c r="C62031"/>
      <c r="M62031"/>
    </row>
    <row r="62032" spans="3:13" ht="12.75" customHeight="1" x14ac:dyDescent="0.2">
      <c r="C62032"/>
      <c r="M62032"/>
    </row>
    <row r="62033" spans="3:13" ht="12.75" customHeight="1" x14ac:dyDescent="0.2">
      <c r="C62033"/>
      <c r="M62033"/>
    </row>
    <row r="62034" spans="3:13" ht="12.75" customHeight="1" x14ac:dyDescent="0.2">
      <c r="C62034"/>
      <c r="M62034"/>
    </row>
    <row r="62035" spans="3:13" ht="12.75" customHeight="1" x14ac:dyDescent="0.2">
      <c r="C62035"/>
      <c r="M62035"/>
    </row>
    <row r="62036" spans="3:13" ht="12.75" customHeight="1" x14ac:dyDescent="0.2">
      <c r="C62036"/>
      <c r="M62036"/>
    </row>
    <row r="62037" spans="3:13" ht="12.75" customHeight="1" x14ac:dyDescent="0.2">
      <c r="C62037"/>
      <c r="M62037"/>
    </row>
    <row r="62038" spans="3:13" ht="12.75" customHeight="1" x14ac:dyDescent="0.2">
      <c r="C62038"/>
      <c r="M62038"/>
    </row>
    <row r="62039" spans="3:13" ht="12.75" customHeight="1" x14ac:dyDescent="0.2">
      <c r="C62039"/>
      <c r="M62039"/>
    </row>
    <row r="62040" spans="3:13" ht="12.75" customHeight="1" x14ac:dyDescent="0.2">
      <c r="C62040"/>
      <c r="M62040"/>
    </row>
    <row r="62041" spans="3:13" ht="12.75" customHeight="1" x14ac:dyDescent="0.2">
      <c r="C62041"/>
      <c r="M62041"/>
    </row>
    <row r="62042" spans="3:13" ht="12.75" customHeight="1" x14ac:dyDescent="0.2">
      <c r="C62042"/>
      <c r="M62042"/>
    </row>
    <row r="62043" spans="3:13" ht="12.75" customHeight="1" x14ac:dyDescent="0.2">
      <c r="C62043"/>
      <c r="M62043"/>
    </row>
    <row r="62044" spans="3:13" ht="12.75" customHeight="1" x14ac:dyDescent="0.2">
      <c r="C62044"/>
      <c r="M62044"/>
    </row>
    <row r="62045" spans="3:13" ht="12.75" customHeight="1" x14ac:dyDescent="0.2">
      <c r="C62045"/>
      <c r="M62045"/>
    </row>
    <row r="62046" spans="3:13" ht="12.75" customHeight="1" x14ac:dyDescent="0.2">
      <c r="C62046"/>
      <c r="M62046"/>
    </row>
    <row r="62047" spans="3:13" ht="12.75" customHeight="1" x14ac:dyDescent="0.2">
      <c r="C62047"/>
      <c r="M62047"/>
    </row>
    <row r="62048" spans="3:13" ht="12.75" customHeight="1" x14ac:dyDescent="0.2">
      <c r="C62048"/>
      <c r="M62048"/>
    </row>
    <row r="62049" spans="3:13" ht="12.75" customHeight="1" x14ac:dyDescent="0.2">
      <c r="C62049"/>
      <c r="M62049"/>
    </row>
    <row r="62050" spans="3:13" ht="12.75" customHeight="1" x14ac:dyDescent="0.2">
      <c r="C62050"/>
      <c r="M62050"/>
    </row>
    <row r="62051" spans="3:13" ht="12.75" customHeight="1" x14ac:dyDescent="0.2">
      <c r="C62051"/>
      <c r="M62051"/>
    </row>
    <row r="62052" spans="3:13" ht="12.75" customHeight="1" x14ac:dyDescent="0.2">
      <c r="C62052"/>
      <c r="M62052"/>
    </row>
    <row r="62053" spans="3:13" ht="12.75" customHeight="1" x14ac:dyDescent="0.2">
      <c r="C62053"/>
      <c r="M62053"/>
    </row>
    <row r="62054" spans="3:13" ht="12.75" customHeight="1" x14ac:dyDescent="0.2">
      <c r="C62054"/>
      <c r="M62054"/>
    </row>
    <row r="62055" spans="3:13" ht="12.75" customHeight="1" x14ac:dyDescent="0.2">
      <c r="C62055"/>
      <c r="M62055"/>
    </row>
    <row r="62056" spans="3:13" ht="12.75" customHeight="1" x14ac:dyDescent="0.2">
      <c r="C62056"/>
      <c r="M62056"/>
    </row>
    <row r="62057" spans="3:13" ht="12.75" customHeight="1" x14ac:dyDescent="0.2">
      <c r="C62057"/>
      <c r="M62057"/>
    </row>
    <row r="62058" spans="3:13" ht="12.75" customHeight="1" x14ac:dyDescent="0.2">
      <c r="C62058"/>
      <c r="M62058"/>
    </row>
    <row r="62059" spans="3:13" ht="12.75" customHeight="1" x14ac:dyDescent="0.2">
      <c r="C62059"/>
      <c r="M62059"/>
    </row>
    <row r="62060" spans="3:13" ht="12.75" customHeight="1" x14ac:dyDescent="0.2">
      <c r="C62060"/>
      <c r="M62060"/>
    </row>
    <row r="62061" spans="3:13" ht="12.75" customHeight="1" x14ac:dyDescent="0.2">
      <c r="C62061"/>
      <c r="M62061"/>
    </row>
    <row r="62062" spans="3:13" ht="12.75" customHeight="1" x14ac:dyDescent="0.2">
      <c r="C62062"/>
      <c r="M62062"/>
    </row>
    <row r="62063" spans="3:13" ht="12.75" customHeight="1" x14ac:dyDescent="0.2">
      <c r="C62063"/>
      <c r="M62063"/>
    </row>
    <row r="62064" spans="3:13" ht="12.75" customHeight="1" x14ac:dyDescent="0.2">
      <c r="C62064"/>
      <c r="M62064"/>
    </row>
    <row r="62065" spans="3:13" ht="12.75" customHeight="1" x14ac:dyDescent="0.2">
      <c r="C62065"/>
      <c r="M62065"/>
    </row>
    <row r="62066" spans="3:13" ht="12.75" customHeight="1" x14ac:dyDescent="0.2">
      <c r="C62066"/>
      <c r="M62066"/>
    </row>
    <row r="62067" spans="3:13" ht="12.75" customHeight="1" x14ac:dyDescent="0.2">
      <c r="C62067"/>
      <c r="M62067"/>
    </row>
    <row r="62068" spans="3:13" ht="12.75" customHeight="1" x14ac:dyDescent="0.2">
      <c r="C62068"/>
      <c r="M62068"/>
    </row>
    <row r="62069" spans="3:13" ht="12.75" customHeight="1" x14ac:dyDescent="0.2">
      <c r="C62069"/>
      <c r="M62069"/>
    </row>
    <row r="62070" spans="3:13" ht="12.75" customHeight="1" x14ac:dyDescent="0.2">
      <c r="C62070"/>
      <c r="M62070"/>
    </row>
    <row r="62071" spans="3:13" ht="12.75" customHeight="1" x14ac:dyDescent="0.2">
      <c r="C62071"/>
      <c r="M62071"/>
    </row>
    <row r="62072" spans="3:13" ht="12.75" customHeight="1" x14ac:dyDescent="0.2">
      <c r="C62072"/>
      <c r="M62072"/>
    </row>
    <row r="62073" spans="3:13" ht="12.75" customHeight="1" x14ac:dyDescent="0.2">
      <c r="C62073"/>
      <c r="M62073"/>
    </row>
    <row r="62074" spans="3:13" ht="12.75" customHeight="1" x14ac:dyDescent="0.2">
      <c r="C62074"/>
      <c r="M62074"/>
    </row>
    <row r="62075" spans="3:13" ht="12.75" customHeight="1" x14ac:dyDescent="0.2">
      <c r="C62075"/>
      <c r="M62075"/>
    </row>
    <row r="62076" spans="3:13" ht="12.75" customHeight="1" x14ac:dyDescent="0.2">
      <c r="C62076"/>
      <c r="M62076"/>
    </row>
    <row r="62077" spans="3:13" ht="12.75" customHeight="1" x14ac:dyDescent="0.2">
      <c r="C62077"/>
      <c r="M62077"/>
    </row>
    <row r="62078" spans="3:13" ht="12.75" customHeight="1" x14ac:dyDescent="0.2">
      <c r="C62078"/>
      <c r="M62078"/>
    </row>
    <row r="62079" spans="3:13" ht="12.75" customHeight="1" x14ac:dyDescent="0.2">
      <c r="C62079"/>
      <c r="M62079"/>
    </row>
    <row r="62080" spans="3:13" ht="12.75" customHeight="1" x14ac:dyDescent="0.2">
      <c r="C62080"/>
      <c r="M62080"/>
    </row>
    <row r="62081" spans="3:13" ht="12.75" customHeight="1" x14ac:dyDescent="0.2">
      <c r="C62081"/>
      <c r="M62081"/>
    </row>
    <row r="62082" spans="3:13" ht="12.75" customHeight="1" x14ac:dyDescent="0.2">
      <c r="C62082"/>
      <c r="M62082"/>
    </row>
    <row r="62083" spans="3:13" ht="12.75" customHeight="1" x14ac:dyDescent="0.2">
      <c r="C62083"/>
      <c r="M62083"/>
    </row>
    <row r="62084" spans="3:13" ht="12.75" customHeight="1" x14ac:dyDescent="0.2">
      <c r="C62084"/>
      <c r="M62084"/>
    </row>
    <row r="62085" spans="3:13" ht="12.75" customHeight="1" x14ac:dyDescent="0.2">
      <c r="C62085"/>
      <c r="M62085"/>
    </row>
    <row r="62086" spans="3:13" ht="12.75" customHeight="1" x14ac:dyDescent="0.2">
      <c r="C62086"/>
      <c r="M62086"/>
    </row>
    <row r="62087" spans="3:13" ht="12.75" customHeight="1" x14ac:dyDescent="0.2">
      <c r="C62087"/>
      <c r="M62087"/>
    </row>
    <row r="62088" spans="3:13" ht="12.75" customHeight="1" x14ac:dyDescent="0.2">
      <c r="C62088"/>
      <c r="M62088"/>
    </row>
    <row r="62089" spans="3:13" ht="12.75" customHeight="1" x14ac:dyDescent="0.2">
      <c r="C62089"/>
      <c r="M62089"/>
    </row>
    <row r="62090" spans="3:13" ht="12.75" customHeight="1" x14ac:dyDescent="0.2">
      <c r="C62090"/>
      <c r="M62090"/>
    </row>
    <row r="62091" spans="3:13" ht="12.75" customHeight="1" x14ac:dyDescent="0.2">
      <c r="C62091"/>
      <c r="M62091"/>
    </row>
    <row r="62092" spans="3:13" ht="12.75" customHeight="1" x14ac:dyDescent="0.2">
      <c r="C62092"/>
      <c r="M62092"/>
    </row>
    <row r="62093" spans="3:13" ht="12.75" customHeight="1" x14ac:dyDescent="0.2">
      <c r="C62093"/>
      <c r="M62093"/>
    </row>
    <row r="62094" spans="3:13" ht="12.75" customHeight="1" x14ac:dyDescent="0.2">
      <c r="C62094"/>
      <c r="M62094"/>
    </row>
    <row r="62095" spans="3:13" ht="12.75" customHeight="1" x14ac:dyDescent="0.2">
      <c r="C62095"/>
      <c r="M62095"/>
    </row>
    <row r="62096" spans="3:13" ht="12.75" customHeight="1" x14ac:dyDescent="0.2">
      <c r="C62096"/>
      <c r="M62096"/>
    </row>
    <row r="62097" spans="3:13" ht="12.75" customHeight="1" x14ac:dyDescent="0.2">
      <c r="C62097"/>
      <c r="M62097"/>
    </row>
    <row r="62098" spans="3:13" ht="12.75" customHeight="1" x14ac:dyDescent="0.2">
      <c r="C62098"/>
      <c r="M62098"/>
    </row>
    <row r="62099" spans="3:13" ht="12.75" customHeight="1" x14ac:dyDescent="0.2">
      <c r="C62099"/>
      <c r="M62099"/>
    </row>
    <row r="62100" spans="3:13" ht="12.75" customHeight="1" x14ac:dyDescent="0.2">
      <c r="C62100"/>
      <c r="M62100"/>
    </row>
    <row r="62101" spans="3:13" ht="12.75" customHeight="1" x14ac:dyDescent="0.2">
      <c r="C62101"/>
      <c r="M62101"/>
    </row>
    <row r="62102" spans="3:13" ht="12.75" customHeight="1" x14ac:dyDescent="0.2">
      <c r="C62102"/>
      <c r="M62102"/>
    </row>
    <row r="62103" spans="3:13" ht="12.75" customHeight="1" x14ac:dyDescent="0.2">
      <c r="C62103"/>
      <c r="M62103"/>
    </row>
    <row r="62104" spans="3:13" ht="12.75" customHeight="1" x14ac:dyDescent="0.2">
      <c r="C62104"/>
      <c r="M62104"/>
    </row>
    <row r="62105" spans="3:13" ht="12.75" customHeight="1" x14ac:dyDescent="0.2">
      <c r="C62105"/>
      <c r="M62105"/>
    </row>
    <row r="62106" spans="3:13" ht="12.75" customHeight="1" x14ac:dyDescent="0.2">
      <c r="C62106"/>
      <c r="M62106"/>
    </row>
    <row r="62107" spans="3:13" ht="12.75" customHeight="1" x14ac:dyDescent="0.2">
      <c r="C62107"/>
      <c r="M62107"/>
    </row>
    <row r="62108" spans="3:13" ht="12.75" customHeight="1" x14ac:dyDescent="0.2">
      <c r="C62108"/>
      <c r="M62108"/>
    </row>
    <row r="62109" spans="3:13" ht="12.75" customHeight="1" x14ac:dyDescent="0.2">
      <c r="C62109"/>
      <c r="M62109"/>
    </row>
    <row r="62110" spans="3:13" ht="12.75" customHeight="1" x14ac:dyDescent="0.2">
      <c r="C62110"/>
      <c r="M62110"/>
    </row>
    <row r="62111" spans="3:13" ht="12.75" customHeight="1" x14ac:dyDescent="0.2">
      <c r="C62111"/>
      <c r="M62111"/>
    </row>
    <row r="62112" spans="3:13" ht="12.75" customHeight="1" x14ac:dyDescent="0.2">
      <c r="C62112"/>
      <c r="M62112"/>
    </row>
    <row r="62113" spans="3:13" ht="12.75" customHeight="1" x14ac:dyDescent="0.2">
      <c r="C62113"/>
      <c r="M62113"/>
    </row>
    <row r="62114" spans="3:13" ht="12.75" customHeight="1" x14ac:dyDescent="0.2">
      <c r="C62114"/>
      <c r="M62114"/>
    </row>
    <row r="62115" spans="3:13" ht="12.75" customHeight="1" x14ac:dyDescent="0.2">
      <c r="C62115"/>
      <c r="M62115"/>
    </row>
    <row r="62116" spans="3:13" ht="12.75" customHeight="1" x14ac:dyDescent="0.2">
      <c r="C62116"/>
      <c r="M62116"/>
    </row>
    <row r="62117" spans="3:13" ht="12.75" customHeight="1" x14ac:dyDescent="0.2">
      <c r="C62117"/>
      <c r="M62117"/>
    </row>
    <row r="62118" spans="3:13" ht="12.75" customHeight="1" x14ac:dyDescent="0.2">
      <c r="C62118"/>
      <c r="M62118"/>
    </row>
    <row r="62119" spans="3:13" ht="12.75" customHeight="1" x14ac:dyDescent="0.2">
      <c r="C62119"/>
      <c r="M62119"/>
    </row>
    <row r="62120" spans="3:13" ht="12.75" customHeight="1" x14ac:dyDescent="0.2">
      <c r="C62120"/>
      <c r="M62120"/>
    </row>
    <row r="62121" spans="3:13" ht="12.75" customHeight="1" x14ac:dyDescent="0.2">
      <c r="C62121"/>
      <c r="M62121"/>
    </row>
    <row r="62122" spans="3:13" ht="12.75" customHeight="1" x14ac:dyDescent="0.2">
      <c r="C62122"/>
      <c r="M62122"/>
    </row>
    <row r="62123" spans="3:13" ht="12.75" customHeight="1" x14ac:dyDescent="0.2">
      <c r="C62123"/>
      <c r="M62123"/>
    </row>
    <row r="62124" spans="3:13" ht="12.75" customHeight="1" x14ac:dyDescent="0.2">
      <c r="C62124"/>
      <c r="M62124"/>
    </row>
    <row r="62125" spans="3:13" ht="12.75" customHeight="1" x14ac:dyDescent="0.2">
      <c r="C62125"/>
      <c r="M62125"/>
    </row>
    <row r="62126" spans="3:13" ht="12.75" customHeight="1" x14ac:dyDescent="0.2">
      <c r="C62126"/>
      <c r="M62126"/>
    </row>
    <row r="62127" spans="3:13" ht="12.75" customHeight="1" x14ac:dyDescent="0.2">
      <c r="C62127"/>
      <c r="M62127"/>
    </row>
    <row r="62128" spans="3:13" ht="12.75" customHeight="1" x14ac:dyDescent="0.2">
      <c r="C62128"/>
      <c r="M62128"/>
    </row>
    <row r="62129" spans="3:13" ht="12.75" customHeight="1" x14ac:dyDescent="0.2">
      <c r="C62129"/>
      <c r="M62129"/>
    </row>
    <row r="62130" spans="3:13" ht="12.75" customHeight="1" x14ac:dyDescent="0.2">
      <c r="C62130"/>
      <c r="M62130"/>
    </row>
    <row r="62131" spans="3:13" ht="12.75" customHeight="1" x14ac:dyDescent="0.2">
      <c r="C62131"/>
      <c r="M62131"/>
    </row>
    <row r="62132" spans="3:13" ht="12.75" customHeight="1" x14ac:dyDescent="0.2">
      <c r="C62132"/>
      <c r="M62132"/>
    </row>
    <row r="62133" spans="3:13" ht="12.75" customHeight="1" x14ac:dyDescent="0.2">
      <c r="C62133"/>
      <c r="M62133"/>
    </row>
    <row r="62134" spans="3:13" ht="12.75" customHeight="1" x14ac:dyDescent="0.2">
      <c r="C62134"/>
      <c r="M62134"/>
    </row>
    <row r="62135" spans="3:13" ht="12.75" customHeight="1" x14ac:dyDescent="0.2">
      <c r="C62135"/>
      <c r="M62135"/>
    </row>
    <row r="62136" spans="3:13" ht="12.75" customHeight="1" x14ac:dyDescent="0.2">
      <c r="C62136"/>
      <c r="M62136"/>
    </row>
    <row r="62137" spans="3:13" ht="12.75" customHeight="1" x14ac:dyDescent="0.2">
      <c r="C62137"/>
      <c r="M62137"/>
    </row>
    <row r="62138" spans="3:13" ht="12.75" customHeight="1" x14ac:dyDescent="0.2">
      <c r="C62138"/>
      <c r="M62138"/>
    </row>
    <row r="62139" spans="3:13" ht="12.75" customHeight="1" x14ac:dyDescent="0.2">
      <c r="C62139"/>
      <c r="M62139"/>
    </row>
    <row r="62140" spans="3:13" ht="12.75" customHeight="1" x14ac:dyDescent="0.2">
      <c r="C62140"/>
      <c r="M62140"/>
    </row>
    <row r="62141" spans="3:13" ht="12.75" customHeight="1" x14ac:dyDescent="0.2">
      <c r="C62141"/>
      <c r="M62141"/>
    </row>
    <row r="62142" spans="3:13" ht="12.75" customHeight="1" x14ac:dyDescent="0.2">
      <c r="C62142"/>
      <c r="M62142"/>
    </row>
    <row r="62143" spans="3:13" ht="12.75" customHeight="1" x14ac:dyDescent="0.2">
      <c r="C62143"/>
      <c r="M62143"/>
    </row>
    <row r="62144" spans="3:13" ht="12.75" customHeight="1" x14ac:dyDescent="0.2">
      <c r="C62144"/>
      <c r="M62144"/>
    </row>
    <row r="62145" spans="3:13" ht="12.75" customHeight="1" x14ac:dyDescent="0.2">
      <c r="C62145"/>
      <c r="M62145"/>
    </row>
    <row r="62146" spans="3:13" ht="12.75" customHeight="1" x14ac:dyDescent="0.2">
      <c r="C62146"/>
      <c r="M62146"/>
    </row>
    <row r="62147" spans="3:13" ht="12.75" customHeight="1" x14ac:dyDescent="0.2">
      <c r="C62147"/>
      <c r="M62147"/>
    </row>
    <row r="62148" spans="3:13" ht="12.75" customHeight="1" x14ac:dyDescent="0.2">
      <c r="C62148"/>
      <c r="M62148"/>
    </row>
    <row r="62149" spans="3:13" ht="12.75" customHeight="1" x14ac:dyDescent="0.2">
      <c r="C62149"/>
      <c r="M62149"/>
    </row>
    <row r="62150" spans="3:13" ht="12.75" customHeight="1" x14ac:dyDescent="0.2">
      <c r="C62150"/>
      <c r="M62150"/>
    </row>
    <row r="62151" spans="3:13" ht="12.75" customHeight="1" x14ac:dyDescent="0.2">
      <c r="C62151"/>
      <c r="M62151"/>
    </row>
    <row r="62152" spans="3:13" ht="12.75" customHeight="1" x14ac:dyDescent="0.2">
      <c r="C62152"/>
      <c r="M62152"/>
    </row>
    <row r="62153" spans="3:13" ht="12.75" customHeight="1" x14ac:dyDescent="0.2">
      <c r="C62153"/>
      <c r="M62153"/>
    </row>
    <row r="62154" spans="3:13" ht="12.75" customHeight="1" x14ac:dyDescent="0.2">
      <c r="C62154"/>
      <c r="M62154"/>
    </row>
    <row r="62155" spans="3:13" ht="12.75" customHeight="1" x14ac:dyDescent="0.2">
      <c r="C62155"/>
      <c r="M62155"/>
    </row>
    <row r="62156" spans="3:13" ht="12.75" customHeight="1" x14ac:dyDescent="0.2">
      <c r="C62156"/>
      <c r="M62156"/>
    </row>
    <row r="62157" spans="3:13" ht="12.75" customHeight="1" x14ac:dyDescent="0.2">
      <c r="C62157"/>
      <c r="M62157"/>
    </row>
    <row r="62158" spans="3:13" ht="12.75" customHeight="1" x14ac:dyDescent="0.2">
      <c r="C62158"/>
      <c r="M62158"/>
    </row>
    <row r="62159" spans="3:13" ht="12.75" customHeight="1" x14ac:dyDescent="0.2">
      <c r="C62159"/>
      <c r="M62159"/>
    </row>
    <row r="62160" spans="3:13" ht="12.75" customHeight="1" x14ac:dyDescent="0.2">
      <c r="C62160"/>
      <c r="M62160"/>
    </row>
    <row r="62161" spans="3:13" ht="12.75" customHeight="1" x14ac:dyDescent="0.2">
      <c r="C62161"/>
      <c r="M62161"/>
    </row>
    <row r="62162" spans="3:13" ht="12.75" customHeight="1" x14ac:dyDescent="0.2">
      <c r="C62162"/>
      <c r="M62162"/>
    </row>
    <row r="62163" spans="3:13" ht="12.75" customHeight="1" x14ac:dyDescent="0.2">
      <c r="C62163"/>
      <c r="M62163"/>
    </row>
    <row r="62164" spans="3:13" ht="12.75" customHeight="1" x14ac:dyDescent="0.2">
      <c r="C62164"/>
      <c r="M62164"/>
    </row>
    <row r="62165" spans="3:13" ht="12.75" customHeight="1" x14ac:dyDescent="0.2">
      <c r="C62165"/>
      <c r="M62165"/>
    </row>
    <row r="62166" spans="3:13" ht="12.75" customHeight="1" x14ac:dyDescent="0.2">
      <c r="C62166"/>
      <c r="M62166"/>
    </row>
    <row r="62167" spans="3:13" ht="12.75" customHeight="1" x14ac:dyDescent="0.2">
      <c r="C62167"/>
      <c r="M62167"/>
    </row>
    <row r="62168" spans="3:13" ht="12.75" customHeight="1" x14ac:dyDescent="0.2">
      <c r="C62168"/>
      <c r="M62168"/>
    </row>
    <row r="62169" spans="3:13" ht="12.75" customHeight="1" x14ac:dyDescent="0.2">
      <c r="C62169"/>
      <c r="M62169"/>
    </row>
    <row r="62170" spans="3:13" ht="12.75" customHeight="1" x14ac:dyDescent="0.2">
      <c r="C62170"/>
      <c r="M62170"/>
    </row>
    <row r="62171" spans="3:13" ht="12.75" customHeight="1" x14ac:dyDescent="0.2">
      <c r="C62171"/>
      <c r="M62171"/>
    </row>
    <row r="62172" spans="3:13" ht="12.75" customHeight="1" x14ac:dyDescent="0.2">
      <c r="C62172"/>
      <c r="M62172"/>
    </row>
    <row r="62173" spans="3:13" ht="12.75" customHeight="1" x14ac:dyDescent="0.2">
      <c r="C62173"/>
      <c r="M62173"/>
    </row>
    <row r="62174" spans="3:13" ht="12.75" customHeight="1" x14ac:dyDescent="0.2">
      <c r="C62174"/>
      <c r="M62174"/>
    </row>
    <row r="62175" spans="3:13" ht="12.75" customHeight="1" x14ac:dyDescent="0.2">
      <c r="C62175"/>
      <c r="M62175"/>
    </row>
    <row r="62176" spans="3:13" ht="12.75" customHeight="1" x14ac:dyDescent="0.2">
      <c r="C62176"/>
      <c r="M62176"/>
    </row>
    <row r="62177" spans="3:13" ht="12.75" customHeight="1" x14ac:dyDescent="0.2">
      <c r="C62177"/>
      <c r="M62177"/>
    </row>
    <row r="62178" spans="3:13" ht="12.75" customHeight="1" x14ac:dyDescent="0.2">
      <c r="C62178"/>
      <c r="M62178"/>
    </row>
    <row r="62179" spans="3:13" ht="12.75" customHeight="1" x14ac:dyDescent="0.2">
      <c r="C62179"/>
      <c r="M62179"/>
    </row>
    <row r="62180" spans="3:13" ht="12.75" customHeight="1" x14ac:dyDescent="0.2">
      <c r="C62180"/>
      <c r="M62180"/>
    </row>
    <row r="62181" spans="3:13" ht="12.75" customHeight="1" x14ac:dyDescent="0.2">
      <c r="C62181"/>
      <c r="M62181"/>
    </row>
    <row r="62182" spans="3:13" ht="12.75" customHeight="1" x14ac:dyDescent="0.2">
      <c r="C62182"/>
      <c r="M62182"/>
    </row>
    <row r="62183" spans="3:13" ht="12.75" customHeight="1" x14ac:dyDescent="0.2">
      <c r="C62183"/>
      <c r="M62183"/>
    </row>
    <row r="62184" spans="3:13" ht="12.75" customHeight="1" x14ac:dyDescent="0.2">
      <c r="C62184"/>
      <c r="M62184"/>
    </row>
    <row r="62185" spans="3:13" ht="12.75" customHeight="1" x14ac:dyDescent="0.2">
      <c r="C62185"/>
      <c r="M62185"/>
    </row>
    <row r="62186" spans="3:13" ht="12.75" customHeight="1" x14ac:dyDescent="0.2">
      <c r="C62186"/>
      <c r="M62186"/>
    </row>
    <row r="62187" spans="3:13" ht="12.75" customHeight="1" x14ac:dyDescent="0.2">
      <c r="C62187"/>
      <c r="M62187"/>
    </row>
    <row r="62188" spans="3:13" ht="12.75" customHeight="1" x14ac:dyDescent="0.2">
      <c r="C62188"/>
      <c r="M62188"/>
    </row>
    <row r="62189" spans="3:13" ht="12.75" customHeight="1" x14ac:dyDescent="0.2">
      <c r="C62189"/>
      <c r="M62189"/>
    </row>
    <row r="62190" spans="3:13" ht="12.75" customHeight="1" x14ac:dyDescent="0.2">
      <c r="C62190"/>
      <c r="M62190"/>
    </row>
    <row r="62191" spans="3:13" ht="12.75" customHeight="1" x14ac:dyDescent="0.2">
      <c r="C62191"/>
      <c r="M62191"/>
    </row>
    <row r="62192" spans="3:13" ht="12.75" customHeight="1" x14ac:dyDescent="0.2">
      <c r="C62192"/>
      <c r="M62192"/>
    </row>
    <row r="62193" spans="3:13" ht="12.75" customHeight="1" x14ac:dyDescent="0.2">
      <c r="C62193"/>
      <c r="M62193"/>
    </row>
    <row r="62194" spans="3:13" ht="12.75" customHeight="1" x14ac:dyDescent="0.2">
      <c r="C62194"/>
      <c r="M62194"/>
    </row>
    <row r="62195" spans="3:13" ht="12.75" customHeight="1" x14ac:dyDescent="0.2">
      <c r="C62195"/>
      <c r="M62195"/>
    </row>
    <row r="62196" spans="3:13" ht="12.75" customHeight="1" x14ac:dyDescent="0.2">
      <c r="C62196"/>
      <c r="M62196"/>
    </row>
    <row r="62197" spans="3:13" ht="12.75" customHeight="1" x14ac:dyDescent="0.2">
      <c r="C62197"/>
      <c r="M62197"/>
    </row>
    <row r="62198" spans="3:13" ht="12.75" customHeight="1" x14ac:dyDescent="0.2">
      <c r="C62198"/>
      <c r="M62198"/>
    </row>
    <row r="62199" spans="3:13" ht="12.75" customHeight="1" x14ac:dyDescent="0.2">
      <c r="C62199"/>
      <c r="M62199"/>
    </row>
    <row r="62200" spans="3:13" ht="12.75" customHeight="1" x14ac:dyDescent="0.2">
      <c r="C62200"/>
      <c r="M62200"/>
    </row>
    <row r="62201" spans="3:13" ht="12.75" customHeight="1" x14ac:dyDescent="0.2">
      <c r="C62201"/>
      <c r="M62201"/>
    </row>
    <row r="62202" spans="3:13" ht="12.75" customHeight="1" x14ac:dyDescent="0.2">
      <c r="C62202"/>
      <c r="M62202"/>
    </row>
    <row r="62203" spans="3:13" ht="12.75" customHeight="1" x14ac:dyDescent="0.2">
      <c r="C62203"/>
      <c r="M62203"/>
    </row>
    <row r="62204" spans="3:13" ht="12.75" customHeight="1" x14ac:dyDescent="0.2">
      <c r="C62204"/>
      <c r="M62204"/>
    </row>
    <row r="62205" spans="3:13" ht="12.75" customHeight="1" x14ac:dyDescent="0.2">
      <c r="C62205"/>
      <c r="M62205"/>
    </row>
    <row r="62206" spans="3:13" ht="12.75" customHeight="1" x14ac:dyDescent="0.2">
      <c r="C62206"/>
      <c r="M62206"/>
    </row>
    <row r="62207" spans="3:13" ht="12.75" customHeight="1" x14ac:dyDescent="0.2">
      <c r="C62207"/>
      <c r="M62207"/>
    </row>
    <row r="62208" spans="3:13" ht="12.75" customHeight="1" x14ac:dyDescent="0.2">
      <c r="C62208"/>
      <c r="M62208"/>
    </row>
    <row r="62209" spans="3:13" ht="12.75" customHeight="1" x14ac:dyDescent="0.2">
      <c r="C62209"/>
      <c r="M62209"/>
    </row>
    <row r="62210" spans="3:13" ht="12.75" customHeight="1" x14ac:dyDescent="0.2">
      <c r="C62210"/>
      <c r="M62210"/>
    </row>
    <row r="62211" spans="3:13" ht="12.75" customHeight="1" x14ac:dyDescent="0.2">
      <c r="C62211"/>
      <c r="M62211"/>
    </row>
    <row r="62212" spans="3:13" ht="12.75" customHeight="1" x14ac:dyDescent="0.2">
      <c r="C62212"/>
      <c r="M62212"/>
    </row>
    <row r="62213" spans="3:13" ht="12.75" customHeight="1" x14ac:dyDescent="0.2">
      <c r="C62213"/>
      <c r="M62213"/>
    </row>
    <row r="62214" spans="3:13" ht="12.75" customHeight="1" x14ac:dyDescent="0.2">
      <c r="C62214"/>
      <c r="M62214"/>
    </row>
    <row r="62215" spans="3:13" ht="12.75" customHeight="1" x14ac:dyDescent="0.2">
      <c r="C62215"/>
      <c r="M62215"/>
    </row>
    <row r="62216" spans="3:13" ht="12.75" customHeight="1" x14ac:dyDescent="0.2">
      <c r="C62216"/>
      <c r="M62216"/>
    </row>
    <row r="62217" spans="3:13" ht="12.75" customHeight="1" x14ac:dyDescent="0.2">
      <c r="C62217"/>
      <c r="M62217"/>
    </row>
    <row r="62218" spans="3:13" ht="12.75" customHeight="1" x14ac:dyDescent="0.2">
      <c r="C62218"/>
      <c r="M62218"/>
    </row>
    <row r="62219" spans="3:13" ht="12.75" customHeight="1" x14ac:dyDescent="0.2">
      <c r="C62219"/>
      <c r="M62219"/>
    </row>
    <row r="62220" spans="3:13" ht="12.75" customHeight="1" x14ac:dyDescent="0.2">
      <c r="C62220"/>
      <c r="M62220"/>
    </row>
    <row r="62221" spans="3:13" ht="12.75" customHeight="1" x14ac:dyDescent="0.2">
      <c r="C62221"/>
      <c r="M62221"/>
    </row>
    <row r="62222" spans="3:13" ht="12.75" customHeight="1" x14ac:dyDescent="0.2">
      <c r="C62222"/>
      <c r="M62222"/>
    </row>
    <row r="62223" spans="3:13" ht="12.75" customHeight="1" x14ac:dyDescent="0.2">
      <c r="C62223"/>
      <c r="M62223"/>
    </row>
    <row r="62224" spans="3:13" ht="12.75" customHeight="1" x14ac:dyDescent="0.2">
      <c r="C62224"/>
      <c r="M62224"/>
    </row>
    <row r="62225" spans="3:13" ht="12.75" customHeight="1" x14ac:dyDescent="0.2">
      <c r="C62225"/>
      <c r="M62225"/>
    </row>
    <row r="62226" spans="3:13" ht="12.75" customHeight="1" x14ac:dyDescent="0.2">
      <c r="C62226"/>
      <c r="M62226"/>
    </row>
    <row r="62227" spans="3:13" ht="12.75" customHeight="1" x14ac:dyDescent="0.2">
      <c r="C62227"/>
      <c r="M62227"/>
    </row>
    <row r="62228" spans="3:13" ht="12.75" customHeight="1" x14ac:dyDescent="0.2">
      <c r="C62228"/>
      <c r="M62228"/>
    </row>
    <row r="62229" spans="3:13" ht="12.75" customHeight="1" x14ac:dyDescent="0.2">
      <c r="C62229"/>
      <c r="M62229"/>
    </row>
    <row r="62230" spans="3:13" ht="12.75" customHeight="1" x14ac:dyDescent="0.2">
      <c r="C62230"/>
      <c r="M62230"/>
    </row>
    <row r="62231" spans="3:13" ht="12.75" customHeight="1" x14ac:dyDescent="0.2">
      <c r="C62231"/>
      <c r="M62231"/>
    </row>
    <row r="62232" spans="3:13" ht="12.75" customHeight="1" x14ac:dyDescent="0.2">
      <c r="C62232"/>
      <c r="M62232"/>
    </row>
    <row r="62233" spans="3:13" ht="12.75" customHeight="1" x14ac:dyDescent="0.2">
      <c r="C62233"/>
      <c r="M62233"/>
    </row>
    <row r="62234" spans="3:13" ht="12.75" customHeight="1" x14ac:dyDescent="0.2">
      <c r="C62234"/>
      <c r="M62234"/>
    </row>
    <row r="62235" spans="3:13" ht="12.75" customHeight="1" x14ac:dyDescent="0.2">
      <c r="C62235"/>
      <c r="M62235"/>
    </row>
    <row r="62236" spans="3:13" ht="12.75" customHeight="1" x14ac:dyDescent="0.2">
      <c r="C62236"/>
      <c r="M62236"/>
    </row>
    <row r="62237" spans="3:13" ht="12.75" customHeight="1" x14ac:dyDescent="0.2">
      <c r="C62237"/>
      <c r="M62237"/>
    </row>
    <row r="62238" spans="3:13" ht="12.75" customHeight="1" x14ac:dyDescent="0.2">
      <c r="C62238"/>
      <c r="M62238"/>
    </row>
    <row r="62239" spans="3:13" ht="12.75" customHeight="1" x14ac:dyDescent="0.2">
      <c r="C62239"/>
      <c r="M62239"/>
    </row>
    <row r="62240" spans="3:13" ht="12.75" customHeight="1" x14ac:dyDescent="0.2">
      <c r="C62240"/>
      <c r="M62240"/>
    </row>
    <row r="62241" spans="3:13" ht="12.75" customHeight="1" x14ac:dyDescent="0.2">
      <c r="C62241"/>
      <c r="M62241"/>
    </row>
    <row r="62242" spans="3:13" ht="12.75" customHeight="1" x14ac:dyDescent="0.2">
      <c r="C62242"/>
      <c r="M62242"/>
    </row>
    <row r="62243" spans="3:13" ht="12.75" customHeight="1" x14ac:dyDescent="0.2">
      <c r="C62243"/>
      <c r="M62243"/>
    </row>
    <row r="62244" spans="3:13" ht="12.75" customHeight="1" x14ac:dyDescent="0.2">
      <c r="C62244"/>
      <c r="M62244"/>
    </row>
    <row r="62245" spans="3:13" ht="12.75" customHeight="1" x14ac:dyDescent="0.2">
      <c r="C62245"/>
      <c r="M62245"/>
    </row>
    <row r="62246" spans="3:13" ht="12.75" customHeight="1" x14ac:dyDescent="0.2">
      <c r="C62246"/>
      <c r="M62246"/>
    </row>
    <row r="62247" spans="3:13" ht="12.75" customHeight="1" x14ac:dyDescent="0.2">
      <c r="C62247"/>
      <c r="M62247"/>
    </row>
    <row r="62248" spans="3:13" ht="12.75" customHeight="1" x14ac:dyDescent="0.2">
      <c r="C62248"/>
      <c r="M62248"/>
    </row>
    <row r="62249" spans="3:13" ht="12.75" customHeight="1" x14ac:dyDescent="0.2">
      <c r="C62249"/>
      <c r="M62249"/>
    </row>
    <row r="62250" spans="3:13" ht="12.75" customHeight="1" x14ac:dyDescent="0.2">
      <c r="C62250"/>
      <c r="M62250"/>
    </row>
    <row r="62251" spans="3:13" ht="12.75" customHeight="1" x14ac:dyDescent="0.2">
      <c r="C62251"/>
      <c r="M62251"/>
    </row>
    <row r="62252" spans="3:13" ht="12.75" customHeight="1" x14ac:dyDescent="0.2">
      <c r="C62252"/>
      <c r="M62252"/>
    </row>
    <row r="62253" spans="3:13" ht="12.75" customHeight="1" x14ac:dyDescent="0.2">
      <c r="C62253"/>
      <c r="M62253"/>
    </row>
    <row r="62254" spans="3:13" ht="12.75" customHeight="1" x14ac:dyDescent="0.2">
      <c r="C62254"/>
      <c r="M62254"/>
    </row>
    <row r="62255" spans="3:13" ht="12.75" customHeight="1" x14ac:dyDescent="0.2">
      <c r="C62255"/>
      <c r="M62255"/>
    </row>
    <row r="62256" spans="3:13" ht="12.75" customHeight="1" x14ac:dyDescent="0.2">
      <c r="C62256"/>
      <c r="M62256"/>
    </row>
    <row r="62257" spans="3:13" ht="12.75" customHeight="1" x14ac:dyDescent="0.2">
      <c r="C62257"/>
      <c r="M62257"/>
    </row>
    <row r="62258" spans="3:13" ht="12.75" customHeight="1" x14ac:dyDescent="0.2">
      <c r="C62258"/>
      <c r="M62258"/>
    </row>
    <row r="62259" spans="3:13" ht="12.75" customHeight="1" x14ac:dyDescent="0.2">
      <c r="C62259"/>
      <c r="M62259"/>
    </row>
    <row r="62260" spans="3:13" ht="12.75" customHeight="1" x14ac:dyDescent="0.2">
      <c r="C62260"/>
      <c r="M62260"/>
    </row>
    <row r="62261" spans="3:13" ht="12.75" customHeight="1" x14ac:dyDescent="0.2">
      <c r="C62261"/>
      <c r="M62261"/>
    </row>
    <row r="62262" spans="3:13" ht="12.75" customHeight="1" x14ac:dyDescent="0.2">
      <c r="C62262"/>
      <c r="M62262"/>
    </row>
    <row r="62263" spans="3:13" ht="12.75" customHeight="1" x14ac:dyDescent="0.2">
      <c r="C62263"/>
      <c r="M62263"/>
    </row>
    <row r="62264" spans="3:13" ht="12.75" customHeight="1" x14ac:dyDescent="0.2">
      <c r="C62264"/>
      <c r="M62264"/>
    </row>
    <row r="62265" spans="3:13" ht="12.75" customHeight="1" x14ac:dyDescent="0.2">
      <c r="C62265"/>
      <c r="M62265"/>
    </row>
    <row r="62266" spans="3:13" ht="12.75" customHeight="1" x14ac:dyDescent="0.2">
      <c r="C62266"/>
      <c r="M62266"/>
    </row>
    <row r="62267" spans="3:13" ht="12.75" customHeight="1" x14ac:dyDescent="0.2">
      <c r="C62267"/>
      <c r="M62267"/>
    </row>
    <row r="62268" spans="3:13" ht="12.75" customHeight="1" x14ac:dyDescent="0.2">
      <c r="C62268"/>
      <c r="M62268"/>
    </row>
    <row r="62269" spans="3:13" ht="12.75" customHeight="1" x14ac:dyDescent="0.2">
      <c r="C62269"/>
      <c r="M62269"/>
    </row>
    <row r="62270" spans="3:13" ht="12.75" customHeight="1" x14ac:dyDescent="0.2">
      <c r="C62270"/>
      <c r="M62270"/>
    </row>
    <row r="62271" spans="3:13" ht="12.75" customHeight="1" x14ac:dyDescent="0.2">
      <c r="C62271"/>
      <c r="M62271"/>
    </row>
    <row r="62272" spans="3:13" ht="12.75" customHeight="1" x14ac:dyDescent="0.2">
      <c r="C62272"/>
      <c r="M62272"/>
    </row>
    <row r="62273" spans="3:13" ht="12.75" customHeight="1" x14ac:dyDescent="0.2">
      <c r="C62273"/>
      <c r="M62273"/>
    </row>
    <row r="62274" spans="3:13" ht="12.75" customHeight="1" x14ac:dyDescent="0.2">
      <c r="C62274"/>
      <c r="M62274"/>
    </row>
    <row r="62275" spans="3:13" ht="12.75" customHeight="1" x14ac:dyDescent="0.2">
      <c r="C62275"/>
      <c r="M62275"/>
    </row>
    <row r="62276" spans="3:13" ht="12.75" customHeight="1" x14ac:dyDescent="0.2">
      <c r="C62276"/>
      <c r="M62276"/>
    </row>
    <row r="62277" spans="3:13" ht="12.75" customHeight="1" x14ac:dyDescent="0.2">
      <c r="C62277"/>
      <c r="M62277"/>
    </row>
    <row r="62278" spans="3:13" ht="12.75" customHeight="1" x14ac:dyDescent="0.2">
      <c r="C62278"/>
      <c r="M62278"/>
    </row>
    <row r="62279" spans="3:13" ht="12.75" customHeight="1" x14ac:dyDescent="0.2">
      <c r="C62279"/>
      <c r="M62279"/>
    </row>
    <row r="62280" spans="3:13" ht="12.75" customHeight="1" x14ac:dyDescent="0.2">
      <c r="C62280"/>
      <c r="M62280"/>
    </row>
    <row r="62281" spans="3:13" ht="12.75" customHeight="1" x14ac:dyDescent="0.2">
      <c r="C62281"/>
      <c r="M62281"/>
    </row>
    <row r="62282" spans="3:13" ht="12.75" customHeight="1" x14ac:dyDescent="0.2">
      <c r="C62282"/>
      <c r="M62282"/>
    </row>
    <row r="62283" spans="3:13" ht="12.75" customHeight="1" x14ac:dyDescent="0.2">
      <c r="C62283"/>
      <c r="M62283"/>
    </row>
    <row r="62284" spans="3:13" ht="12.75" customHeight="1" x14ac:dyDescent="0.2">
      <c r="C62284"/>
      <c r="M62284"/>
    </row>
    <row r="62285" spans="3:13" ht="12.75" customHeight="1" x14ac:dyDescent="0.2">
      <c r="C62285"/>
      <c r="M62285"/>
    </row>
    <row r="62286" spans="3:13" ht="12.75" customHeight="1" x14ac:dyDescent="0.2">
      <c r="C62286"/>
      <c r="M62286"/>
    </row>
    <row r="62287" spans="3:13" ht="12.75" customHeight="1" x14ac:dyDescent="0.2">
      <c r="C62287"/>
      <c r="M62287"/>
    </row>
    <row r="62288" spans="3:13" ht="12.75" customHeight="1" x14ac:dyDescent="0.2">
      <c r="C62288"/>
      <c r="M62288"/>
    </row>
    <row r="62289" spans="3:13" ht="12.75" customHeight="1" x14ac:dyDescent="0.2">
      <c r="C62289"/>
      <c r="M62289"/>
    </row>
    <row r="62290" spans="3:13" ht="12.75" customHeight="1" x14ac:dyDescent="0.2">
      <c r="C62290"/>
      <c r="M62290"/>
    </row>
    <row r="62291" spans="3:13" ht="12.75" customHeight="1" x14ac:dyDescent="0.2">
      <c r="C62291"/>
      <c r="M62291"/>
    </row>
    <row r="62292" spans="3:13" ht="12.75" customHeight="1" x14ac:dyDescent="0.2">
      <c r="C62292"/>
      <c r="M62292"/>
    </row>
    <row r="62293" spans="3:13" ht="12.75" customHeight="1" x14ac:dyDescent="0.2">
      <c r="C62293"/>
      <c r="M62293"/>
    </row>
    <row r="62294" spans="3:13" ht="12.75" customHeight="1" x14ac:dyDescent="0.2">
      <c r="C62294"/>
      <c r="M62294"/>
    </row>
    <row r="62295" spans="3:13" ht="12.75" customHeight="1" x14ac:dyDescent="0.2">
      <c r="C62295"/>
      <c r="M62295"/>
    </row>
    <row r="62296" spans="3:13" ht="12.75" customHeight="1" x14ac:dyDescent="0.2">
      <c r="C62296"/>
      <c r="M62296"/>
    </row>
    <row r="62297" spans="3:13" ht="12.75" customHeight="1" x14ac:dyDescent="0.2">
      <c r="C62297"/>
      <c r="M62297"/>
    </row>
    <row r="62298" spans="3:13" ht="12.75" customHeight="1" x14ac:dyDescent="0.2">
      <c r="C62298"/>
      <c r="M62298"/>
    </row>
    <row r="62299" spans="3:13" ht="12.75" customHeight="1" x14ac:dyDescent="0.2">
      <c r="C62299"/>
      <c r="M62299"/>
    </row>
    <row r="62300" spans="3:13" ht="12.75" customHeight="1" x14ac:dyDescent="0.2">
      <c r="C62300"/>
      <c r="M62300"/>
    </row>
    <row r="62301" spans="3:13" ht="12.75" customHeight="1" x14ac:dyDescent="0.2">
      <c r="C62301"/>
      <c r="M62301"/>
    </row>
    <row r="62302" spans="3:13" ht="12.75" customHeight="1" x14ac:dyDescent="0.2">
      <c r="C62302"/>
      <c r="M62302"/>
    </row>
    <row r="62303" spans="3:13" ht="12.75" customHeight="1" x14ac:dyDescent="0.2">
      <c r="C62303"/>
      <c r="M62303"/>
    </row>
    <row r="62304" spans="3:13" ht="12.75" customHeight="1" x14ac:dyDescent="0.2">
      <c r="C62304"/>
      <c r="M62304"/>
    </row>
    <row r="62305" spans="3:13" ht="12.75" customHeight="1" x14ac:dyDescent="0.2">
      <c r="C62305"/>
      <c r="M62305"/>
    </row>
    <row r="62306" spans="3:13" ht="12.75" customHeight="1" x14ac:dyDescent="0.2">
      <c r="C62306"/>
      <c r="M62306"/>
    </row>
    <row r="62307" spans="3:13" ht="12.75" customHeight="1" x14ac:dyDescent="0.2">
      <c r="C62307"/>
      <c r="M62307"/>
    </row>
    <row r="62308" spans="3:13" ht="12.75" customHeight="1" x14ac:dyDescent="0.2">
      <c r="C62308"/>
      <c r="M62308"/>
    </row>
    <row r="62309" spans="3:13" ht="12.75" customHeight="1" x14ac:dyDescent="0.2">
      <c r="C62309"/>
      <c r="M62309"/>
    </row>
    <row r="62310" spans="3:13" ht="12.75" customHeight="1" x14ac:dyDescent="0.2">
      <c r="C62310"/>
      <c r="M62310"/>
    </row>
    <row r="62311" spans="3:13" ht="12.75" customHeight="1" x14ac:dyDescent="0.2">
      <c r="C62311"/>
      <c r="M62311"/>
    </row>
    <row r="62312" spans="3:13" ht="12.75" customHeight="1" x14ac:dyDescent="0.2">
      <c r="C62312"/>
      <c r="M62312"/>
    </row>
    <row r="62313" spans="3:13" ht="12.75" customHeight="1" x14ac:dyDescent="0.2">
      <c r="C62313"/>
      <c r="M62313"/>
    </row>
    <row r="62314" spans="3:13" ht="12.75" customHeight="1" x14ac:dyDescent="0.2">
      <c r="C62314"/>
      <c r="M62314"/>
    </row>
    <row r="62315" spans="3:13" ht="12.75" customHeight="1" x14ac:dyDescent="0.2">
      <c r="C62315"/>
      <c r="M62315"/>
    </row>
    <row r="62316" spans="3:13" ht="12.75" customHeight="1" x14ac:dyDescent="0.2">
      <c r="C62316"/>
      <c r="M62316"/>
    </row>
    <row r="62317" spans="3:13" ht="12.75" customHeight="1" x14ac:dyDescent="0.2">
      <c r="C62317"/>
      <c r="M62317"/>
    </row>
    <row r="62318" spans="3:13" ht="12.75" customHeight="1" x14ac:dyDescent="0.2">
      <c r="C62318"/>
      <c r="M62318"/>
    </row>
    <row r="62319" spans="3:13" ht="12.75" customHeight="1" x14ac:dyDescent="0.2">
      <c r="C62319"/>
      <c r="M62319"/>
    </row>
    <row r="62320" spans="3:13" ht="12.75" customHeight="1" x14ac:dyDescent="0.2">
      <c r="C62320"/>
      <c r="M62320"/>
    </row>
    <row r="62321" spans="3:13" ht="12.75" customHeight="1" x14ac:dyDescent="0.2">
      <c r="C62321"/>
      <c r="M62321"/>
    </row>
    <row r="62322" spans="3:13" ht="12.75" customHeight="1" x14ac:dyDescent="0.2">
      <c r="C62322"/>
      <c r="M62322"/>
    </row>
    <row r="62323" spans="3:13" ht="12.75" customHeight="1" x14ac:dyDescent="0.2">
      <c r="C62323"/>
      <c r="M62323"/>
    </row>
    <row r="62324" spans="3:13" ht="12.75" customHeight="1" x14ac:dyDescent="0.2">
      <c r="C62324"/>
      <c r="M62324"/>
    </row>
    <row r="62325" spans="3:13" ht="12.75" customHeight="1" x14ac:dyDescent="0.2">
      <c r="C62325"/>
      <c r="M62325"/>
    </row>
    <row r="62326" spans="3:13" ht="12.75" customHeight="1" x14ac:dyDescent="0.2">
      <c r="C62326"/>
      <c r="M62326"/>
    </row>
    <row r="62327" spans="3:13" ht="12.75" customHeight="1" x14ac:dyDescent="0.2">
      <c r="C62327"/>
      <c r="M62327"/>
    </row>
    <row r="62328" spans="3:13" ht="12.75" customHeight="1" x14ac:dyDescent="0.2">
      <c r="C62328"/>
      <c r="M62328"/>
    </row>
    <row r="62329" spans="3:13" ht="12.75" customHeight="1" x14ac:dyDescent="0.2">
      <c r="C62329"/>
      <c r="M62329"/>
    </row>
    <row r="62330" spans="3:13" ht="12.75" customHeight="1" x14ac:dyDescent="0.2">
      <c r="C62330"/>
      <c r="M62330"/>
    </row>
    <row r="62331" spans="3:13" ht="12.75" customHeight="1" x14ac:dyDescent="0.2">
      <c r="C62331"/>
      <c r="M62331"/>
    </row>
    <row r="62332" spans="3:13" ht="12.75" customHeight="1" x14ac:dyDescent="0.2">
      <c r="C62332"/>
      <c r="M62332"/>
    </row>
    <row r="62333" spans="3:13" ht="12.75" customHeight="1" x14ac:dyDescent="0.2">
      <c r="C62333"/>
      <c r="M62333"/>
    </row>
    <row r="62334" spans="3:13" ht="12.75" customHeight="1" x14ac:dyDescent="0.2">
      <c r="C62334"/>
      <c r="M62334"/>
    </row>
    <row r="62335" spans="3:13" ht="12.75" customHeight="1" x14ac:dyDescent="0.2">
      <c r="C62335"/>
      <c r="M62335"/>
    </row>
    <row r="62336" spans="3:13" ht="12.75" customHeight="1" x14ac:dyDescent="0.2">
      <c r="C62336"/>
      <c r="M62336"/>
    </row>
    <row r="62337" spans="3:13" ht="12.75" customHeight="1" x14ac:dyDescent="0.2">
      <c r="C62337"/>
      <c r="M62337"/>
    </row>
    <row r="62338" spans="3:13" ht="12.75" customHeight="1" x14ac:dyDescent="0.2">
      <c r="C62338"/>
      <c r="M62338"/>
    </row>
    <row r="62339" spans="3:13" ht="12.75" customHeight="1" x14ac:dyDescent="0.2">
      <c r="C62339"/>
      <c r="M62339"/>
    </row>
    <row r="62340" spans="3:13" ht="12.75" customHeight="1" x14ac:dyDescent="0.2">
      <c r="C62340"/>
      <c r="M62340"/>
    </row>
    <row r="62341" spans="3:13" ht="12.75" customHeight="1" x14ac:dyDescent="0.2">
      <c r="C62341"/>
      <c r="M62341"/>
    </row>
    <row r="62342" spans="3:13" ht="12.75" customHeight="1" x14ac:dyDescent="0.2">
      <c r="C62342"/>
      <c r="M62342"/>
    </row>
    <row r="62343" spans="3:13" ht="12.75" customHeight="1" x14ac:dyDescent="0.2">
      <c r="C62343"/>
      <c r="M62343"/>
    </row>
    <row r="62344" spans="3:13" ht="12.75" customHeight="1" x14ac:dyDescent="0.2">
      <c r="C62344"/>
      <c r="M62344"/>
    </row>
    <row r="62345" spans="3:13" ht="12.75" customHeight="1" x14ac:dyDescent="0.2">
      <c r="C62345"/>
      <c r="M62345"/>
    </row>
    <row r="62346" spans="3:13" ht="12.75" customHeight="1" x14ac:dyDescent="0.2">
      <c r="C62346"/>
      <c r="M62346"/>
    </row>
    <row r="62347" spans="3:13" ht="12.75" customHeight="1" x14ac:dyDescent="0.2">
      <c r="C62347"/>
      <c r="M62347"/>
    </row>
    <row r="62348" spans="3:13" ht="12.75" customHeight="1" x14ac:dyDescent="0.2">
      <c r="C62348"/>
      <c r="M62348"/>
    </row>
    <row r="62349" spans="3:13" ht="12.75" customHeight="1" x14ac:dyDescent="0.2">
      <c r="C62349"/>
      <c r="M62349"/>
    </row>
    <row r="62350" spans="3:13" ht="12.75" customHeight="1" x14ac:dyDescent="0.2">
      <c r="C62350"/>
      <c r="M62350"/>
    </row>
    <row r="62351" spans="3:13" ht="12.75" customHeight="1" x14ac:dyDescent="0.2">
      <c r="C62351"/>
      <c r="M62351"/>
    </row>
    <row r="62352" spans="3:13" ht="12.75" customHeight="1" x14ac:dyDescent="0.2">
      <c r="C62352"/>
      <c r="M62352"/>
    </row>
    <row r="62353" spans="3:13" ht="12.75" customHeight="1" x14ac:dyDescent="0.2">
      <c r="C62353"/>
      <c r="M62353"/>
    </row>
    <row r="62354" spans="3:13" ht="12.75" customHeight="1" x14ac:dyDescent="0.2">
      <c r="C62354"/>
      <c r="M62354"/>
    </row>
    <row r="62355" spans="3:13" ht="12.75" customHeight="1" x14ac:dyDescent="0.2">
      <c r="C62355"/>
      <c r="M62355"/>
    </row>
    <row r="62356" spans="3:13" ht="12.75" customHeight="1" x14ac:dyDescent="0.2">
      <c r="C62356"/>
      <c r="M62356"/>
    </row>
    <row r="62357" spans="3:13" ht="12.75" customHeight="1" x14ac:dyDescent="0.2">
      <c r="C62357"/>
      <c r="M62357"/>
    </row>
    <row r="62358" spans="3:13" ht="12.75" customHeight="1" x14ac:dyDescent="0.2">
      <c r="C62358"/>
      <c r="M62358"/>
    </row>
    <row r="62359" spans="3:13" ht="12.75" customHeight="1" x14ac:dyDescent="0.2">
      <c r="C62359"/>
      <c r="M62359"/>
    </row>
    <row r="62360" spans="3:13" ht="12.75" customHeight="1" x14ac:dyDescent="0.2">
      <c r="C62360"/>
      <c r="M62360"/>
    </row>
    <row r="62361" spans="3:13" ht="12.75" customHeight="1" x14ac:dyDescent="0.2">
      <c r="C62361"/>
      <c r="M62361"/>
    </row>
    <row r="62362" spans="3:13" ht="12.75" customHeight="1" x14ac:dyDescent="0.2">
      <c r="C62362"/>
      <c r="M62362"/>
    </row>
    <row r="62363" spans="3:13" ht="12.75" customHeight="1" x14ac:dyDescent="0.2">
      <c r="C62363"/>
      <c r="M62363"/>
    </row>
    <row r="62364" spans="3:13" ht="12.75" customHeight="1" x14ac:dyDescent="0.2">
      <c r="C62364"/>
      <c r="M62364"/>
    </row>
    <row r="62365" spans="3:13" ht="12.75" customHeight="1" x14ac:dyDescent="0.2">
      <c r="C62365"/>
      <c r="M62365"/>
    </row>
    <row r="62366" spans="3:13" ht="12.75" customHeight="1" x14ac:dyDescent="0.2">
      <c r="C62366"/>
      <c r="M62366"/>
    </row>
    <row r="62367" spans="3:13" ht="12.75" customHeight="1" x14ac:dyDescent="0.2">
      <c r="C62367"/>
      <c r="M62367"/>
    </row>
    <row r="62368" spans="3:13" ht="12.75" customHeight="1" x14ac:dyDescent="0.2">
      <c r="C62368"/>
      <c r="M62368"/>
    </row>
    <row r="62369" spans="3:13" ht="12.75" customHeight="1" x14ac:dyDescent="0.2">
      <c r="C62369"/>
      <c r="M62369"/>
    </row>
    <row r="62370" spans="3:13" ht="12.75" customHeight="1" x14ac:dyDescent="0.2">
      <c r="C62370"/>
      <c r="M62370"/>
    </row>
    <row r="62371" spans="3:13" ht="12.75" customHeight="1" x14ac:dyDescent="0.2">
      <c r="C62371"/>
      <c r="M62371"/>
    </row>
    <row r="62372" spans="3:13" ht="12.75" customHeight="1" x14ac:dyDescent="0.2">
      <c r="C62372"/>
      <c r="M62372"/>
    </row>
    <row r="62373" spans="3:13" ht="12.75" customHeight="1" x14ac:dyDescent="0.2">
      <c r="C62373"/>
      <c r="M62373"/>
    </row>
    <row r="62374" spans="3:13" ht="12.75" customHeight="1" x14ac:dyDescent="0.2">
      <c r="C62374"/>
      <c r="M62374"/>
    </row>
    <row r="62375" spans="3:13" ht="12.75" customHeight="1" x14ac:dyDescent="0.2">
      <c r="C62375"/>
      <c r="M62375"/>
    </row>
    <row r="62376" spans="3:13" ht="12.75" customHeight="1" x14ac:dyDescent="0.2">
      <c r="C62376"/>
      <c r="M62376"/>
    </row>
    <row r="62377" spans="3:13" ht="12.75" customHeight="1" x14ac:dyDescent="0.2">
      <c r="C62377"/>
      <c r="M62377"/>
    </row>
    <row r="62378" spans="3:13" ht="12.75" customHeight="1" x14ac:dyDescent="0.2">
      <c r="C62378"/>
      <c r="M62378"/>
    </row>
    <row r="62379" spans="3:13" ht="12.75" customHeight="1" x14ac:dyDescent="0.2">
      <c r="C62379"/>
      <c r="M62379"/>
    </row>
    <row r="62380" spans="3:13" ht="12.75" customHeight="1" x14ac:dyDescent="0.2">
      <c r="C62380"/>
      <c r="M62380"/>
    </row>
    <row r="62381" spans="3:13" ht="12.75" customHeight="1" x14ac:dyDescent="0.2">
      <c r="C62381"/>
      <c r="M62381"/>
    </row>
    <row r="62382" spans="3:13" ht="12.75" customHeight="1" x14ac:dyDescent="0.2">
      <c r="C62382"/>
      <c r="M62382"/>
    </row>
    <row r="62383" spans="3:13" ht="12.75" customHeight="1" x14ac:dyDescent="0.2">
      <c r="C62383"/>
      <c r="M62383"/>
    </row>
    <row r="62384" spans="3:13" ht="12.75" customHeight="1" x14ac:dyDescent="0.2">
      <c r="C62384"/>
      <c r="M62384"/>
    </row>
    <row r="62385" spans="3:13" ht="12.75" customHeight="1" x14ac:dyDescent="0.2">
      <c r="C62385"/>
      <c r="M62385"/>
    </row>
    <row r="62386" spans="3:13" ht="12.75" customHeight="1" x14ac:dyDescent="0.2">
      <c r="C62386"/>
      <c r="M62386"/>
    </row>
    <row r="62387" spans="3:13" ht="12.75" customHeight="1" x14ac:dyDescent="0.2">
      <c r="C62387"/>
      <c r="M62387"/>
    </row>
    <row r="62388" spans="3:13" ht="12.75" customHeight="1" x14ac:dyDescent="0.2">
      <c r="C62388"/>
      <c r="M62388"/>
    </row>
    <row r="62389" spans="3:13" ht="12.75" customHeight="1" x14ac:dyDescent="0.2">
      <c r="C62389"/>
      <c r="M62389"/>
    </row>
    <row r="62390" spans="3:13" ht="12.75" customHeight="1" x14ac:dyDescent="0.2">
      <c r="C62390"/>
      <c r="M62390"/>
    </row>
    <row r="62391" spans="3:13" ht="12.75" customHeight="1" x14ac:dyDescent="0.2">
      <c r="C62391"/>
      <c r="M62391"/>
    </row>
    <row r="62392" spans="3:13" ht="12.75" customHeight="1" x14ac:dyDescent="0.2">
      <c r="C62392"/>
      <c r="M62392"/>
    </row>
    <row r="62393" spans="3:13" ht="12.75" customHeight="1" x14ac:dyDescent="0.2">
      <c r="C62393"/>
      <c r="M62393"/>
    </row>
    <row r="62394" spans="3:13" ht="12.75" customHeight="1" x14ac:dyDescent="0.2">
      <c r="C62394"/>
      <c r="M62394"/>
    </row>
    <row r="62395" spans="3:13" ht="12.75" customHeight="1" x14ac:dyDescent="0.2">
      <c r="C62395"/>
      <c r="M62395"/>
    </row>
    <row r="62396" spans="3:13" ht="12.75" customHeight="1" x14ac:dyDescent="0.2">
      <c r="C62396"/>
      <c r="M62396"/>
    </row>
    <row r="62397" spans="3:13" ht="12.75" customHeight="1" x14ac:dyDescent="0.2">
      <c r="C62397"/>
      <c r="M62397"/>
    </row>
    <row r="62398" spans="3:13" ht="12.75" customHeight="1" x14ac:dyDescent="0.2">
      <c r="C62398"/>
      <c r="M62398"/>
    </row>
    <row r="62399" spans="3:13" ht="12.75" customHeight="1" x14ac:dyDescent="0.2">
      <c r="C62399"/>
      <c r="M62399"/>
    </row>
    <row r="62400" spans="3:13" ht="12.75" customHeight="1" x14ac:dyDescent="0.2">
      <c r="C62400"/>
      <c r="M62400"/>
    </row>
    <row r="62401" spans="3:13" ht="12.75" customHeight="1" x14ac:dyDescent="0.2">
      <c r="C62401"/>
      <c r="M62401"/>
    </row>
    <row r="62402" spans="3:13" ht="12.75" customHeight="1" x14ac:dyDescent="0.2">
      <c r="C62402"/>
      <c r="M62402"/>
    </row>
    <row r="62403" spans="3:13" ht="12.75" customHeight="1" x14ac:dyDescent="0.2">
      <c r="C62403"/>
      <c r="M62403"/>
    </row>
    <row r="62404" spans="3:13" ht="12.75" customHeight="1" x14ac:dyDescent="0.2">
      <c r="C62404"/>
      <c r="M62404"/>
    </row>
    <row r="62405" spans="3:13" ht="12.75" customHeight="1" x14ac:dyDescent="0.2">
      <c r="C62405"/>
      <c r="M62405"/>
    </row>
    <row r="62406" spans="3:13" ht="12.75" customHeight="1" x14ac:dyDescent="0.2">
      <c r="C62406"/>
      <c r="M62406"/>
    </row>
    <row r="62407" spans="3:13" ht="12.75" customHeight="1" x14ac:dyDescent="0.2">
      <c r="C62407"/>
      <c r="M62407"/>
    </row>
    <row r="62408" spans="3:13" ht="12.75" customHeight="1" x14ac:dyDescent="0.2">
      <c r="C62408"/>
      <c r="M62408"/>
    </row>
    <row r="62409" spans="3:13" ht="12.75" customHeight="1" x14ac:dyDescent="0.2">
      <c r="C62409"/>
      <c r="M62409"/>
    </row>
    <row r="62410" spans="3:13" ht="12.75" customHeight="1" x14ac:dyDescent="0.2">
      <c r="C62410"/>
      <c r="M62410"/>
    </row>
    <row r="62411" spans="3:13" ht="12.75" customHeight="1" x14ac:dyDescent="0.2">
      <c r="C62411"/>
      <c r="M62411"/>
    </row>
    <row r="62412" spans="3:13" ht="12.75" customHeight="1" x14ac:dyDescent="0.2">
      <c r="C62412"/>
      <c r="M62412"/>
    </row>
    <row r="62413" spans="3:13" ht="12.75" customHeight="1" x14ac:dyDescent="0.2">
      <c r="C62413"/>
      <c r="M62413"/>
    </row>
    <row r="62414" spans="3:13" ht="12.75" customHeight="1" x14ac:dyDescent="0.2">
      <c r="C62414"/>
      <c r="M62414"/>
    </row>
    <row r="62415" spans="3:13" ht="12.75" customHeight="1" x14ac:dyDescent="0.2">
      <c r="C62415"/>
      <c r="M62415"/>
    </row>
    <row r="62416" spans="3:13" ht="12.75" customHeight="1" x14ac:dyDescent="0.2">
      <c r="C62416"/>
      <c r="M62416"/>
    </row>
    <row r="62417" spans="3:13" ht="12.75" customHeight="1" x14ac:dyDescent="0.2">
      <c r="C62417"/>
      <c r="M62417"/>
    </row>
    <row r="62418" spans="3:13" ht="12.75" customHeight="1" x14ac:dyDescent="0.2">
      <c r="C62418"/>
      <c r="M62418"/>
    </row>
    <row r="62419" spans="3:13" ht="12.75" customHeight="1" x14ac:dyDescent="0.2">
      <c r="C62419"/>
      <c r="M62419"/>
    </row>
    <row r="62420" spans="3:13" ht="12.75" customHeight="1" x14ac:dyDescent="0.2">
      <c r="C62420"/>
      <c r="M62420"/>
    </row>
    <row r="62421" spans="3:13" ht="12.75" customHeight="1" x14ac:dyDescent="0.2">
      <c r="C62421"/>
      <c r="M62421"/>
    </row>
    <row r="62422" spans="3:13" ht="12.75" customHeight="1" x14ac:dyDescent="0.2">
      <c r="C62422"/>
      <c r="M62422"/>
    </row>
    <row r="62423" spans="3:13" ht="12.75" customHeight="1" x14ac:dyDescent="0.2">
      <c r="C62423"/>
      <c r="M62423"/>
    </row>
    <row r="62424" spans="3:13" ht="12.75" customHeight="1" x14ac:dyDescent="0.2">
      <c r="C62424"/>
      <c r="M62424"/>
    </row>
    <row r="62425" spans="3:13" ht="12.75" customHeight="1" x14ac:dyDescent="0.2">
      <c r="C62425"/>
      <c r="M62425"/>
    </row>
    <row r="62426" spans="3:13" ht="12.75" customHeight="1" x14ac:dyDescent="0.2">
      <c r="C62426"/>
      <c r="M62426"/>
    </row>
    <row r="62427" spans="3:13" ht="12.75" customHeight="1" x14ac:dyDescent="0.2">
      <c r="C62427"/>
      <c r="M62427"/>
    </row>
    <row r="62428" spans="3:13" ht="12.75" customHeight="1" x14ac:dyDescent="0.2">
      <c r="C62428"/>
      <c r="M62428"/>
    </row>
    <row r="62429" spans="3:13" ht="12.75" customHeight="1" x14ac:dyDescent="0.2">
      <c r="C62429"/>
      <c r="M62429"/>
    </row>
    <row r="62430" spans="3:13" ht="12.75" customHeight="1" x14ac:dyDescent="0.2">
      <c r="C62430"/>
      <c r="M62430"/>
    </row>
    <row r="62431" spans="3:13" ht="12.75" customHeight="1" x14ac:dyDescent="0.2">
      <c r="C62431"/>
      <c r="M62431"/>
    </row>
    <row r="62432" spans="3:13" ht="12.75" customHeight="1" x14ac:dyDescent="0.2">
      <c r="C62432"/>
      <c r="M62432"/>
    </row>
    <row r="62433" spans="3:13" ht="12.75" customHeight="1" x14ac:dyDescent="0.2">
      <c r="C62433"/>
      <c r="M62433"/>
    </row>
    <row r="62434" spans="3:13" ht="12.75" customHeight="1" x14ac:dyDescent="0.2">
      <c r="C62434"/>
      <c r="M62434"/>
    </row>
    <row r="62435" spans="3:13" ht="12.75" customHeight="1" x14ac:dyDescent="0.2">
      <c r="C62435"/>
      <c r="M62435"/>
    </row>
    <row r="62436" spans="3:13" ht="12.75" customHeight="1" x14ac:dyDescent="0.2">
      <c r="C62436"/>
      <c r="M62436"/>
    </row>
    <row r="62437" spans="3:13" ht="12.75" customHeight="1" x14ac:dyDescent="0.2">
      <c r="C62437"/>
      <c r="M62437"/>
    </row>
    <row r="62438" spans="3:13" ht="12.75" customHeight="1" x14ac:dyDescent="0.2">
      <c r="C62438"/>
      <c r="M62438"/>
    </row>
    <row r="62439" spans="3:13" ht="12.75" customHeight="1" x14ac:dyDescent="0.2">
      <c r="C62439"/>
      <c r="M62439"/>
    </row>
    <row r="62440" spans="3:13" ht="12.75" customHeight="1" x14ac:dyDescent="0.2">
      <c r="C62440"/>
      <c r="M62440"/>
    </row>
    <row r="62441" spans="3:13" ht="12.75" customHeight="1" x14ac:dyDescent="0.2">
      <c r="C62441"/>
      <c r="M62441"/>
    </row>
    <row r="62442" spans="3:13" ht="12.75" customHeight="1" x14ac:dyDescent="0.2">
      <c r="C62442"/>
      <c r="M62442"/>
    </row>
    <row r="62443" spans="3:13" ht="12.75" customHeight="1" x14ac:dyDescent="0.2">
      <c r="C62443"/>
      <c r="M62443"/>
    </row>
    <row r="62444" spans="3:13" ht="12.75" customHeight="1" x14ac:dyDescent="0.2">
      <c r="C62444"/>
      <c r="M62444"/>
    </row>
    <row r="62445" spans="3:13" ht="12.75" customHeight="1" x14ac:dyDescent="0.2">
      <c r="C62445"/>
      <c r="M62445"/>
    </row>
    <row r="62446" spans="3:13" ht="12.75" customHeight="1" x14ac:dyDescent="0.2">
      <c r="C62446"/>
      <c r="M62446"/>
    </row>
    <row r="62447" spans="3:13" ht="12.75" customHeight="1" x14ac:dyDescent="0.2">
      <c r="C62447"/>
      <c r="M62447"/>
    </row>
    <row r="62448" spans="3:13" ht="12.75" customHeight="1" x14ac:dyDescent="0.2">
      <c r="C62448"/>
      <c r="M62448"/>
    </row>
    <row r="62449" spans="3:13" ht="12.75" customHeight="1" x14ac:dyDescent="0.2">
      <c r="C62449"/>
      <c r="M62449"/>
    </row>
    <row r="62450" spans="3:13" ht="12.75" customHeight="1" x14ac:dyDescent="0.2">
      <c r="C62450"/>
      <c r="M62450"/>
    </row>
    <row r="62451" spans="3:13" ht="12.75" customHeight="1" x14ac:dyDescent="0.2">
      <c r="C62451"/>
      <c r="M62451"/>
    </row>
    <row r="62452" spans="3:13" ht="12.75" customHeight="1" x14ac:dyDescent="0.2">
      <c r="C62452"/>
      <c r="M62452"/>
    </row>
    <row r="62453" spans="3:13" ht="12.75" customHeight="1" x14ac:dyDescent="0.2">
      <c r="C62453"/>
      <c r="M62453"/>
    </row>
    <row r="62454" spans="3:13" ht="12.75" customHeight="1" x14ac:dyDescent="0.2">
      <c r="C62454"/>
      <c r="M62454"/>
    </row>
    <row r="62455" spans="3:13" ht="12.75" customHeight="1" x14ac:dyDescent="0.2">
      <c r="C62455"/>
      <c r="M62455"/>
    </row>
    <row r="62456" spans="3:13" ht="12.75" customHeight="1" x14ac:dyDescent="0.2">
      <c r="C62456"/>
      <c r="M62456"/>
    </row>
    <row r="62457" spans="3:13" ht="12.75" customHeight="1" x14ac:dyDescent="0.2">
      <c r="C62457"/>
      <c r="M62457"/>
    </row>
    <row r="62458" spans="3:13" ht="12.75" customHeight="1" x14ac:dyDescent="0.2">
      <c r="C62458"/>
      <c r="M62458"/>
    </row>
    <row r="62459" spans="3:13" ht="12.75" customHeight="1" x14ac:dyDescent="0.2">
      <c r="C62459"/>
      <c r="M62459"/>
    </row>
    <row r="62460" spans="3:13" ht="12.75" customHeight="1" x14ac:dyDescent="0.2">
      <c r="C62460"/>
      <c r="M62460"/>
    </row>
    <row r="62461" spans="3:13" ht="12.75" customHeight="1" x14ac:dyDescent="0.2">
      <c r="C62461"/>
      <c r="M62461"/>
    </row>
    <row r="62462" spans="3:13" ht="12.75" customHeight="1" x14ac:dyDescent="0.2">
      <c r="C62462"/>
      <c r="M62462"/>
    </row>
    <row r="62463" spans="3:13" ht="12.75" customHeight="1" x14ac:dyDescent="0.2">
      <c r="C62463"/>
      <c r="M62463"/>
    </row>
    <row r="62464" spans="3:13" ht="12.75" customHeight="1" x14ac:dyDescent="0.2">
      <c r="C62464"/>
      <c r="M62464"/>
    </row>
    <row r="62465" spans="3:13" ht="12.75" customHeight="1" x14ac:dyDescent="0.2">
      <c r="C62465"/>
      <c r="M62465"/>
    </row>
    <row r="62466" spans="3:13" ht="12.75" customHeight="1" x14ac:dyDescent="0.2">
      <c r="C62466"/>
      <c r="M62466"/>
    </row>
    <row r="62467" spans="3:13" ht="12.75" customHeight="1" x14ac:dyDescent="0.2">
      <c r="C62467"/>
      <c r="M62467"/>
    </row>
    <row r="62468" spans="3:13" ht="12.75" customHeight="1" x14ac:dyDescent="0.2">
      <c r="C62468"/>
      <c r="M62468"/>
    </row>
    <row r="62469" spans="3:13" ht="12.75" customHeight="1" x14ac:dyDescent="0.2">
      <c r="C62469"/>
      <c r="M62469"/>
    </row>
    <row r="62470" spans="3:13" ht="12.75" customHeight="1" x14ac:dyDescent="0.2">
      <c r="C62470"/>
      <c r="M62470"/>
    </row>
    <row r="62471" spans="3:13" ht="12.75" customHeight="1" x14ac:dyDescent="0.2">
      <c r="C62471"/>
      <c r="M62471"/>
    </row>
    <row r="62472" spans="3:13" ht="12.75" customHeight="1" x14ac:dyDescent="0.2">
      <c r="C62472"/>
      <c r="M62472"/>
    </row>
    <row r="62473" spans="3:13" ht="12.75" customHeight="1" x14ac:dyDescent="0.2">
      <c r="C62473"/>
      <c r="M62473"/>
    </row>
    <row r="62474" spans="3:13" ht="12.75" customHeight="1" x14ac:dyDescent="0.2">
      <c r="C62474"/>
      <c r="M62474"/>
    </row>
    <row r="62475" spans="3:13" ht="12.75" customHeight="1" x14ac:dyDescent="0.2">
      <c r="C62475"/>
      <c r="M62475"/>
    </row>
    <row r="62476" spans="3:13" ht="12.75" customHeight="1" x14ac:dyDescent="0.2">
      <c r="C62476"/>
      <c r="M62476"/>
    </row>
    <row r="62477" spans="3:13" ht="12.75" customHeight="1" x14ac:dyDescent="0.2">
      <c r="C62477"/>
      <c r="M62477"/>
    </row>
    <row r="62478" spans="3:13" ht="12.75" customHeight="1" x14ac:dyDescent="0.2">
      <c r="C62478"/>
      <c r="M62478"/>
    </row>
    <row r="62479" spans="3:13" ht="12.75" customHeight="1" x14ac:dyDescent="0.2">
      <c r="C62479"/>
      <c r="M62479"/>
    </row>
    <row r="62480" spans="3:13" ht="12.75" customHeight="1" x14ac:dyDescent="0.2">
      <c r="C62480"/>
      <c r="M62480"/>
    </row>
    <row r="62481" spans="3:13" ht="12.75" customHeight="1" x14ac:dyDescent="0.2">
      <c r="C62481"/>
      <c r="M62481"/>
    </row>
    <row r="62482" spans="3:13" ht="12.75" customHeight="1" x14ac:dyDescent="0.2">
      <c r="C62482"/>
      <c r="M62482"/>
    </row>
    <row r="62483" spans="3:13" ht="12.75" customHeight="1" x14ac:dyDescent="0.2">
      <c r="C62483"/>
      <c r="M62483"/>
    </row>
    <row r="62484" spans="3:13" ht="12.75" customHeight="1" x14ac:dyDescent="0.2">
      <c r="C62484"/>
      <c r="M62484"/>
    </row>
    <row r="62485" spans="3:13" ht="12.75" customHeight="1" x14ac:dyDescent="0.2">
      <c r="C62485"/>
      <c r="M62485"/>
    </row>
    <row r="62486" spans="3:13" ht="12.75" customHeight="1" x14ac:dyDescent="0.2">
      <c r="C62486"/>
      <c r="M62486"/>
    </row>
    <row r="62487" spans="3:13" ht="12.75" customHeight="1" x14ac:dyDescent="0.2">
      <c r="C62487"/>
      <c r="M62487"/>
    </row>
    <row r="62488" spans="3:13" ht="12.75" customHeight="1" x14ac:dyDescent="0.2">
      <c r="C62488"/>
      <c r="M62488"/>
    </row>
    <row r="62489" spans="3:13" ht="12.75" customHeight="1" x14ac:dyDescent="0.2">
      <c r="C62489"/>
      <c r="M62489"/>
    </row>
    <row r="62490" spans="3:13" ht="12.75" customHeight="1" x14ac:dyDescent="0.2">
      <c r="C62490"/>
      <c r="M62490"/>
    </row>
    <row r="62491" spans="3:13" ht="12.75" customHeight="1" x14ac:dyDescent="0.2">
      <c r="C62491"/>
      <c r="M62491"/>
    </row>
    <row r="62492" spans="3:13" ht="12.75" customHeight="1" x14ac:dyDescent="0.2">
      <c r="C62492"/>
      <c r="M62492"/>
    </row>
    <row r="62493" spans="3:13" ht="12.75" customHeight="1" x14ac:dyDescent="0.2">
      <c r="C62493"/>
      <c r="M62493"/>
    </row>
    <row r="62494" spans="3:13" ht="12.75" customHeight="1" x14ac:dyDescent="0.2">
      <c r="C62494"/>
      <c r="M62494"/>
    </row>
    <row r="62495" spans="3:13" ht="12.75" customHeight="1" x14ac:dyDescent="0.2">
      <c r="C62495"/>
      <c r="M62495"/>
    </row>
    <row r="62496" spans="3:13" ht="12.75" customHeight="1" x14ac:dyDescent="0.2">
      <c r="C62496"/>
      <c r="M62496"/>
    </row>
    <row r="62497" spans="3:13" ht="12.75" customHeight="1" x14ac:dyDescent="0.2">
      <c r="C62497"/>
      <c r="M62497"/>
    </row>
    <row r="62498" spans="3:13" ht="12.75" customHeight="1" x14ac:dyDescent="0.2">
      <c r="C62498"/>
      <c r="M62498"/>
    </row>
    <row r="62499" spans="3:13" ht="12.75" customHeight="1" x14ac:dyDescent="0.2">
      <c r="C62499"/>
      <c r="M62499"/>
    </row>
    <row r="62500" spans="3:13" ht="12.75" customHeight="1" x14ac:dyDescent="0.2">
      <c r="C62500"/>
      <c r="M62500"/>
    </row>
    <row r="62501" spans="3:13" ht="12.75" customHeight="1" x14ac:dyDescent="0.2">
      <c r="C62501"/>
      <c r="M62501"/>
    </row>
    <row r="62502" spans="3:13" ht="12.75" customHeight="1" x14ac:dyDescent="0.2">
      <c r="C62502"/>
      <c r="M62502"/>
    </row>
    <row r="62503" spans="3:13" ht="12.75" customHeight="1" x14ac:dyDescent="0.2">
      <c r="C62503"/>
      <c r="M62503"/>
    </row>
    <row r="62504" spans="3:13" ht="12.75" customHeight="1" x14ac:dyDescent="0.2">
      <c r="C62504"/>
      <c r="M62504"/>
    </row>
    <row r="62505" spans="3:13" ht="12.75" customHeight="1" x14ac:dyDescent="0.2">
      <c r="C62505"/>
      <c r="M62505"/>
    </row>
    <row r="62506" spans="3:13" ht="12.75" customHeight="1" x14ac:dyDescent="0.2">
      <c r="C62506"/>
      <c r="M62506"/>
    </row>
    <row r="62507" spans="3:13" ht="12.75" customHeight="1" x14ac:dyDescent="0.2">
      <c r="C62507"/>
      <c r="M62507"/>
    </row>
    <row r="62508" spans="3:13" ht="12.75" customHeight="1" x14ac:dyDescent="0.2">
      <c r="C62508"/>
      <c r="M62508"/>
    </row>
    <row r="62509" spans="3:13" ht="12.75" customHeight="1" x14ac:dyDescent="0.2">
      <c r="C62509"/>
      <c r="M62509"/>
    </row>
    <row r="62510" spans="3:13" ht="12.75" customHeight="1" x14ac:dyDescent="0.2">
      <c r="C62510"/>
      <c r="M62510"/>
    </row>
    <row r="62511" spans="3:13" ht="12.75" customHeight="1" x14ac:dyDescent="0.2">
      <c r="C62511"/>
      <c r="M62511"/>
    </row>
    <row r="62512" spans="3:13" ht="12.75" customHeight="1" x14ac:dyDescent="0.2">
      <c r="C62512"/>
      <c r="M62512"/>
    </row>
    <row r="62513" spans="3:13" ht="12.75" customHeight="1" x14ac:dyDescent="0.2">
      <c r="C62513"/>
      <c r="M62513"/>
    </row>
    <row r="62514" spans="3:13" ht="12.75" customHeight="1" x14ac:dyDescent="0.2">
      <c r="C62514"/>
      <c r="M62514"/>
    </row>
    <row r="62515" spans="3:13" ht="12.75" customHeight="1" x14ac:dyDescent="0.2">
      <c r="C62515"/>
      <c r="M62515"/>
    </row>
    <row r="62516" spans="3:13" ht="12.75" customHeight="1" x14ac:dyDescent="0.2">
      <c r="C62516"/>
      <c r="M62516"/>
    </row>
    <row r="62517" spans="3:13" ht="12.75" customHeight="1" x14ac:dyDescent="0.2">
      <c r="C62517"/>
      <c r="M62517"/>
    </row>
    <row r="62518" spans="3:13" ht="12.75" customHeight="1" x14ac:dyDescent="0.2">
      <c r="C62518"/>
      <c r="M62518"/>
    </row>
    <row r="62519" spans="3:13" ht="12.75" customHeight="1" x14ac:dyDescent="0.2">
      <c r="C62519"/>
      <c r="M62519"/>
    </row>
    <row r="62520" spans="3:13" ht="12.75" customHeight="1" x14ac:dyDescent="0.2">
      <c r="C62520"/>
      <c r="M62520"/>
    </row>
    <row r="62521" spans="3:13" ht="12.75" customHeight="1" x14ac:dyDescent="0.2">
      <c r="C62521"/>
      <c r="M62521"/>
    </row>
    <row r="62522" spans="3:13" ht="12.75" customHeight="1" x14ac:dyDescent="0.2">
      <c r="C62522"/>
      <c r="M62522"/>
    </row>
    <row r="62523" spans="3:13" ht="12.75" customHeight="1" x14ac:dyDescent="0.2">
      <c r="C62523"/>
      <c r="M62523"/>
    </row>
    <row r="62524" spans="3:13" ht="12.75" customHeight="1" x14ac:dyDescent="0.2">
      <c r="C62524"/>
      <c r="M62524"/>
    </row>
    <row r="62525" spans="3:13" ht="12.75" customHeight="1" x14ac:dyDescent="0.2">
      <c r="C62525"/>
      <c r="M62525"/>
    </row>
    <row r="62526" spans="3:13" ht="12.75" customHeight="1" x14ac:dyDescent="0.2">
      <c r="C62526"/>
      <c r="M62526"/>
    </row>
    <row r="62527" spans="3:13" ht="12.75" customHeight="1" x14ac:dyDescent="0.2">
      <c r="C62527"/>
      <c r="M62527"/>
    </row>
    <row r="62528" spans="3:13" ht="12.75" customHeight="1" x14ac:dyDescent="0.2">
      <c r="C62528"/>
      <c r="M62528"/>
    </row>
    <row r="62529" spans="3:13" ht="12.75" customHeight="1" x14ac:dyDescent="0.2">
      <c r="C62529"/>
      <c r="M62529"/>
    </row>
    <row r="62530" spans="3:13" ht="12.75" customHeight="1" x14ac:dyDescent="0.2">
      <c r="C62530"/>
      <c r="M62530"/>
    </row>
    <row r="62531" spans="3:13" ht="12.75" customHeight="1" x14ac:dyDescent="0.2">
      <c r="C62531"/>
      <c r="M62531"/>
    </row>
    <row r="62532" spans="3:13" ht="12.75" customHeight="1" x14ac:dyDescent="0.2">
      <c r="C62532"/>
      <c r="M62532"/>
    </row>
    <row r="62533" spans="3:13" ht="12.75" customHeight="1" x14ac:dyDescent="0.2">
      <c r="C62533"/>
      <c r="M62533"/>
    </row>
    <row r="62534" spans="3:13" ht="12.75" customHeight="1" x14ac:dyDescent="0.2">
      <c r="C62534"/>
      <c r="M62534"/>
    </row>
    <row r="62535" spans="3:13" ht="12.75" customHeight="1" x14ac:dyDescent="0.2">
      <c r="C62535"/>
      <c r="M62535"/>
    </row>
    <row r="62536" spans="3:13" ht="12.75" customHeight="1" x14ac:dyDescent="0.2">
      <c r="C62536"/>
      <c r="M62536"/>
    </row>
    <row r="62537" spans="3:13" ht="12.75" customHeight="1" x14ac:dyDescent="0.2">
      <c r="C62537"/>
      <c r="M62537"/>
    </row>
    <row r="62538" spans="3:13" ht="12.75" customHeight="1" x14ac:dyDescent="0.2">
      <c r="C62538"/>
      <c r="M62538"/>
    </row>
    <row r="62539" spans="3:13" ht="12.75" customHeight="1" x14ac:dyDescent="0.2">
      <c r="C62539"/>
      <c r="M62539"/>
    </row>
    <row r="62540" spans="3:13" ht="12.75" customHeight="1" x14ac:dyDescent="0.2">
      <c r="C62540"/>
      <c r="M62540"/>
    </row>
    <row r="62541" spans="3:13" ht="12.75" customHeight="1" x14ac:dyDescent="0.2">
      <c r="C62541"/>
      <c r="M62541"/>
    </row>
    <row r="62542" spans="3:13" ht="12.75" customHeight="1" x14ac:dyDescent="0.2">
      <c r="C62542"/>
      <c r="M62542"/>
    </row>
    <row r="62543" spans="3:13" ht="12.75" customHeight="1" x14ac:dyDescent="0.2">
      <c r="C62543"/>
      <c r="M62543"/>
    </row>
    <row r="62544" spans="3:13" ht="12.75" customHeight="1" x14ac:dyDescent="0.2">
      <c r="C62544"/>
      <c r="M62544"/>
    </row>
    <row r="62545" spans="3:13" ht="12.75" customHeight="1" x14ac:dyDescent="0.2">
      <c r="C62545"/>
      <c r="M62545"/>
    </row>
    <row r="62546" spans="3:13" ht="12.75" customHeight="1" x14ac:dyDescent="0.2">
      <c r="C62546"/>
      <c r="M62546"/>
    </row>
    <row r="62547" spans="3:13" ht="12.75" customHeight="1" x14ac:dyDescent="0.2">
      <c r="C62547"/>
      <c r="M62547"/>
    </row>
    <row r="62548" spans="3:13" ht="12.75" customHeight="1" x14ac:dyDescent="0.2">
      <c r="C62548"/>
      <c r="M62548"/>
    </row>
    <row r="62549" spans="3:13" ht="12.75" customHeight="1" x14ac:dyDescent="0.2">
      <c r="C62549"/>
      <c r="M62549"/>
    </row>
    <row r="62550" spans="3:13" ht="12.75" customHeight="1" x14ac:dyDescent="0.2">
      <c r="C62550"/>
      <c r="M62550"/>
    </row>
    <row r="62551" spans="3:13" ht="12.75" customHeight="1" x14ac:dyDescent="0.2">
      <c r="C62551"/>
      <c r="M62551"/>
    </row>
    <row r="62552" spans="3:13" ht="12.75" customHeight="1" x14ac:dyDescent="0.2">
      <c r="C62552"/>
      <c r="M62552"/>
    </row>
    <row r="62553" spans="3:13" ht="12.75" customHeight="1" x14ac:dyDescent="0.2">
      <c r="C62553"/>
      <c r="M62553"/>
    </row>
    <row r="62554" spans="3:13" ht="12.75" customHeight="1" x14ac:dyDescent="0.2">
      <c r="C62554"/>
      <c r="M62554"/>
    </row>
    <row r="62555" spans="3:13" ht="12.75" customHeight="1" x14ac:dyDescent="0.2">
      <c r="C62555"/>
      <c r="M62555"/>
    </row>
    <row r="62556" spans="3:13" ht="12.75" customHeight="1" x14ac:dyDescent="0.2">
      <c r="C62556"/>
      <c r="M62556"/>
    </row>
    <row r="62557" spans="3:13" ht="12.75" customHeight="1" x14ac:dyDescent="0.2">
      <c r="C62557"/>
      <c r="M62557"/>
    </row>
    <row r="62558" spans="3:13" ht="12.75" customHeight="1" x14ac:dyDescent="0.2">
      <c r="C62558"/>
      <c r="M62558"/>
    </row>
    <row r="62559" spans="3:13" ht="12.75" customHeight="1" x14ac:dyDescent="0.2">
      <c r="C62559"/>
      <c r="M62559"/>
    </row>
    <row r="62560" spans="3:13" ht="12.75" customHeight="1" x14ac:dyDescent="0.2">
      <c r="C62560"/>
      <c r="M62560"/>
    </row>
    <row r="62561" spans="3:13" ht="12.75" customHeight="1" x14ac:dyDescent="0.2">
      <c r="C62561"/>
      <c r="M62561"/>
    </row>
    <row r="62562" spans="3:13" ht="12.75" customHeight="1" x14ac:dyDescent="0.2">
      <c r="C62562"/>
      <c r="M62562"/>
    </row>
    <row r="62563" spans="3:13" ht="12.75" customHeight="1" x14ac:dyDescent="0.2">
      <c r="C62563"/>
      <c r="M62563"/>
    </row>
    <row r="62564" spans="3:13" ht="12.75" customHeight="1" x14ac:dyDescent="0.2">
      <c r="C62564"/>
      <c r="M62564"/>
    </row>
    <row r="62565" spans="3:13" ht="12.75" customHeight="1" x14ac:dyDescent="0.2">
      <c r="C62565"/>
      <c r="M62565"/>
    </row>
    <row r="62566" spans="3:13" ht="12.75" customHeight="1" x14ac:dyDescent="0.2">
      <c r="C62566"/>
      <c r="M62566"/>
    </row>
    <row r="62567" spans="3:13" ht="12.75" customHeight="1" x14ac:dyDescent="0.2">
      <c r="C62567"/>
      <c r="M62567"/>
    </row>
    <row r="62568" spans="3:13" ht="12.75" customHeight="1" x14ac:dyDescent="0.2">
      <c r="C62568"/>
      <c r="M62568"/>
    </row>
    <row r="62569" spans="3:13" ht="12.75" customHeight="1" x14ac:dyDescent="0.2">
      <c r="C62569"/>
      <c r="M62569"/>
    </row>
    <row r="62570" spans="3:13" ht="12.75" customHeight="1" x14ac:dyDescent="0.2">
      <c r="C62570"/>
      <c r="M62570"/>
    </row>
    <row r="62571" spans="3:13" ht="12.75" customHeight="1" x14ac:dyDescent="0.2">
      <c r="C62571"/>
      <c r="M62571"/>
    </row>
    <row r="62572" spans="3:13" ht="12.75" customHeight="1" x14ac:dyDescent="0.2">
      <c r="C62572"/>
      <c r="M62572"/>
    </row>
    <row r="62573" spans="3:13" ht="12.75" customHeight="1" x14ac:dyDescent="0.2">
      <c r="C62573"/>
      <c r="M62573"/>
    </row>
    <row r="62574" spans="3:13" ht="12.75" customHeight="1" x14ac:dyDescent="0.2">
      <c r="C62574"/>
      <c r="M62574"/>
    </row>
    <row r="62575" spans="3:13" ht="12.75" customHeight="1" x14ac:dyDescent="0.2">
      <c r="C62575"/>
      <c r="M62575"/>
    </row>
    <row r="62576" spans="3:13" ht="12.75" customHeight="1" x14ac:dyDescent="0.2">
      <c r="C62576"/>
      <c r="M62576"/>
    </row>
    <row r="62577" spans="3:13" ht="12.75" customHeight="1" x14ac:dyDescent="0.2">
      <c r="C62577"/>
      <c r="M62577"/>
    </row>
    <row r="62578" spans="3:13" ht="12.75" customHeight="1" x14ac:dyDescent="0.2">
      <c r="C62578"/>
      <c r="M62578"/>
    </row>
    <row r="62579" spans="3:13" ht="12.75" customHeight="1" x14ac:dyDescent="0.2">
      <c r="C62579"/>
      <c r="M62579"/>
    </row>
    <row r="62580" spans="3:13" ht="12.75" customHeight="1" x14ac:dyDescent="0.2">
      <c r="C62580"/>
      <c r="M62580"/>
    </row>
    <row r="62581" spans="3:13" ht="12.75" customHeight="1" x14ac:dyDescent="0.2">
      <c r="C62581"/>
      <c r="M62581"/>
    </row>
    <row r="62582" spans="3:13" ht="12.75" customHeight="1" x14ac:dyDescent="0.2">
      <c r="C62582"/>
      <c r="M62582"/>
    </row>
    <row r="62583" spans="3:13" ht="12.75" customHeight="1" x14ac:dyDescent="0.2">
      <c r="C62583"/>
      <c r="M62583"/>
    </row>
    <row r="62584" spans="3:13" ht="12.75" customHeight="1" x14ac:dyDescent="0.2">
      <c r="C62584"/>
      <c r="M62584"/>
    </row>
    <row r="62585" spans="3:13" ht="12.75" customHeight="1" x14ac:dyDescent="0.2">
      <c r="C62585"/>
      <c r="M62585"/>
    </row>
    <row r="62586" spans="3:13" ht="12.75" customHeight="1" x14ac:dyDescent="0.2">
      <c r="C62586"/>
      <c r="M62586"/>
    </row>
    <row r="62587" spans="3:13" ht="12.75" customHeight="1" x14ac:dyDescent="0.2">
      <c r="C62587"/>
      <c r="M62587"/>
    </row>
    <row r="62588" spans="3:13" ht="12.75" customHeight="1" x14ac:dyDescent="0.2">
      <c r="C62588"/>
      <c r="M62588"/>
    </row>
    <row r="62589" spans="3:13" ht="12.75" customHeight="1" x14ac:dyDescent="0.2">
      <c r="C62589"/>
      <c r="M62589"/>
    </row>
    <row r="62590" spans="3:13" ht="12.75" customHeight="1" x14ac:dyDescent="0.2">
      <c r="C62590"/>
      <c r="M62590"/>
    </row>
    <row r="62591" spans="3:13" ht="12.75" customHeight="1" x14ac:dyDescent="0.2">
      <c r="C62591"/>
      <c r="M62591"/>
    </row>
    <row r="62592" spans="3:13" ht="12.75" customHeight="1" x14ac:dyDescent="0.2">
      <c r="C62592"/>
      <c r="M62592"/>
    </row>
    <row r="62593" spans="3:13" ht="12.75" customHeight="1" x14ac:dyDescent="0.2">
      <c r="C62593"/>
      <c r="M62593"/>
    </row>
    <row r="62594" spans="3:13" ht="12.75" customHeight="1" x14ac:dyDescent="0.2">
      <c r="C62594"/>
      <c r="M62594"/>
    </row>
    <row r="62595" spans="3:13" ht="12.75" customHeight="1" x14ac:dyDescent="0.2">
      <c r="C62595"/>
      <c r="M62595"/>
    </row>
    <row r="62596" spans="3:13" ht="12.75" customHeight="1" x14ac:dyDescent="0.2">
      <c r="C62596"/>
      <c r="M62596"/>
    </row>
    <row r="62597" spans="3:13" ht="12.75" customHeight="1" x14ac:dyDescent="0.2">
      <c r="C62597"/>
      <c r="M62597"/>
    </row>
    <row r="62598" spans="3:13" ht="12.75" customHeight="1" x14ac:dyDescent="0.2">
      <c r="C62598"/>
      <c r="M62598"/>
    </row>
    <row r="62599" spans="3:13" ht="12.75" customHeight="1" x14ac:dyDescent="0.2">
      <c r="C62599"/>
      <c r="M62599"/>
    </row>
    <row r="62600" spans="3:13" ht="12.75" customHeight="1" x14ac:dyDescent="0.2">
      <c r="C62600"/>
      <c r="M62600"/>
    </row>
    <row r="62601" spans="3:13" ht="12.75" customHeight="1" x14ac:dyDescent="0.2">
      <c r="C62601"/>
      <c r="M62601"/>
    </row>
    <row r="62602" spans="3:13" ht="12.75" customHeight="1" x14ac:dyDescent="0.2">
      <c r="C62602"/>
      <c r="M62602"/>
    </row>
    <row r="62603" spans="3:13" ht="12.75" customHeight="1" x14ac:dyDescent="0.2">
      <c r="C62603"/>
      <c r="M62603"/>
    </row>
    <row r="62604" spans="3:13" ht="12.75" customHeight="1" x14ac:dyDescent="0.2">
      <c r="C62604"/>
      <c r="M62604"/>
    </row>
    <row r="62605" spans="3:13" ht="12.75" customHeight="1" x14ac:dyDescent="0.2">
      <c r="C62605"/>
      <c r="M62605"/>
    </row>
    <row r="62606" spans="3:13" ht="12.75" customHeight="1" x14ac:dyDescent="0.2">
      <c r="C62606"/>
      <c r="M62606"/>
    </row>
    <row r="62607" spans="3:13" ht="12.75" customHeight="1" x14ac:dyDescent="0.2">
      <c r="C62607"/>
      <c r="M62607"/>
    </row>
    <row r="62608" spans="3:13" ht="12.75" customHeight="1" x14ac:dyDescent="0.2">
      <c r="C62608"/>
      <c r="M62608"/>
    </row>
    <row r="62609" spans="3:13" ht="12.75" customHeight="1" x14ac:dyDescent="0.2">
      <c r="C62609"/>
      <c r="M62609"/>
    </row>
    <row r="62610" spans="3:13" ht="12.75" customHeight="1" x14ac:dyDescent="0.2">
      <c r="C62610"/>
      <c r="M62610"/>
    </row>
    <row r="62611" spans="3:13" ht="12.75" customHeight="1" x14ac:dyDescent="0.2">
      <c r="C62611"/>
      <c r="M62611"/>
    </row>
    <row r="62612" spans="3:13" ht="12.75" customHeight="1" x14ac:dyDescent="0.2">
      <c r="C62612"/>
      <c r="M62612"/>
    </row>
    <row r="62613" spans="3:13" ht="12.75" customHeight="1" x14ac:dyDescent="0.2">
      <c r="C62613"/>
      <c r="M62613"/>
    </row>
    <row r="62614" spans="3:13" ht="12.75" customHeight="1" x14ac:dyDescent="0.2">
      <c r="C62614"/>
      <c r="M62614"/>
    </row>
    <row r="62615" spans="3:13" ht="12.75" customHeight="1" x14ac:dyDescent="0.2">
      <c r="C62615"/>
      <c r="M62615"/>
    </row>
    <row r="62616" spans="3:13" ht="12.75" customHeight="1" x14ac:dyDescent="0.2">
      <c r="C62616"/>
      <c r="M62616"/>
    </row>
    <row r="62617" spans="3:13" ht="12.75" customHeight="1" x14ac:dyDescent="0.2">
      <c r="C62617"/>
      <c r="M62617"/>
    </row>
    <row r="62618" spans="3:13" ht="12.75" customHeight="1" x14ac:dyDescent="0.2">
      <c r="C62618"/>
      <c r="M62618"/>
    </row>
    <row r="62619" spans="3:13" ht="12.75" customHeight="1" x14ac:dyDescent="0.2">
      <c r="C62619"/>
      <c r="M62619"/>
    </row>
    <row r="62620" spans="3:13" ht="12.75" customHeight="1" x14ac:dyDescent="0.2">
      <c r="C62620"/>
      <c r="M62620"/>
    </row>
    <row r="62621" spans="3:13" ht="12.75" customHeight="1" x14ac:dyDescent="0.2">
      <c r="C62621"/>
      <c r="M62621"/>
    </row>
    <row r="62622" spans="3:13" ht="12.75" customHeight="1" x14ac:dyDescent="0.2">
      <c r="C62622"/>
      <c r="M62622"/>
    </row>
    <row r="62623" spans="3:13" ht="12.75" customHeight="1" x14ac:dyDescent="0.2">
      <c r="C62623"/>
      <c r="M62623"/>
    </row>
    <row r="62624" spans="3:13" ht="12.75" customHeight="1" x14ac:dyDescent="0.2">
      <c r="C62624"/>
      <c r="M62624"/>
    </row>
    <row r="62625" spans="3:13" ht="12.75" customHeight="1" x14ac:dyDescent="0.2">
      <c r="C62625"/>
      <c r="M62625"/>
    </row>
    <row r="62626" spans="3:13" ht="12.75" customHeight="1" x14ac:dyDescent="0.2">
      <c r="C62626"/>
      <c r="M62626"/>
    </row>
    <row r="62627" spans="3:13" ht="12.75" customHeight="1" x14ac:dyDescent="0.2">
      <c r="C62627"/>
      <c r="M62627"/>
    </row>
    <row r="62628" spans="3:13" ht="12.75" customHeight="1" x14ac:dyDescent="0.2">
      <c r="C62628"/>
      <c r="M62628"/>
    </row>
    <row r="62629" spans="3:13" ht="12.75" customHeight="1" x14ac:dyDescent="0.2">
      <c r="C62629"/>
      <c r="M62629"/>
    </row>
    <row r="62630" spans="3:13" ht="12.75" customHeight="1" x14ac:dyDescent="0.2">
      <c r="C62630"/>
      <c r="M62630"/>
    </row>
    <row r="62631" spans="3:13" ht="12.75" customHeight="1" x14ac:dyDescent="0.2">
      <c r="C62631"/>
      <c r="M62631"/>
    </row>
    <row r="62632" spans="3:13" ht="12.75" customHeight="1" x14ac:dyDescent="0.2">
      <c r="C62632"/>
      <c r="M62632"/>
    </row>
    <row r="62633" spans="3:13" ht="12.75" customHeight="1" x14ac:dyDescent="0.2">
      <c r="C62633"/>
      <c r="M62633"/>
    </row>
    <row r="62634" spans="3:13" ht="12.75" customHeight="1" x14ac:dyDescent="0.2">
      <c r="C62634"/>
      <c r="M62634"/>
    </row>
    <row r="62635" spans="3:13" ht="12.75" customHeight="1" x14ac:dyDescent="0.2">
      <c r="C62635"/>
      <c r="M62635"/>
    </row>
    <row r="62636" spans="3:13" ht="12.75" customHeight="1" x14ac:dyDescent="0.2">
      <c r="C62636"/>
      <c r="M62636"/>
    </row>
    <row r="62637" spans="3:13" ht="12.75" customHeight="1" x14ac:dyDescent="0.2">
      <c r="C62637"/>
      <c r="M62637"/>
    </row>
    <row r="62638" spans="3:13" ht="12.75" customHeight="1" x14ac:dyDescent="0.2">
      <c r="C62638"/>
      <c r="M62638"/>
    </row>
    <row r="62639" spans="3:13" ht="12.75" customHeight="1" x14ac:dyDescent="0.2">
      <c r="C62639"/>
      <c r="M62639"/>
    </row>
    <row r="62640" spans="3:13" ht="12.75" customHeight="1" x14ac:dyDescent="0.2">
      <c r="C62640"/>
      <c r="M62640"/>
    </row>
    <row r="62641" spans="3:13" ht="12.75" customHeight="1" x14ac:dyDescent="0.2">
      <c r="C62641"/>
      <c r="M62641"/>
    </row>
    <row r="62642" spans="3:13" ht="12.75" customHeight="1" x14ac:dyDescent="0.2">
      <c r="C62642"/>
      <c r="M62642"/>
    </row>
    <row r="62643" spans="3:13" ht="12.75" customHeight="1" x14ac:dyDescent="0.2">
      <c r="C62643"/>
      <c r="M62643"/>
    </row>
    <row r="62644" spans="3:13" ht="12.75" customHeight="1" x14ac:dyDescent="0.2">
      <c r="C62644"/>
      <c r="M62644"/>
    </row>
    <row r="62645" spans="3:13" ht="12.75" customHeight="1" x14ac:dyDescent="0.2">
      <c r="C62645"/>
      <c r="M62645"/>
    </row>
    <row r="62646" spans="3:13" ht="12.75" customHeight="1" x14ac:dyDescent="0.2">
      <c r="C62646"/>
      <c r="M62646"/>
    </row>
    <row r="62647" spans="3:13" ht="12.75" customHeight="1" x14ac:dyDescent="0.2">
      <c r="C62647"/>
      <c r="M62647"/>
    </row>
    <row r="62648" spans="3:13" ht="12.75" customHeight="1" x14ac:dyDescent="0.2">
      <c r="C62648"/>
      <c r="M62648"/>
    </row>
    <row r="62649" spans="3:13" ht="12.75" customHeight="1" x14ac:dyDescent="0.2">
      <c r="C62649"/>
      <c r="M62649"/>
    </row>
    <row r="62650" spans="3:13" ht="12.75" customHeight="1" x14ac:dyDescent="0.2">
      <c r="C62650"/>
      <c r="M62650"/>
    </row>
    <row r="62651" spans="3:13" ht="12.75" customHeight="1" x14ac:dyDescent="0.2">
      <c r="C62651"/>
      <c r="M62651"/>
    </row>
    <row r="62652" spans="3:13" ht="12.75" customHeight="1" x14ac:dyDescent="0.2">
      <c r="C62652"/>
      <c r="M62652"/>
    </row>
    <row r="62653" spans="3:13" ht="12.75" customHeight="1" x14ac:dyDescent="0.2">
      <c r="C62653"/>
      <c r="M62653"/>
    </row>
    <row r="62654" spans="3:13" ht="12.75" customHeight="1" x14ac:dyDescent="0.2">
      <c r="C62654"/>
      <c r="M62654"/>
    </row>
    <row r="62655" spans="3:13" ht="12.75" customHeight="1" x14ac:dyDescent="0.2">
      <c r="C62655"/>
      <c r="M62655"/>
    </row>
    <row r="62656" spans="3:13" ht="12.75" customHeight="1" x14ac:dyDescent="0.2">
      <c r="C62656"/>
      <c r="M62656"/>
    </row>
    <row r="62657" spans="3:13" ht="12.75" customHeight="1" x14ac:dyDescent="0.2">
      <c r="C62657"/>
      <c r="M62657"/>
    </row>
    <row r="62658" spans="3:13" ht="12.75" customHeight="1" x14ac:dyDescent="0.2">
      <c r="C62658"/>
      <c r="M62658"/>
    </row>
    <row r="62659" spans="3:13" ht="12.75" customHeight="1" x14ac:dyDescent="0.2">
      <c r="C62659"/>
      <c r="M62659"/>
    </row>
    <row r="62660" spans="3:13" ht="12.75" customHeight="1" x14ac:dyDescent="0.2">
      <c r="C62660"/>
      <c r="M62660"/>
    </row>
    <row r="62661" spans="3:13" ht="12.75" customHeight="1" x14ac:dyDescent="0.2">
      <c r="C62661"/>
      <c r="M62661"/>
    </row>
    <row r="62662" spans="3:13" ht="12.75" customHeight="1" x14ac:dyDescent="0.2">
      <c r="C62662"/>
      <c r="M62662"/>
    </row>
    <row r="62663" spans="3:13" ht="12.75" customHeight="1" x14ac:dyDescent="0.2">
      <c r="C62663"/>
      <c r="M62663"/>
    </row>
    <row r="62664" spans="3:13" ht="12.75" customHeight="1" x14ac:dyDescent="0.2">
      <c r="C62664"/>
      <c r="M62664"/>
    </row>
    <row r="62665" spans="3:13" ht="12.75" customHeight="1" x14ac:dyDescent="0.2">
      <c r="C62665"/>
      <c r="M62665"/>
    </row>
    <row r="62666" spans="3:13" ht="12.75" customHeight="1" x14ac:dyDescent="0.2">
      <c r="C62666"/>
      <c r="M62666"/>
    </row>
    <row r="62667" spans="3:13" ht="12.75" customHeight="1" x14ac:dyDescent="0.2">
      <c r="C62667"/>
      <c r="M62667"/>
    </row>
    <row r="62668" spans="3:13" ht="12.75" customHeight="1" x14ac:dyDescent="0.2">
      <c r="C62668"/>
      <c r="M62668"/>
    </row>
    <row r="62669" spans="3:13" ht="12.75" customHeight="1" x14ac:dyDescent="0.2">
      <c r="C62669"/>
      <c r="M62669"/>
    </row>
    <row r="62670" spans="3:13" ht="12.75" customHeight="1" x14ac:dyDescent="0.2">
      <c r="C62670"/>
      <c r="M62670"/>
    </row>
    <row r="62671" spans="3:13" ht="12.75" customHeight="1" x14ac:dyDescent="0.2">
      <c r="C62671"/>
      <c r="M62671"/>
    </row>
    <row r="62672" spans="3:13" ht="12.75" customHeight="1" x14ac:dyDescent="0.2">
      <c r="C62672"/>
      <c r="M62672"/>
    </row>
    <row r="62673" spans="3:13" ht="12.75" customHeight="1" x14ac:dyDescent="0.2">
      <c r="C62673"/>
      <c r="M62673"/>
    </row>
    <row r="62674" spans="3:13" ht="12.75" customHeight="1" x14ac:dyDescent="0.2">
      <c r="C62674"/>
      <c r="M62674"/>
    </row>
    <row r="62675" spans="3:13" ht="12.75" customHeight="1" x14ac:dyDescent="0.2">
      <c r="C62675"/>
      <c r="M62675"/>
    </row>
    <row r="62676" spans="3:13" ht="12.75" customHeight="1" x14ac:dyDescent="0.2">
      <c r="C62676"/>
      <c r="M62676"/>
    </row>
    <row r="62677" spans="3:13" ht="12.75" customHeight="1" x14ac:dyDescent="0.2">
      <c r="C62677"/>
      <c r="M62677"/>
    </row>
    <row r="62678" spans="3:13" ht="12.75" customHeight="1" x14ac:dyDescent="0.2">
      <c r="C62678"/>
      <c r="M62678"/>
    </row>
    <row r="62679" spans="3:13" ht="12.75" customHeight="1" x14ac:dyDescent="0.2">
      <c r="C62679"/>
      <c r="M62679"/>
    </row>
    <row r="62680" spans="3:13" ht="12.75" customHeight="1" x14ac:dyDescent="0.2">
      <c r="C62680"/>
      <c r="M62680"/>
    </row>
    <row r="62681" spans="3:13" ht="12.75" customHeight="1" x14ac:dyDescent="0.2">
      <c r="C62681"/>
      <c r="M62681"/>
    </row>
    <row r="62682" spans="3:13" ht="12.75" customHeight="1" x14ac:dyDescent="0.2">
      <c r="C62682"/>
      <c r="M62682"/>
    </row>
    <row r="62683" spans="3:13" ht="12.75" customHeight="1" x14ac:dyDescent="0.2">
      <c r="C62683"/>
      <c r="M62683"/>
    </row>
    <row r="62684" spans="3:13" ht="12.75" customHeight="1" x14ac:dyDescent="0.2">
      <c r="C62684"/>
      <c r="M62684"/>
    </row>
    <row r="62685" spans="3:13" ht="12.75" customHeight="1" x14ac:dyDescent="0.2">
      <c r="C62685"/>
      <c r="M62685"/>
    </row>
    <row r="62686" spans="3:13" ht="12.75" customHeight="1" x14ac:dyDescent="0.2">
      <c r="C62686"/>
      <c r="M62686"/>
    </row>
    <row r="62687" spans="3:13" ht="12.75" customHeight="1" x14ac:dyDescent="0.2">
      <c r="C62687"/>
      <c r="M62687"/>
    </row>
    <row r="62688" spans="3:13" ht="12.75" customHeight="1" x14ac:dyDescent="0.2">
      <c r="C62688"/>
      <c r="M62688"/>
    </row>
    <row r="62689" spans="3:13" ht="12.75" customHeight="1" x14ac:dyDescent="0.2">
      <c r="C62689"/>
      <c r="M62689"/>
    </row>
    <row r="62690" spans="3:13" ht="12.75" customHeight="1" x14ac:dyDescent="0.2">
      <c r="C62690"/>
      <c r="M62690"/>
    </row>
    <row r="62691" spans="3:13" ht="12.75" customHeight="1" x14ac:dyDescent="0.2">
      <c r="C62691"/>
      <c r="M62691"/>
    </row>
    <row r="62692" spans="3:13" ht="12.75" customHeight="1" x14ac:dyDescent="0.2">
      <c r="C62692"/>
      <c r="M62692"/>
    </row>
    <row r="62693" spans="3:13" ht="12.75" customHeight="1" x14ac:dyDescent="0.2">
      <c r="C62693"/>
      <c r="M62693"/>
    </row>
    <row r="62694" spans="3:13" ht="12.75" customHeight="1" x14ac:dyDescent="0.2">
      <c r="C62694"/>
      <c r="M62694"/>
    </row>
    <row r="62695" spans="3:13" ht="12.75" customHeight="1" x14ac:dyDescent="0.2">
      <c r="C62695"/>
      <c r="M62695"/>
    </row>
    <row r="62696" spans="3:13" ht="12.75" customHeight="1" x14ac:dyDescent="0.2">
      <c r="C62696"/>
      <c r="M62696"/>
    </row>
    <row r="62697" spans="3:13" ht="12.75" customHeight="1" x14ac:dyDescent="0.2">
      <c r="C62697"/>
      <c r="M62697"/>
    </row>
    <row r="62698" spans="3:13" ht="12.75" customHeight="1" x14ac:dyDescent="0.2">
      <c r="C62698"/>
      <c r="M62698"/>
    </row>
    <row r="62699" spans="3:13" ht="12.75" customHeight="1" x14ac:dyDescent="0.2">
      <c r="C62699"/>
      <c r="M62699"/>
    </row>
    <row r="62700" spans="3:13" ht="12.75" customHeight="1" x14ac:dyDescent="0.2">
      <c r="C62700"/>
      <c r="M62700"/>
    </row>
    <row r="62701" spans="3:13" ht="12.75" customHeight="1" x14ac:dyDescent="0.2">
      <c r="C62701"/>
      <c r="M62701"/>
    </row>
    <row r="62702" spans="3:13" ht="12.75" customHeight="1" x14ac:dyDescent="0.2">
      <c r="C62702"/>
      <c r="M62702"/>
    </row>
    <row r="62703" spans="3:13" ht="12.75" customHeight="1" x14ac:dyDescent="0.2">
      <c r="C62703"/>
      <c r="M62703"/>
    </row>
    <row r="62704" spans="3:13" ht="12.75" customHeight="1" x14ac:dyDescent="0.2">
      <c r="C62704"/>
      <c r="M62704"/>
    </row>
    <row r="62705" spans="3:13" ht="12.75" customHeight="1" x14ac:dyDescent="0.2">
      <c r="C62705"/>
      <c r="M62705"/>
    </row>
    <row r="62706" spans="3:13" ht="12.75" customHeight="1" x14ac:dyDescent="0.2">
      <c r="C62706"/>
      <c r="M62706"/>
    </row>
    <row r="62707" spans="3:13" ht="12.75" customHeight="1" x14ac:dyDescent="0.2">
      <c r="C62707"/>
      <c r="M62707"/>
    </row>
    <row r="62708" spans="3:13" ht="12.75" customHeight="1" x14ac:dyDescent="0.2">
      <c r="C62708"/>
      <c r="M62708"/>
    </row>
    <row r="62709" spans="3:13" ht="12.75" customHeight="1" x14ac:dyDescent="0.2">
      <c r="C62709"/>
      <c r="M62709"/>
    </row>
    <row r="62710" spans="3:13" ht="12.75" customHeight="1" x14ac:dyDescent="0.2">
      <c r="C62710"/>
      <c r="M62710"/>
    </row>
    <row r="62711" spans="3:13" ht="12.75" customHeight="1" x14ac:dyDescent="0.2">
      <c r="C62711"/>
      <c r="M62711"/>
    </row>
    <row r="62712" spans="3:13" ht="12.75" customHeight="1" x14ac:dyDescent="0.2">
      <c r="C62712"/>
      <c r="M62712"/>
    </row>
    <row r="62713" spans="3:13" ht="12.75" customHeight="1" x14ac:dyDescent="0.2">
      <c r="C62713"/>
      <c r="M62713"/>
    </row>
    <row r="62714" spans="3:13" ht="12.75" customHeight="1" x14ac:dyDescent="0.2">
      <c r="C62714"/>
      <c r="M62714"/>
    </row>
    <row r="62715" spans="3:13" ht="12.75" customHeight="1" x14ac:dyDescent="0.2">
      <c r="C62715"/>
      <c r="M62715"/>
    </row>
    <row r="62716" spans="3:13" ht="12.75" customHeight="1" x14ac:dyDescent="0.2">
      <c r="C62716"/>
      <c r="M62716"/>
    </row>
    <row r="62717" spans="3:13" ht="12.75" customHeight="1" x14ac:dyDescent="0.2">
      <c r="C62717"/>
      <c r="M62717"/>
    </row>
    <row r="62718" spans="3:13" ht="12.75" customHeight="1" x14ac:dyDescent="0.2">
      <c r="C62718"/>
      <c r="M62718"/>
    </row>
    <row r="62719" spans="3:13" ht="12.75" customHeight="1" x14ac:dyDescent="0.2">
      <c r="C62719"/>
      <c r="M62719"/>
    </row>
    <row r="62720" spans="3:13" ht="12.75" customHeight="1" x14ac:dyDescent="0.2">
      <c r="C62720"/>
      <c r="M62720"/>
    </row>
    <row r="62721" spans="3:13" ht="12.75" customHeight="1" x14ac:dyDescent="0.2">
      <c r="C62721"/>
      <c r="M62721"/>
    </row>
    <row r="62722" spans="3:13" ht="12.75" customHeight="1" x14ac:dyDescent="0.2">
      <c r="C62722"/>
      <c r="M62722"/>
    </row>
    <row r="62723" spans="3:13" ht="12.75" customHeight="1" x14ac:dyDescent="0.2">
      <c r="C62723"/>
      <c r="M62723"/>
    </row>
    <row r="62724" spans="3:13" ht="12.75" customHeight="1" x14ac:dyDescent="0.2">
      <c r="C62724"/>
      <c r="M62724"/>
    </row>
    <row r="62725" spans="3:13" ht="12.75" customHeight="1" x14ac:dyDescent="0.2">
      <c r="C62725"/>
      <c r="M62725"/>
    </row>
    <row r="62726" spans="3:13" ht="12.75" customHeight="1" x14ac:dyDescent="0.2">
      <c r="C62726"/>
      <c r="M62726"/>
    </row>
    <row r="62727" spans="3:13" ht="12.75" customHeight="1" x14ac:dyDescent="0.2">
      <c r="C62727"/>
      <c r="M62727"/>
    </row>
    <row r="62728" spans="3:13" ht="12.75" customHeight="1" x14ac:dyDescent="0.2">
      <c r="C62728"/>
      <c r="M62728"/>
    </row>
    <row r="62729" spans="3:13" ht="12.75" customHeight="1" x14ac:dyDescent="0.2">
      <c r="C62729"/>
      <c r="M62729"/>
    </row>
    <row r="62730" spans="3:13" ht="12.75" customHeight="1" x14ac:dyDescent="0.2">
      <c r="C62730"/>
      <c r="M62730"/>
    </row>
    <row r="62731" spans="3:13" ht="12.75" customHeight="1" x14ac:dyDescent="0.2">
      <c r="C62731"/>
      <c r="M62731"/>
    </row>
    <row r="62732" spans="3:13" ht="12.75" customHeight="1" x14ac:dyDescent="0.2">
      <c r="C62732"/>
      <c r="M62732"/>
    </row>
    <row r="62733" spans="3:13" ht="12.75" customHeight="1" x14ac:dyDescent="0.2">
      <c r="C62733"/>
      <c r="M62733"/>
    </row>
    <row r="62734" spans="3:13" ht="12.75" customHeight="1" x14ac:dyDescent="0.2">
      <c r="C62734"/>
      <c r="M62734"/>
    </row>
    <row r="62735" spans="3:13" ht="12.75" customHeight="1" x14ac:dyDescent="0.2">
      <c r="C62735"/>
      <c r="M62735"/>
    </row>
    <row r="62736" spans="3:13" ht="12.75" customHeight="1" x14ac:dyDescent="0.2">
      <c r="C62736"/>
      <c r="M62736"/>
    </row>
    <row r="62737" spans="3:13" ht="12.75" customHeight="1" x14ac:dyDescent="0.2">
      <c r="C62737"/>
      <c r="M62737"/>
    </row>
    <row r="62738" spans="3:13" ht="12.75" customHeight="1" x14ac:dyDescent="0.2">
      <c r="C62738"/>
      <c r="M62738"/>
    </row>
    <row r="62739" spans="3:13" ht="12.75" customHeight="1" x14ac:dyDescent="0.2">
      <c r="C62739"/>
      <c r="M62739"/>
    </row>
    <row r="62740" spans="3:13" ht="12.75" customHeight="1" x14ac:dyDescent="0.2">
      <c r="C62740"/>
      <c r="M62740"/>
    </row>
    <row r="62741" spans="3:13" ht="12.75" customHeight="1" x14ac:dyDescent="0.2">
      <c r="C62741"/>
      <c r="M62741"/>
    </row>
    <row r="62742" spans="3:13" ht="12.75" customHeight="1" x14ac:dyDescent="0.2">
      <c r="C62742"/>
      <c r="M62742"/>
    </row>
    <row r="62743" spans="3:13" ht="12.75" customHeight="1" x14ac:dyDescent="0.2">
      <c r="C62743"/>
      <c r="M62743"/>
    </row>
    <row r="62744" spans="3:13" ht="12.75" customHeight="1" x14ac:dyDescent="0.2">
      <c r="C62744"/>
      <c r="M62744"/>
    </row>
    <row r="62745" spans="3:13" ht="12.75" customHeight="1" x14ac:dyDescent="0.2">
      <c r="C62745"/>
      <c r="M62745"/>
    </row>
    <row r="62746" spans="3:13" ht="12.75" customHeight="1" x14ac:dyDescent="0.2">
      <c r="C62746"/>
      <c r="M62746"/>
    </row>
    <row r="62747" spans="3:13" ht="12.75" customHeight="1" x14ac:dyDescent="0.2">
      <c r="C62747"/>
      <c r="M62747"/>
    </row>
    <row r="62748" spans="3:13" ht="12.75" customHeight="1" x14ac:dyDescent="0.2">
      <c r="C62748"/>
      <c r="M62748"/>
    </row>
    <row r="62749" spans="3:13" ht="12.75" customHeight="1" x14ac:dyDescent="0.2">
      <c r="C62749"/>
      <c r="M62749"/>
    </row>
    <row r="62750" spans="3:13" ht="12.75" customHeight="1" x14ac:dyDescent="0.2">
      <c r="C62750"/>
      <c r="M62750"/>
    </row>
    <row r="62751" spans="3:13" ht="12.75" customHeight="1" x14ac:dyDescent="0.2">
      <c r="C62751"/>
      <c r="M62751"/>
    </row>
    <row r="62752" spans="3:13" ht="12.75" customHeight="1" x14ac:dyDescent="0.2">
      <c r="C62752"/>
      <c r="M62752"/>
    </row>
    <row r="62753" spans="3:13" ht="12.75" customHeight="1" x14ac:dyDescent="0.2">
      <c r="C62753"/>
      <c r="M62753"/>
    </row>
    <row r="62754" spans="3:13" ht="12.75" customHeight="1" x14ac:dyDescent="0.2">
      <c r="C62754"/>
      <c r="M62754"/>
    </row>
    <row r="62755" spans="3:13" ht="12.75" customHeight="1" x14ac:dyDescent="0.2">
      <c r="C62755"/>
      <c r="M62755"/>
    </row>
    <row r="62756" spans="3:13" ht="12.75" customHeight="1" x14ac:dyDescent="0.2">
      <c r="C62756"/>
      <c r="M62756"/>
    </row>
    <row r="62757" spans="3:13" ht="12.75" customHeight="1" x14ac:dyDescent="0.2">
      <c r="C62757"/>
      <c r="M62757"/>
    </row>
    <row r="62758" spans="3:13" ht="12.75" customHeight="1" x14ac:dyDescent="0.2">
      <c r="C62758"/>
      <c r="M62758"/>
    </row>
    <row r="62759" spans="3:13" ht="12.75" customHeight="1" x14ac:dyDescent="0.2">
      <c r="C62759"/>
      <c r="M62759"/>
    </row>
    <row r="62760" spans="3:13" ht="12.75" customHeight="1" x14ac:dyDescent="0.2">
      <c r="C62760"/>
      <c r="M62760"/>
    </row>
    <row r="62761" spans="3:13" ht="12.75" customHeight="1" x14ac:dyDescent="0.2">
      <c r="C62761"/>
      <c r="M62761"/>
    </row>
    <row r="62762" spans="3:13" ht="12.75" customHeight="1" x14ac:dyDescent="0.2">
      <c r="C62762"/>
      <c r="M62762"/>
    </row>
    <row r="62763" spans="3:13" ht="12.75" customHeight="1" x14ac:dyDescent="0.2">
      <c r="C62763"/>
      <c r="M62763"/>
    </row>
    <row r="62764" spans="3:13" ht="12.75" customHeight="1" x14ac:dyDescent="0.2">
      <c r="C62764"/>
      <c r="M62764"/>
    </row>
    <row r="62765" spans="3:13" ht="12.75" customHeight="1" x14ac:dyDescent="0.2">
      <c r="C62765"/>
      <c r="M62765"/>
    </row>
    <row r="62766" spans="3:13" ht="12.75" customHeight="1" x14ac:dyDescent="0.2">
      <c r="C62766"/>
      <c r="M62766"/>
    </row>
    <row r="62767" spans="3:13" ht="12.75" customHeight="1" x14ac:dyDescent="0.2">
      <c r="C62767"/>
      <c r="M62767"/>
    </row>
    <row r="62768" spans="3:13" ht="12.75" customHeight="1" x14ac:dyDescent="0.2">
      <c r="C62768"/>
      <c r="M62768"/>
    </row>
    <row r="62769" spans="3:13" ht="12.75" customHeight="1" x14ac:dyDescent="0.2">
      <c r="C62769"/>
      <c r="M62769"/>
    </row>
    <row r="62770" spans="3:13" ht="12.75" customHeight="1" x14ac:dyDescent="0.2">
      <c r="C62770"/>
      <c r="M62770"/>
    </row>
    <row r="62771" spans="3:13" ht="12.75" customHeight="1" x14ac:dyDescent="0.2">
      <c r="C62771"/>
      <c r="M62771"/>
    </row>
    <row r="62772" spans="3:13" ht="12.75" customHeight="1" x14ac:dyDescent="0.2">
      <c r="C62772"/>
      <c r="M62772"/>
    </row>
    <row r="62773" spans="3:13" ht="12.75" customHeight="1" x14ac:dyDescent="0.2">
      <c r="C62773"/>
      <c r="M62773"/>
    </row>
    <row r="62774" spans="3:13" ht="12.75" customHeight="1" x14ac:dyDescent="0.2">
      <c r="C62774"/>
      <c r="M62774"/>
    </row>
    <row r="62775" spans="3:13" ht="12.75" customHeight="1" x14ac:dyDescent="0.2">
      <c r="C62775"/>
      <c r="M62775"/>
    </row>
    <row r="62776" spans="3:13" ht="12.75" customHeight="1" x14ac:dyDescent="0.2">
      <c r="C62776"/>
      <c r="M62776"/>
    </row>
    <row r="62777" spans="3:13" ht="12.75" customHeight="1" x14ac:dyDescent="0.2">
      <c r="C62777"/>
      <c r="M62777"/>
    </row>
    <row r="62778" spans="3:13" ht="12.75" customHeight="1" x14ac:dyDescent="0.2">
      <c r="C62778"/>
      <c r="M62778"/>
    </row>
    <row r="62779" spans="3:13" ht="12.75" customHeight="1" x14ac:dyDescent="0.2">
      <c r="C62779"/>
      <c r="M62779"/>
    </row>
    <row r="62780" spans="3:13" ht="12.75" customHeight="1" x14ac:dyDescent="0.2">
      <c r="C62780"/>
      <c r="M62780"/>
    </row>
    <row r="62781" spans="3:13" ht="12.75" customHeight="1" x14ac:dyDescent="0.2">
      <c r="C62781"/>
      <c r="M62781"/>
    </row>
    <row r="62782" spans="3:13" ht="12.75" customHeight="1" x14ac:dyDescent="0.2">
      <c r="C62782"/>
      <c r="M62782"/>
    </row>
    <row r="62783" spans="3:13" ht="12.75" customHeight="1" x14ac:dyDescent="0.2">
      <c r="C62783"/>
      <c r="M62783"/>
    </row>
    <row r="62784" spans="3:13" ht="12.75" customHeight="1" x14ac:dyDescent="0.2">
      <c r="C62784"/>
      <c r="M62784"/>
    </row>
    <row r="62785" spans="3:13" ht="12.75" customHeight="1" x14ac:dyDescent="0.2">
      <c r="C62785"/>
      <c r="M62785"/>
    </row>
    <row r="62786" spans="3:13" ht="12.75" customHeight="1" x14ac:dyDescent="0.2">
      <c r="C62786"/>
      <c r="M62786"/>
    </row>
    <row r="62787" spans="3:13" ht="12.75" customHeight="1" x14ac:dyDescent="0.2">
      <c r="C62787"/>
      <c r="M62787"/>
    </row>
    <row r="62788" spans="3:13" ht="12.75" customHeight="1" x14ac:dyDescent="0.2">
      <c r="C62788"/>
      <c r="M62788"/>
    </row>
    <row r="62789" spans="3:13" ht="12.75" customHeight="1" x14ac:dyDescent="0.2">
      <c r="C62789"/>
      <c r="M62789"/>
    </row>
    <row r="62790" spans="3:13" ht="12.75" customHeight="1" x14ac:dyDescent="0.2">
      <c r="C62790"/>
      <c r="M62790"/>
    </row>
    <row r="62791" spans="3:13" ht="12.75" customHeight="1" x14ac:dyDescent="0.2">
      <c r="C62791"/>
      <c r="M62791"/>
    </row>
    <row r="62792" spans="3:13" ht="12.75" customHeight="1" x14ac:dyDescent="0.2">
      <c r="C62792"/>
      <c r="M62792"/>
    </row>
    <row r="62793" spans="3:13" ht="12.75" customHeight="1" x14ac:dyDescent="0.2">
      <c r="C62793"/>
      <c r="M62793"/>
    </row>
    <row r="62794" spans="3:13" ht="12.75" customHeight="1" x14ac:dyDescent="0.2">
      <c r="C62794"/>
      <c r="M62794"/>
    </row>
    <row r="62795" spans="3:13" ht="12.75" customHeight="1" x14ac:dyDescent="0.2">
      <c r="C62795"/>
      <c r="M62795"/>
    </row>
    <row r="62796" spans="3:13" ht="12.75" customHeight="1" x14ac:dyDescent="0.2">
      <c r="C62796"/>
      <c r="M62796"/>
    </row>
    <row r="62797" spans="3:13" ht="12.75" customHeight="1" x14ac:dyDescent="0.2">
      <c r="C62797"/>
      <c r="M62797"/>
    </row>
    <row r="62798" spans="3:13" ht="12.75" customHeight="1" x14ac:dyDescent="0.2">
      <c r="C62798"/>
      <c r="M62798"/>
    </row>
    <row r="62799" spans="3:13" ht="12.75" customHeight="1" x14ac:dyDescent="0.2">
      <c r="C62799"/>
      <c r="M62799"/>
    </row>
    <row r="62800" spans="3:13" ht="12.75" customHeight="1" x14ac:dyDescent="0.2">
      <c r="C62800"/>
      <c r="M62800"/>
    </row>
    <row r="62801" spans="3:13" ht="12.75" customHeight="1" x14ac:dyDescent="0.2">
      <c r="C62801"/>
      <c r="M62801"/>
    </row>
    <row r="62802" spans="3:13" ht="12.75" customHeight="1" x14ac:dyDescent="0.2">
      <c r="C62802"/>
      <c r="M62802"/>
    </row>
    <row r="62803" spans="3:13" ht="12.75" customHeight="1" x14ac:dyDescent="0.2">
      <c r="C62803"/>
      <c r="M62803"/>
    </row>
    <row r="62804" spans="3:13" ht="12.75" customHeight="1" x14ac:dyDescent="0.2">
      <c r="C62804"/>
      <c r="M62804"/>
    </row>
    <row r="62805" spans="3:13" ht="12.75" customHeight="1" x14ac:dyDescent="0.2">
      <c r="C62805"/>
      <c r="M62805"/>
    </row>
    <row r="62806" spans="3:13" ht="12.75" customHeight="1" x14ac:dyDescent="0.2">
      <c r="C62806"/>
      <c r="M62806"/>
    </row>
    <row r="62807" spans="3:13" ht="12.75" customHeight="1" x14ac:dyDescent="0.2">
      <c r="C62807"/>
      <c r="M62807"/>
    </row>
    <row r="62808" spans="3:13" ht="12.75" customHeight="1" x14ac:dyDescent="0.2">
      <c r="C62808"/>
      <c r="M62808"/>
    </row>
    <row r="62809" spans="3:13" ht="12.75" customHeight="1" x14ac:dyDescent="0.2">
      <c r="C62809"/>
      <c r="M62809"/>
    </row>
    <row r="62810" spans="3:13" ht="12.75" customHeight="1" x14ac:dyDescent="0.2">
      <c r="C62810"/>
      <c r="M62810"/>
    </row>
    <row r="62811" spans="3:13" ht="12.75" customHeight="1" x14ac:dyDescent="0.2">
      <c r="C62811"/>
      <c r="M62811"/>
    </row>
    <row r="62812" spans="3:13" ht="12.75" customHeight="1" x14ac:dyDescent="0.2">
      <c r="C62812"/>
      <c r="M62812"/>
    </row>
    <row r="62813" spans="3:13" ht="12.75" customHeight="1" x14ac:dyDescent="0.2">
      <c r="C62813"/>
      <c r="M62813"/>
    </row>
    <row r="62814" spans="3:13" ht="12.75" customHeight="1" x14ac:dyDescent="0.2">
      <c r="C62814"/>
      <c r="M62814"/>
    </row>
    <row r="62815" spans="3:13" ht="12.75" customHeight="1" x14ac:dyDescent="0.2">
      <c r="C62815"/>
      <c r="M62815"/>
    </row>
    <row r="62816" spans="3:13" ht="12.75" customHeight="1" x14ac:dyDescent="0.2">
      <c r="C62816"/>
      <c r="M62816"/>
    </row>
    <row r="62817" spans="3:13" ht="12.75" customHeight="1" x14ac:dyDescent="0.2">
      <c r="C62817"/>
      <c r="M62817"/>
    </row>
    <row r="62818" spans="3:13" ht="12.75" customHeight="1" x14ac:dyDescent="0.2">
      <c r="C62818"/>
      <c r="M62818"/>
    </row>
    <row r="62819" spans="3:13" ht="12.75" customHeight="1" x14ac:dyDescent="0.2">
      <c r="C62819"/>
      <c r="M62819"/>
    </row>
    <row r="62820" spans="3:13" ht="12.75" customHeight="1" x14ac:dyDescent="0.2">
      <c r="C62820"/>
      <c r="M62820"/>
    </row>
    <row r="62821" spans="3:13" ht="12.75" customHeight="1" x14ac:dyDescent="0.2">
      <c r="C62821"/>
      <c r="M62821"/>
    </row>
    <row r="62822" spans="3:13" ht="12.75" customHeight="1" x14ac:dyDescent="0.2">
      <c r="C62822"/>
      <c r="M62822"/>
    </row>
    <row r="62823" spans="3:13" ht="12.75" customHeight="1" x14ac:dyDescent="0.2">
      <c r="C62823"/>
      <c r="M62823"/>
    </row>
    <row r="62824" spans="3:13" ht="12.75" customHeight="1" x14ac:dyDescent="0.2">
      <c r="C62824"/>
      <c r="M62824"/>
    </row>
    <row r="62825" spans="3:13" ht="12.75" customHeight="1" x14ac:dyDescent="0.2">
      <c r="C62825"/>
      <c r="M62825"/>
    </row>
    <row r="62826" spans="3:13" ht="12.75" customHeight="1" x14ac:dyDescent="0.2">
      <c r="C62826"/>
      <c r="M62826"/>
    </row>
    <row r="62827" spans="3:13" ht="12.75" customHeight="1" x14ac:dyDescent="0.2">
      <c r="C62827"/>
      <c r="M62827"/>
    </row>
    <row r="62828" spans="3:13" ht="12.75" customHeight="1" x14ac:dyDescent="0.2">
      <c r="C62828"/>
      <c r="M62828"/>
    </row>
    <row r="62829" spans="3:13" ht="12.75" customHeight="1" x14ac:dyDescent="0.2">
      <c r="C62829"/>
      <c r="M62829"/>
    </row>
    <row r="62830" spans="3:13" ht="12.75" customHeight="1" x14ac:dyDescent="0.2">
      <c r="C62830"/>
      <c r="M62830"/>
    </row>
    <row r="62831" spans="3:13" ht="12.75" customHeight="1" x14ac:dyDescent="0.2">
      <c r="C62831"/>
      <c r="M62831"/>
    </row>
    <row r="62832" spans="3:13" ht="12.75" customHeight="1" x14ac:dyDescent="0.2">
      <c r="C62832"/>
      <c r="M62832"/>
    </row>
    <row r="62833" spans="3:13" ht="12.75" customHeight="1" x14ac:dyDescent="0.2">
      <c r="C62833"/>
      <c r="M62833"/>
    </row>
    <row r="62834" spans="3:13" ht="12.75" customHeight="1" x14ac:dyDescent="0.2">
      <c r="C62834"/>
      <c r="M62834"/>
    </row>
    <row r="62835" spans="3:13" ht="12.75" customHeight="1" x14ac:dyDescent="0.2">
      <c r="C62835"/>
      <c r="M62835"/>
    </row>
    <row r="62836" spans="3:13" ht="12.75" customHeight="1" x14ac:dyDescent="0.2">
      <c r="C62836"/>
      <c r="M62836"/>
    </row>
    <row r="62837" spans="3:13" ht="12.75" customHeight="1" x14ac:dyDescent="0.2">
      <c r="C62837"/>
      <c r="M62837"/>
    </row>
    <row r="62838" spans="3:13" ht="12.75" customHeight="1" x14ac:dyDescent="0.2">
      <c r="C62838"/>
      <c r="M62838"/>
    </row>
    <row r="62839" spans="3:13" ht="12.75" customHeight="1" x14ac:dyDescent="0.2">
      <c r="C62839"/>
      <c r="M62839"/>
    </row>
    <row r="62840" spans="3:13" ht="12.75" customHeight="1" x14ac:dyDescent="0.2">
      <c r="C62840"/>
      <c r="M62840"/>
    </row>
    <row r="62841" spans="3:13" ht="12.75" customHeight="1" x14ac:dyDescent="0.2">
      <c r="C62841"/>
      <c r="M62841"/>
    </row>
    <row r="62842" spans="3:13" ht="12.75" customHeight="1" x14ac:dyDescent="0.2">
      <c r="C62842"/>
      <c r="M62842"/>
    </row>
    <row r="62843" spans="3:13" ht="12.75" customHeight="1" x14ac:dyDescent="0.2">
      <c r="C62843"/>
      <c r="M62843"/>
    </row>
    <row r="62844" spans="3:13" ht="12.75" customHeight="1" x14ac:dyDescent="0.2">
      <c r="C62844"/>
      <c r="M62844"/>
    </row>
    <row r="62845" spans="3:13" ht="12.75" customHeight="1" x14ac:dyDescent="0.2">
      <c r="C62845"/>
      <c r="M62845"/>
    </row>
    <row r="62846" spans="3:13" ht="12.75" customHeight="1" x14ac:dyDescent="0.2">
      <c r="C62846"/>
      <c r="M62846"/>
    </row>
    <row r="62847" spans="3:13" ht="12.75" customHeight="1" x14ac:dyDescent="0.2">
      <c r="C62847"/>
      <c r="M62847"/>
    </row>
    <row r="62848" spans="3:13" ht="12.75" customHeight="1" x14ac:dyDescent="0.2">
      <c r="C62848"/>
      <c r="M62848"/>
    </row>
    <row r="62849" spans="3:13" ht="12.75" customHeight="1" x14ac:dyDescent="0.2">
      <c r="C62849"/>
      <c r="M62849"/>
    </row>
    <row r="62850" spans="3:13" ht="12.75" customHeight="1" x14ac:dyDescent="0.2">
      <c r="C62850"/>
      <c r="M62850"/>
    </row>
    <row r="62851" spans="3:13" ht="12.75" customHeight="1" x14ac:dyDescent="0.2">
      <c r="C62851"/>
      <c r="M62851"/>
    </row>
    <row r="62852" spans="3:13" ht="12.75" customHeight="1" x14ac:dyDescent="0.2">
      <c r="C62852"/>
      <c r="M62852"/>
    </row>
    <row r="62853" spans="3:13" ht="12.75" customHeight="1" x14ac:dyDescent="0.2">
      <c r="C62853"/>
      <c r="M62853"/>
    </row>
    <row r="62854" spans="3:13" ht="12.75" customHeight="1" x14ac:dyDescent="0.2">
      <c r="C62854"/>
      <c r="M62854"/>
    </row>
    <row r="62855" spans="3:13" ht="12.75" customHeight="1" x14ac:dyDescent="0.2">
      <c r="C62855"/>
      <c r="M62855"/>
    </row>
    <row r="62856" spans="3:13" ht="12.75" customHeight="1" x14ac:dyDescent="0.2">
      <c r="C62856"/>
      <c r="M62856"/>
    </row>
    <row r="62857" spans="3:13" ht="12.75" customHeight="1" x14ac:dyDescent="0.2">
      <c r="C62857"/>
      <c r="M62857"/>
    </row>
    <row r="62858" spans="3:13" ht="12.75" customHeight="1" x14ac:dyDescent="0.2">
      <c r="C62858"/>
      <c r="M62858"/>
    </row>
    <row r="62859" spans="3:13" ht="12.75" customHeight="1" x14ac:dyDescent="0.2">
      <c r="C62859"/>
      <c r="M62859"/>
    </row>
    <row r="62860" spans="3:13" ht="12.75" customHeight="1" x14ac:dyDescent="0.2">
      <c r="C62860"/>
      <c r="M62860"/>
    </row>
    <row r="62861" spans="3:13" ht="12.75" customHeight="1" x14ac:dyDescent="0.2">
      <c r="C62861"/>
      <c r="M62861"/>
    </row>
    <row r="62862" spans="3:13" ht="12.75" customHeight="1" x14ac:dyDescent="0.2">
      <c r="C62862"/>
      <c r="M62862"/>
    </row>
    <row r="62863" spans="3:13" ht="12.75" customHeight="1" x14ac:dyDescent="0.2">
      <c r="C62863"/>
      <c r="M62863"/>
    </row>
    <row r="62864" spans="3:13" ht="12.75" customHeight="1" x14ac:dyDescent="0.2">
      <c r="C62864"/>
      <c r="M62864"/>
    </row>
    <row r="62865" spans="3:13" ht="12.75" customHeight="1" x14ac:dyDescent="0.2">
      <c r="C62865"/>
      <c r="M62865"/>
    </row>
    <row r="62866" spans="3:13" ht="12.75" customHeight="1" x14ac:dyDescent="0.2">
      <c r="C62866"/>
      <c r="M62866"/>
    </row>
    <row r="62867" spans="3:13" ht="12.75" customHeight="1" x14ac:dyDescent="0.2">
      <c r="C62867"/>
      <c r="M62867"/>
    </row>
    <row r="62868" spans="3:13" ht="12.75" customHeight="1" x14ac:dyDescent="0.2">
      <c r="C62868"/>
      <c r="M62868"/>
    </row>
    <row r="62869" spans="3:13" ht="12.75" customHeight="1" x14ac:dyDescent="0.2">
      <c r="C62869"/>
      <c r="M62869"/>
    </row>
    <row r="62870" spans="3:13" ht="12.75" customHeight="1" x14ac:dyDescent="0.2">
      <c r="C62870"/>
      <c r="M62870"/>
    </row>
    <row r="62871" spans="3:13" ht="12.75" customHeight="1" x14ac:dyDescent="0.2">
      <c r="C62871"/>
      <c r="M62871"/>
    </row>
    <row r="62872" spans="3:13" ht="12.75" customHeight="1" x14ac:dyDescent="0.2">
      <c r="C62872"/>
      <c r="M62872"/>
    </row>
    <row r="62873" spans="3:13" ht="12.75" customHeight="1" x14ac:dyDescent="0.2">
      <c r="C62873"/>
      <c r="M62873"/>
    </row>
    <row r="62874" spans="3:13" ht="12.75" customHeight="1" x14ac:dyDescent="0.2">
      <c r="C62874"/>
      <c r="M62874"/>
    </row>
    <row r="62875" spans="3:13" ht="12.75" customHeight="1" x14ac:dyDescent="0.2">
      <c r="C62875"/>
      <c r="M62875"/>
    </row>
    <row r="62876" spans="3:13" ht="12.75" customHeight="1" x14ac:dyDescent="0.2">
      <c r="C62876"/>
      <c r="M62876"/>
    </row>
    <row r="62877" spans="3:13" ht="12.75" customHeight="1" x14ac:dyDescent="0.2">
      <c r="C62877"/>
      <c r="M62877"/>
    </row>
    <row r="62878" spans="3:13" ht="12.75" customHeight="1" x14ac:dyDescent="0.2">
      <c r="C62878"/>
      <c r="M62878"/>
    </row>
    <row r="62879" spans="3:13" ht="12.75" customHeight="1" x14ac:dyDescent="0.2">
      <c r="C62879"/>
      <c r="M62879"/>
    </row>
    <row r="62880" spans="3:13" ht="12.75" customHeight="1" x14ac:dyDescent="0.2">
      <c r="C62880"/>
      <c r="M62880"/>
    </row>
    <row r="62881" spans="3:13" ht="12.75" customHeight="1" x14ac:dyDescent="0.2">
      <c r="C62881"/>
      <c r="M62881"/>
    </row>
    <row r="62882" spans="3:13" ht="12.75" customHeight="1" x14ac:dyDescent="0.2">
      <c r="C62882"/>
      <c r="M62882"/>
    </row>
    <row r="62883" spans="3:13" ht="12.75" customHeight="1" x14ac:dyDescent="0.2">
      <c r="C62883"/>
      <c r="M62883"/>
    </row>
    <row r="62884" spans="3:13" ht="12.75" customHeight="1" x14ac:dyDescent="0.2">
      <c r="C62884"/>
      <c r="M62884"/>
    </row>
    <row r="62885" spans="3:13" ht="12.75" customHeight="1" x14ac:dyDescent="0.2">
      <c r="C62885"/>
      <c r="M62885"/>
    </row>
    <row r="62886" spans="3:13" ht="12.75" customHeight="1" x14ac:dyDescent="0.2">
      <c r="C62886"/>
      <c r="M62886"/>
    </row>
    <row r="62887" spans="3:13" ht="12.75" customHeight="1" x14ac:dyDescent="0.2">
      <c r="C62887"/>
      <c r="M62887"/>
    </row>
    <row r="62888" spans="3:13" ht="12.75" customHeight="1" x14ac:dyDescent="0.2">
      <c r="C62888"/>
      <c r="M62888"/>
    </row>
    <row r="62889" spans="3:13" ht="12.75" customHeight="1" x14ac:dyDescent="0.2">
      <c r="C62889"/>
      <c r="M62889"/>
    </row>
    <row r="62890" spans="3:13" ht="12.75" customHeight="1" x14ac:dyDescent="0.2">
      <c r="C62890"/>
      <c r="M62890"/>
    </row>
    <row r="62891" spans="3:13" ht="12.75" customHeight="1" x14ac:dyDescent="0.2">
      <c r="C62891"/>
      <c r="M62891"/>
    </row>
    <row r="62892" spans="3:13" ht="12.75" customHeight="1" x14ac:dyDescent="0.2">
      <c r="C62892"/>
      <c r="M62892"/>
    </row>
    <row r="62893" spans="3:13" ht="12.75" customHeight="1" x14ac:dyDescent="0.2">
      <c r="C62893"/>
      <c r="M62893"/>
    </row>
    <row r="62894" spans="3:13" ht="12.75" customHeight="1" x14ac:dyDescent="0.2">
      <c r="C62894"/>
      <c r="M62894"/>
    </row>
    <row r="62895" spans="3:13" ht="12.75" customHeight="1" x14ac:dyDescent="0.2">
      <c r="C62895"/>
      <c r="M62895"/>
    </row>
    <row r="62896" spans="3:13" ht="12.75" customHeight="1" x14ac:dyDescent="0.2">
      <c r="C62896"/>
      <c r="M62896"/>
    </row>
    <row r="62897" spans="3:13" ht="12.75" customHeight="1" x14ac:dyDescent="0.2">
      <c r="C62897"/>
      <c r="M62897"/>
    </row>
    <row r="62898" spans="3:13" ht="12.75" customHeight="1" x14ac:dyDescent="0.2">
      <c r="C62898"/>
      <c r="M62898"/>
    </row>
    <row r="62899" spans="3:13" ht="12.75" customHeight="1" x14ac:dyDescent="0.2">
      <c r="C62899"/>
      <c r="M62899"/>
    </row>
    <row r="62900" spans="3:13" ht="12.75" customHeight="1" x14ac:dyDescent="0.2">
      <c r="C62900"/>
      <c r="M62900"/>
    </row>
    <row r="62901" spans="3:13" ht="12.75" customHeight="1" x14ac:dyDescent="0.2">
      <c r="C62901"/>
      <c r="M62901"/>
    </row>
    <row r="62902" spans="3:13" ht="12.75" customHeight="1" x14ac:dyDescent="0.2">
      <c r="C62902"/>
      <c r="M62902"/>
    </row>
    <row r="62903" spans="3:13" ht="12.75" customHeight="1" x14ac:dyDescent="0.2">
      <c r="C62903"/>
      <c r="M62903"/>
    </row>
    <row r="62904" spans="3:13" ht="12.75" customHeight="1" x14ac:dyDescent="0.2">
      <c r="C62904"/>
      <c r="M62904"/>
    </row>
    <row r="62905" spans="3:13" ht="12.75" customHeight="1" x14ac:dyDescent="0.2">
      <c r="C62905"/>
      <c r="M62905"/>
    </row>
    <row r="62906" spans="3:13" ht="12.75" customHeight="1" x14ac:dyDescent="0.2">
      <c r="C62906"/>
      <c r="M62906"/>
    </row>
    <row r="62907" spans="3:13" ht="12.75" customHeight="1" x14ac:dyDescent="0.2">
      <c r="C62907"/>
      <c r="M62907"/>
    </row>
    <row r="62908" spans="3:13" ht="12.75" customHeight="1" x14ac:dyDescent="0.2">
      <c r="C62908"/>
      <c r="M62908"/>
    </row>
    <row r="62909" spans="3:13" ht="12.75" customHeight="1" x14ac:dyDescent="0.2">
      <c r="C62909"/>
      <c r="M62909"/>
    </row>
    <row r="62910" spans="3:13" ht="12.75" customHeight="1" x14ac:dyDescent="0.2">
      <c r="C62910"/>
      <c r="M62910"/>
    </row>
    <row r="62911" spans="3:13" ht="12.75" customHeight="1" x14ac:dyDescent="0.2">
      <c r="C62911"/>
      <c r="M62911"/>
    </row>
    <row r="62912" spans="3:13" ht="12.75" customHeight="1" x14ac:dyDescent="0.2">
      <c r="C62912"/>
      <c r="M62912"/>
    </row>
    <row r="62913" spans="3:13" ht="12.75" customHeight="1" x14ac:dyDescent="0.2">
      <c r="C62913"/>
      <c r="M62913"/>
    </row>
    <row r="62914" spans="3:13" ht="12.75" customHeight="1" x14ac:dyDescent="0.2">
      <c r="C62914"/>
      <c r="M62914"/>
    </row>
    <row r="62915" spans="3:13" ht="12.75" customHeight="1" x14ac:dyDescent="0.2">
      <c r="C62915"/>
      <c r="M62915"/>
    </row>
    <row r="62916" spans="3:13" ht="12.75" customHeight="1" x14ac:dyDescent="0.2">
      <c r="C62916"/>
      <c r="M62916"/>
    </row>
    <row r="62917" spans="3:13" ht="12.75" customHeight="1" x14ac:dyDescent="0.2">
      <c r="C62917"/>
      <c r="M62917"/>
    </row>
    <row r="62918" spans="3:13" ht="12.75" customHeight="1" x14ac:dyDescent="0.2">
      <c r="C62918"/>
      <c r="M62918"/>
    </row>
    <row r="62919" spans="3:13" ht="12.75" customHeight="1" x14ac:dyDescent="0.2">
      <c r="C62919"/>
      <c r="M62919"/>
    </row>
    <row r="62920" spans="3:13" ht="12.75" customHeight="1" x14ac:dyDescent="0.2">
      <c r="C62920"/>
      <c r="M62920"/>
    </row>
    <row r="62921" spans="3:13" ht="12.75" customHeight="1" x14ac:dyDescent="0.2">
      <c r="C62921"/>
      <c r="M62921"/>
    </row>
    <row r="62922" spans="3:13" ht="12.75" customHeight="1" x14ac:dyDescent="0.2">
      <c r="C62922"/>
      <c r="M62922"/>
    </row>
    <row r="62923" spans="3:13" ht="12.75" customHeight="1" x14ac:dyDescent="0.2">
      <c r="C62923"/>
      <c r="M62923"/>
    </row>
    <row r="62924" spans="3:13" ht="12.75" customHeight="1" x14ac:dyDescent="0.2">
      <c r="C62924"/>
      <c r="M62924"/>
    </row>
    <row r="62925" spans="3:13" ht="12.75" customHeight="1" x14ac:dyDescent="0.2">
      <c r="C62925"/>
      <c r="M62925"/>
    </row>
    <row r="62926" spans="3:13" ht="12.75" customHeight="1" x14ac:dyDescent="0.2">
      <c r="C62926"/>
      <c r="M62926"/>
    </row>
    <row r="62927" spans="3:13" ht="12.75" customHeight="1" x14ac:dyDescent="0.2">
      <c r="C62927"/>
      <c r="M62927"/>
    </row>
    <row r="62928" spans="3:13" ht="12.75" customHeight="1" x14ac:dyDescent="0.2">
      <c r="C62928"/>
      <c r="M62928"/>
    </row>
    <row r="62929" spans="3:13" ht="12.75" customHeight="1" x14ac:dyDescent="0.2">
      <c r="C62929"/>
      <c r="M62929"/>
    </row>
    <row r="62930" spans="3:13" ht="12.75" customHeight="1" x14ac:dyDescent="0.2">
      <c r="C62930"/>
      <c r="M62930"/>
    </row>
    <row r="62931" spans="3:13" ht="12.75" customHeight="1" x14ac:dyDescent="0.2">
      <c r="C62931"/>
      <c r="M62931"/>
    </row>
    <row r="62932" spans="3:13" ht="12.75" customHeight="1" x14ac:dyDescent="0.2">
      <c r="C62932"/>
      <c r="M62932"/>
    </row>
    <row r="62933" spans="3:13" ht="12.75" customHeight="1" x14ac:dyDescent="0.2">
      <c r="C62933"/>
      <c r="M62933"/>
    </row>
    <row r="62934" spans="3:13" ht="12.75" customHeight="1" x14ac:dyDescent="0.2">
      <c r="C62934"/>
      <c r="M62934"/>
    </row>
    <row r="62935" spans="3:13" ht="12.75" customHeight="1" x14ac:dyDescent="0.2">
      <c r="C62935"/>
      <c r="M62935"/>
    </row>
    <row r="62936" spans="3:13" ht="12.75" customHeight="1" x14ac:dyDescent="0.2">
      <c r="C62936"/>
      <c r="M62936"/>
    </row>
    <row r="62937" spans="3:13" ht="12.75" customHeight="1" x14ac:dyDescent="0.2">
      <c r="C62937"/>
      <c r="M62937"/>
    </row>
    <row r="62938" spans="3:13" ht="12.75" customHeight="1" x14ac:dyDescent="0.2">
      <c r="C62938"/>
      <c r="M62938"/>
    </row>
    <row r="62939" spans="3:13" ht="12.75" customHeight="1" x14ac:dyDescent="0.2">
      <c r="C62939"/>
      <c r="M62939"/>
    </row>
    <row r="62940" spans="3:13" ht="12.75" customHeight="1" x14ac:dyDescent="0.2">
      <c r="C62940"/>
      <c r="M62940"/>
    </row>
    <row r="62941" spans="3:13" ht="12.75" customHeight="1" x14ac:dyDescent="0.2">
      <c r="C62941"/>
      <c r="M62941"/>
    </row>
    <row r="62942" spans="3:13" ht="12.75" customHeight="1" x14ac:dyDescent="0.2">
      <c r="C62942"/>
      <c r="M62942"/>
    </row>
    <row r="62943" spans="3:13" ht="12.75" customHeight="1" x14ac:dyDescent="0.2">
      <c r="C62943"/>
      <c r="M62943"/>
    </row>
    <row r="62944" spans="3:13" ht="12.75" customHeight="1" x14ac:dyDescent="0.2">
      <c r="C62944"/>
      <c r="M62944"/>
    </row>
    <row r="62945" spans="3:13" ht="12.75" customHeight="1" x14ac:dyDescent="0.2">
      <c r="C62945"/>
      <c r="M62945"/>
    </row>
    <row r="62946" spans="3:13" ht="12.75" customHeight="1" x14ac:dyDescent="0.2">
      <c r="C62946"/>
      <c r="M62946"/>
    </row>
    <row r="62947" spans="3:13" ht="12.75" customHeight="1" x14ac:dyDescent="0.2">
      <c r="C62947"/>
      <c r="M62947"/>
    </row>
    <row r="62948" spans="3:13" ht="12.75" customHeight="1" x14ac:dyDescent="0.2">
      <c r="C62948"/>
      <c r="M62948"/>
    </row>
    <row r="62949" spans="3:13" ht="12.75" customHeight="1" x14ac:dyDescent="0.2">
      <c r="C62949"/>
      <c r="M62949"/>
    </row>
    <row r="62950" spans="3:13" ht="12.75" customHeight="1" x14ac:dyDescent="0.2">
      <c r="C62950"/>
      <c r="M62950"/>
    </row>
    <row r="62951" spans="3:13" ht="12.75" customHeight="1" x14ac:dyDescent="0.2">
      <c r="C62951"/>
      <c r="M62951"/>
    </row>
    <row r="62952" spans="3:13" ht="12.75" customHeight="1" x14ac:dyDescent="0.2">
      <c r="C62952"/>
      <c r="M62952"/>
    </row>
    <row r="62953" spans="3:13" ht="12.75" customHeight="1" x14ac:dyDescent="0.2">
      <c r="C62953"/>
      <c r="M62953"/>
    </row>
    <row r="62954" spans="3:13" ht="12.75" customHeight="1" x14ac:dyDescent="0.2">
      <c r="C62954"/>
      <c r="M62954"/>
    </row>
    <row r="62955" spans="3:13" ht="12.75" customHeight="1" x14ac:dyDescent="0.2">
      <c r="C62955"/>
      <c r="M62955"/>
    </row>
    <row r="62956" spans="3:13" ht="12.75" customHeight="1" x14ac:dyDescent="0.2">
      <c r="C62956"/>
      <c r="M62956"/>
    </row>
    <row r="62957" spans="3:13" ht="12.75" customHeight="1" x14ac:dyDescent="0.2">
      <c r="C62957"/>
      <c r="M62957"/>
    </row>
    <row r="62958" spans="3:13" ht="12.75" customHeight="1" x14ac:dyDescent="0.2">
      <c r="C62958"/>
      <c r="M62958"/>
    </row>
    <row r="62959" spans="3:13" ht="12.75" customHeight="1" x14ac:dyDescent="0.2">
      <c r="C62959"/>
      <c r="M62959"/>
    </row>
    <row r="62960" spans="3:13" ht="12.75" customHeight="1" x14ac:dyDescent="0.2">
      <c r="C62960"/>
      <c r="M62960"/>
    </row>
    <row r="62961" spans="3:13" ht="12.75" customHeight="1" x14ac:dyDescent="0.2">
      <c r="C62961"/>
      <c r="M62961"/>
    </row>
    <row r="62962" spans="3:13" ht="12.75" customHeight="1" x14ac:dyDescent="0.2">
      <c r="C62962"/>
      <c r="M62962"/>
    </row>
    <row r="62963" spans="3:13" ht="12.75" customHeight="1" x14ac:dyDescent="0.2">
      <c r="C62963"/>
      <c r="M62963"/>
    </row>
    <row r="62964" spans="3:13" ht="12.75" customHeight="1" x14ac:dyDescent="0.2">
      <c r="C62964"/>
      <c r="M62964"/>
    </row>
    <row r="62965" spans="3:13" ht="12.75" customHeight="1" x14ac:dyDescent="0.2">
      <c r="C62965"/>
      <c r="M62965"/>
    </row>
    <row r="62966" spans="3:13" ht="12.75" customHeight="1" x14ac:dyDescent="0.2">
      <c r="C62966"/>
      <c r="M62966"/>
    </row>
    <row r="62967" spans="3:13" ht="12.75" customHeight="1" x14ac:dyDescent="0.2">
      <c r="C62967"/>
      <c r="M62967"/>
    </row>
    <row r="62968" spans="3:13" ht="12.75" customHeight="1" x14ac:dyDescent="0.2">
      <c r="C62968"/>
      <c r="M62968"/>
    </row>
    <row r="62969" spans="3:13" ht="12.75" customHeight="1" x14ac:dyDescent="0.2">
      <c r="C62969"/>
      <c r="M62969"/>
    </row>
    <row r="62970" spans="3:13" ht="12.75" customHeight="1" x14ac:dyDescent="0.2">
      <c r="C62970"/>
      <c r="M62970"/>
    </row>
    <row r="62971" spans="3:13" ht="12.75" customHeight="1" x14ac:dyDescent="0.2">
      <c r="C62971"/>
      <c r="M62971"/>
    </row>
    <row r="62972" spans="3:13" ht="12.75" customHeight="1" x14ac:dyDescent="0.2">
      <c r="C62972"/>
      <c r="M62972"/>
    </row>
    <row r="62973" spans="3:13" ht="12.75" customHeight="1" x14ac:dyDescent="0.2">
      <c r="C62973"/>
      <c r="M62973"/>
    </row>
    <row r="62974" spans="3:13" ht="12.75" customHeight="1" x14ac:dyDescent="0.2">
      <c r="C62974"/>
      <c r="M62974"/>
    </row>
    <row r="62975" spans="3:13" ht="12.75" customHeight="1" x14ac:dyDescent="0.2">
      <c r="C62975"/>
      <c r="M62975"/>
    </row>
    <row r="62976" spans="3:13" ht="12.75" customHeight="1" x14ac:dyDescent="0.2">
      <c r="C62976"/>
      <c r="M62976"/>
    </row>
    <row r="62977" spans="3:13" ht="12.75" customHeight="1" x14ac:dyDescent="0.2">
      <c r="C62977"/>
      <c r="M62977"/>
    </row>
    <row r="62978" spans="3:13" ht="12.75" customHeight="1" x14ac:dyDescent="0.2">
      <c r="C62978"/>
      <c r="M62978"/>
    </row>
    <row r="62979" spans="3:13" ht="12.75" customHeight="1" x14ac:dyDescent="0.2">
      <c r="C62979"/>
      <c r="M62979"/>
    </row>
    <row r="62980" spans="3:13" ht="12.75" customHeight="1" x14ac:dyDescent="0.2">
      <c r="C62980"/>
      <c r="M62980"/>
    </row>
    <row r="62981" spans="3:13" ht="12.75" customHeight="1" x14ac:dyDescent="0.2">
      <c r="C62981"/>
      <c r="M62981"/>
    </row>
    <row r="62982" spans="3:13" ht="12.75" customHeight="1" x14ac:dyDescent="0.2">
      <c r="C62982"/>
      <c r="M62982"/>
    </row>
    <row r="62983" spans="3:13" ht="12.75" customHeight="1" x14ac:dyDescent="0.2">
      <c r="C62983"/>
      <c r="M62983"/>
    </row>
    <row r="62984" spans="3:13" ht="12.75" customHeight="1" x14ac:dyDescent="0.2">
      <c r="C62984"/>
      <c r="M62984"/>
    </row>
    <row r="62985" spans="3:13" ht="12.75" customHeight="1" x14ac:dyDescent="0.2">
      <c r="C62985"/>
      <c r="M62985"/>
    </row>
    <row r="62986" spans="3:13" ht="12.75" customHeight="1" x14ac:dyDescent="0.2">
      <c r="C62986"/>
      <c r="M62986"/>
    </row>
    <row r="62987" spans="3:13" ht="12.75" customHeight="1" x14ac:dyDescent="0.2">
      <c r="C62987"/>
      <c r="M62987"/>
    </row>
    <row r="62988" spans="3:13" ht="12.75" customHeight="1" x14ac:dyDescent="0.2">
      <c r="C62988"/>
      <c r="M62988"/>
    </row>
    <row r="62989" spans="3:13" ht="12.75" customHeight="1" x14ac:dyDescent="0.2">
      <c r="C62989"/>
      <c r="M62989"/>
    </row>
    <row r="62990" spans="3:13" ht="12.75" customHeight="1" x14ac:dyDescent="0.2">
      <c r="C62990"/>
      <c r="M62990"/>
    </row>
    <row r="62991" spans="3:13" ht="12.75" customHeight="1" x14ac:dyDescent="0.2">
      <c r="C62991"/>
      <c r="M62991"/>
    </row>
    <row r="62992" spans="3:13" ht="12.75" customHeight="1" x14ac:dyDescent="0.2">
      <c r="C62992"/>
      <c r="M62992"/>
    </row>
    <row r="62993" spans="3:13" ht="12.75" customHeight="1" x14ac:dyDescent="0.2">
      <c r="C62993"/>
      <c r="M62993"/>
    </row>
    <row r="62994" spans="3:13" ht="12.75" customHeight="1" x14ac:dyDescent="0.2">
      <c r="C62994"/>
      <c r="M62994"/>
    </row>
    <row r="62995" spans="3:13" ht="12.75" customHeight="1" x14ac:dyDescent="0.2">
      <c r="C62995"/>
      <c r="M62995"/>
    </row>
    <row r="62996" spans="3:13" ht="12.75" customHeight="1" x14ac:dyDescent="0.2">
      <c r="C62996"/>
      <c r="M62996"/>
    </row>
    <row r="62997" spans="3:13" ht="12.75" customHeight="1" x14ac:dyDescent="0.2">
      <c r="C62997"/>
      <c r="M62997"/>
    </row>
    <row r="62998" spans="3:13" ht="12.75" customHeight="1" x14ac:dyDescent="0.2">
      <c r="C62998"/>
      <c r="M62998"/>
    </row>
    <row r="62999" spans="3:13" ht="12.75" customHeight="1" x14ac:dyDescent="0.2">
      <c r="C62999"/>
      <c r="M62999"/>
    </row>
    <row r="63000" spans="3:13" ht="12.75" customHeight="1" x14ac:dyDescent="0.2">
      <c r="C63000"/>
      <c r="M63000"/>
    </row>
    <row r="63001" spans="3:13" ht="12.75" customHeight="1" x14ac:dyDescent="0.2">
      <c r="C63001"/>
      <c r="M63001"/>
    </row>
    <row r="63002" spans="3:13" ht="12.75" customHeight="1" x14ac:dyDescent="0.2">
      <c r="C63002"/>
      <c r="M63002"/>
    </row>
    <row r="63003" spans="3:13" ht="12.75" customHeight="1" x14ac:dyDescent="0.2">
      <c r="C63003"/>
      <c r="M63003"/>
    </row>
    <row r="63004" spans="3:13" ht="12.75" customHeight="1" x14ac:dyDescent="0.2">
      <c r="C63004"/>
      <c r="M63004"/>
    </row>
    <row r="63005" spans="3:13" ht="12.75" customHeight="1" x14ac:dyDescent="0.2">
      <c r="C63005"/>
      <c r="M63005"/>
    </row>
    <row r="63006" spans="3:13" ht="12.75" customHeight="1" x14ac:dyDescent="0.2">
      <c r="C63006"/>
      <c r="M63006"/>
    </row>
    <row r="63007" spans="3:13" ht="12.75" customHeight="1" x14ac:dyDescent="0.2">
      <c r="C63007"/>
      <c r="M63007"/>
    </row>
    <row r="63008" spans="3:13" ht="12.75" customHeight="1" x14ac:dyDescent="0.2">
      <c r="C63008"/>
      <c r="M63008"/>
    </row>
    <row r="63009" spans="3:13" ht="12.75" customHeight="1" x14ac:dyDescent="0.2">
      <c r="C63009"/>
      <c r="M63009"/>
    </row>
    <row r="63010" spans="3:13" ht="12.75" customHeight="1" x14ac:dyDescent="0.2">
      <c r="C63010"/>
      <c r="M63010"/>
    </row>
    <row r="63011" spans="3:13" ht="12.75" customHeight="1" x14ac:dyDescent="0.2">
      <c r="C63011"/>
      <c r="M63011"/>
    </row>
    <row r="63012" spans="3:13" ht="12.75" customHeight="1" x14ac:dyDescent="0.2">
      <c r="C63012"/>
      <c r="M63012"/>
    </row>
    <row r="63013" spans="3:13" ht="12.75" customHeight="1" x14ac:dyDescent="0.2">
      <c r="C63013"/>
      <c r="M63013"/>
    </row>
    <row r="63014" spans="3:13" ht="12.75" customHeight="1" x14ac:dyDescent="0.2">
      <c r="C63014"/>
      <c r="M63014"/>
    </row>
    <row r="63015" spans="3:13" ht="12.75" customHeight="1" x14ac:dyDescent="0.2">
      <c r="C63015"/>
      <c r="M63015"/>
    </row>
    <row r="63016" spans="3:13" ht="12.75" customHeight="1" x14ac:dyDescent="0.2">
      <c r="C63016"/>
      <c r="M63016"/>
    </row>
    <row r="63017" spans="3:13" ht="12.75" customHeight="1" x14ac:dyDescent="0.2">
      <c r="C63017"/>
      <c r="M63017"/>
    </row>
    <row r="63018" spans="3:13" ht="12.75" customHeight="1" x14ac:dyDescent="0.2">
      <c r="C63018"/>
      <c r="M63018"/>
    </row>
    <row r="63019" spans="3:13" ht="12.75" customHeight="1" x14ac:dyDescent="0.2">
      <c r="C63019"/>
      <c r="M63019"/>
    </row>
    <row r="63020" spans="3:13" ht="12.75" customHeight="1" x14ac:dyDescent="0.2">
      <c r="C63020"/>
      <c r="M63020"/>
    </row>
    <row r="63021" spans="3:13" ht="12.75" customHeight="1" x14ac:dyDescent="0.2">
      <c r="C63021"/>
      <c r="M63021"/>
    </row>
    <row r="63022" spans="3:13" ht="12.75" customHeight="1" x14ac:dyDescent="0.2">
      <c r="C63022"/>
      <c r="M63022"/>
    </row>
    <row r="63023" spans="3:13" ht="12.75" customHeight="1" x14ac:dyDescent="0.2">
      <c r="C63023"/>
      <c r="M63023"/>
    </row>
    <row r="63024" spans="3:13" ht="12.75" customHeight="1" x14ac:dyDescent="0.2">
      <c r="C63024"/>
      <c r="M63024"/>
    </row>
    <row r="63025" spans="3:13" ht="12.75" customHeight="1" x14ac:dyDescent="0.2">
      <c r="C63025"/>
      <c r="M63025"/>
    </row>
    <row r="63026" spans="3:13" ht="12.75" customHeight="1" x14ac:dyDescent="0.2">
      <c r="C63026"/>
      <c r="M63026"/>
    </row>
    <row r="63027" spans="3:13" ht="12.75" customHeight="1" x14ac:dyDescent="0.2">
      <c r="C63027"/>
      <c r="M63027"/>
    </row>
    <row r="63028" spans="3:13" ht="12.75" customHeight="1" x14ac:dyDescent="0.2">
      <c r="C63028"/>
      <c r="M63028"/>
    </row>
    <row r="63029" spans="3:13" ht="12.75" customHeight="1" x14ac:dyDescent="0.2">
      <c r="C63029"/>
      <c r="M63029"/>
    </row>
    <row r="63030" spans="3:13" ht="12.75" customHeight="1" x14ac:dyDescent="0.2">
      <c r="C63030"/>
      <c r="M63030"/>
    </row>
    <row r="63031" spans="3:13" ht="12.75" customHeight="1" x14ac:dyDescent="0.2">
      <c r="C63031"/>
      <c r="M63031"/>
    </row>
    <row r="63032" spans="3:13" ht="12.75" customHeight="1" x14ac:dyDescent="0.2">
      <c r="C63032"/>
      <c r="M63032"/>
    </row>
    <row r="63033" spans="3:13" ht="12.75" customHeight="1" x14ac:dyDescent="0.2">
      <c r="C63033"/>
      <c r="M63033"/>
    </row>
    <row r="63034" spans="3:13" ht="12.75" customHeight="1" x14ac:dyDescent="0.2">
      <c r="C63034"/>
      <c r="M63034"/>
    </row>
    <row r="63035" spans="3:13" ht="12.75" customHeight="1" x14ac:dyDescent="0.2">
      <c r="C63035"/>
      <c r="M63035"/>
    </row>
    <row r="63036" spans="3:13" ht="12.75" customHeight="1" x14ac:dyDescent="0.2">
      <c r="C63036"/>
      <c r="M63036"/>
    </row>
    <row r="63037" spans="3:13" ht="12.75" customHeight="1" x14ac:dyDescent="0.2">
      <c r="C63037"/>
      <c r="M63037"/>
    </row>
    <row r="63038" spans="3:13" ht="12.75" customHeight="1" x14ac:dyDescent="0.2">
      <c r="C63038"/>
      <c r="M63038"/>
    </row>
    <row r="63039" spans="3:13" ht="12.75" customHeight="1" x14ac:dyDescent="0.2">
      <c r="C63039"/>
      <c r="M63039"/>
    </row>
    <row r="63040" spans="3:13" ht="12.75" customHeight="1" x14ac:dyDescent="0.2">
      <c r="C63040"/>
      <c r="M63040"/>
    </row>
    <row r="63041" spans="3:13" ht="12.75" customHeight="1" x14ac:dyDescent="0.2">
      <c r="C63041"/>
      <c r="M63041"/>
    </row>
    <row r="63042" spans="3:13" ht="12.75" customHeight="1" x14ac:dyDescent="0.2">
      <c r="C63042"/>
      <c r="M63042"/>
    </row>
    <row r="63043" spans="3:13" ht="12.75" customHeight="1" x14ac:dyDescent="0.2">
      <c r="C63043"/>
      <c r="M63043"/>
    </row>
    <row r="63044" spans="3:13" ht="12.75" customHeight="1" x14ac:dyDescent="0.2">
      <c r="C63044"/>
      <c r="M63044"/>
    </row>
    <row r="63045" spans="3:13" ht="12.75" customHeight="1" x14ac:dyDescent="0.2">
      <c r="C63045"/>
      <c r="M63045"/>
    </row>
    <row r="63046" spans="3:13" ht="12.75" customHeight="1" x14ac:dyDescent="0.2">
      <c r="C63046"/>
      <c r="M63046"/>
    </row>
    <row r="63047" spans="3:13" ht="12.75" customHeight="1" x14ac:dyDescent="0.2">
      <c r="C63047"/>
      <c r="M63047"/>
    </row>
    <row r="63048" spans="3:13" ht="12.75" customHeight="1" x14ac:dyDescent="0.2">
      <c r="C63048"/>
      <c r="M63048"/>
    </row>
    <row r="63049" spans="3:13" ht="12.75" customHeight="1" x14ac:dyDescent="0.2">
      <c r="C63049"/>
      <c r="M63049"/>
    </row>
    <row r="63050" spans="3:13" ht="12.75" customHeight="1" x14ac:dyDescent="0.2">
      <c r="C63050"/>
      <c r="M63050"/>
    </row>
    <row r="63051" spans="3:13" ht="12.75" customHeight="1" x14ac:dyDescent="0.2">
      <c r="C63051"/>
      <c r="M63051"/>
    </row>
    <row r="63052" spans="3:13" ht="12.75" customHeight="1" x14ac:dyDescent="0.2">
      <c r="C63052"/>
      <c r="M63052"/>
    </row>
    <row r="63053" spans="3:13" ht="12.75" customHeight="1" x14ac:dyDescent="0.2">
      <c r="C63053"/>
      <c r="M63053"/>
    </row>
    <row r="63054" spans="3:13" ht="12.75" customHeight="1" x14ac:dyDescent="0.2">
      <c r="C63054"/>
      <c r="M63054"/>
    </row>
    <row r="63055" spans="3:13" ht="12.75" customHeight="1" x14ac:dyDescent="0.2">
      <c r="C63055"/>
      <c r="M63055"/>
    </row>
    <row r="63056" spans="3:13" ht="12.75" customHeight="1" x14ac:dyDescent="0.2">
      <c r="C63056"/>
      <c r="M63056"/>
    </row>
    <row r="63057" spans="3:13" ht="12.75" customHeight="1" x14ac:dyDescent="0.2">
      <c r="C63057"/>
      <c r="M63057"/>
    </row>
    <row r="63058" spans="3:13" ht="12.75" customHeight="1" x14ac:dyDescent="0.2">
      <c r="C63058"/>
      <c r="M63058"/>
    </row>
    <row r="63059" spans="3:13" ht="12.75" customHeight="1" x14ac:dyDescent="0.2">
      <c r="C63059"/>
      <c r="M63059"/>
    </row>
    <row r="63060" spans="3:13" ht="12.75" customHeight="1" x14ac:dyDescent="0.2">
      <c r="C63060"/>
      <c r="M63060"/>
    </row>
    <row r="63061" spans="3:13" ht="12.75" customHeight="1" x14ac:dyDescent="0.2">
      <c r="C63061"/>
      <c r="M63061"/>
    </row>
    <row r="63062" spans="3:13" ht="12.75" customHeight="1" x14ac:dyDescent="0.2">
      <c r="C63062"/>
      <c r="M63062"/>
    </row>
    <row r="63063" spans="3:13" ht="12.75" customHeight="1" x14ac:dyDescent="0.2">
      <c r="C63063"/>
      <c r="M63063"/>
    </row>
    <row r="63064" spans="3:13" ht="12.75" customHeight="1" x14ac:dyDescent="0.2">
      <c r="C63064"/>
      <c r="M63064"/>
    </row>
    <row r="63065" spans="3:13" ht="12.75" customHeight="1" x14ac:dyDescent="0.2">
      <c r="C63065"/>
      <c r="M63065"/>
    </row>
    <row r="63066" spans="3:13" ht="12.75" customHeight="1" x14ac:dyDescent="0.2">
      <c r="C63066"/>
      <c r="M63066"/>
    </row>
    <row r="63067" spans="3:13" ht="12.75" customHeight="1" x14ac:dyDescent="0.2">
      <c r="C63067"/>
      <c r="M63067"/>
    </row>
    <row r="63068" spans="3:13" ht="12.75" customHeight="1" x14ac:dyDescent="0.2">
      <c r="C63068"/>
      <c r="M63068"/>
    </row>
    <row r="63069" spans="3:13" ht="12.75" customHeight="1" x14ac:dyDescent="0.2">
      <c r="C63069"/>
      <c r="M63069"/>
    </row>
    <row r="63070" spans="3:13" ht="12.75" customHeight="1" x14ac:dyDescent="0.2">
      <c r="C63070"/>
      <c r="M63070"/>
    </row>
    <row r="63071" spans="3:13" ht="12.75" customHeight="1" x14ac:dyDescent="0.2">
      <c r="C63071"/>
      <c r="M63071"/>
    </row>
    <row r="63072" spans="3:13" ht="12.75" customHeight="1" x14ac:dyDescent="0.2">
      <c r="C63072"/>
      <c r="M63072"/>
    </row>
    <row r="63073" spans="3:13" ht="12.75" customHeight="1" x14ac:dyDescent="0.2">
      <c r="C63073"/>
      <c r="M63073"/>
    </row>
    <row r="63074" spans="3:13" ht="12.75" customHeight="1" x14ac:dyDescent="0.2">
      <c r="C63074"/>
      <c r="M63074"/>
    </row>
    <row r="63075" spans="3:13" ht="12.75" customHeight="1" x14ac:dyDescent="0.2">
      <c r="C63075"/>
      <c r="M63075"/>
    </row>
    <row r="63076" spans="3:13" ht="12.75" customHeight="1" x14ac:dyDescent="0.2">
      <c r="C63076"/>
      <c r="M63076"/>
    </row>
    <row r="63077" spans="3:13" ht="12.75" customHeight="1" x14ac:dyDescent="0.2">
      <c r="C63077"/>
      <c r="M63077"/>
    </row>
    <row r="63078" spans="3:13" ht="12.75" customHeight="1" x14ac:dyDescent="0.2">
      <c r="C63078"/>
      <c r="M63078"/>
    </row>
    <row r="63079" spans="3:13" ht="12.75" customHeight="1" x14ac:dyDescent="0.2">
      <c r="C63079"/>
      <c r="M63079"/>
    </row>
    <row r="63080" spans="3:13" ht="12.75" customHeight="1" x14ac:dyDescent="0.2">
      <c r="C63080"/>
      <c r="M63080"/>
    </row>
    <row r="63081" spans="3:13" ht="12.75" customHeight="1" x14ac:dyDescent="0.2">
      <c r="C63081"/>
      <c r="M63081"/>
    </row>
    <row r="63082" spans="3:13" ht="12.75" customHeight="1" x14ac:dyDescent="0.2">
      <c r="C63082"/>
      <c r="M63082"/>
    </row>
    <row r="63083" spans="3:13" ht="12.75" customHeight="1" x14ac:dyDescent="0.2">
      <c r="C63083"/>
      <c r="M63083"/>
    </row>
    <row r="63084" spans="3:13" ht="12.75" customHeight="1" x14ac:dyDescent="0.2">
      <c r="C63084"/>
      <c r="M63084"/>
    </row>
    <row r="63085" spans="3:13" ht="12.75" customHeight="1" x14ac:dyDescent="0.2">
      <c r="C63085"/>
      <c r="M63085"/>
    </row>
    <row r="63086" spans="3:13" ht="12.75" customHeight="1" x14ac:dyDescent="0.2">
      <c r="C63086"/>
      <c r="M63086"/>
    </row>
    <row r="63087" spans="3:13" ht="12.75" customHeight="1" x14ac:dyDescent="0.2">
      <c r="C63087"/>
      <c r="M63087"/>
    </row>
    <row r="63088" spans="3:13" ht="12.75" customHeight="1" x14ac:dyDescent="0.2">
      <c r="C63088"/>
      <c r="M63088"/>
    </row>
    <row r="63089" spans="3:13" ht="12.75" customHeight="1" x14ac:dyDescent="0.2">
      <c r="C63089"/>
      <c r="M63089"/>
    </row>
    <row r="63090" spans="3:13" ht="12.75" customHeight="1" x14ac:dyDescent="0.2">
      <c r="C63090"/>
      <c r="M63090"/>
    </row>
    <row r="63091" spans="3:13" ht="12.75" customHeight="1" x14ac:dyDescent="0.2">
      <c r="C63091"/>
      <c r="M63091"/>
    </row>
    <row r="63092" spans="3:13" ht="12.75" customHeight="1" x14ac:dyDescent="0.2">
      <c r="C63092"/>
      <c r="M63092"/>
    </row>
    <row r="63093" spans="3:13" ht="12.75" customHeight="1" x14ac:dyDescent="0.2">
      <c r="C63093"/>
      <c r="M63093"/>
    </row>
    <row r="63094" spans="3:13" ht="12.75" customHeight="1" x14ac:dyDescent="0.2">
      <c r="C63094"/>
      <c r="M63094"/>
    </row>
    <row r="63095" spans="3:13" ht="12.75" customHeight="1" x14ac:dyDescent="0.2">
      <c r="C63095"/>
      <c r="M63095"/>
    </row>
    <row r="63096" spans="3:13" ht="12.75" customHeight="1" x14ac:dyDescent="0.2">
      <c r="C63096"/>
      <c r="M63096"/>
    </row>
    <row r="63097" spans="3:13" ht="12.75" customHeight="1" x14ac:dyDescent="0.2">
      <c r="C63097"/>
      <c r="M63097"/>
    </row>
    <row r="63098" spans="3:13" ht="12.75" customHeight="1" x14ac:dyDescent="0.2">
      <c r="C63098"/>
      <c r="M63098"/>
    </row>
    <row r="63099" spans="3:13" ht="12.75" customHeight="1" x14ac:dyDescent="0.2">
      <c r="C63099"/>
      <c r="M63099"/>
    </row>
    <row r="63100" spans="3:13" ht="12.75" customHeight="1" x14ac:dyDescent="0.2">
      <c r="C63100"/>
      <c r="M63100"/>
    </row>
    <row r="63101" spans="3:13" ht="12.75" customHeight="1" x14ac:dyDescent="0.2">
      <c r="C63101"/>
      <c r="M63101"/>
    </row>
    <row r="63102" spans="3:13" ht="12.75" customHeight="1" x14ac:dyDescent="0.2">
      <c r="C63102"/>
      <c r="M63102"/>
    </row>
    <row r="63103" spans="3:13" ht="12.75" customHeight="1" x14ac:dyDescent="0.2">
      <c r="C63103"/>
      <c r="M63103"/>
    </row>
    <row r="63104" spans="3:13" ht="12.75" customHeight="1" x14ac:dyDescent="0.2">
      <c r="C63104"/>
      <c r="M63104"/>
    </row>
    <row r="63105" spans="3:13" ht="12.75" customHeight="1" x14ac:dyDescent="0.2">
      <c r="C63105"/>
      <c r="M63105"/>
    </row>
    <row r="63106" spans="3:13" ht="12.75" customHeight="1" x14ac:dyDescent="0.2">
      <c r="C63106"/>
      <c r="M63106"/>
    </row>
    <row r="63107" spans="3:13" ht="12.75" customHeight="1" x14ac:dyDescent="0.2">
      <c r="C63107"/>
      <c r="M63107"/>
    </row>
    <row r="63108" spans="3:13" ht="12.75" customHeight="1" x14ac:dyDescent="0.2">
      <c r="C63108"/>
      <c r="M63108"/>
    </row>
    <row r="63109" spans="3:13" ht="12.75" customHeight="1" x14ac:dyDescent="0.2">
      <c r="C63109"/>
      <c r="M63109"/>
    </row>
    <row r="63110" spans="3:13" ht="12.75" customHeight="1" x14ac:dyDescent="0.2">
      <c r="C63110"/>
      <c r="M63110"/>
    </row>
    <row r="63111" spans="3:13" ht="12.75" customHeight="1" x14ac:dyDescent="0.2">
      <c r="C63111"/>
      <c r="M63111"/>
    </row>
    <row r="63112" spans="3:13" ht="12.75" customHeight="1" x14ac:dyDescent="0.2">
      <c r="C63112"/>
      <c r="M63112"/>
    </row>
    <row r="63113" spans="3:13" ht="12.75" customHeight="1" x14ac:dyDescent="0.2">
      <c r="C63113"/>
      <c r="M63113"/>
    </row>
    <row r="63114" spans="3:13" ht="12.75" customHeight="1" x14ac:dyDescent="0.2">
      <c r="C63114"/>
      <c r="M63114"/>
    </row>
    <row r="63115" spans="3:13" ht="12.75" customHeight="1" x14ac:dyDescent="0.2">
      <c r="C63115"/>
      <c r="M63115"/>
    </row>
    <row r="63116" spans="3:13" ht="12.75" customHeight="1" x14ac:dyDescent="0.2">
      <c r="C63116"/>
      <c r="M63116"/>
    </row>
    <row r="63117" spans="3:13" ht="12.75" customHeight="1" x14ac:dyDescent="0.2">
      <c r="C63117"/>
      <c r="M63117"/>
    </row>
    <row r="63118" spans="3:13" ht="12.75" customHeight="1" x14ac:dyDescent="0.2">
      <c r="C63118"/>
      <c r="M63118"/>
    </row>
    <row r="63119" spans="3:13" ht="12.75" customHeight="1" x14ac:dyDescent="0.2">
      <c r="C63119"/>
      <c r="M63119"/>
    </row>
    <row r="63120" spans="3:13" ht="12.75" customHeight="1" x14ac:dyDescent="0.2">
      <c r="C63120"/>
      <c r="M63120"/>
    </row>
    <row r="63121" spans="3:13" ht="12.75" customHeight="1" x14ac:dyDescent="0.2">
      <c r="C63121"/>
      <c r="M63121"/>
    </row>
    <row r="63122" spans="3:13" ht="12.75" customHeight="1" x14ac:dyDescent="0.2">
      <c r="C63122"/>
      <c r="M63122"/>
    </row>
    <row r="63123" spans="3:13" ht="12.75" customHeight="1" x14ac:dyDescent="0.2">
      <c r="C63123"/>
      <c r="M63123"/>
    </row>
    <row r="63124" spans="3:13" ht="12.75" customHeight="1" x14ac:dyDescent="0.2">
      <c r="C63124"/>
      <c r="M63124"/>
    </row>
    <row r="63125" spans="3:13" ht="12.75" customHeight="1" x14ac:dyDescent="0.2">
      <c r="C63125"/>
      <c r="M63125"/>
    </row>
    <row r="63126" spans="3:13" ht="12.75" customHeight="1" x14ac:dyDescent="0.2">
      <c r="C63126"/>
      <c r="M63126"/>
    </row>
    <row r="63127" spans="3:13" ht="12.75" customHeight="1" x14ac:dyDescent="0.2">
      <c r="C63127"/>
      <c r="M63127"/>
    </row>
    <row r="63128" spans="3:13" ht="12.75" customHeight="1" x14ac:dyDescent="0.2">
      <c r="C63128"/>
      <c r="M63128"/>
    </row>
    <row r="63129" spans="3:13" ht="12.75" customHeight="1" x14ac:dyDescent="0.2">
      <c r="C63129"/>
      <c r="M63129"/>
    </row>
    <row r="63130" spans="3:13" ht="12.75" customHeight="1" x14ac:dyDescent="0.2">
      <c r="C63130"/>
      <c r="M63130"/>
    </row>
    <row r="63131" spans="3:13" ht="12.75" customHeight="1" x14ac:dyDescent="0.2">
      <c r="C63131"/>
      <c r="M63131"/>
    </row>
    <row r="63132" spans="3:13" ht="12.75" customHeight="1" x14ac:dyDescent="0.2">
      <c r="C63132"/>
      <c r="M63132"/>
    </row>
    <row r="63133" spans="3:13" ht="12.75" customHeight="1" x14ac:dyDescent="0.2">
      <c r="C63133"/>
      <c r="M63133"/>
    </row>
    <row r="63134" spans="3:13" ht="12.75" customHeight="1" x14ac:dyDescent="0.2">
      <c r="C63134"/>
      <c r="M63134"/>
    </row>
    <row r="63135" spans="3:13" ht="12.75" customHeight="1" x14ac:dyDescent="0.2">
      <c r="C63135"/>
      <c r="M63135"/>
    </row>
    <row r="63136" spans="3:13" ht="12.75" customHeight="1" x14ac:dyDescent="0.2">
      <c r="C63136"/>
      <c r="M63136"/>
    </row>
    <row r="63137" spans="3:13" ht="12.75" customHeight="1" x14ac:dyDescent="0.2">
      <c r="C63137"/>
      <c r="M63137"/>
    </row>
    <row r="63138" spans="3:13" ht="12.75" customHeight="1" x14ac:dyDescent="0.2">
      <c r="C63138"/>
      <c r="M63138"/>
    </row>
    <row r="63139" spans="3:13" ht="12.75" customHeight="1" x14ac:dyDescent="0.2">
      <c r="C63139"/>
      <c r="M63139"/>
    </row>
    <row r="63140" spans="3:13" ht="12.75" customHeight="1" x14ac:dyDescent="0.2">
      <c r="C63140"/>
      <c r="M63140"/>
    </row>
    <row r="63141" spans="3:13" ht="12.75" customHeight="1" x14ac:dyDescent="0.2">
      <c r="C63141"/>
      <c r="M63141"/>
    </row>
    <row r="63142" spans="3:13" ht="12.75" customHeight="1" x14ac:dyDescent="0.2">
      <c r="C63142"/>
      <c r="M63142"/>
    </row>
    <row r="63143" spans="3:13" ht="12.75" customHeight="1" x14ac:dyDescent="0.2">
      <c r="C63143"/>
      <c r="M63143"/>
    </row>
    <row r="63144" spans="3:13" ht="12.75" customHeight="1" x14ac:dyDescent="0.2">
      <c r="C63144"/>
      <c r="M63144"/>
    </row>
    <row r="63145" spans="3:13" ht="12.75" customHeight="1" x14ac:dyDescent="0.2">
      <c r="C63145"/>
      <c r="M63145"/>
    </row>
    <row r="63146" spans="3:13" ht="12.75" customHeight="1" x14ac:dyDescent="0.2">
      <c r="C63146"/>
      <c r="M63146"/>
    </row>
    <row r="63147" spans="3:13" ht="12.75" customHeight="1" x14ac:dyDescent="0.2">
      <c r="C63147"/>
      <c r="M63147"/>
    </row>
    <row r="63148" spans="3:13" ht="12.75" customHeight="1" x14ac:dyDescent="0.2">
      <c r="C63148"/>
      <c r="M63148"/>
    </row>
    <row r="63149" spans="3:13" ht="12.75" customHeight="1" x14ac:dyDescent="0.2">
      <c r="C63149"/>
      <c r="M63149"/>
    </row>
    <row r="63150" spans="3:13" ht="12.75" customHeight="1" x14ac:dyDescent="0.2">
      <c r="C63150"/>
      <c r="M63150"/>
    </row>
    <row r="63151" spans="3:13" ht="12.75" customHeight="1" x14ac:dyDescent="0.2">
      <c r="C63151"/>
      <c r="M63151"/>
    </row>
    <row r="63152" spans="3:13" ht="12.75" customHeight="1" x14ac:dyDescent="0.2">
      <c r="C63152"/>
      <c r="M63152"/>
    </row>
    <row r="63153" spans="3:13" ht="12.75" customHeight="1" x14ac:dyDescent="0.2">
      <c r="C63153"/>
      <c r="M63153"/>
    </row>
    <row r="63154" spans="3:13" ht="12.75" customHeight="1" x14ac:dyDescent="0.2">
      <c r="C63154"/>
      <c r="M63154"/>
    </row>
    <row r="63155" spans="3:13" ht="12.75" customHeight="1" x14ac:dyDescent="0.2">
      <c r="C63155"/>
      <c r="M63155"/>
    </row>
    <row r="63156" spans="3:13" ht="12.75" customHeight="1" x14ac:dyDescent="0.2">
      <c r="C63156"/>
      <c r="M63156"/>
    </row>
    <row r="63157" spans="3:13" ht="12.75" customHeight="1" x14ac:dyDescent="0.2">
      <c r="C63157"/>
      <c r="M63157"/>
    </row>
    <row r="63158" spans="3:13" ht="12.75" customHeight="1" x14ac:dyDescent="0.2">
      <c r="C63158"/>
      <c r="M63158"/>
    </row>
    <row r="63159" spans="3:13" ht="12.75" customHeight="1" x14ac:dyDescent="0.2">
      <c r="C63159"/>
      <c r="M63159"/>
    </row>
    <row r="63160" spans="3:13" ht="12.75" customHeight="1" x14ac:dyDescent="0.2">
      <c r="C63160"/>
      <c r="M63160"/>
    </row>
    <row r="63161" spans="3:13" ht="12.75" customHeight="1" x14ac:dyDescent="0.2">
      <c r="C63161"/>
      <c r="M63161"/>
    </row>
    <row r="63162" spans="3:13" ht="12.75" customHeight="1" x14ac:dyDescent="0.2">
      <c r="C63162"/>
      <c r="M63162"/>
    </row>
    <row r="63163" spans="3:13" ht="12.75" customHeight="1" x14ac:dyDescent="0.2">
      <c r="C63163"/>
      <c r="M63163"/>
    </row>
    <row r="63164" spans="3:13" ht="12.75" customHeight="1" x14ac:dyDescent="0.2">
      <c r="C63164"/>
      <c r="M63164"/>
    </row>
    <row r="63165" spans="3:13" ht="12.75" customHeight="1" x14ac:dyDescent="0.2">
      <c r="C63165"/>
      <c r="M63165"/>
    </row>
    <row r="63166" spans="3:13" ht="12.75" customHeight="1" x14ac:dyDescent="0.2">
      <c r="C63166"/>
      <c r="M63166"/>
    </row>
    <row r="63167" spans="3:13" ht="12.75" customHeight="1" x14ac:dyDescent="0.2">
      <c r="C63167"/>
      <c r="M63167"/>
    </row>
    <row r="63168" spans="3:13" ht="12.75" customHeight="1" x14ac:dyDescent="0.2">
      <c r="C63168"/>
      <c r="M63168"/>
    </row>
    <row r="63169" spans="3:13" ht="12.75" customHeight="1" x14ac:dyDescent="0.2">
      <c r="C63169"/>
      <c r="M63169"/>
    </row>
    <row r="63170" spans="3:13" ht="12.75" customHeight="1" x14ac:dyDescent="0.2">
      <c r="C63170"/>
      <c r="M63170"/>
    </row>
    <row r="63171" spans="3:13" ht="12.75" customHeight="1" x14ac:dyDescent="0.2">
      <c r="C63171"/>
      <c r="M63171"/>
    </row>
    <row r="63172" spans="3:13" ht="12.75" customHeight="1" x14ac:dyDescent="0.2">
      <c r="C63172"/>
      <c r="M63172"/>
    </row>
    <row r="63173" spans="3:13" ht="12.75" customHeight="1" x14ac:dyDescent="0.2">
      <c r="C63173"/>
      <c r="M63173"/>
    </row>
    <row r="63174" spans="3:13" ht="12.75" customHeight="1" x14ac:dyDescent="0.2">
      <c r="C63174"/>
      <c r="M63174"/>
    </row>
    <row r="63175" spans="3:13" ht="12.75" customHeight="1" x14ac:dyDescent="0.2">
      <c r="C63175"/>
      <c r="M63175"/>
    </row>
    <row r="63176" spans="3:13" ht="12.75" customHeight="1" x14ac:dyDescent="0.2">
      <c r="C63176"/>
      <c r="M63176"/>
    </row>
    <row r="63177" spans="3:13" ht="12.75" customHeight="1" x14ac:dyDescent="0.2">
      <c r="C63177"/>
      <c r="M63177"/>
    </row>
    <row r="63178" spans="3:13" ht="12.75" customHeight="1" x14ac:dyDescent="0.2">
      <c r="C63178"/>
      <c r="M63178"/>
    </row>
    <row r="63179" spans="3:13" ht="12.75" customHeight="1" x14ac:dyDescent="0.2">
      <c r="C63179"/>
      <c r="M63179"/>
    </row>
    <row r="63180" spans="3:13" ht="12.75" customHeight="1" x14ac:dyDescent="0.2">
      <c r="C63180"/>
      <c r="M63180"/>
    </row>
    <row r="63181" spans="3:13" ht="12.75" customHeight="1" x14ac:dyDescent="0.2">
      <c r="C63181"/>
      <c r="M63181"/>
    </row>
    <row r="63182" spans="3:13" ht="12.75" customHeight="1" x14ac:dyDescent="0.2">
      <c r="C63182"/>
      <c r="M63182"/>
    </row>
    <row r="63183" spans="3:13" ht="12.75" customHeight="1" x14ac:dyDescent="0.2">
      <c r="C63183"/>
      <c r="M63183"/>
    </row>
    <row r="63184" spans="3:13" ht="12.75" customHeight="1" x14ac:dyDescent="0.2">
      <c r="C63184"/>
      <c r="M63184"/>
    </row>
    <row r="63185" spans="3:13" ht="12.75" customHeight="1" x14ac:dyDescent="0.2">
      <c r="C63185"/>
      <c r="M63185"/>
    </row>
    <row r="63186" spans="3:13" ht="12.75" customHeight="1" x14ac:dyDescent="0.2">
      <c r="C63186"/>
      <c r="M63186"/>
    </row>
    <row r="63187" spans="3:13" ht="12.75" customHeight="1" x14ac:dyDescent="0.2">
      <c r="C63187"/>
      <c r="M63187"/>
    </row>
    <row r="63188" spans="3:13" ht="12.75" customHeight="1" x14ac:dyDescent="0.2">
      <c r="C63188"/>
      <c r="M63188"/>
    </row>
    <row r="63189" spans="3:13" ht="12.75" customHeight="1" x14ac:dyDescent="0.2">
      <c r="C63189"/>
      <c r="M63189"/>
    </row>
    <row r="63190" spans="3:13" ht="12.75" customHeight="1" x14ac:dyDescent="0.2">
      <c r="C63190"/>
      <c r="M63190"/>
    </row>
    <row r="63191" spans="3:13" ht="12.75" customHeight="1" x14ac:dyDescent="0.2">
      <c r="C63191"/>
      <c r="M63191"/>
    </row>
    <row r="63192" spans="3:13" ht="12.75" customHeight="1" x14ac:dyDescent="0.2">
      <c r="C63192"/>
      <c r="M63192"/>
    </row>
    <row r="63193" spans="3:13" ht="12.75" customHeight="1" x14ac:dyDescent="0.2">
      <c r="C63193"/>
      <c r="M63193"/>
    </row>
    <row r="63194" spans="3:13" ht="12.75" customHeight="1" x14ac:dyDescent="0.2">
      <c r="C63194"/>
      <c r="M63194"/>
    </row>
    <row r="63195" spans="3:13" ht="12.75" customHeight="1" x14ac:dyDescent="0.2">
      <c r="C63195"/>
      <c r="M63195"/>
    </row>
    <row r="63196" spans="3:13" ht="12.75" customHeight="1" x14ac:dyDescent="0.2">
      <c r="C63196"/>
      <c r="M63196"/>
    </row>
    <row r="63197" spans="3:13" ht="12.75" customHeight="1" x14ac:dyDescent="0.2">
      <c r="C63197"/>
      <c r="M63197"/>
    </row>
    <row r="63198" spans="3:13" ht="12.75" customHeight="1" x14ac:dyDescent="0.2">
      <c r="C63198"/>
      <c r="M63198"/>
    </row>
    <row r="63199" spans="3:13" ht="12.75" customHeight="1" x14ac:dyDescent="0.2">
      <c r="C63199"/>
      <c r="M63199"/>
    </row>
    <row r="63200" spans="3:13" ht="12.75" customHeight="1" x14ac:dyDescent="0.2">
      <c r="C63200"/>
      <c r="M63200"/>
    </row>
    <row r="63201" spans="3:13" ht="12.75" customHeight="1" x14ac:dyDescent="0.2">
      <c r="C63201"/>
      <c r="M63201"/>
    </row>
    <row r="63202" spans="3:13" ht="12.75" customHeight="1" x14ac:dyDescent="0.2">
      <c r="C63202"/>
      <c r="M63202"/>
    </row>
    <row r="63203" spans="3:13" ht="12.75" customHeight="1" x14ac:dyDescent="0.2">
      <c r="C63203"/>
      <c r="M63203"/>
    </row>
    <row r="63204" spans="3:13" ht="12.75" customHeight="1" x14ac:dyDescent="0.2">
      <c r="C63204"/>
      <c r="M63204"/>
    </row>
    <row r="63205" spans="3:13" ht="12.75" customHeight="1" x14ac:dyDescent="0.2">
      <c r="C63205"/>
      <c r="M63205"/>
    </row>
    <row r="63206" spans="3:13" ht="12.75" customHeight="1" x14ac:dyDescent="0.2">
      <c r="C63206"/>
      <c r="M63206"/>
    </row>
    <row r="63207" spans="3:13" ht="12.75" customHeight="1" x14ac:dyDescent="0.2">
      <c r="C63207"/>
      <c r="M63207"/>
    </row>
    <row r="63208" spans="3:13" ht="12.75" customHeight="1" x14ac:dyDescent="0.2">
      <c r="C63208"/>
      <c r="M63208"/>
    </row>
    <row r="63209" spans="3:13" ht="12.75" customHeight="1" x14ac:dyDescent="0.2">
      <c r="C63209"/>
      <c r="M63209"/>
    </row>
    <row r="63210" spans="3:13" ht="12.75" customHeight="1" x14ac:dyDescent="0.2">
      <c r="C63210"/>
      <c r="M63210"/>
    </row>
    <row r="63211" spans="3:13" ht="12.75" customHeight="1" x14ac:dyDescent="0.2">
      <c r="C63211"/>
      <c r="M63211"/>
    </row>
    <row r="63212" spans="3:13" ht="12.75" customHeight="1" x14ac:dyDescent="0.2">
      <c r="C63212"/>
      <c r="M63212"/>
    </row>
    <row r="63213" spans="3:13" ht="12.75" customHeight="1" x14ac:dyDescent="0.2">
      <c r="C63213"/>
      <c r="M63213"/>
    </row>
    <row r="63214" spans="3:13" ht="12.75" customHeight="1" x14ac:dyDescent="0.2">
      <c r="C63214"/>
      <c r="M63214"/>
    </row>
    <row r="63215" spans="3:13" ht="12.75" customHeight="1" x14ac:dyDescent="0.2">
      <c r="C63215"/>
      <c r="M63215"/>
    </row>
    <row r="63216" spans="3:13" ht="12.75" customHeight="1" x14ac:dyDescent="0.2">
      <c r="C63216"/>
      <c r="M63216"/>
    </row>
    <row r="63217" spans="3:13" ht="12.75" customHeight="1" x14ac:dyDescent="0.2">
      <c r="C63217"/>
      <c r="M63217"/>
    </row>
    <row r="63218" spans="3:13" ht="12.75" customHeight="1" x14ac:dyDescent="0.2">
      <c r="C63218"/>
      <c r="M63218"/>
    </row>
    <row r="63219" spans="3:13" ht="12.75" customHeight="1" x14ac:dyDescent="0.2">
      <c r="C63219"/>
      <c r="M63219"/>
    </row>
    <row r="63220" spans="3:13" ht="12.75" customHeight="1" x14ac:dyDescent="0.2">
      <c r="C63220"/>
      <c r="M63220"/>
    </row>
    <row r="63221" spans="3:13" ht="12.75" customHeight="1" x14ac:dyDescent="0.2">
      <c r="C63221"/>
      <c r="M63221"/>
    </row>
    <row r="63222" spans="3:13" ht="12.75" customHeight="1" x14ac:dyDescent="0.2">
      <c r="C63222"/>
      <c r="M63222"/>
    </row>
    <row r="63223" spans="3:13" ht="12.75" customHeight="1" x14ac:dyDescent="0.2">
      <c r="C63223"/>
      <c r="M63223"/>
    </row>
    <row r="63224" spans="3:13" ht="12.75" customHeight="1" x14ac:dyDescent="0.2">
      <c r="C63224"/>
      <c r="M63224"/>
    </row>
    <row r="63225" spans="3:13" ht="12.75" customHeight="1" x14ac:dyDescent="0.2">
      <c r="C63225"/>
      <c r="M63225"/>
    </row>
    <row r="63226" spans="3:13" ht="12.75" customHeight="1" x14ac:dyDescent="0.2">
      <c r="C63226"/>
      <c r="M63226"/>
    </row>
    <row r="63227" spans="3:13" ht="12.75" customHeight="1" x14ac:dyDescent="0.2">
      <c r="C63227"/>
      <c r="M63227"/>
    </row>
    <row r="63228" spans="3:13" ht="12.75" customHeight="1" x14ac:dyDescent="0.2">
      <c r="C63228"/>
      <c r="M63228"/>
    </row>
    <row r="63229" spans="3:13" ht="12.75" customHeight="1" x14ac:dyDescent="0.2">
      <c r="C63229"/>
      <c r="M63229"/>
    </row>
    <row r="63230" spans="3:13" ht="12.75" customHeight="1" x14ac:dyDescent="0.2">
      <c r="C63230"/>
      <c r="M63230"/>
    </row>
    <row r="63231" spans="3:13" ht="12.75" customHeight="1" x14ac:dyDescent="0.2">
      <c r="C63231"/>
      <c r="M63231"/>
    </row>
    <row r="63232" spans="3:13" ht="12.75" customHeight="1" x14ac:dyDescent="0.2">
      <c r="C63232"/>
      <c r="M63232"/>
    </row>
    <row r="63233" spans="3:13" ht="12.75" customHeight="1" x14ac:dyDescent="0.2">
      <c r="C63233"/>
      <c r="M63233"/>
    </row>
    <row r="63234" spans="3:13" ht="12.75" customHeight="1" x14ac:dyDescent="0.2">
      <c r="C63234"/>
      <c r="M63234"/>
    </row>
    <row r="63235" spans="3:13" ht="12.75" customHeight="1" x14ac:dyDescent="0.2">
      <c r="C63235"/>
      <c r="M63235"/>
    </row>
    <row r="63236" spans="3:13" ht="12.75" customHeight="1" x14ac:dyDescent="0.2">
      <c r="C63236"/>
      <c r="M63236"/>
    </row>
    <row r="63237" spans="3:13" ht="12.75" customHeight="1" x14ac:dyDescent="0.2">
      <c r="C63237"/>
      <c r="M63237"/>
    </row>
    <row r="63238" spans="3:13" ht="12.75" customHeight="1" x14ac:dyDescent="0.2">
      <c r="C63238"/>
      <c r="M63238"/>
    </row>
    <row r="63239" spans="3:13" ht="12.75" customHeight="1" x14ac:dyDescent="0.2">
      <c r="C63239"/>
      <c r="M63239"/>
    </row>
    <row r="63240" spans="3:13" ht="12.75" customHeight="1" x14ac:dyDescent="0.2">
      <c r="C63240"/>
      <c r="M63240"/>
    </row>
    <row r="63241" spans="3:13" ht="12.75" customHeight="1" x14ac:dyDescent="0.2">
      <c r="C63241"/>
      <c r="M63241"/>
    </row>
    <row r="63242" spans="3:13" ht="12.75" customHeight="1" x14ac:dyDescent="0.2">
      <c r="C63242"/>
      <c r="M63242"/>
    </row>
    <row r="63243" spans="3:13" ht="12.75" customHeight="1" x14ac:dyDescent="0.2">
      <c r="C63243"/>
      <c r="M63243"/>
    </row>
    <row r="63244" spans="3:13" ht="12.75" customHeight="1" x14ac:dyDescent="0.2">
      <c r="C63244"/>
      <c r="M63244"/>
    </row>
    <row r="63245" spans="3:13" ht="12.75" customHeight="1" x14ac:dyDescent="0.2">
      <c r="C63245"/>
      <c r="M63245"/>
    </row>
    <row r="63246" spans="3:13" ht="12.75" customHeight="1" x14ac:dyDescent="0.2">
      <c r="C63246"/>
      <c r="M63246"/>
    </row>
    <row r="63247" spans="3:13" ht="12.75" customHeight="1" x14ac:dyDescent="0.2">
      <c r="C63247"/>
      <c r="M63247"/>
    </row>
    <row r="63248" spans="3:13" ht="12.75" customHeight="1" x14ac:dyDescent="0.2">
      <c r="C63248"/>
      <c r="M63248"/>
    </row>
    <row r="63249" spans="3:13" ht="12.75" customHeight="1" x14ac:dyDescent="0.2">
      <c r="C63249"/>
      <c r="M63249"/>
    </row>
    <row r="63250" spans="3:13" ht="12.75" customHeight="1" x14ac:dyDescent="0.2">
      <c r="C63250"/>
      <c r="M63250"/>
    </row>
    <row r="63251" spans="3:13" ht="12.75" customHeight="1" x14ac:dyDescent="0.2">
      <c r="C63251"/>
      <c r="M63251"/>
    </row>
    <row r="63252" spans="3:13" ht="12.75" customHeight="1" x14ac:dyDescent="0.2">
      <c r="C63252"/>
      <c r="M63252"/>
    </row>
    <row r="63253" spans="3:13" ht="12.75" customHeight="1" x14ac:dyDescent="0.2">
      <c r="C63253"/>
      <c r="M63253"/>
    </row>
    <row r="63254" spans="3:13" ht="12.75" customHeight="1" x14ac:dyDescent="0.2">
      <c r="C63254"/>
      <c r="M63254"/>
    </row>
    <row r="63255" spans="3:13" ht="12.75" customHeight="1" x14ac:dyDescent="0.2">
      <c r="C63255"/>
      <c r="M63255"/>
    </row>
    <row r="63256" spans="3:13" ht="12.75" customHeight="1" x14ac:dyDescent="0.2">
      <c r="C63256"/>
      <c r="M63256"/>
    </row>
    <row r="63257" spans="3:13" ht="12.75" customHeight="1" x14ac:dyDescent="0.2">
      <c r="C63257"/>
      <c r="M63257"/>
    </row>
    <row r="63258" spans="3:13" ht="12.75" customHeight="1" x14ac:dyDescent="0.2">
      <c r="C63258"/>
      <c r="M63258"/>
    </row>
    <row r="63259" spans="3:13" ht="12.75" customHeight="1" x14ac:dyDescent="0.2">
      <c r="C63259"/>
      <c r="M63259"/>
    </row>
    <row r="63260" spans="3:13" ht="12.75" customHeight="1" x14ac:dyDescent="0.2">
      <c r="C63260"/>
      <c r="M63260"/>
    </row>
    <row r="63261" spans="3:13" ht="12.75" customHeight="1" x14ac:dyDescent="0.2">
      <c r="C63261"/>
      <c r="M63261"/>
    </row>
    <row r="63262" spans="3:13" ht="12.75" customHeight="1" x14ac:dyDescent="0.2">
      <c r="C63262"/>
      <c r="M63262"/>
    </row>
    <row r="63263" spans="3:13" ht="12.75" customHeight="1" x14ac:dyDescent="0.2">
      <c r="C63263"/>
      <c r="M63263"/>
    </row>
    <row r="63264" spans="3:13" ht="12.75" customHeight="1" x14ac:dyDescent="0.2">
      <c r="C63264"/>
      <c r="M63264"/>
    </row>
    <row r="63265" spans="3:13" ht="12.75" customHeight="1" x14ac:dyDescent="0.2">
      <c r="C63265"/>
      <c r="M63265"/>
    </row>
    <row r="63266" spans="3:13" ht="12.75" customHeight="1" x14ac:dyDescent="0.2">
      <c r="C63266"/>
      <c r="M63266"/>
    </row>
    <row r="63267" spans="3:13" ht="12.75" customHeight="1" x14ac:dyDescent="0.2">
      <c r="C63267"/>
      <c r="M63267"/>
    </row>
    <row r="63268" spans="3:13" ht="12.75" customHeight="1" x14ac:dyDescent="0.2">
      <c r="C63268"/>
      <c r="M63268"/>
    </row>
    <row r="63269" spans="3:13" ht="12.75" customHeight="1" x14ac:dyDescent="0.2">
      <c r="C63269"/>
      <c r="M63269"/>
    </row>
    <row r="63270" spans="3:13" ht="12.75" customHeight="1" x14ac:dyDescent="0.2">
      <c r="C63270"/>
      <c r="M63270"/>
    </row>
    <row r="63271" spans="3:13" ht="12.75" customHeight="1" x14ac:dyDescent="0.2">
      <c r="C63271"/>
      <c r="M63271"/>
    </row>
    <row r="63272" spans="3:13" ht="12.75" customHeight="1" x14ac:dyDescent="0.2">
      <c r="C63272"/>
      <c r="M63272"/>
    </row>
    <row r="63273" spans="3:13" ht="12.75" customHeight="1" x14ac:dyDescent="0.2">
      <c r="C63273"/>
      <c r="M63273"/>
    </row>
    <row r="63274" spans="3:13" ht="12.75" customHeight="1" x14ac:dyDescent="0.2">
      <c r="C63274"/>
      <c r="M63274"/>
    </row>
    <row r="63275" spans="3:13" ht="12.75" customHeight="1" x14ac:dyDescent="0.2">
      <c r="C63275"/>
      <c r="M63275"/>
    </row>
    <row r="63276" spans="3:13" ht="12.75" customHeight="1" x14ac:dyDescent="0.2">
      <c r="C63276"/>
      <c r="M63276"/>
    </row>
    <row r="63277" spans="3:13" ht="12.75" customHeight="1" x14ac:dyDescent="0.2">
      <c r="C63277"/>
      <c r="M63277"/>
    </row>
    <row r="63278" spans="3:13" ht="12.75" customHeight="1" x14ac:dyDescent="0.2">
      <c r="C63278"/>
      <c r="M63278"/>
    </row>
    <row r="63279" spans="3:13" ht="12.75" customHeight="1" x14ac:dyDescent="0.2">
      <c r="C63279"/>
      <c r="M63279"/>
    </row>
    <row r="63280" spans="3:13" ht="12.75" customHeight="1" x14ac:dyDescent="0.2">
      <c r="C63280"/>
      <c r="M63280"/>
    </row>
    <row r="63281" spans="3:13" ht="12.75" customHeight="1" x14ac:dyDescent="0.2">
      <c r="C63281"/>
      <c r="M63281"/>
    </row>
    <row r="63282" spans="3:13" ht="12.75" customHeight="1" x14ac:dyDescent="0.2">
      <c r="C63282"/>
      <c r="M63282"/>
    </row>
    <row r="63283" spans="3:13" ht="12.75" customHeight="1" x14ac:dyDescent="0.2">
      <c r="C63283"/>
      <c r="M63283"/>
    </row>
    <row r="63284" spans="3:13" ht="12.75" customHeight="1" x14ac:dyDescent="0.2">
      <c r="C63284"/>
      <c r="M63284"/>
    </row>
    <row r="63285" spans="3:13" ht="12.75" customHeight="1" x14ac:dyDescent="0.2">
      <c r="C63285"/>
      <c r="M63285"/>
    </row>
    <row r="63286" spans="3:13" ht="12.75" customHeight="1" x14ac:dyDescent="0.2">
      <c r="C63286"/>
      <c r="M63286"/>
    </row>
    <row r="63287" spans="3:13" ht="12.75" customHeight="1" x14ac:dyDescent="0.2">
      <c r="C63287"/>
      <c r="M63287"/>
    </row>
    <row r="63288" spans="3:13" ht="12.75" customHeight="1" x14ac:dyDescent="0.2">
      <c r="C63288"/>
      <c r="M63288"/>
    </row>
    <row r="63289" spans="3:13" ht="12.75" customHeight="1" x14ac:dyDescent="0.2">
      <c r="C63289"/>
      <c r="M63289"/>
    </row>
    <row r="63290" spans="3:13" ht="12.75" customHeight="1" x14ac:dyDescent="0.2">
      <c r="C63290"/>
      <c r="M63290"/>
    </row>
    <row r="63291" spans="3:13" ht="12.75" customHeight="1" x14ac:dyDescent="0.2">
      <c r="C63291"/>
      <c r="M63291"/>
    </row>
    <row r="63292" spans="3:13" ht="12.75" customHeight="1" x14ac:dyDescent="0.2">
      <c r="C63292"/>
      <c r="M63292"/>
    </row>
    <row r="63293" spans="3:13" ht="12.75" customHeight="1" x14ac:dyDescent="0.2">
      <c r="C63293"/>
      <c r="M63293"/>
    </row>
    <row r="63294" spans="3:13" ht="12.75" customHeight="1" x14ac:dyDescent="0.2">
      <c r="C63294"/>
      <c r="M63294"/>
    </row>
    <row r="63295" spans="3:13" ht="12.75" customHeight="1" x14ac:dyDescent="0.2">
      <c r="C63295"/>
      <c r="M63295"/>
    </row>
    <row r="63296" spans="3:13" ht="12.75" customHeight="1" x14ac:dyDescent="0.2">
      <c r="C63296"/>
      <c r="M63296"/>
    </row>
    <row r="63297" spans="3:13" ht="12.75" customHeight="1" x14ac:dyDescent="0.2">
      <c r="C63297"/>
      <c r="M63297"/>
    </row>
    <row r="63298" spans="3:13" ht="12.75" customHeight="1" x14ac:dyDescent="0.2">
      <c r="C63298"/>
      <c r="M63298"/>
    </row>
    <row r="63299" spans="3:13" ht="12.75" customHeight="1" x14ac:dyDescent="0.2">
      <c r="C63299"/>
      <c r="M63299"/>
    </row>
    <row r="63300" spans="3:13" ht="12.75" customHeight="1" x14ac:dyDescent="0.2">
      <c r="C63300"/>
      <c r="M63300"/>
    </row>
    <row r="63301" spans="3:13" ht="12.75" customHeight="1" x14ac:dyDescent="0.2">
      <c r="C63301"/>
      <c r="M63301"/>
    </row>
    <row r="63302" spans="3:13" ht="12.75" customHeight="1" x14ac:dyDescent="0.2">
      <c r="C63302"/>
      <c r="M63302"/>
    </row>
    <row r="63303" spans="3:13" ht="12.75" customHeight="1" x14ac:dyDescent="0.2">
      <c r="C63303"/>
      <c r="M63303"/>
    </row>
    <row r="63304" spans="3:13" ht="12.75" customHeight="1" x14ac:dyDescent="0.2">
      <c r="C63304"/>
      <c r="M63304"/>
    </row>
    <row r="63305" spans="3:13" ht="12.75" customHeight="1" x14ac:dyDescent="0.2">
      <c r="C63305"/>
      <c r="M63305"/>
    </row>
    <row r="63306" spans="3:13" ht="12.75" customHeight="1" x14ac:dyDescent="0.2">
      <c r="C63306"/>
      <c r="M63306"/>
    </row>
    <row r="63307" spans="3:13" ht="12.75" customHeight="1" x14ac:dyDescent="0.2">
      <c r="C63307"/>
      <c r="M63307"/>
    </row>
    <row r="63308" spans="3:13" ht="12.75" customHeight="1" x14ac:dyDescent="0.2">
      <c r="C63308"/>
      <c r="M63308"/>
    </row>
    <row r="63309" spans="3:13" ht="12.75" customHeight="1" x14ac:dyDescent="0.2">
      <c r="C63309"/>
      <c r="M63309"/>
    </row>
    <row r="63310" spans="3:13" ht="12.75" customHeight="1" x14ac:dyDescent="0.2">
      <c r="C63310"/>
      <c r="M63310"/>
    </row>
    <row r="63311" spans="3:13" ht="12.75" customHeight="1" x14ac:dyDescent="0.2">
      <c r="C63311"/>
      <c r="M63311"/>
    </row>
    <row r="63312" spans="3:13" ht="12.75" customHeight="1" x14ac:dyDescent="0.2">
      <c r="C63312"/>
      <c r="M63312"/>
    </row>
    <row r="63313" spans="3:13" ht="12.75" customHeight="1" x14ac:dyDescent="0.2">
      <c r="C63313"/>
      <c r="M63313"/>
    </row>
    <row r="63314" spans="3:13" ht="12.75" customHeight="1" x14ac:dyDescent="0.2">
      <c r="C63314"/>
      <c r="M63314"/>
    </row>
    <row r="63315" spans="3:13" ht="12.75" customHeight="1" x14ac:dyDescent="0.2">
      <c r="C63315"/>
      <c r="M63315"/>
    </row>
    <row r="63316" spans="3:13" ht="12.75" customHeight="1" x14ac:dyDescent="0.2">
      <c r="C63316"/>
      <c r="M63316"/>
    </row>
    <row r="63317" spans="3:13" ht="12.75" customHeight="1" x14ac:dyDescent="0.2">
      <c r="C63317"/>
      <c r="M63317"/>
    </row>
    <row r="63318" spans="3:13" ht="12.75" customHeight="1" x14ac:dyDescent="0.2">
      <c r="C63318"/>
      <c r="M63318"/>
    </row>
    <row r="63319" spans="3:13" ht="12.75" customHeight="1" x14ac:dyDescent="0.2">
      <c r="C63319"/>
      <c r="M63319"/>
    </row>
    <row r="63320" spans="3:13" ht="12.75" customHeight="1" x14ac:dyDescent="0.2">
      <c r="C63320"/>
      <c r="M63320"/>
    </row>
    <row r="63321" spans="3:13" ht="12.75" customHeight="1" x14ac:dyDescent="0.2">
      <c r="C63321"/>
      <c r="M63321"/>
    </row>
    <row r="63322" spans="3:13" ht="12.75" customHeight="1" x14ac:dyDescent="0.2">
      <c r="C63322"/>
      <c r="M63322"/>
    </row>
    <row r="63323" spans="3:13" ht="12.75" customHeight="1" x14ac:dyDescent="0.2">
      <c r="C63323"/>
      <c r="M63323"/>
    </row>
    <row r="63324" spans="3:13" ht="12.75" customHeight="1" x14ac:dyDescent="0.2">
      <c r="C63324"/>
      <c r="M63324"/>
    </row>
    <row r="63325" spans="3:13" ht="12.75" customHeight="1" x14ac:dyDescent="0.2">
      <c r="C63325"/>
      <c r="M63325"/>
    </row>
    <row r="63326" spans="3:13" ht="12.75" customHeight="1" x14ac:dyDescent="0.2">
      <c r="C63326"/>
      <c r="M63326"/>
    </row>
    <row r="63327" spans="3:13" ht="12.75" customHeight="1" x14ac:dyDescent="0.2">
      <c r="C63327"/>
      <c r="M63327"/>
    </row>
    <row r="63328" spans="3:13" ht="12.75" customHeight="1" x14ac:dyDescent="0.2">
      <c r="C63328"/>
      <c r="M63328"/>
    </row>
    <row r="63329" spans="3:13" ht="12.75" customHeight="1" x14ac:dyDescent="0.2">
      <c r="C63329"/>
      <c r="M63329"/>
    </row>
    <row r="63330" spans="3:13" ht="12.75" customHeight="1" x14ac:dyDescent="0.2">
      <c r="C63330"/>
      <c r="M63330"/>
    </row>
    <row r="63331" spans="3:13" ht="12.75" customHeight="1" x14ac:dyDescent="0.2">
      <c r="C63331"/>
      <c r="M63331"/>
    </row>
    <row r="63332" spans="3:13" ht="12.75" customHeight="1" x14ac:dyDescent="0.2">
      <c r="C63332"/>
      <c r="M63332"/>
    </row>
    <row r="63333" spans="3:13" ht="12.75" customHeight="1" x14ac:dyDescent="0.2">
      <c r="C63333"/>
      <c r="M63333"/>
    </row>
    <row r="63334" spans="3:13" ht="12.75" customHeight="1" x14ac:dyDescent="0.2">
      <c r="C63334"/>
      <c r="M63334"/>
    </row>
    <row r="63335" spans="3:13" ht="12.75" customHeight="1" x14ac:dyDescent="0.2">
      <c r="C63335"/>
      <c r="M63335"/>
    </row>
    <row r="63336" spans="3:13" ht="12.75" customHeight="1" x14ac:dyDescent="0.2">
      <c r="C63336"/>
      <c r="M63336"/>
    </row>
    <row r="63337" spans="3:13" ht="12.75" customHeight="1" x14ac:dyDescent="0.2">
      <c r="C63337"/>
      <c r="M63337"/>
    </row>
    <row r="63338" spans="3:13" ht="12.75" customHeight="1" x14ac:dyDescent="0.2">
      <c r="C63338"/>
      <c r="M63338"/>
    </row>
    <row r="63339" spans="3:13" ht="12.75" customHeight="1" x14ac:dyDescent="0.2">
      <c r="C63339"/>
      <c r="M63339"/>
    </row>
    <row r="63340" spans="3:13" ht="12.75" customHeight="1" x14ac:dyDescent="0.2">
      <c r="C63340"/>
      <c r="M63340"/>
    </row>
    <row r="63341" spans="3:13" ht="12.75" customHeight="1" x14ac:dyDescent="0.2">
      <c r="C63341"/>
      <c r="M63341"/>
    </row>
    <row r="63342" spans="3:13" ht="12.75" customHeight="1" x14ac:dyDescent="0.2">
      <c r="C63342"/>
      <c r="M63342"/>
    </row>
    <row r="63343" spans="3:13" ht="12.75" customHeight="1" x14ac:dyDescent="0.2">
      <c r="C63343"/>
      <c r="M63343"/>
    </row>
    <row r="63344" spans="3:13" ht="12.75" customHeight="1" x14ac:dyDescent="0.2">
      <c r="C63344"/>
      <c r="M63344"/>
    </row>
    <row r="63345" spans="3:13" ht="12.75" customHeight="1" x14ac:dyDescent="0.2">
      <c r="C63345"/>
      <c r="M63345"/>
    </row>
    <row r="63346" spans="3:13" ht="12.75" customHeight="1" x14ac:dyDescent="0.2">
      <c r="C63346"/>
      <c r="M63346"/>
    </row>
    <row r="63347" spans="3:13" ht="12.75" customHeight="1" x14ac:dyDescent="0.2">
      <c r="C63347"/>
      <c r="M63347"/>
    </row>
    <row r="63348" spans="3:13" ht="12.75" customHeight="1" x14ac:dyDescent="0.2">
      <c r="C63348"/>
      <c r="M63348"/>
    </row>
    <row r="63349" spans="3:13" ht="12.75" customHeight="1" x14ac:dyDescent="0.2">
      <c r="C63349"/>
      <c r="M63349"/>
    </row>
    <row r="63350" spans="3:13" ht="12.75" customHeight="1" x14ac:dyDescent="0.2">
      <c r="C63350"/>
      <c r="M63350"/>
    </row>
    <row r="63351" spans="3:13" ht="12.75" customHeight="1" x14ac:dyDescent="0.2">
      <c r="C63351"/>
      <c r="M63351"/>
    </row>
    <row r="63352" spans="3:13" ht="12.75" customHeight="1" x14ac:dyDescent="0.2">
      <c r="C63352"/>
      <c r="M63352"/>
    </row>
    <row r="63353" spans="3:13" ht="12.75" customHeight="1" x14ac:dyDescent="0.2">
      <c r="C63353"/>
      <c r="M63353"/>
    </row>
    <row r="63354" spans="3:13" ht="12.75" customHeight="1" x14ac:dyDescent="0.2">
      <c r="C63354"/>
      <c r="M63354"/>
    </row>
    <row r="63355" spans="3:13" ht="12.75" customHeight="1" x14ac:dyDescent="0.2">
      <c r="C63355"/>
      <c r="M63355"/>
    </row>
    <row r="63356" spans="3:13" ht="12.75" customHeight="1" x14ac:dyDescent="0.2">
      <c r="C63356"/>
      <c r="M63356"/>
    </row>
    <row r="63357" spans="3:13" ht="12.75" customHeight="1" x14ac:dyDescent="0.2">
      <c r="C63357"/>
      <c r="M63357"/>
    </row>
    <row r="63358" spans="3:13" ht="12.75" customHeight="1" x14ac:dyDescent="0.2">
      <c r="C63358"/>
      <c r="M63358"/>
    </row>
    <row r="63359" spans="3:13" ht="12.75" customHeight="1" x14ac:dyDescent="0.2">
      <c r="C63359"/>
      <c r="M63359"/>
    </row>
    <row r="63360" spans="3:13" ht="12.75" customHeight="1" x14ac:dyDescent="0.2">
      <c r="C63360"/>
      <c r="M63360"/>
    </row>
    <row r="63361" spans="3:13" ht="12.75" customHeight="1" x14ac:dyDescent="0.2">
      <c r="C63361"/>
      <c r="M63361"/>
    </row>
    <row r="63362" spans="3:13" ht="12.75" customHeight="1" x14ac:dyDescent="0.2">
      <c r="C63362"/>
      <c r="M63362"/>
    </row>
    <row r="63363" spans="3:13" ht="12.75" customHeight="1" x14ac:dyDescent="0.2">
      <c r="C63363"/>
      <c r="M63363"/>
    </row>
    <row r="63364" spans="3:13" ht="12.75" customHeight="1" x14ac:dyDescent="0.2">
      <c r="C63364"/>
      <c r="M63364"/>
    </row>
    <row r="63365" spans="3:13" ht="12.75" customHeight="1" x14ac:dyDescent="0.2">
      <c r="C63365"/>
      <c r="M63365"/>
    </row>
    <row r="63366" spans="3:13" ht="12.75" customHeight="1" x14ac:dyDescent="0.2">
      <c r="C63366"/>
      <c r="M63366"/>
    </row>
    <row r="63367" spans="3:13" ht="12.75" customHeight="1" x14ac:dyDescent="0.2">
      <c r="C63367"/>
      <c r="M63367"/>
    </row>
    <row r="63368" spans="3:13" ht="12.75" customHeight="1" x14ac:dyDescent="0.2">
      <c r="C63368"/>
      <c r="M63368"/>
    </row>
    <row r="63369" spans="3:13" ht="12.75" customHeight="1" x14ac:dyDescent="0.2">
      <c r="C63369"/>
      <c r="M63369"/>
    </row>
    <row r="63370" spans="3:13" ht="12.75" customHeight="1" x14ac:dyDescent="0.2">
      <c r="C63370"/>
      <c r="M63370"/>
    </row>
    <row r="63371" spans="3:13" ht="12.75" customHeight="1" x14ac:dyDescent="0.2">
      <c r="C63371"/>
      <c r="M63371"/>
    </row>
    <row r="63372" spans="3:13" ht="12.75" customHeight="1" x14ac:dyDescent="0.2">
      <c r="C63372"/>
      <c r="M63372"/>
    </row>
    <row r="63373" spans="3:13" ht="12.75" customHeight="1" x14ac:dyDescent="0.2">
      <c r="C63373"/>
      <c r="M63373"/>
    </row>
    <row r="63374" spans="3:13" ht="12.75" customHeight="1" x14ac:dyDescent="0.2">
      <c r="C63374"/>
      <c r="M63374"/>
    </row>
    <row r="63375" spans="3:13" ht="12.75" customHeight="1" x14ac:dyDescent="0.2">
      <c r="C63375"/>
      <c r="M63375"/>
    </row>
    <row r="63376" spans="3:13" ht="12.75" customHeight="1" x14ac:dyDescent="0.2">
      <c r="C63376"/>
      <c r="M63376"/>
    </row>
    <row r="63377" spans="3:13" ht="12.75" customHeight="1" x14ac:dyDescent="0.2">
      <c r="C63377"/>
      <c r="M63377"/>
    </row>
    <row r="63378" spans="3:13" ht="12.75" customHeight="1" x14ac:dyDescent="0.2">
      <c r="C63378"/>
      <c r="M63378"/>
    </row>
    <row r="63379" spans="3:13" ht="12.75" customHeight="1" x14ac:dyDescent="0.2">
      <c r="C63379"/>
      <c r="M63379"/>
    </row>
    <row r="63380" spans="3:13" ht="12.75" customHeight="1" x14ac:dyDescent="0.2">
      <c r="C63380"/>
      <c r="M63380"/>
    </row>
    <row r="63381" spans="3:13" ht="12.75" customHeight="1" x14ac:dyDescent="0.2">
      <c r="C63381"/>
      <c r="M63381"/>
    </row>
    <row r="63382" spans="3:13" ht="12.75" customHeight="1" x14ac:dyDescent="0.2">
      <c r="C63382"/>
      <c r="M63382"/>
    </row>
    <row r="63383" spans="3:13" ht="12.75" customHeight="1" x14ac:dyDescent="0.2">
      <c r="C63383"/>
      <c r="M63383"/>
    </row>
    <row r="63384" spans="3:13" ht="12.75" customHeight="1" x14ac:dyDescent="0.2">
      <c r="C63384"/>
      <c r="M63384"/>
    </row>
    <row r="63385" spans="3:13" ht="12.75" customHeight="1" x14ac:dyDescent="0.2">
      <c r="C63385"/>
      <c r="M63385"/>
    </row>
    <row r="63386" spans="3:13" ht="12.75" customHeight="1" x14ac:dyDescent="0.2">
      <c r="C63386"/>
      <c r="M63386"/>
    </row>
    <row r="63387" spans="3:13" ht="12.75" customHeight="1" x14ac:dyDescent="0.2">
      <c r="C63387"/>
      <c r="M63387"/>
    </row>
    <row r="63388" spans="3:13" ht="12.75" customHeight="1" x14ac:dyDescent="0.2">
      <c r="C63388"/>
      <c r="M63388"/>
    </row>
    <row r="63389" spans="3:13" ht="12.75" customHeight="1" x14ac:dyDescent="0.2">
      <c r="C63389"/>
      <c r="M63389"/>
    </row>
    <row r="63390" spans="3:13" ht="12.75" customHeight="1" x14ac:dyDescent="0.2">
      <c r="C63390"/>
      <c r="M63390"/>
    </row>
    <row r="63391" spans="3:13" ht="12.75" customHeight="1" x14ac:dyDescent="0.2">
      <c r="C63391"/>
      <c r="M63391"/>
    </row>
    <row r="63392" spans="3:13" ht="12.75" customHeight="1" x14ac:dyDescent="0.2">
      <c r="C63392"/>
      <c r="M63392"/>
    </row>
    <row r="63393" spans="3:13" ht="12.75" customHeight="1" x14ac:dyDescent="0.2">
      <c r="C63393"/>
      <c r="M63393"/>
    </row>
    <row r="63394" spans="3:13" ht="12.75" customHeight="1" x14ac:dyDescent="0.2">
      <c r="C63394"/>
      <c r="M63394"/>
    </row>
    <row r="63395" spans="3:13" ht="12.75" customHeight="1" x14ac:dyDescent="0.2">
      <c r="C63395"/>
      <c r="M63395"/>
    </row>
    <row r="63396" spans="3:13" ht="12.75" customHeight="1" x14ac:dyDescent="0.2">
      <c r="C63396"/>
      <c r="M63396"/>
    </row>
    <row r="63397" spans="3:13" ht="12.75" customHeight="1" x14ac:dyDescent="0.2">
      <c r="C63397"/>
      <c r="M63397"/>
    </row>
    <row r="63398" spans="3:13" ht="12.75" customHeight="1" x14ac:dyDescent="0.2">
      <c r="C63398"/>
      <c r="M63398"/>
    </row>
    <row r="63399" spans="3:13" ht="12.75" customHeight="1" x14ac:dyDescent="0.2">
      <c r="C63399"/>
      <c r="M63399"/>
    </row>
    <row r="63400" spans="3:13" ht="12.75" customHeight="1" x14ac:dyDescent="0.2">
      <c r="C63400"/>
      <c r="M63400"/>
    </row>
    <row r="63401" spans="3:13" ht="12.75" customHeight="1" x14ac:dyDescent="0.2">
      <c r="C63401"/>
      <c r="M63401"/>
    </row>
    <row r="63402" spans="3:13" ht="12.75" customHeight="1" x14ac:dyDescent="0.2">
      <c r="C63402"/>
      <c r="M63402"/>
    </row>
    <row r="63403" spans="3:13" ht="12.75" customHeight="1" x14ac:dyDescent="0.2">
      <c r="C63403"/>
      <c r="M63403"/>
    </row>
    <row r="63404" spans="3:13" ht="12.75" customHeight="1" x14ac:dyDescent="0.2">
      <c r="C63404"/>
      <c r="M63404"/>
    </row>
    <row r="63405" spans="3:13" ht="12.75" customHeight="1" x14ac:dyDescent="0.2">
      <c r="C63405"/>
      <c r="M63405"/>
    </row>
    <row r="63406" spans="3:13" ht="12.75" customHeight="1" x14ac:dyDescent="0.2">
      <c r="C63406"/>
      <c r="M63406"/>
    </row>
    <row r="63407" spans="3:13" ht="12.75" customHeight="1" x14ac:dyDescent="0.2">
      <c r="C63407"/>
      <c r="M63407"/>
    </row>
    <row r="63408" spans="3:13" ht="12.75" customHeight="1" x14ac:dyDescent="0.2">
      <c r="C63408"/>
      <c r="M63408"/>
    </row>
    <row r="63409" spans="3:13" ht="12.75" customHeight="1" x14ac:dyDescent="0.2">
      <c r="C63409"/>
      <c r="M63409"/>
    </row>
    <row r="63410" spans="3:13" ht="12.75" customHeight="1" x14ac:dyDescent="0.2">
      <c r="C63410"/>
      <c r="M63410"/>
    </row>
    <row r="63411" spans="3:13" ht="12.75" customHeight="1" x14ac:dyDescent="0.2">
      <c r="C63411"/>
      <c r="M63411"/>
    </row>
    <row r="63412" spans="3:13" ht="12.75" customHeight="1" x14ac:dyDescent="0.2">
      <c r="C63412"/>
      <c r="M63412"/>
    </row>
    <row r="63413" spans="3:13" ht="12.75" customHeight="1" x14ac:dyDescent="0.2">
      <c r="C63413"/>
      <c r="M63413"/>
    </row>
    <row r="63414" spans="3:13" ht="12.75" customHeight="1" x14ac:dyDescent="0.2">
      <c r="C63414"/>
      <c r="M63414"/>
    </row>
    <row r="63415" spans="3:13" ht="12.75" customHeight="1" x14ac:dyDescent="0.2">
      <c r="C63415"/>
      <c r="M63415"/>
    </row>
    <row r="63416" spans="3:13" ht="12.75" customHeight="1" x14ac:dyDescent="0.2">
      <c r="C63416"/>
      <c r="M63416"/>
    </row>
    <row r="63417" spans="3:13" ht="12.75" customHeight="1" x14ac:dyDescent="0.2">
      <c r="C63417"/>
      <c r="M63417"/>
    </row>
    <row r="63418" spans="3:13" ht="12.75" customHeight="1" x14ac:dyDescent="0.2">
      <c r="C63418"/>
      <c r="M63418"/>
    </row>
    <row r="63419" spans="3:13" ht="12.75" customHeight="1" x14ac:dyDescent="0.2">
      <c r="C63419"/>
      <c r="M63419"/>
    </row>
    <row r="63420" spans="3:13" ht="12.75" customHeight="1" x14ac:dyDescent="0.2">
      <c r="C63420"/>
      <c r="M63420"/>
    </row>
    <row r="63421" spans="3:13" ht="12.75" customHeight="1" x14ac:dyDescent="0.2">
      <c r="C63421"/>
      <c r="M63421"/>
    </row>
    <row r="63422" spans="3:13" ht="12.75" customHeight="1" x14ac:dyDescent="0.2">
      <c r="C63422"/>
      <c r="M63422"/>
    </row>
    <row r="63423" spans="3:13" ht="12.75" customHeight="1" x14ac:dyDescent="0.2">
      <c r="C63423"/>
      <c r="M63423"/>
    </row>
    <row r="63424" spans="3:13" ht="12.75" customHeight="1" x14ac:dyDescent="0.2">
      <c r="C63424"/>
      <c r="M63424"/>
    </row>
    <row r="63425" spans="3:13" ht="12.75" customHeight="1" x14ac:dyDescent="0.2">
      <c r="C63425"/>
      <c r="M63425"/>
    </row>
    <row r="63426" spans="3:13" ht="12.75" customHeight="1" x14ac:dyDescent="0.2">
      <c r="C63426"/>
      <c r="M63426"/>
    </row>
    <row r="63427" spans="3:13" ht="12.75" customHeight="1" x14ac:dyDescent="0.2">
      <c r="C63427"/>
      <c r="M63427"/>
    </row>
    <row r="63428" spans="3:13" ht="12.75" customHeight="1" x14ac:dyDescent="0.2">
      <c r="C63428"/>
      <c r="M63428"/>
    </row>
    <row r="63429" spans="3:13" ht="12.75" customHeight="1" x14ac:dyDescent="0.2">
      <c r="C63429"/>
      <c r="M63429"/>
    </row>
    <row r="63430" spans="3:13" ht="12.75" customHeight="1" x14ac:dyDescent="0.2">
      <c r="C63430"/>
      <c r="M63430"/>
    </row>
    <row r="63431" spans="3:13" ht="12.75" customHeight="1" x14ac:dyDescent="0.2">
      <c r="C63431"/>
      <c r="M63431"/>
    </row>
    <row r="63432" spans="3:13" ht="12.75" customHeight="1" x14ac:dyDescent="0.2">
      <c r="C63432"/>
      <c r="M63432"/>
    </row>
    <row r="63433" spans="3:13" ht="12.75" customHeight="1" x14ac:dyDescent="0.2">
      <c r="C63433"/>
      <c r="M63433"/>
    </row>
    <row r="63434" spans="3:13" ht="12.75" customHeight="1" x14ac:dyDescent="0.2">
      <c r="C63434"/>
      <c r="M63434"/>
    </row>
    <row r="63435" spans="3:13" ht="12.75" customHeight="1" x14ac:dyDescent="0.2">
      <c r="C63435"/>
      <c r="M63435"/>
    </row>
    <row r="63436" spans="3:13" ht="12.75" customHeight="1" x14ac:dyDescent="0.2">
      <c r="C63436"/>
      <c r="M63436"/>
    </row>
    <row r="63437" spans="3:13" ht="12.75" customHeight="1" x14ac:dyDescent="0.2">
      <c r="C63437"/>
      <c r="M63437"/>
    </row>
    <row r="63438" spans="3:13" ht="12.75" customHeight="1" x14ac:dyDescent="0.2">
      <c r="C63438"/>
      <c r="M63438"/>
    </row>
    <row r="63439" spans="3:13" ht="12.75" customHeight="1" x14ac:dyDescent="0.2">
      <c r="C63439"/>
      <c r="M63439"/>
    </row>
    <row r="63440" spans="3:13" ht="12.75" customHeight="1" x14ac:dyDescent="0.2">
      <c r="C63440"/>
      <c r="M63440"/>
    </row>
    <row r="63441" spans="3:13" ht="12.75" customHeight="1" x14ac:dyDescent="0.2">
      <c r="C63441"/>
      <c r="M63441"/>
    </row>
    <row r="63442" spans="3:13" ht="12.75" customHeight="1" x14ac:dyDescent="0.2">
      <c r="C63442"/>
      <c r="M63442"/>
    </row>
    <row r="63443" spans="3:13" ht="12.75" customHeight="1" x14ac:dyDescent="0.2">
      <c r="C63443"/>
      <c r="M63443"/>
    </row>
    <row r="63444" spans="3:13" ht="12.75" customHeight="1" x14ac:dyDescent="0.2">
      <c r="C63444"/>
      <c r="M63444"/>
    </row>
    <row r="63445" spans="3:13" ht="12.75" customHeight="1" x14ac:dyDescent="0.2">
      <c r="C63445"/>
      <c r="M63445"/>
    </row>
    <row r="63446" spans="3:13" ht="12.75" customHeight="1" x14ac:dyDescent="0.2">
      <c r="C63446"/>
      <c r="M63446"/>
    </row>
    <row r="63447" spans="3:13" ht="12.75" customHeight="1" x14ac:dyDescent="0.2">
      <c r="C63447"/>
      <c r="M63447"/>
    </row>
    <row r="63448" spans="3:13" ht="12.75" customHeight="1" x14ac:dyDescent="0.2">
      <c r="C63448"/>
      <c r="M63448"/>
    </row>
    <row r="63449" spans="3:13" ht="12.75" customHeight="1" x14ac:dyDescent="0.2">
      <c r="C63449"/>
      <c r="M63449"/>
    </row>
    <row r="63450" spans="3:13" ht="12.75" customHeight="1" x14ac:dyDescent="0.2">
      <c r="C63450"/>
      <c r="M63450"/>
    </row>
    <row r="63451" spans="3:13" ht="12.75" customHeight="1" x14ac:dyDescent="0.2">
      <c r="C63451"/>
      <c r="M63451"/>
    </row>
    <row r="63452" spans="3:13" ht="12.75" customHeight="1" x14ac:dyDescent="0.2">
      <c r="C63452"/>
      <c r="M63452"/>
    </row>
    <row r="63453" spans="3:13" ht="12.75" customHeight="1" x14ac:dyDescent="0.2">
      <c r="C63453"/>
      <c r="M63453"/>
    </row>
    <row r="63454" spans="3:13" ht="12.75" customHeight="1" x14ac:dyDescent="0.2">
      <c r="C63454"/>
      <c r="M63454"/>
    </row>
    <row r="63455" spans="3:13" ht="12.75" customHeight="1" x14ac:dyDescent="0.2">
      <c r="C63455"/>
      <c r="M63455"/>
    </row>
    <row r="63456" spans="3:13" ht="12.75" customHeight="1" x14ac:dyDescent="0.2">
      <c r="C63456"/>
      <c r="M63456"/>
    </row>
    <row r="63457" spans="3:13" ht="12.75" customHeight="1" x14ac:dyDescent="0.2">
      <c r="C63457"/>
      <c r="M63457"/>
    </row>
    <row r="63458" spans="3:13" ht="12.75" customHeight="1" x14ac:dyDescent="0.2">
      <c r="C63458"/>
      <c r="M63458"/>
    </row>
    <row r="63459" spans="3:13" ht="12.75" customHeight="1" x14ac:dyDescent="0.2">
      <c r="C63459"/>
      <c r="M63459"/>
    </row>
    <row r="63460" spans="3:13" ht="12.75" customHeight="1" x14ac:dyDescent="0.2">
      <c r="C63460"/>
      <c r="M63460"/>
    </row>
    <row r="63461" spans="3:13" ht="12.75" customHeight="1" x14ac:dyDescent="0.2">
      <c r="C63461"/>
      <c r="M63461"/>
    </row>
    <row r="63462" spans="3:13" ht="12.75" customHeight="1" x14ac:dyDescent="0.2">
      <c r="C63462"/>
      <c r="M63462"/>
    </row>
    <row r="63463" spans="3:13" ht="12.75" customHeight="1" x14ac:dyDescent="0.2">
      <c r="C63463"/>
      <c r="M63463"/>
    </row>
    <row r="63464" spans="3:13" ht="12.75" customHeight="1" x14ac:dyDescent="0.2">
      <c r="C63464"/>
      <c r="M63464"/>
    </row>
    <row r="63465" spans="3:13" ht="12.75" customHeight="1" x14ac:dyDescent="0.2">
      <c r="C63465"/>
      <c r="M63465"/>
    </row>
    <row r="63466" spans="3:13" ht="12.75" customHeight="1" x14ac:dyDescent="0.2">
      <c r="C63466"/>
      <c r="M63466"/>
    </row>
    <row r="63467" spans="3:13" ht="12.75" customHeight="1" x14ac:dyDescent="0.2">
      <c r="C63467"/>
      <c r="M63467"/>
    </row>
    <row r="63468" spans="3:13" ht="12.75" customHeight="1" x14ac:dyDescent="0.2">
      <c r="C63468"/>
      <c r="M63468"/>
    </row>
    <row r="63469" spans="3:13" ht="12.75" customHeight="1" x14ac:dyDescent="0.2">
      <c r="C63469"/>
      <c r="M63469"/>
    </row>
    <row r="63470" spans="3:13" ht="12.75" customHeight="1" x14ac:dyDescent="0.2">
      <c r="C63470"/>
      <c r="M63470"/>
    </row>
    <row r="63471" spans="3:13" ht="12.75" customHeight="1" x14ac:dyDescent="0.2">
      <c r="C63471"/>
      <c r="M63471"/>
    </row>
    <row r="63472" spans="3:13" ht="12.75" customHeight="1" x14ac:dyDescent="0.2">
      <c r="C63472"/>
      <c r="M63472"/>
    </row>
    <row r="63473" spans="3:13" ht="12.75" customHeight="1" x14ac:dyDescent="0.2">
      <c r="C63473"/>
      <c r="M63473"/>
    </row>
    <row r="63474" spans="3:13" ht="12.75" customHeight="1" x14ac:dyDescent="0.2">
      <c r="C63474"/>
      <c r="M63474"/>
    </row>
    <row r="63475" spans="3:13" ht="12.75" customHeight="1" x14ac:dyDescent="0.2">
      <c r="C63475"/>
      <c r="M63475"/>
    </row>
    <row r="63476" spans="3:13" ht="12.75" customHeight="1" x14ac:dyDescent="0.2">
      <c r="C63476"/>
      <c r="M63476"/>
    </row>
    <row r="63477" spans="3:13" ht="12.75" customHeight="1" x14ac:dyDescent="0.2">
      <c r="C63477"/>
      <c r="M63477"/>
    </row>
    <row r="63478" spans="3:13" ht="12.75" customHeight="1" x14ac:dyDescent="0.2">
      <c r="C63478"/>
      <c r="M63478"/>
    </row>
    <row r="63479" spans="3:13" ht="12.75" customHeight="1" x14ac:dyDescent="0.2">
      <c r="C63479"/>
      <c r="M63479"/>
    </row>
    <row r="63480" spans="3:13" ht="12.75" customHeight="1" x14ac:dyDescent="0.2">
      <c r="C63480"/>
      <c r="M63480"/>
    </row>
    <row r="63481" spans="3:13" ht="12.75" customHeight="1" x14ac:dyDescent="0.2">
      <c r="C63481"/>
      <c r="M63481"/>
    </row>
    <row r="63482" spans="3:13" ht="12.75" customHeight="1" x14ac:dyDescent="0.2">
      <c r="C63482"/>
      <c r="M63482"/>
    </row>
    <row r="63483" spans="3:13" ht="12.75" customHeight="1" x14ac:dyDescent="0.2">
      <c r="C63483"/>
      <c r="M63483"/>
    </row>
    <row r="63484" spans="3:13" ht="12.75" customHeight="1" x14ac:dyDescent="0.2">
      <c r="C63484"/>
      <c r="M63484"/>
    </row>
    <row r="63485" spans="3:13" ht="12.75" customHeight="1" x14ac:dyDescent="0.2">
      <c r="C63485"/>
      <c r="M63485"/>
    </row>
    <row r="63486" spans="3:13" ht="12.75" customHeight="1" x14ac:dyDescent="0.2">
      <c r="C63486"/>
      <c r="M63486"/>
    </row>
    <row r="63487" spans="3:13" ht="12.75" customHeight="1" x14ac:dyDescent="0.2">
      <c r="C63487"/>
      <c r="M63487"/>
    </row>
    <row r="63488" spans="3:13" ht="12.75" customHeight="1" x14ac:dyDescent="0.2">
      <c r="C63488"/>
      <c r="M63488"/>
    </row>
    <row r="63489" spans="3:13" ht="12.75" customHeight="1" x14ac:dyDescent="0.2">
      <c r="C63489"/>
      <c r="M63489"/>
    </row>
    <row r="63490" spans="3:13" ht="12.75" customHeight="1" x14ac:dyDescent="0.2">
      <c r="C63490"/>
      <c r="M63490"/>
    </row>
    <row r="63491" spans="3:13" ht="12.75" customHeight="1" x14ac:dyDescent="0.2">
      <c r="C63491"/>
      <c r="M63491"/>
    </row>
    <row r="63492" spans="3:13" ht="12.75" customHeight="1" x14ac:dyDescent="0.2">
      <c r="C63492"/>
      <c r="M63492"/>
    </row>
    <row r="63493" spans="3:13" ht="12.75" customHeight="1" x14ac:dyDescent="0.2">
      <c r="C63493"/>
      <c r="M63493"/>
    </row>
    <row r="63494" spans="3:13" ht="12.75" customHeight="1" x14ac:dyDescent="0.2">
      <c r="C63494"/>
      <c r="M63494"/>
    </row>
    <row r="63495" spans="3:13" ht="12.75" customHeight="1" x14ac:dyDescent="0.2">
      <c r="C63495"/>
      <c r="M63495"/>
    </row>
    <row r="63496" spans="3:13" ht="12.75" customHeight="1" x14ac:dyDescent="0.2">
      <c r="C63496"/>
      <c r="M63496"/>
    </row>
    <row r="63497" spans="3:13" ht="12.75" customHeight="1" x14ac:dyDescent="0.2">
      <c r="C63497"/>
      <c r="M63497"/>
    </row>
    <row r="63498" spans="3:13" ht="12.75" customHeight="1" x14ac:dyDescent="0.2">
      <c r="C63498"/>
      <c r="M63498"/>
    </row>
    <row r="63499" spans="3:13" ht="12.75" customHeight="1" x14ac:dyDescent="0.2">
      <c r="C63499"/>
      <c r="M63499"/>
    </row>
    <row r="63500" spans="3:13" ht="12.75" customHeight="1" x14ac:dyDescent="0.2">
      <c r="C63500"/>
      <c r="M63500"/>
    </row>
    <row r="63501" spans="3:13" ht="12.75" customHeight="1" x14ac:dyDescent="0.2">
      <c r="C63501"/>
      <c r="M63501"/>
    </row>
    <row r="63502" spans="3:13" ht="12.75" customHeight="1" x14ac:dyDescent="0.2">
      <c r="C63502"/>
      <c r="M63502"/>
    </row>
    <row r="63503" spans="3:13" ht="12.75" customHeight="1" x14ac:dyDescent="0.2">
      <c r="C63503"/>
      <c r="M63503"/>
    </row>
    <row r="63504" spans="3:13" ht="12.75" customHeight="1" x14ac:dyDescent="0.2">
      <c r="C63504"/>
      <c r="M63504"/>
    </row>
    <row r="63505" spans="3:13" ht="12.75" customHeight="1" x14ac:dyDescent="0.2">
      <c r="C63505"/>
      <c r="M63505"/>
    </row>
    <row r="63506" spans="3:13" ht="12.75" customHeight="1" x14ac:dyDescent="0.2">
      <c r="C63506"/>
      <c r="M63506"/>
    </row>
    <row r="63507" spans="3:13" ht="12.75" customHeight="1" x14ac:dyDescent="0.2">
      <c r="C63507"/>
      <c r="M63507"/>
    </row>
    <row r="63508" spans="3:13" ht="12.75" customHeight="1" x14ac:dyDescent="0.2">
      <c r="C63508"/>
      <c r="M63508"/>
    </row>
    <row r="63509" spans="3:13" ht="12.75" customHeight="1" x14ac:dyDescent="0.2">
      <c r="C63509"/>
      <c r="M63509"/>
    </row>
    <row r="63510" spans="3:13" ht="12.75" customHeight="1" x14ac:dyDescent="0.2">
      <c r="C63510"/>
      <c r="M63510"/>
    </row>
    <row r="63511" spans="3:13" ht="12.75" customHeight="1" x14ac:dyDescent="0.2">
      <c r="C63511"/>
      <c r="M63511"/>
    </row>
    <row r="63512" spans="3:13" ht="12.75" customHeight="1" x14ac:dyDescent="0.2">
      <c r="C63512"/>
      <c r="M63512"/>
    </row>
    <row r="63513" spans="3:13" ht="12.75" customHeight="1" x14ac:dyDescent="0.2">
      <c r="C63513"/>
      <c r="M63513"/>
    </row>
    <row r="63514" spans="3:13" ht="12.75" customHeight="1" x14ac:dyDescent="0.2">
      <c r="C63514"/>
      <c r="M63514"/>
    </row>
    <row r="63515" spans="3:13" ht="12.75" customHeight="1" x14ac:dyDescent="0.2">
      <c r="C63515"/>
      <c r="M63515"/>
    </row>
    <row r="63516" spans="3:13" ht="12.75" customHeight="1" x14ac:dyDescent="0.2">
      <c r="C63516"/>
      <c r="M63516"/>
    </row>
    <row r="63517" spans="3:13" ht="12.75" customHeight="1" x14ac:dyDescent="0.2">
      <c r="C63517"/>
      <c r="M63517"/>
    </row>
    <row r="63518" spans="3:13" ht="12.75" customHeight="1" x14ac:dyDescent="0.2">
      <c r="C63518"/>
      <c r="M63518"/>
    </row>
    <row r="63519" spans="3:13" ht="12.75" customHeight="1" x14ac:dyDescent="0.2">
      <c r="C63519"/>
      <c r="M63519"/>
    </row>
    <row r="63520" spans="3:13" ht="12.75" customHeight="1" x14ac:dyDescent="0.2">
      <c r="C63520"/>
      <c r="M63520"/>
    </row>
    <row r="63521" spans="3:13" ht="12.75" customHeight="1" x14ac:dyDescent="0.2">
      <c r="C63521"/>
      <c r="M63521"/>
    </row>
    <row r="63522" spans="3:13" ht="12.75" customHeight="1" x14ac:dyDescent="0.2">
      <c r="C63522"/>
      <c r="M63522"/>
    </row>
    <row r="63523" spans="3:13" ht="12.75" customHeight="1" x14ac:dyDescent="0.2">
      <c r="C63523"/>
      <c r="M63523"/>
    </row>
    <row r="63524" spans="3:13" ht="12.75" customHeight="1" x14ac:dyDescent="0.2">
      <c r="C63524"/>
      <c r="M63524"/>
    </row>
    <row r="63525" spans="3:13" ht="12.75" customHeight="1" x14ac:dyDescent="0.2">
      <c r="C63525"/>
      <c r="M63525"/>
    </row>
    <row r="63526" spans="3:13" ht="12.75" customHeight="1" x14ac:dyDescent="0.2">
      <c r="C63526"/>
      <c r="M63526"/>
    </row>
    <row r="63527" spans="3:13" ht="12.75" customHeight="1" x14ac:dyDescent="0.2">
      <c r="C63527"/>
      <c r="M63527"/>
    </row>
    <row r="63528" spans="3:13" ht="12.75" customHeight="1" x14ac:dyDescent="0.2">
      <c r="C63528"/>
      <c r="M63528"/>
    </row>
    <row r="63529" spans="3:13" ht="12.75" customHeight="1" x14ac:dyDescent="0.2">
      <c r="C63529"/>
      <c r="M63529"/>
    </row>
    <row r="63530" spans="3:13" ht="12.75" customHeight="1" x14ac:dyDescent="0.2">
      <c r="C63530"/>
      <c r="M63530"/>
    </row>
    <row r="63531" spans="3:13" ht="12.75" customHeight="1" x14ac:dyDescent="0.2">
      <c r="C63531"/>
      <c r="M63531"/>
    </row>
    <row r="63532" spans="3:13" ht="12.75" customHeight="1" x14ac:dyDescent="0.2">
      <c r="C63532"/>
      <c r="M63532"/>
    </row>
    <row r="63533" spans="3:13" ht="12.75" customHeight="1" x14ac:dyDescent="0.2">
      <c r="C63533"/>
      <c r="M63533"/>
    </row>
    <row r="63534" spans="3:13" ht="12.75" customHeight="1" x14ac:dyDescent="0.2">
      <c r="C63534"/>
      <c r="M63534"/>
    </row>
    <row r="63535" spans="3:13" ht="12.75" customHeight="1" x14ac:dyDescent="0.2">
      <c r="C63535"/>
      <c r="M63535"/>
    </row>
    <row r="63536" spans="3:13" ht="12.75" customHeight="1" x14ac:dyDescent="0.2">
      <c r="C63536"/>
      <c r="M63536"/>
    </row>
    <row r="63537" spans="3:13" ht="12.75" customHeight="1" x14ac:dyDescent="0.2">
      <c r="C63537"/>
      <c r="M63537"/>
    </row>
    <row r="63538" spans="3:13" ht="12.75" customHeight="1" x14ac:dyDescent="0.2">
      <c r="C63538"/>
      <c r="M63538"/>
    </row>
    <row r="63539" spans="3:13" ht="12.75" customHeight="1" x14ac:dyDescent="0.2">
      <c r="C63539"/>
      <c r="M63539"/>
    </row>
    <row r="63540" spans="3:13" ht="12.75" customHeight="1" x14ac:dyDescent="0.2">
      <c r="C63540"/>
      <c r="M63540"/>
    </row>
    <row r="63541" spans="3:13" ht="12.75" customHeight="1" x14ac:dyDescent="0.2">
      <c r="C63541"/>
      <c r="M63541"/>
    </row>
    <row r="63542" spans="3:13" ht="12.75" customHeight="1" x14ac:dyDescent="0.2">
      <c r="C63542"/>
      <c r="M63542"/>
    </row>
    <row r="63543" spans="3:13" ht="12.75" customHeight="1" x14ac:dyDescent="0.2">
      <c r="C63543"/>
      <c r="M63543"/>
    </row>
    <row r="63544" spans="3:13" ht="12.75" customHeight="1" x14ac:dyDescent="0.2">
      <c r="C63544"/>
      <c r="M63544"/>
    </row>
    <row r="63545" spans="3:13" ht="12.75" customHeight="1" x14ac:dyDescent="0.2">
      <c r="C63545"/>
      <c r="M63545"/>
    </row>
    <row r="63546" spans="3:13" ht="12.75" customHeight="1" x14ac:dyDescent="0.2">
      <c r="C63546"/>
      <c r="M63546"/>
    </row>
    <row r="63547" spans="3:13" ht="12.75" customHeight="1" x14ac:dyDescent="0.2">
      <c r="C63547"/>
      <c r="M63547"/>
    </row>
    <row r="63548" spans="3:13" ht="12.75" customHeight="1" x14ac:dyDescent="0.2">
      <c r="C63548"/>
      <c r="M63548"/>
    </row>
    <row r="63549" spans="3:13" ht="12.75" customHeight="1" x14ac:dyDescent="0.2">
      <c r="C63549"/>
      <c r="M63549"/>
    </row>
    <row r="63550" spans="3:13" ht="12.75" customHeight="1" x14ac:dyDescent="0.2">
      <c r="C63550"/>
      <c r="M63550"/>
    </row>
    <row r="63551" spans="3:13" ht="12.75" customHeight="1" x14ac:dyDescent="0.2">
      <c r="C63551"/>
      <c r="M63551"/>
    </row>
    <row r="63552" spans="3:13" ht="12.75" customHeight="1" x14ac:dyDescent="0.2">
      <c r="C63552"/>
      <c r="M63552"/>
    </row>
    <row r="63553" spans="3:13" ht="12.75" customHeight="1" x14ac:dyDescent="0.2">
      <c r="C63553"/>
      <c r="M63553"/>
    </row>
    <row r="63554" spans="3:13" ht="12.75" customHeight="1" x14ac:dyDescent="0.2">
      <c r="C63554"/>
      <c r="M63554"/>
    </row>
    <row r="63555" spans="3:13" ht="12.75" customHeight="1" x14ac:dyDescent="0.2">
      <c r="C63555"/>
      <c r="M63555"/>
    </row>
    <row r="63556" spans="3:13" ht="12.75" customHeight="1" x14ac:dyDescent="0.2">
      <c r="C63556"/>
      <c r="M63556"/>
    </row>
    <row r="63557" spans="3:13" ht="12.75" customHeight="1" x14ac:dyDescent="0.2">
      <c r="C63557"/>
      <c r="M63557"/>
    </row>
    <row r="63558" spans="3:13" ht="12.75" customHeight="1" x14ac:dyDescent="0.2">
      <c r="C63558"/>
      <c r="M63558"/>
    </row>
    <row r="63559" spans="3:13" ht="12.75" customHeight="1" x14ac:dyDescent="0.2">
      <c r="C63559"/>
      <c r="M63559"/>
    </row>
    <row r="63560" spans="3:13" ht="12.75" customHeight="1" x14ac:dyDescent="0.2">
      <c r="C63560"/>
      <c r="M63560"/>
    </row>
    <row r="63561" spans="3:13" ht="12.75" customHeight="1" x14ac:dyDescent="0.2">
      <c r="C63561"/>
      <c r="M63561"/>
    </row>
    <row r="63562" spans="3:13" ht="12.75" customHeight="1" x14ac:dyDescent="0.2">
      <c r="C63562"/>
      <c r="M63562"/>
    </row>
    <row r="63563" spans="3:13" ht="12.75" customHeight="1" x14ac:dyDescent="0.2">
      <c r="C63563"/>
      <c r="M63563"/>
    </row>
    <row r="63564" spans="3:13" ht="12.75" customHeight="1" x14ac:dyDescent="0.2">
      <c r="C63564"/>
      <c r="M63564"/>
    </row>
    <row r="63565" spans="3:13" ht="12.75" customHeight="1" x14ac:dyDescent="0.2">
      <c r="C63565"/>
      <c r="M63565"/>
    </row>
    <row r="63566" spans="3:13" ht="12.75" customHeight="1" x14ac:dyDescent="0.2">
      <c r="C63566"/>
      <c r="M63566"/>
    </row>
    <row r="63567" spans="3:13" ht="12.75" customHeight="1" x14ac:dyDescent="0.2">
      <c r="C63567"/>
      <c r="M63567"/>
    </row>
    <row r="63568" spans="3:13" ht="12.75" customHeight="1" x14ac:dyDescent="0.2">
      <c r="C63568"/>
      <c r="M63568"/>
    </row>
    <row r="63569" spans="3:13" ht="12.75" customHeight="1" x14ac:dyDescent="0.2">
      <c r="C63569"/>
      <c r="M63569"/>
    </row>
    <row r="63570" spans="3:13" ht="12.75" customHeight="1" x14ac:dyDescent="0.2">
      <c r="C63570"/>
      <c r="M63570"/>
    </row>
    <row r="63571" spans="3:13" ht="12.75" customHeight="1" x14ac:dyDescent="0.2">
      <c r="C63571"/>
      <c r="M63571"/>
    </row>
    <row r="63572" spans="3:13" ht="12.75" customHeight="1" x14ac:dyDescent="0.2">
      <c r="C63572"/>
      <c r="M63572"/>
    </row>
    <row r="63573" spans="3:13" ht="12.75" customHeight="1" x14ac:dyDescent="0.2">
      <c r="C63573"/>
      <c r="M63573"/>
    </row>
    <row r="63574" spans="3:13" ht="12.75" customHeight="1" x14ac:dyDescent="0.2">
      <c r="C63574"/>
      <c r="M63574"/>
    </row>
    <row r="63575" spans="3:13" ht="12.75" customHeight="1" x14ac:dyDescent="0.2">
      <c r="C63575"/>
      <c r="M63575"/>
    </row>
    <row r="63576" spans="3:13" ht="12.75" customHeight="1" x14ac:dyDescent="0.2">
      <c r="C63576"/>
      <c r="M63576"/>
    </row>
    <row r="63577" spans="3:13" ht="12.75" customHeight="1" x14ac:dyDescent="0.2">
      <c r="C63577"/>
      <c r="M63577"/>
    </row>
    <row r="63578" spans="3:13" ht="12.75" customHeight="1" x14ac:dyDescent="0.2">
      <c r="C63578"/>
      <c r="M63578"/>
    </row>
    <row r="63579" spans="3:13" ht="12.75" customHeight="1" x14ac:dyDescent="0.2">
      <c r="C63579"/>
      <c r="M63579"/>
    </row>
    <row r="63580" spans="3:13" ht="12.75" customHeight="1" x14ac:dyDescent="0.2">
      <c r="C63580"/>
      <c r="M63580"/>
    </row>
    <row r="63581" spans="3:13" ht="12.75" customHeight="1" x14ac:dyDescent="0.2">
      <c r="C63581"/>
      <c r="M63581"/>
    </row>
    <row r="63582" spans="3:13" ht="12.75" customHeight="1" x14ac:dyDescent="0.2">
      <c r="C63582"/>
      <c r="M63582"/>
    </row>
    <row r="63583" spans="3:13" ht="12.75" customHeight="1" x14ac:dyDescent="0.2">
      <c r="C63583"/>
      <c r="M63583"/>
    </row>
    <row r="63584" spans="3:13" ht="12.75" customHeight="1" x14ac:dyDescent="0.2">
      <c r="C63584"/>
      <c r="M63584"/>
    </row>
    <row r="63585" spans="3:13" ht="12.75" customHeight="1" x14ac:dyDescent="0.2">
      <c r="C63585"/>
      <c r="M63585"/>
    </row>
    <row r="63586" spans="3:13" ht="12.75" customHeight="1" x14ac:dyDescent="0.2">
      <c r="C63586"/>
      <c r="M63586"/>
    </row>
    <row r="63587" spans="3:13" ht="12.75" customHeight="1" x14ac:dyDescent="0.2">
      <c r="C63587"/>
      <c r="M63587"/>
    </row>
    <row r="63588" spans="3:13" ht="12.75" customHeight="1" x14ac:dyDescent="0.2">
      <c r="C63588"/>
      <c r="M63588"/>
    </row>
    <row r="63589" spans="3:13" ht="12.75" customHeight="1" x14ac:dyDescent="0.2">
      <c r="C63589"/>
      <c r="M63589"/>
    </row>
    <row r="63590" spans="3:13" ht="12.75" customHeight="1" x14ac:dyDescent="0.2">
      <c r="C63590"/>
      <c r="M63590"/>
    </row>
    <row r="63591" spans="3:13" ht="12.75" customHeight="1" x14ac:dyDescent="0.2">
      <c r="C63591"/>
      <c r="M63591"/>
    </row>
    <row r="63592" spans="3:13" ht="12.75" customHeight="1" x14ac:dyDescent="0.2">
      <c r="C63592"/>
      <c r="M63592"/>
    </row>
    <row r="63593" spans="3:13" ht="12.75" customHeight="1" x14ac:dyDescent="0.2">
      <c r="C63593"/>
      <c r="M63593"/>
    </row>
    <row r="63594" spans="3:13" ht="12.75" customHeight="1" x14ac:dyDescent="0.2">
      <c r="C63594"/>
      <c r="M63594"/>
    </row>
    <row r="63595" spans="3:13" ht="12.75" customHeight="1" x14ac:dyDescent="0.2">
      <c r="C63595"/>
      <c r="M63595"/>
    </row>
    <row r="63596" spans="3:13" ht="12.75" customHeight="1" x14ac:dyDescent="0.2">
      <c r="C63596"/>
      <c r="M63596"/>
    </row>
    <row r="63597" spans="3:13" ht="12.75" customHeight="1" x14ac:dyDescent="0.2">
      <c r="C63597"/>
      <c r="M63597"/>
    </row>
    <row r="63598" spans="3:13" ht="12.75" customHeight="1" x14ac:dyDescent="0.2">
      <c r="C63598"/>
      <c r="M63598"/>
    </row>
    <row r="63599" spans="3:13" ht="12.75" customHeight="1" x14ac:dyDescent="0.2">
      <c r="C63599"/>
      <c r="M63599"/>
    </row>
    <row r="63600" spans="3:13" ht="12.75" customHeight="1" x14ac:dyDescent="0.2">
      <c r="C63600"/>
      <c r="M63600"/>
    </row>
    <row r="63601" spans="3:13" ht="12.75" customHeight="1" x14ac:dyDescent="0.2">
      <c r="C63601"/>
      <c r="M63601"/>
    </row>
    <row r="63602" spans="3:13" ht="12.75" customHeight="1" x14ac:dyDescent="0.2">
      <c r="C63602"/>
      <c r="M63602"/>
    </row>
    <row r="63603" spans="3:13" ht="12.75" customHeight="1" x14ac:dyDescent="0.2">
      <c r="C63603"/>
      <c r="M63603"/>
    </row>
    <row r="63604" spans="3:13" ht="12.75" customHeight="1" x14ac:dyDescent="0.2">
      <c r="C63604"/>
      <c r="M63604"/>
    </row>
    <row r="63605" spans="3:13" ht="12.75" customHeight="1" x14ac:dyDescent="0.2">
      <c r="C63605"/>
      <c r="M63605"/>
    </row>
    <row r="63606" spans="3:13" ht="12.75" customHeight="1" x14ac:dyDescent="0.2">
      <c r="C63606"/>
      <c r="M63606"/>
    </row>
    <row r="63607" spans="3:13" ht="12.75" customHeight="1" x14ac:dyDescent="0.2">
      <c r="C63607"/>
      <c r="M63607"/>
    </row>
    <row r="63608" spans="3:13" ht="12.75" customHeight="1" x14ac:dyDescent="0.2">
      <c r="C63608"/>
      <c r="M63608"/>
    </row>
    <row r="63609" spans="3:13" ht="12.75" customHeight="1" x14ac:dyDescent="0.2">
      <c r="C63609"/>
      <c r="M63609"/>
    </row>
    <row r="63610" spans="3:13" ht="12.75" customHeight="1" x14ac:dyDescent="0.2">
      <c r="C63610"/>
      <c r="M63610"/>
    </row>
    <row r="63611" spans="3:13" ht="12.75" customHeight="1" x14ac:dyDescent="0.2">
      <c r="C63611"/>
      <c r="M63611"/>
    </row>
    <row r="63612" spans="3:13" ht="12.75" customHeight="1" x14ac:dyDescent="0.2">
      <c r="C63612"/>
      <c r="M63612"/>
    </row>
    <row r="63613" spans="3:13" ht="12.75" customHeight="1" x14ac:dyDescent="0.2">
      <c r="C63613"/>
      <c r="M63613"/>
    </row>
    <row r="63614" spans="3:13" ht="12.75" customHeight="1" x14ac:dyDescent="0.2">
      <c r="C63614"/>
      <c r="M63614"/>
    </row>
    <row r="63615" spans="3:13" ht="12.75" customHeight="1" x14ac:dyDescent="0.2">
      <c r="C63615"/>
      <c r="M63615"/>
    </row>
    <row r="63616" spans="3:13" ht="12.75" customHeight="1" x14ac:dyDescent="0.2">
      <c r="C63616"/>
      <c r="M63616"/>
    </row>
    <row r="63617" spans="3:13" ht="12.75" customHeight="1" x14ac:dyDescent="0.2">
      <c r="C63617"/>
      <c r="M63617"/>
    </row>
    <row r="63618" spans="3:13" ht="12.75" customHeight="1" x14ac:dyDescent="0.2">
      <c r="C63618"/>
      <c r="M63618"/>
    </row>
    <row r="63619" spans="3:13" ht="12.75" customHeight="1" x14ac:dyDescent="0.2">
      <c r="C63619"/>
      <c r="M63619"/>
    </row>
    <row r="63620" spans="3:13" ht="12.75" customHeight="1" x14ac:dyDescent="0.2">
      <c r="C63620"/>
      <c r="M63620"/>
    </row>
    <row r="63621" spans="3:13" ht="12.75" customHeight="1" x14ac:dyDescent="0.2">
      <c r="C63621"/>
      <c r="M63621"/>
    </row>
    <row r="63622" spans="3:13" ht="12.75" customHeight="1" x14ac:dyDescent="0.2">
      <c r="C63622"/>
      <c r="M63622"/>
    </row>
    <row r="63623" spans="3:13" ht="12.75" customHeight="1" x14ac:dyDescent="0.2">
      <c r="C63623"/>
      <c r="M63623"/>
    </row>
    <row r="63624" spans="3:13" ht="12.75" customHeight="1" x14ac:dyDescent="0.2">
      <c r="C63624"/>
      <c r="M63624"/>
    </row>
    <row r="63625" spans="3:13" ht="12.75" customHeight="1" x14ac:dyDescent="0.2">
      <c r="C63625"/>
      <c r="M63625"/>
    </row>
    <row r="63626" spans="3:13" ht="12.75" customHeight="1" x14ac:dyDescent="0.2">
      <c r="C63626"/>
      <c r="M63626"/>
    </row>
    <row r="63627" spans="3:13" ht="12.75" customHeight="1" x14ac:dyDescent="0.2">
      <c r="C63627"/>
      <c r="M63627"/>
    </row>
    <row r="63628" spans="3:13" ht="12.75" customHeight="1" x14ac:dyDescent="0.2">
      <c r="C63628"/>
      <c r="M63628"/>
    </row>
    <row r="63629" spans="3:13" ht="12.75" customHeight="1" x14ac:dyDescent="0.2">
      <c r="C63629"/>
      <c r="M63629"/>
    </row>
    <row r="63630" spans="3:13" ht="12.75" customHeight="1" x14ac:dyDescent="0.2">
      <c r="C63630"/>
      <c r="M63630"/>
    </row>
    <row r="63631" spans="3:13" ht="12.75" customHeight="1" x14ac:dyDescent="0.2">
      <c r="C63631"/>
      <c r="M63631"/>
    </row>
    <row r="63632" spans="3:13" ht="12.75" customHeight="1" x14ac:dyDescent="0.2">
      <c r="C63632"/>
      <c r="M63632"/>
    </row>
    <row r="63633" spans="3:13" ht="12.75" customHeight="1" x14ac:dyDescent="0.2">
      <c r="C63633"/>
      <c r="M63633"/>
    </row>
    <row r="63634" spans="3:13" ht="12.75" customHeight="1" x14ac:dyDescent="0.2">
      <c r="C63634"/>
      <c r="M63634"/>
    </row>
    <row r="63635" spans="3:13" ht="12.75" customHeight="1" x14ac:dyDescent="0.2">
      <c r="C63635"/>
      <c r="M63635"/>
    </row>
    <row r="63636" spans="3:13" ht="12.75" customHeight="1" x14ac:dyDescent="0.2">
      <c r="C63636"/>
      <c r="M63636"/>
    </row>
    <row r="63637" spans="3:13" ht="12.75" customHeight="1" x14ac:dyDescent="0.2">
      <c r="C63637"/>
      <c r="M63637"/>
    </row>
    <row r="63638" spans="3:13" ht="12.75" customHeight="1" x14ac:dyDescent="0.2">
      <c r="C63638"/>
      <c r="M63638"/>
    </row>
    <row r="63639" spans="3:13" ht="12.75" customHeight="1" x14ac:dyDescent="0.2">
      <c r="C63639"/>
      <c r="M63639"/>
    </row>
    <row r="63640" spans="3:13" ht="12.75" customHeight="1" x14ac:dyDescent="0.2">
      <c r="C63640"/>
      <c r="M63640"/>
    </row>
    <row r="63641" spans="3:13" ht="12.75" customHeight="1" x14ac:dyDescent="0.2">
      <c r="C63641"/>
      <c r="M63641"/>
    </row>
    <row r="63642" spans="3:13" ht="12.75" customHeight="1" x14ac:dyDescent="0.2">
      <c r="C63642"/>
      <c r="M63642"/>
    </row>
    <row r="63643" spans="3:13" ht="12.75" customHeight="1" x14ac:dyDescent="0.2">
      <c r="C63643"/>
      <c r="M63643"/>
    </row>
    <row r="63644" spans="3:13" ht="12.75" customHeight="1" x14ac:dyDescent="0.2">
      <c r="C63644"/>
      <c r="M63644"/>
    </row>
    <row r="63645" spans="3:13" ht="12.75" customHeight="1" x14ac:dyDescent="0.2">
      <c r="C63645"/>
      <c r="M63645"/>
    </row>
    <row r="63646" spans="3:13" ht="12.75" customHeight="1" x14ac:dyDescent="0.2">
      <c r="C63646"/>
      <c r="M63646"/>
    </row>
    <row r="63647" spans="3:13" ht="12.75" customHeight="1" x14ac:dyDescent="0.2">
      <c r="C63647"/>
      <c r="M63647"/>
    </row>
    <row r="63648" spans="3:13" ht="12.75" customHeight="1" x14ac:dyDescent="0.2">
      <c r="C63648"/>
      <c r="M63648"/>
    </row>
    <row r="63649" spans="3:13" ht="12.75" customHeight="1" x14ac:dyDescent="0.2">
      <c r="C63649"/>
      <c r="M63649"/>
    </row>
    <row r="63650" spans="3:13" ht="12.75" customHeight="1" x14ac:dyDescent="0.2">
      <c r="C63650"/>
      <c r="M63650"/>
    </row>
    <row r="63651" spans="3:13" ht="12.75" customHeight="1" x14ac:dyDescent="0.2">
      <c r="C63651"/>
      <c r="M63651"/>
    </row>
    <row r="63652" spans="3:13" ht="12.75" customHeight="1" x14ac:dyDescent="0.2">
      <c r="C63652"/>
      <c r="M63652"/>
    </row>
    <row r="63653" spans="3:13" ht="12.75" customHeight="1" x14ac:dyDescent="0.2">
      <c r="C63653"/>
      <c r="M63653"/>
    </row>
    <row r="63654" spans="3:13" ht="12.75" customHeight="1" x14ac:dyDescent="0.2">
      <c r="C63654"/>
      <c r="M63654"/>
    </row>
    <row r="63655" spans="3:13" ht="12.75" customHeight="1" x14ac:dyDescent="0.2">
      <c r="C63655"/>
      <c r="M63655"/>
    </row>
    <row r="63656" spans="3:13" ht="12.75" customHeight="1" x14ac:dyDescent="0.2">
      <c r="C63656"/>
      <c r="M63656"/>
    </row>
    <row r="63657" spans="3:13" ht="12.75" customHeight="1" x14ac:dyDescent="0.2">
      <c r="C63657"/>
      <c r="M63657"/>
    </row>
    <row r="63658" spans="3:13" ht="12.75" customHeight="1" x14ac:dyDescent="0.2">
      <c r="C63658"/>
      <c r="M63658"/>
    </row>
    <row r="63659" spans="3:13" ht="12.75" customHeight="1" x14ac:dyDescent="0.2">
      <c r="C63659"/>
      <c r="M63659"/>
    </row>
    <row r="63660" spans="3:13" ht="12.75" customHeight="1" x14ac:dyDescent="0.2">
      <c r="C63660"/>
      <c r="M63660"/>
    </row>
    <row r="63661" spans="3:13" ht="12.75" customHeight="1" x14ac:dyDescent="0.2">
      <c r="C63661"/>
      <c r="M63661"/>
    </row>
    <row r="63662" spans="3:13" ht="12.75" customHeight="1" x14ac:dyDescent="0.2">
      <c r="C63662"/>
      <c r="M63662"/>
    </row>
    <row r="63663" spans="3:13" ht="12.75" customHeight="1" x14ac:dyDescent="0.2">
      <c r="C63663"/>
      <c r="M63663"/>
    </row>
    <row r="63664" spans="3:13" ht="12.75" customHeight="1" x14ac:dyDescent="0.2">
      <c r="C63664"/>
      <c r="M63664"/>
    </row>
    <row r="63665" spans="3:13" ht="12.75" customHeight="1" x14ac:dyDescent="0.2">
      <c r="C63665"/>
      <c r="M63665"/>
    </row>
    <row r="63666" spans="3:13" ht="12.75" customHeight="1" x14ac:dyDescent="0.2">
      <c r="C63666"/>
      <c r="M63666"/>
    </row>
    <row r="63667" spans="3:13" ht="12.75" customHeight="1" x14ac:dyDescent="0.2">
      <c r="C63667"/>
      <c r="M63667"/>
    </row>
    <row r="63668" spans="3:13" ht="12.75" customHeight="1" x14ac:dyDescent="0.2">
      <c r="C63668"/>
      <c r="M63668"/>
    </row>
    <row r="63669" spans="3:13" ht="12.75" customHeight="1" x14ac:dyDescent="0.2">
      <c r="C63669"/>
      <c r="M63669"/>
    </row>
    <row r="63670" spans="3:13" ht="12.75" customHeight="1" x14ac:dyDescent="0.2">
      <c r="C63670"/>
      <c r="M63670"/>
    </row>
    <row r="63671" spans="3:13" ht="12.75" customHeight="1" x14ac:dyDescent="0.2">
      <c r="C63671"/>
      <c r="M63671"/>
    </row>
    <row r="63672" spans="3:13" ht="12.75" customHeight="1" x14ac:dyDescent="0.2">
      <c r="C63672"/>
      <c r="M63672"/>
    </row>
    <row r="63673" spans="3:13" ht="12.75" customHeight="1" x14ac:dyDescent="0.2">
      <c r="C63673"/>
      <c r="M63673"/>
    </row>
    <row r="63674" spans="3:13" ht="12.75" customHeight="1" x14ac:dyDescent="0.2">
      <c r="C63674"/>
      <c r="M63674"/>
    </row>
    <row r="63675" spans="3:13" ht="12.75" customHeight="1" x14ac:dyDescent="0.2">
      <c r="C63675"/>
      <c r="M63675"/>
    </row>
    <row r="63676" spans="3:13" ht="12.75" customHeight="1" x14ac:dyDescent="0.2">
      <c r="C63676"/>
      <c r="M63676"/>
    </row>
    <row r="63677" spans="3:13" ht="12.75" customHeight="1" x14ac:dyDescent="0.2">
      <c r="C63677"/>
      <c r="M63677"/>
    </row>
    <row r="63678" spans="3:13" ht="12.75" customHeight="1" x14ac:dyDescent="0.2">
      <c r="C63678"/>
      <c r="M63678"/>
    </row>
    <row r="63679" spans="3:13" ht="12.75" customHeight="1" x14ac:dyDescent="0.2">
      <c r="C63679"/>
      <c r="M63679"/>
    </row>
    <row r="63680" spans="3:13" ht="12.75" customHeight="1" x14ac:dyDescent="0.2">
      <c r="C63680"/>
      <c r="M63680"/>
    </row>
    <row r="63681" spans="3:13" ht="12.75" customHeight="1" x14ac:dyDescent="0.2">
      <c r="C63681"/>
      <c r="M63681"/>
    </row>
    <row r="63682" spans="3:13" ht="12.75" customHeight="1" x14ac:dyDescent="0.2">
      <c r="C63682"/>
      <c r="M63682"/>
    </row>
    <row r="63683" spans="3:13" ht="12.75" customHeight="1" x14ac:dyDescent="0.2">
      <c r="C63683"/>
      <c r="M63683"/>
    </row>
    <row r="63684" spans="3:13" ht="12.75" customHeight="1" x14ac:dyDescent="0.2">
      <c r="C63684"/>
      <c r="M63684"/>
    </row>
    <row r="63685" spans="3:13" ht="12.75" customHeight="1" x14ac:dyDescent="0.2">
      <c r="C63685"/>
      <c r="M63685"/>
    </row>
    <row r="63686" spans="3:13" ht="12.75" customHeight="1" x14ac:dyDescent="0.2">
      <c r="C63686"/>
      <c r="M63686"/>
    </row>
    <row r="63687" spans="3:13" ht="12.75" customHeight="1" x14ac:dyDescent="0.2">
      <c r="C63687"/>
      <c r="M63687"/>
    </row>
    <row r="63688" spans="3:13" ht="12.75" customHeight="1" x14ac:dyDescent="0.2">
      <c r="C63688"/>
      <c r="M63688"/>
    </row>
    <row r="63689" spans="3:13" ht="12.75" customHeight="1" x14ac:dyDescent="0.2">
      <c r="C63689"/>
      <c r="M63689"/>
    </row>
    <row r="63690" spans="3:13" ht="12.75" customHeight="1" x14ac:dyDescent="0.2">
      <c r="C63690"/>
      <c r="M63690"/>
    </row>
    <row r="63691" spans="3:13" ht="12.75" customHeight="1" x14ac:dyDescent="0.2">
      <c r="C63691"/>
      <c r="M63691"/>
    </row>
    <row r="63692" spans="3:13" ht="12.75" customHeight="1" x14ac:dyDescent="0.2">
      <c r="C63692"/>
      <c r="M63692"/>
    </row>
    <row r="63693" spans="3:13" ht="12.75" customHeight="1" x14ac:dyDescent="0.2">
      <c r="C63693"/>
      <c r="M63693"/>
    </row>
    <row r="63694" spans="3:13" ht="12.75" customHeight="1" x14ac:dyDescent="0.2">
      <c r="C63694"/>
      <c r="M63694"/>
    </row>
    <row r="63695" spans="3:13" ht="12.75" customHeight="1" x14ac:dyDescent="0.2">
      <c r="C63695"/>
      <c r="M63695"/>
    </row>
    <row r="63696" spans="3:13" ht="12.75" customHeight="1" x14ac:dyDescent="0.2">
      <c r="C63696"/>
      <c r="M63696"/>
    </row>
    <row r="63697" spans="3:13" ht="12.75" customHeight="1" x14ac:dyDescent="0.2">
      <c r="C63697"/>
      <c r="M63697"/>
    </row>
    <row r="63698" spans="3:13" ht="12.75" customHeight="1" x14ac:dyDescent="0.2">
      <c r="C63698"/>
      <c r="M63698"/>
    </row>
    <row r="63699" spans="3:13" ht="12.75" customHeight="1" x14ac:dyDescent="0.2">
      <c r="C63699"/>
      <c r="M63699"/>
    </row>
    <row r="63700" spans="3:13" ht="12.75" customHeight="1" x14ac:dyDescent="0.2">
      <c r="C63700"/>
      <c r="M63700"/>
    </row>
    <row r="63701" spans="3:13" ht="12.75" customHeight="1" x14ac:dyDescent="0.2">
      <c r="C63701"/>
      <c r="M63701"/>
    </row>
    <row r="63702" spans="3:13" ht="12.75" customHeight="1" x14ac:dyDescent="0.2">
      <c r="C63702"/>
      <c r="M63702"/>
    </row>
    <row r="63703" spans="3:13" ht="12.75" customHeight="1" x14ac:dyDescent="0.2">
      <c r="C63703"/>
      <c r="M63703"/>
    </row>
    <row r="63704" spans="3:13" ht="12.75" customHeight="1" x14ac:dyDescent="0.2">
      <c r="C63704"/>
      <c r="M63704"/>
    </row>
    <row r="63705" spans="3:13" ht="12.75" customHeight="1" x14ac:dyDescent="0.2">
      <c r="C63705"/>
      <c r="M63705"/>
    </row>
    <row r="63706" spans="3:13" ht="12.75" customHeight="1" x14ac:dyDescent="0.2">
      <c r="C63706"/>
      <c r="M63706"/>
    </row>
    <row r="63707" spans="3:13" ht="12.75" customHeight="1" x14ac:dyDescent="0.2">
      <c r="C63707"/>
      <c r="M63707"/>
    </row>
    <row r="63708" spans="3:13" ht="12.75" customHeight="1" x14ac:dyDescent="0.2">
      <c r="C63708"/>
      <c r="M63708"/>
    </row>
    <row r="63709" spans="3:13" ht="12.75" customHeight="1" x14ac:dyDescent="0.2">
      <c r="C63709"/>
      <c r="M63709"/>
    </row>
    <row r="63710" spans="3:13" ht="12.75" customHeight="1" x14ac:dyDescent="0.2">
      <c r="C63710"/>
      <c r="M63710"/>
    </row>
    <row r="63711" spans="3:13" ht="12.75" customHeight="1" x14ac:dyDescent="0.2">
      <c r="C63711"/>
      <c r="M63711"/>
    </row>
    <row r="63712" spans="3:13" ht="12.75" customHeight="1" x14ac:dyDescent="0.2">
      <c r="C63712"/>
      <c r="M63712"/>
    </row>
    <row r="63713" spans="3:13" ht="12.75" customHeight="1" x14ac:dyDescent="0.2">
      <c r="C63713"/>
      <c r="M63713"/>
    </row>
    <row r="63714" spans="3:13" ht="12.75" customHeight="1" x14ac:dyDescent="0.2">
      <c r="C63714"/>
      <c r="M63714"/>
    </row>
    <row r="63715" spans="3:13" ht="12.75" customHeight="1" x14ac:dyDescent="0.2">
      <c r="C63715"/>
      <c r="M63715"/>
    </row>
    <row r="63716" spans="3:13" ht="12.75" customHeight="1" x14ac:dyDescent="0.2">
      <c r="C63716"/>
      <c r="M63716"/>
    </row>
    <row r="63717" spans="3:13" ht="12.75" customHeight="1" x14ac:dyDescent="0.2">
      <c r="C63717"/>
      <c r="M63717"/>
    </row>
    <row r="63718" spans="3:13" ht="12.75" customHeight="1" x14ac:dyDescent="0.2">
      <c r="C63718"/>
      <c r="M63718"/>
    </row>
    <row r="63719" spans="3:13" ht="12.75" customHeight="1" x14ac:dyDescent="0.2">
      <c r="C63719"/>
      <c r="M63719"/>
    </row>
    <row r="63720" spans="3:13" ht="12.75" customHeight="1" x14ac:dyDescent="0.2">
      <c r="C63720"/>
      <c r="M63720"/>
    </row>
    <row r="63721" spans="3:13" ht="12.75" customHeight="1" x14ac:dyDescent="0.2">
      <c r="C63721"/>
      <c r="M63721"/>
    </row>
    <row r="63722" spans="3:13" ht="12.75" customHeight="1" x14ac:dyDescent="0.2">
      <c r="C63722"/>
      <c r="M63722"/>
    </row>
    <row r="63723" spans="3:13" ht="12.75" customHeight="1" x14ac:dyDescent="0.2">
      <c r="C63723"/>
      <c r="M63723"/>
    </row>
    <row r="63724" spans="3:13" ht="12.75" customHeight="1" x14ac:dyDescent="0.2">
      <c r="C63724"/>
      <c r="M63724"/>
    </row>
    <row r="63725" spans="3:13" ht="12.75" customHeight="1" x14ac:dyDescent="0.2">
      <c r="C63725"/>
      <c r="M63725"/>
    </row>
    <row r="63726" spans="3:13" ht="12.75" customHeight="1" x14ac:dyDescent="0.2">
      <c r="C63726"/>
      <c r="M63726"/>
    </row>
    <row r="63727" spans="3:13" ht="12.75" customHeight="1" x14ac:dyDescent="0.2">
      <c r="C63727"/>
      <c r="M63727"/>
    </row>
    <row r="63728" spans="3:13" ht="12.75" customHeight="1" x14ac:dyDescent="0.2">
      <c r="C63728"/>
      <c r="M63728"/>
    </row>
    <row r="63729" spans="3:13" ht="12.75" customHeight="1" x14ac:dyDescent="0.2">
      <c r="C63729"/>
      <c r="M63729"/>
    </row>
    <row r="63730" spans="3:13" ht="12.75" customHeight="1" x14ac:dyDescent="0.2">
      <c r="C63730"/>
      <c r="M63730"/>
    </row>
    <row r="63731" spans="3:13" ht="12.75" customHeight="1" x14ac:dyDescent="0.2">
      <c r="C63731"/>
      <c r="M63731"/>
    </row>
    <row r="63732" spans="3:13" ht="12.75" customHeight="1" x14ac:dyDescent="0.2">
      <c r="C63732"/>
      <c r="M63732"/>
    </row>
    <row r="63733" spans="3:13" ht="12.75" customHeight="1" x14ac:dyDescent="0.2">
      <c r="C63733"/>
      <c r="M63733"/>
    </row>
    <row r="63734" spans="3:13" ht="12.75" customHeight="1" x14ac:dyDescent="0.2">
      <c r="C63734"/>
      <c r="M63734"/>
    </row>
    <row r="63735" spans="3:13" ht="12.75" customHeight="1" x14ac:dyDescent="0.2">
      <c r="C63735"/>
      <c r="M63735"/>
    </row>
    <row r="63736" spans="3:13" ht="12.75" customHeight="1" x14ac:dyDescent="0.2">
      <c r="C63736"/>
      <c r="M63736"/>
    </row>
    <row r="63737" spans="3:13" ht="12.75" customHeight="1" x14ac:dyDescent="0.2">
      <c r="C63737"/>
      <c r="M63737"/>
    </row>
    <row r="63738" spans="3:13" ht="12.75" customHeight="1" x14ac:dyDescent="0.2">
      <c r="C63738"/>
      <c r="M63738"/>
    </row>
    <row r="63739" spans="3:13" ht="12.75" customHeight="1" x14ac:dyDescent="0.2">
      <c r="C63739"/>
      <c r="M63739"/>
    </row>
    <row r="63740" spans="3:13" ht="12.75" customHeight="1" x14ac:dyDescent="0.2">
      <c r="C63740"/>
      <c r="M63740"/>
    </row>
    <row r="63741" spans="3:13" ht="12.75" customHeight="1" x14ac:dyDescent="0.2">
      <c r="C63741"/>
      <c r="M63741"/>
    </row>
    <row r="63742" spans="3:13" ht="12.75" customHeight="1" x14ac:dyDescent="0.2">
      <c r="C63742"/>
      <c r="M63742"/>
    </row>
    <row r="63743" spans="3:13" ht="12.75" customHeight="1" x14ac:dyDescent="0.2">
      <c r="C63743"/>
      <c r="M63743"/>
    </row>
    <row r="63744" spans="3:13" ht="12.75" customHeight="1" x14ac:dyDescent="0.2">
      <c r="C63744"/>
      <c r="M63744"/>
    </row>
    <row r="63745" spans="3:13" ht="12.75" customHeight="1" x14ac:dyDescent="0.2">
      <c r="C63745"/>
      <c r="M63745"/>
    </row>
    <row r="63746" spans="3:13" ht="12.75" customHeight="1" x14ac:dyDescent="0.2">
      <c r="C63746"/>
      <c r="M63746"/>
    </row>
    <row r="63747" spans="3:13" ht="12.75" customHeight="1" x14ac:dyDescent="0.2">
      <c r="C63747"/>
      <c r="M63747"/>
    </row>
    <row r="63748" spans="3:13" ht="12.75" customHeight="1" x14ac:dyDescent="0.2">
      <c r="C63748"/>
      <c r="M63748"/>
    </row>
    <row r="63749" spans="3:13" ht="12.75" customHeight="1" x14ac:dyDescent="0.2">
      <c r="C63749"/>
      <c r="M63749"/>
    </row>
    <row r="63750" spans="3:13" ht="12.75" customHeight="1" x14ac:dyDescent="0.2">
      <c r="C63750"/>
      <c r="M63750"/>
    </row>
    <row r="63751" spans="3:13" ht="12.75" customHeight="1" x14ac:dyDescent="0.2">
      <c r="C63751"/>
      <c r="M63751"/>
    </row>
    <row r="63752" spans="3:13" ht="12.75" customHeight="1" x14ac:dyDescent="0.2">
      <c r="C63752"/>
      <c r="M63752"/>
    </row>
    <row r="63753" spans="3:13" ht="12.75" customHeight="1" x14ac:dyDescent="0.2">
      <c r="C63753"/>
      <c r="M63753"/>
    </row>
    <row r="63754" spans="3:13" ht="12.75" customHeight="1" x14ac:dyDescent="0.2">
      <c r="C63754"/>
      <c r="M63754"/>
    </row>
    <row r="63755" spans="3:13" ht="12.75" customHeight="1" x14ac:dyDescent="0.2">
      <c r="C63755"/>
      <c r="M63755"/>
    </row>
    <row r="63756" spans="3:13" ht="12.75" customHeight="1" x14ac:dyDescent="0.2">
      <c r="C63756"/>
      <c r="M63756"/>
    </row>
    <row r="63757" spans="3:13" ht="12.75" customHeight="1" x14ac:dyDescent="0.2">
      <c r="C63757"/>
      <c r="M63757"/>
    </row>
    <row r="63758" spans="3:13" ht="12.75" customHeight="1" x14ac:dyDescent="0.2">
      <c r="C63758"/>
      <c r="M63758"/>
    </row>
    <row r="63759" spans="3:13" ht="12.75" customHeight="1" x14ac:dyDescent="0.2">
      <c r="C63759"/>
      <c r="M63759"/>
    </row>
    <row r="63760" spans="3:13" ht="12.75" customHeight="1" x14ac:dyDescent="0.2">
      <c r="C63760"/>
      <c r="M63760"/>
    </row>
    <row r="63761" spans="3:13" ht="12.75" customHeight="1" x14ac:dyDescent="0.2">
      <c r="C63761"/>
      <c r="M63761"/>
    </row>
    <row r="63762" spans="3:13" ht="12.75" customHeight="1" x14ac:dyDescent="0.2">
      <c r="C63762"/>
      <c r="M63762"/>
    </row>
    <row r="63763" spans="3:13" ht="12.75" customHeight="1" x14ac:dyDescent="0.2">
      <c r="C63763"/>
      <c r="M63763"/>
    </row>
    <row r="63764" spans="3:13" ht="12.75" customHeight="1" x14ac:dyDescent="0.2">
      <c r="C63764"/>
      <c r="M63764"/>
    </row>
    <row r="63765" spans="3:13" ht="12.75" customHeight="1" x14ac:dyDescent="0.2">
      <c r="C63765"/>
      <c r="M63765"/>
    </row>
    <row r="63766" spans="3:13" ht="12.75" customHeight="1" x14ac:dyDescent="0.2">
      <c r="C63766"/>
      <c r="M63766"/>
    </row>
    <row r="63767" spans="3:13" ht="12.75" customHeight="1" x14ac:dyDescent="0.2">
      <c r="C63767"/>
      <c r="M63767"/>
    </row>
    <row r="63768" spans="3:13" ht="12.75" customHeight="1" x14ac:dyDescent="0.2">
      <c r="C63768"/>
      <c r="M63768"/>
    </row>
    <row r="63769" spans="3:13" ht="12.75" customHeight="1" x14ac:dyDescent="0.2">
      <c r="C63769"/>
      <c r="M63769"/>
    </row>
    <row r="63770" spans="3:13" ht="12.75" customHeight="1" x14ac:dyDescent="0.2">
      <c r="C63770"/>
      <c r="M63770"/>
    </row>
    <row r="63771" spans="3:13" ht="12.75" customHeight="1" x14ac:dyDescent="0.2">
      <c r="C63771"/>
      <c r="M63771"/>
    </row>
    <row r="63772" spans="3:13" ht="12.75" customHeight="1" x14ac:dyDescent="0.2">
      <c r="C63772"/>
      <c r="M63772"/>
    </row>
    <row r="63773" spans="3:13" ht="12.75" customHeight="1" x14ac:dyDescent="0.2">
      <c r="C63773"/>
      <c r="M63773"/>
    </row>
    <row r="63774" spans="3:13" ht="12.75" customHeight="1" x14ac:dyDescent="0.2">
      <c r="C63774"/>
      <c r="M63774"/>
    </row>
    <row r="63775" spans="3:13" ht="12.75" customHeight="1" x14ac:dyDescent="0.2">
      <c r="C63775"/>
      <c r="M63775"/>
    </row>
    <row r="63776" spans="3:13" ht="12.75" customHeight="1" x14ac:dyDescent="0.2">
      <c r="C63776"/>
      <c r="M63776"/>
    </row>
    <row r="63777" spans="3:13" ht="12.75" customHeight="1" x14ac:dyDescent="0.2">
      <c r="C63777"/>
      <c r="M63777"/>
    </row>
    <row r="63778" spans="3:13" ht="12.75" customHeight="1" x14ac:dyDescent="0.2">
      <c r="C63778"/>
      <c r="M63778"/>
    </row>
    <row r="63779" spans="3:13" ht="12.75" customHeight="1" x14ac:dyDescent="0.2">
      <c r="C63779"/>
      <c r="M63779"/>
    </row>
    <row r="63780" spans="3:13" ht="12.75" customHeight="1" x14ac:dyDescent="0.2">
      <c r="C63780"/>
      <c r="M63780"/>
    </row>
    <row r="63781" spans="3:13" ht="12.75" customHeight="1" x14ac:dyDescent="0.2">
      <c r="C63781"/>
      <c r="M63781"/>
    </row>
    <row r="63782" spans="3:13" ht="12.75" customHeight="1" x14ac:dyDescent="0.2">
      <c r="C63782"/>
      <c r="M63782"/>
    </row>
    <row r="63783" spans="3:13" ht="12.75" customHeight="1" x14ac:dyDescent="0.2">
      <c r="C63783"/>
      <c r="M63783"/>
    </row>
    <row r="63784" spans="3:13" ht="12.75" customHeight="1" x14ac:dyDescent="0.2">
      <c r="C63784"/>
      <c r="M63784"/>
    </row>
    <row r="63785" spans="3:13" ht="12.75" customHeight="1" x14ac:dyDescent="0.2">
      <c r="C63785"/>
      <c r="M63785"/>
    </row>
    <row r="63786" spans="3:13" ht="12.75" customHeight="1" x14ac:dyDescent="0.2">
      <c r="C63786"/>
      <c r="M63786"/>
    </row>
    <row r="63787" spans="3:13" ht="12.75" customHeight="1" x14ac:dyDescent="0.2">
      <c r="C63787"/>
      <c r="M63787"/>
    </row>
    <row r="63788" spans="3:13" ht="12.75" customHeight="1" x14ac:dyDescent="0.2">
      <c r="C63788"/>
      <c r="M63788"/>
    </row>
    <row r="63789" spans="3:13" ht="12.75" customHeight="1" x14ac:dyDescent="0.2">
      <c r="C63789"/>
      <c r="M63789"/>
    </row>
    <row r="63790" spans="3:13" ht="12.75" customHeight="1" x14ac:dyDescent="0.2">
      <c r="C63790"/>
      <c r="M63790"/>
    </row>
    <row r="63791" spans="3:13" ht="12.75" customHeight="1" x14ac:dyDescent="0.2">
      <c r="C63791"/>
      <c r="M63791"/>
    </row>
    <row r="63792" spans="3:13" ht="12.75" customHeight="1" x14ac:dyDescent="0.2">
      <c r="C63792"/>
      <c r="M63792"/>
    </row>
    <row r="63793" spans="3:13" ht="12.75" customHeight="1" x14ac:dyDescent="0.2">
      <c r="C63793"/>
      <c r="M63793"/>
    </row>
    <row r="63794" spans="3:13" ht="12.75" customHeight="1" x14ac:dyDescent="0.2">
      <c r="C63794"/>
      <c r="M63794"/>
    </row>
    <row r="63795" spans="3:13" ht="12.75" customHeight="1" x14ac:dyDescent="0.2">
      <c r="C63795"/>
      <c r="M63795"/>
    </row>
    <row r="63796" spans="3:13" ht="12.75" customHeight="1" x14ac:dyDescent="0.2">
      <c r="C63796"/>
      <c r="M63796"/>
    </row>
    <row r="63797" spans="3:13" ht="12.75" customHeight="1" x14ac:dyDescent="0.2">
      <c r="C63797"/>
      <c r="M63797"/>
    </row>
    <row r="63798" spans="3:13" ht="12.75" customHeight="1" x14ac:dyDescent="0.2">
      <c r="C63798"/>
      <c r="M63798"/>
    </row>
    <row r="63799" spans="3:13" ht="12.75" customHeight="1" x14ac:dyDescent="0.2">
      <c r="C63799"/>
      <c r="M63799"/>
    </row>
    <row r="63800" spans="3:13" ht="12.75" customHeight="1" x14ac:dyDescent="0.2">
      <c r="C63800"/>
      <c r="M63800"/>
    </row>
    <row r="63801" spans="3:13" ht="12.75" customHeight="1" x14ac:dyDescent="0.2">
      <c r="C63801"/>
      <c r="M63801"/>
    </row>
    <row r="63802" spans="3:13" ht="12.75" customHeight="1" x14ac:dyDescent="0.2">
      <c r="C63802"/>
      <c r="M63802"/>
    </row>
    <row r="63803" spans="3:13" ht="12.75" customHeight="1" x14ac:dyDescent="0.2">
      <c r="C63803"/>
      <c r="M63803"/>
    </row>
    <row r="63804" spans="3:13" ht="12.75" customHeight="1" x14ac:dyDescent="0.2">
      <c r="C63804"/>
      <c r="M63804"/>
    </row>
    <row r="63805" spans="3:13" ht="12.75" customHeight="1" x14ac:dyDescent="0.2">
      <c r="C63805"/>
      <c r="M63805"/>
    </row>
    <row r="63806" spans="3:13" ht="12.75" customHeight="1" x14ac:dyDescent="0.2">
      <c r="C63806"/>
      <c r="M63806"/>
    </row>
    <row r="63807" spans="3:13" ht="12.75" customHeight="1" x14ac:dyDescent="0.2">
      <c r="C63807"/>
      <c r="M63807"/>
    </row>
    <row r="63808" spans="3:13" ht="12.75" customHeight="1" x14ac:dyDescent="0.2">
      <c r="C63808"/>
      <c r="M63808"/>
    </row>
    <row r="63809" spans="3:13" ht="12.75" customHeight="1" x14ac:dyDescent="0.2">
      <c r="C63809"/>
      <c r="M63809"/>
    </row>
    <row r="63810" spans="3:13" ht="12.75" customHeight="1" x14ac:dyDescent="0.2">
      <c r="C63810"/>
      <c r="M63810"/>
    </row>
    <row r="63811" spans="3:13" ht="12.75" customHeight="1" x14ac:dyDescent="0.2">
      <c r="C63811"/>
      <c r="M63811"/>
    </row>
    <row r="63812" spans="3:13" ht="12.75" customHeight="1" x14ac:dyDescent="0.2">
      <c r="C63812"/>
      <c r="M63812"/>
    </row>
    <row r="63813" spans="3:13" ht="12.75" customHeight="1" x14ac:dyDescent="0.2">
      <c r="C63813"/>
      <c r="M63813"/>
    </row>
    <row r="63814" spans="3:13" ht="12.75" customHeight="1" x14ac:dyDescent="0.2">
      <c r="C63814"/>
      <c r="M63814"/>
    </row>
    <row r="63815" spans="3:13" ht="12.75" customHeight="1" x14ac:dyDescent="0.2">
      <c r="C63815"/>
      <c r="M63815"/>
    </row>
    <row r="63816" spans="3:13" ht="12.75" customHeight="1" x14ac:dyDescent="0.2">
      <c r="C63816"/>
      <c r="M63816"/>
    </row>
    <row r="63817" spans="3:13" ht="12.75" customHeight="1" x14ac:dyDescent="0.2">
      <c r="C63817"/>
      <c r="M63817"/>
    </row>
    <row r="63818" spans="3:13" ht="12.75" customHeight="1" x14ac:dyDescent="0.2">
      <c r="C63818"/>
      <c r="M63818"/>
    </row>
    <row r="63819" spans="3:13" ht="12.75" customHeight="1" x14ac:dyDescent="0.2">
      <c r="C63819"/>
      <c r="M63819"/>
    </row>
    <row r="63820" spans="3:13" ht="12.75" customHeight="1" x14ac:dyDescent="0.2">
      <c r="C63820"/>
      <c r="M63820"/>
    </row>
    <row r="63821" spans="3:13" ht="12.75" customHeight="1" x14ac:dyDescent="0.2">
      <c r="C63821"/>
      <c r="M63821"/>
    </row>
    <row r="63822" spans="3:13" ht="12.75" customHeight="1" x14ac:dyDescent="0.2">
      <c r="C63822"/>
      <c r="M63822"/>
    </row>
    <row r="63823" spans="3:13" ht="12.75" customHeight="1" x14ac:dyDescent="0.2">
      <c r="C63823"/>
      <c r="M63823"/>
    </row>
    <row r="63824" spans="3:13" ht="12.75" customHeight="1" x14ac:dyDescent="0.2">
      <c r="C63824"/>
      <c r="M63824"/>
    </row>
    <row r="63825" spans="3:13" ht="12.75" customHeight="1" x14ac:dyDescent="0.2">
      <c r="C63825"/>
      <c r="M63825"/>
    </row>
    <row r="63826" spans="3:13" ht="12.75" customHeight="1" x14ac:dyDescent="0.2">
      <c r="C63826"/>
      <c r="M63826"/>
    </row>
    <row r="63827" spans="3:13" ht="12.75" customHeight="1" x14ac:dyDescent="0.2">
      <c r="C63827"/>
      <c r="M63827"/>
    </row>
    <row r="63828" spans="3:13" ht="12.75" customHeight="1" x14ac:dyDescent="0.2">
      <c r="C63828"/>
      <c r="M63828"/>
    </row>
    <row r="63829" spans="3:13" ht="12.75" customHeight="1" x14ac:dyDescent="0.2">
      <c r="C63829"/>
      <c r="M63829"/>
    </row>
    <row r="63830" spans="3:13" ht="12.75" customHeight="1" x14ac:dyDescent="0.2">
      <c r="C63830"/>
      <c r="M63830"/>
    </row>
    <row r="63831" spans="3:13" ht="12.75" customHeight="1" x14ac:dyDescent="0.2">
      <c r="C63831"/>
      <c r="M63831"/>
    </row>
    <row r="63832" spans="3:13" ht="12.75" customHeight="1" x14ac:dyDescent="0.2">
      <c r="C63832"/>
      <c r="M63832"/>
    </row>
    <row r="63833" spans="3:13" ht="12.75" customHeight="1" x14ac:dyDescent="0.2">
      <c r="C63833"/>
      <c r="M63833"/>
    </row>
    <row r="63834" spans="3:13" ht="12.75" customHeight="1" x14ac:dyDescent="0.2">
      <c r="C63834"/>
      <c r="M63834"/>
    </row>
    <row r="63835" spans="3:13" ht="12.75" customHeight="1" x14ac:dyDescent="0.2">
      <c r="C63835"/>
      <c r="M63835"/>
    </row>
    <row r="63836" spans="3:13" ht="12.75" customHeight="1" x14ac:dyDescent="0.2">
      <c r="C63836"/>
      <c r="M63836"/>
    </row>
    <row r="63837" spans="3:13" ht="12.75" customHeight="1" x14ac:dyDescent="0.2">
      <c r="C63837"/>
      <c r="M63837"/>
    </row>
    <row r="63838" spans="3:13" ht="12.75" customHeight="1" x14ac:dyDescent="0.2">
      <c r="C63838"/>
      <c r="M63838"/>
    </row>
    <row r="63839" spans="3:13" ht="12.75" customHeight="1" x14ac:dyDescent="0.2">
      <c r="C63839"/>
      <c r="M63839"/>
    </row>
    <row r="63840" spans="3:13" ht="12.75" customHeight="1" x14ac:dyDescent="0.2">
      <c r="C63840"/>
      <c r="M63840"/>
    </row>
    <row r="63841" spans="3:13" ht="12.75" customHeight="1" x14ac:dyDescent="0.2">
      <c r="C63841"/>
      <c r="M63841"/>
    </row>
    <row r="63842" spans="3:13" ht="12.75" customHeight="1" x14ac:dyDescent="0.2">
      <c r="C63842"/>
      <c r="M63842"/>
    </row>
    <row r="63843" spans="3:13" ht="12.75" customHeight="1" x14ac:dyDescent="0.2">
      <c r="C63843"/>
      <c r="M63843"/>
    </row>
    <row r="63844" spans="3:13" ht="12.75" customHeight="1" x14ac:dyDescent="0.2">
      <c r="C63844"/>
      <c r="M63844"/>
    </row>
    <row r="63845" spans="3:13" ht="12.75" customHeight="1" x14ac:dyDescent="0.2">
      <c r="C63845"/>
      <c r="M63845"/>
    </row>
    <row r="63846" spans="3:13" ht="12.75" customHeight="1" x14ac:dyDescent="0.2">
      <c r="C63846"/>
      <c r="M63846"/>
    </row>
    <row r="63847" spans="3:13" ht="12.75" customHeight="1" x14ac:dyDescent="0.2">
      <c r="C63847"/>
      <c r="M63847"/>
    </row>
    <row r="63848" spans="3:13" ht="12.75" customHeight="1" x14ac:dyDescent="0.2">
      <c r="C63848"/>
      <c r="M63848"/>
    </row>
    <row r="63849" spans="3:13" ht="12.75" customHeight="1" x14ac:dyDescent="0.2">
      <c r="C63849"/>
      <c r="M63849"/>
    </row>
    <row r="63850" spans="3:13" ht="12.75" customHeight="1" x14ac:dyDescent="0.2">
      <c r="C63850"/>
      <c r="M63850"/>
    </row>
    <row r="63851" spans="3:13" ht="12.75" customHeight="1" x14ac:dyDescent="0.2">
      <c r="C63851"/>
      <c r="M63851"/>
    </row>
    <row r="63852" spans="3:13" ht="12.75" customHeight="1" x14ac:dyDescent="0.2">
      <c r="C63852"/>
      <c r="M63852"/>
    </row>
    <row r="63853" spans="3:13" ht="12.75" customHeight="1" x14ac:dyDescent="0.2">
      <c r="C63853"/>
      <c r="M63853"/>
    </row>
    <row r="63854" spans="3:13" ht="12.75" customHeight="1" x14ac:dyDescent="0.2">
      <c r="C63854"/>
      <c r="M63854"/>
    </row>
    <row r="63855" spans="3:13" ht="12.75" customHeight="1" x14ac:dyDescent="0.2">
      <c r="C63855"/>
      <c r="M63855"/>
    </row>
    <row r="63856" spans="3:13" ht="12.75" customHeight="1" x14ac:dyDescent="0.2">
      <c r="C63856"/>
      <c r="M63856"/>
    </row>
    <row r="63857" spans="3:13" ht="12.75" customHeight="1" x14ac:dyDescent="0.2">
      <c r="C63857"/>
      <c r="M63857"/>
    </row>
    <row r="63858" spans="3:13" ht="12.75" customHeight="1" x14ac:dyDescent="0.2">
      <c r="C63858"/>
      <c r="M63858"/>
    </row>
    <row r="63859" spans="3:13" ht="12.75" customHeight="1" x14ac:dyDescent="0.2">
      <c r="C63859"/>
      <c r="M63859"/>
    </row>
    <row r="63860" spans="3:13" ht="12.75" customHeight="1" x14ac:dyDescent="0.2">
      <c r="C63860"/>
      <c r="M63860"/>
    </row>
    <row r="63861" spans="3:13" ht="12.75" customHeight="1" x14ac:dyDescent="0.2">
      <c r="C63861"/>
      <c r="M63861"/>
    </row>
    <row r="63862" spans="3:13" ht="12.75" customHeight="1" x14ac:dyDescent="0.2">
      <c r="C63862"/>
      <c r="M63862"/>
    </row>
    <row r="63863" spans="3:13" ht="12.75" customHeight="1" x14ac:dyDescent="0.2">
      <c r="C63863"/>
      <c r="M63863"/>
    </row>
    <row r="63864" spans="3:13" ht="12.75" customHeight="1" x14ac:dyDescent="0.2">
      <c r="C63864"/>
      <c r="M63864"/>
    </row>
    <row r="63865" spans="3:13" ht="12.75" customHeight="1" x14ac:dyDescent="0.2">
      <c r="C63865"/>
      <c r="M63865"/>
    </row>
    <row r="63866" spans="3:13" ht="12.75" customHeight="1" x14ac:dyDescent="0.2">
      <c r="C63866"/>
      <c r="M63866"/>
    </row>
    <row r="63867" spans="3:13" ht="12.75" customHeight="1" x14ac:dyDescent="0.2">
      <c r="C63867"/>
      <c r="M63867"/>
    </row>
    <row r="63868" spans="3:13" ht="12.75" customHeight="1" x14ac:dyDescent="0.2">
      <c r="C63868"/>
      <c r="M63868"/>
    </row>
    <row r="63869" spans="3:13" ht="12.75" customHeight="1" x14ac:dyDescent="0.2">
      <c r="C63869"/>
      <c r="M63869"/>
    </row>
    <row r="63870" spans="3:13" ht="12.75" customHeight="1" x14ac:dyDescent="0.2">
      <c r="C63870"/>
      <c r="M63870"/>
    </row>
    <row r="63871" spans="3:13" ht="12.75" customHeight="1" x14ac:dyDescent="0.2">
      <c r="C63871"/>
      <c r="M63871"/>
    </row>
    <row r="63872" spans="3:13" ht="12.75" customHeight="1" x14ac:dyDescent="0.2">
      <c r="C63872"/>
      <c r="M63872"/>
    </row>
    <row r="63873" spans="3:13" ht="12.75" customHeight="1" x14ac:dyDescent="0.2">
      <c r="C63873"/>
      <c r="M63873"/>
    </row>
    <row r="63874" spans="3:13" ht="12.75" customHeight="1" x14ac:dyDescent="0.2">
      <c r="C63874"/>
      <c r="M63874"/>
    </row>
    <row r="63875" spans="3:13" ht="12.75" customHeight="1" x14ac:dyDescent="0.2">
      <c r="C63875"/>
      <c r="M63875"/>
    </row>
    <row r="63876" spans="3:13" ht="12.75" customHeight="1" x14ac:dyDescent="0.2">
      <c r="C63876"/>
      <c r="M63876"/>
    </row>
    <row r="63877" spans="3:13" ht="12.75" customHeight="1" x14ac:dyDescent="0.2">
      <c r="C63877"/>
      <c r="M63877"/>
    </row>
    <row r="63878" spans="3:13" ht="12.75" customHeight="1" x14ac:dyDescent="0.2">
      <c r="C63878"/>
      <c r="M63878"/>
    </row>
    <row r="63879" spans="3:13" ht="12.75" customHeight="1" x14ac:dyDescent="0.2">
      <c r="C63879"/>
      <c r="M63879"/>
    </row>
    <row r="63880" spans="3:13" ht="12.75" customHeight="1" x14ac:dyDescent="0.2">
      <c r="C63880"/>
      <c r="M63880"/>
    </row>
    <row r="63881" spans="3:13" ht="12.75" customHeight="1" x14ac:dyDescent="0.2">
      <c r="C63881"/>
      <c r="M63881"/>
    </row>
    <row r="63882" spans="3:13" ht="12.75" customHeight="1" x14ac:dyDescent="0.2">
      <c r="C63882"/>
      <c r="M63882"/>
    </row>
    <row r="63883" spans="3:13" ht="12.75" customHeight="1" x14ac:dyDescent="0.2">
      <c r="C63883"/>
      <c r="M63883"/>
    </row>
    <row r="63884" spans="3:13" ht="12.75" customHeight="1" x14ac:dyDescent="0.2">
      <c r="C63884"/>
      <c r="M63884"/>
    </row>
    <row r="63885" spans="3:13" ht="12.75" customHeight="1" x14ac:dyDescent="0.2">
      <c r="C63885"/>
      <c r="M63885"/>
    </row>
    <row r="63886" spans="3:13" ht="12.75" customHeight="1" x14ac:dyDescent="0.2">
      <c r="C63886"/>
      <c r="M63886"/>
    </row>
    <row r="63887" spans="3:13" ht="12.75" customHeight="1" x14ac:dyDescent="0.2">
      <c r="C63887"/>
      <c r="M63887"/>
    </row>
    <row r="63888" spans="3:13" ht="12.75" customHeight="1" x14ac:dyDescent="0.2">
      <c r="C63888"/>
      <c r="M63888"/>
    </row>
    <row r="63889" spans="3:13" ht="12.75" customHeight="1" x14ac:dyDescent="0.2">
      <c r="C63889"/>
      <c r="M63889"/>
    </row>
    <row r="63890" spans="3:13" ht="12.75" customHeight="1" x14ac:dyDescent="0.2">
      <c r="C63890"/>
      <c r="M63890"/>
    </row>
    <row r="63891" spans="3:13" ht="12.75" customHeight="1" x14ac:dyDescent="0.2">
      <c r="C63891"/>
      <c r="M63891"/>
    </row>
    <row r="63892" spans="3:13" ht="12.75" customHeight="1" x14ac:dyDescent="0.2">
      <c r="C63892"/>
      <c r="M63892"/>
    </row>
    <row r="63893" spans="3:13" ht="12.75" customHeight="1" x14ac:dyDescent="0.2">
      <c r="C63893"/>
      <c r="M63893"/>
    </row>
    <row r="63894" spans="3:13" ht="12.75" customHeight="1" x14ac:dyDescent="0.2">
      <c r="C63894"/>
      <c r="M63894"/>
    </row>
    <row r="63895" spans="3:13" ht="12.75" customHeight="1" x14ac:dyDescent="0.2">
      <c r="C63895"/>
      <c r="M63895"/>
    </row>
    <row r="63896" spans="3:13" ht="12.75" customHeight="1" x14ac:dyDescent="0.2">
      <c r="C63896"/>
      <c r="M63896"/>
    </row>
    <row r="63897" spans="3:13" ht="12.75" customHeight="1" x14ac:dyDescent="0.2">
      <c r="C63897"/>
      <c r="M63897"/>
    </row>
    <row r="63898" spans="3:13" ht="12.75" customHeight="1" x14ac:dyDescent="0.2">
      <c r="C63898"/>
      <c r="M63898"/>
    </row>
    <row r="63899" spans="3:13" ht="12.75" customHeight="1" x14ac:dyDescent="0.2">
      <c r="C63899"/>
      <c r="M63899"/>
    </row>
    <row r="63900" spans="3:13" ht="12.75" customHeight="1" x14ac:dyDescent="0.2">
      <c r="C63900"/>
      <c r="M63900"/>
    </row>
    <row r="63901" spans="3:13" ht="12.75" customHeight="1" x14ac:dyDescent="0.2">
      <c r="C63901"/>
      <c r="M63901"/>
    </row>
    <row r="63902" spans="3:13" ht="12.75" customHeight="1" x14ac:dyDescent="0.2">
      <c r="C63902"/>
      <c r="M63902"/>
    </row>
    <row r="63903" spans="3:13" ht="12.75" customHeight="1" x14ac:dyDescent="0.2">
      <c r="C63903"/>
      <c r="M63903"/>
    </row>
    <row r="63904" spans="3:13" ht="12.75" customHeight="1" x14ac:dyDescent="0.2">
      <c r="C63904"/>
      <c r="M63904"/>
    </row>
    <row r="63905" spans="3:13" ht="12.75" customHeight="1" x14ac:dyDescent="0.2">
      <c r="C63905"/>
      <c r="M63905"/>
    </row>
    <row r="63906" spans="3:13" ht="12.75" customHeight="1" x14ac:dyDescent="0.2">
      <c r="C63906"/>
      <c r="M63906"/>
    </row>
    <row r="63907" spans="3:13" ht="12.75" customHeight="1" x14ac:dyDescent="0.2">
      <c r="C63907"/>
      <c r="M63907"/>
    </row>
    <row r="63908" spans="3:13" ht="12.75" customHeight="1" x14ac:dyDescent="0.2">
      <c r="C63908"/>
      <c r="M63908"/>
    </row>
    <row r="63909" spans="3:13" ht="12.75" customHeight="1" x14ac:dyDescent="0.2">
      <c r="C63909"/>
      <c r="M63909"/>
    </row>
    <row r="63910" spans="3:13" ht="12.75" customHeight="1" x14ac:dyDescent="0.2">
      <c r="C63910"/>
      <c r="M63910"/>
    </row>
    <row r="63911" spans="3:13" ht="12.75" customHeight="1" x14ac:dyDescent="0.2">
      <c r="C63911"/>
      <c r="M63911"/>
    </row>
    <row r="63912" spans="3:13" ht="12.75" customHeight="1" x14ac:dyDescent="0.2">
      <c r="C63912"/>
      <c r="M63912"/>
    </row>
    <row r="63913" spans="3:13" ht="12.75" customHeight="1" x14ac:dyDescent="0.2">
      <c r="C63913"/>
      <c r="M63913"/>
    </row>
    <row r="63914" spans="3:13" ht="12.75" customHeight="1" x14ac:dyDescent="0.2">
      <c r="C63914"/>
      <c r="M63914"/>
    </row>
    <row r="63915" spans="3:13" ht="12.75" customHeight="1" x14ac:dyDescent="0.2">
      <c r="C63915"/>
      <c r="M63915"/>
    </row>
    <row r="63916" spans="3:13" ht="12.75" customHeight="1" x14ac:dyDescent="0.2">
      <c r="C63916"/>
      <c r="M63916"/>
    </row>
    <row r="63917" spans="3:13" ht="12.75" customHeight="1" x14ac:dyDescent="0.2">
      <c r="C63917"/>
      <c r="M63917"/>
    </row>
    <row r="63918" spans="3:13" ht="12.75" customHeight="1" x14ac:dyDescent="0.2">
      <c r="C63918"/>
      <c r="M63918"/>
    </row>
    <row r="63919" spans="3:13" ht="12.75" customHeight="1" x14ac:dyDescent="0.2">
      <c r="C63919"/>
      <c r="M63919"/>
    </row>
    <row r="63920" spans="3:13" ht="12.75" customHeight="1" x14ac:dyDescent="0.2">
      <c r="C63920"/>
      <c r="M63920"/>
    </row>
    <row r="63921" spans="3:13" ht="12.75" customHeight="1" x14ac:dyDescent="0.2">
      <c r="C63921"/>
      <c r="M63921"/>
    </row>
    <row r="63922" spans="3:13" ht="12.75" customHeight="1" x14ac:dyDescent="0.2">
      <c r="C63922"/>
      <c r="M63922"/>
    </row>
    <row r="63923" spans="3:13" ht="12.75" customHeight="1" x14ac:dyDescent="0.2">
      <c r="C63923"/>
      <c r="M63923"/>
    </row>
    <row r="63924" spans="3:13" ht="12.75" customHeight="1" x14ac:dyDescent="0.2">
      <c r="C63924"/>
      <c r="M63924"/>
    </row>
    <row r="63925" spans="3:13" ht="12.75" customHeight="1" x14ac:dyDescent="0.2">
      <c r="C63925"/>
      <c r="M63925"/>
    </row>
    <row r="63926" spans="3:13" ht="12.75" customHeight="1" x14ac:dyDescent="0.2">
      <c r="C63926"/>
      <c r="M63926"/>
    </row>
    <row r="63927" spans="3:13" ht="12.75" customHeight="1" x14ac:dyDescent="0.2">
      <c r="C63927"/>
      <c r="M63927"/>
    </row>
    <row r="63928" spans="3:13" ht="12.75" customHeight="1" x14ac:dyDescent="0.2">
      <c r="C63928"/>
      <c r="M63928"/>
    </row>
    <row r="63929" spans="3:13" ht="12.75" customHeight="1" x14ac:dyDescent="0.2">
      <c r="C63929"/>
      <c r="M63929"/>
    </row>
    <row r="63930" spans="3:13" ht="12.75" customHeight="1" x14ac:dyDescent="0.2">
      <c r="C63930"/>
      <c r="M63930"/>
    </row>
    <row r="63931" spans="3:13" ht="12.75" customHeight="1" x14ac:dyDescent="0.2">
      <c r="C63931"/>
      <c r="M63931"/>
    </row>
    <row r="63932" spans="3:13" ht="12.75" customHeight="1" x14ac:dyDescent="0.2">
      <c r="C63932"/>
      <c r="M63932"/>
    </row>
    <row r="63933" spans="3:13" ht="12.75" customHeight="1" x14ac:dyDescent="0.2">
      <c r="C63933"/>
      <c r="M63933"/>
    </row>
    <row r="63934" spans="3:13" ht="12.75" customHeight="1" x14ac:dyDescent="0.2">
      <c r="C63934"/>
      <c r="M63934"/>
    </row>
    <row r="63935" spans="3:13" ht="12.75" customHeight="1" x14ac:dyDescent="0.2">
      <c r="C63935"/>
      <c r="M63935"/>
    </row>
    <row r="63936" spans="3:13" ht="12.75" customHeight="1" x14ac:dyDescent="0.2">
      <c r="C63936"/>
      <c r="M63936"/>
    </row>
    <row r="63937" spans="3:13" ht="12.75" customHeight="1" x14ac:dyDescent="0.2">
      <c r="C63937"/>
      <c r="M63937"/>
    </row>
    <row r="63938" spans="3:13" ht="12.75" customHeight="1" x14ac:dyDescent="0.2">
      <c r="C63938"/>
      <c r="M63938"/>
    </row>
    <row r="63939" spans="3:13" ht="12.75" customHeight="1" x14ac:dyDescent="0.2">
      <c r="C63939"/>
      <c r="M63939"/>
    </row>
    <row r="63940" spans="3:13" ht="12.75" customHeight="1" x14ac:dyDescent="0.2">
      <c r="C63940"/>
      <c r="M63940"/>
    </row>
    <row r="63941" spans="3:13" ht="12.75" customHeight="1" x14ac:dyDescent="0.2">
      <c r="C63941"/>
      <c r="M63941"/>
    </row>
    <row r="63942" spans="3:13" ht="12.75" customHeight="1" x14ac:dyDescent="0.2">
      <c r="C63942"/>
      <c r="M63942"/>
    </row>
    <row r="63943" spans="3:13" ht="12.75" customHeight="1" x14ac:dyDescent="0.2">
      <c r="C63943"/>
      <c r="M63943"/>
    </row>
    <row r="63944" spans="3:13" ht="12.75" customHeight="1" x14ac:dyDescent="0.2">
      <c r="C63944"/>
      <c r="M63944"/>
    </row>
    <row r="63945" spans="3:13" ht="12.75" customHeight="1" x14ac:dyDescent="0.2">
      <c r="C63945"/>
      <c r="M63945"/>
    </row>
    <row r="63946" spans="3:13" ht="12.75" customHeight="1" x14ac:dyDescent="0.2">
      <c r="C63946"/>
      <c r="M63946"/>
    </row>
    <row r="63947" spans="3:13" ht="12.75" customHeight="1" x14ac:dyDescent="0.2">
      <c r="C63947"/>
      <c r="M63947"/>
    </row>
    <row r="63948" spans="3:13" ht="12.75" customHeight="1" x14ac:dyDescent="0.2">
      <c r="C63948"/>
      <c r="M63948"/>
    </row>
    <row r="63949" spans="3:13" ht="12.75" customHeight="1" x14ac:dyDescent="0.2">
      <c r="C63949"/>
      <c r="M63949"/>
    </row>
    <row r="63950" spans="3:13" ht="12.75" customHeight="1" x14ac:dyDescent="0.2">
      <c r="C63950"/>
      <c r="M63950"/>
    </row>
    <row r="63951" spans="3:13" ht="12.75" customHeight="1" x14ac:dyDescent="0.2">
      <c r="C63951"/>
      <c r="M63951"/>
    </row>
    <row r="63952" spans="3:13" ht="12.75" customHeight="1" x14ac:dyDescent="0.2">
      <c r="C63952"/>
      <c r="M63952"/>
    </row>
    <row r="63953" spans="3:13" ht="12.75" customHeight="1" x14ac:dyDescent="0.2">
      <c r="C63953"/>
      <c r="M63953"/>
    </row>
    <row r="63954" spans="3:13" ht="12.75" customHeight="1" x14ac:dyDescent="0.2">
      <c r="C63954"/>
      <c r="M63954"/>
    </row>
    <row r="63955" spans="3:13" ht="12.75" customHeight="1" x14ac:dyDescent="0.2">
      <c r="C63955"/>
      <c r="M63955"/>
    </row>
    <row r="63956" spans="3:13" ht="12.75" customHeight="1" x14ac:dyDescent="0.2">
      <c r="C63956"/>
      <c r="M63956"/>
    </row>
    <row r="63957" spans="3:13" ht="12.75" customHeight="1" x14ac:dyDescent="0.2">
      <c r="C63957"/>
      <c r="M63957"/>
    </row>
    <row r="63958" spans="3:13" ht="12.75" customHeight="1" x14ac:dyDescent="0.2">
      <c r="C63958"/>
      <c r="M63958"/>
    </row>
    <row r="63959" spans="3:13" ht="12.75" customHeight="1" x14ac:dyDescent="0.2">
      <c r="C63959"/>
      <c r="M63959"/>
    </row>
    <row r="63960" spans="3:13" ht="12.75" customHeight="1" x14ac:dyDescent="0.2">
      <c r="C63960"/>
      <c r="M63960"/>
    </row>
    <row r="63961" spans="3:13" ht="12.75" customHeight="1" x14ac:dyDescent="0.2">
      <c r="C63961"/>
      <c r="M63961"/>
    </row>
    <row r="63962" spans="3:13" ht="12.75" customHeight="1" x14ac:dyDescent="0.2">
      <c r="C63962"/>
      <c r="M63962"/>
    </row>
    <row r="63963" spans="3:13" ht="12.75" customHeight="1" x14ac:dyDescent="0.2">
      <c r="C63963"/>
      <c r="M63963"/>
    </row>
    <row r="63964" spans="3:13" ht="12.75" customHeight="1" x14ac:dyDescent="0.2">
      <c r="C63964"/>
      <c r="M63964"/>
    </row>
    <row r="63965" spans="3:13" ht="12.75" customHeight="1" x14ac:dyDescent="0.2">
      <c r="C63965"/>
      <c r="M63965"/>
    </row>
    <row r="63966" spans="3:13" ht="12.75" customHeight="1" x14ac:dyDescent="0.2">
      <c r="C63966"/>
      <c r="M63966"/>
    </row>
    <row r="63967" spans="3:13" ht="12.75" customHeight="1" x14ac:dyDescent="0.2">
      <c r="C63967"/>
      <c r="M63967"/>
    </row>
    <row r="63968" spans="3:13" ht="12.75" customHeight="1" x14ac:dyDescent="0.2">
      <c r="C63968"/>
      <c r="M63968"/>
    </row>
    <row r="63969" spans="3:13" ht="12.75" customHeight="1" x14ac:dyDescent="0.2">
      <c r="C63969"/>
      <c r="M63969"/>
    </row>
    <row r="63970" spans="3:13" ht="12.75" customHeight="1" x14ac:dyDescent="0.2">
      <c r="C63970"/>
      <c r="M63970"/>
    </row>
    <row r="63971" spans="3:13" ht="12.75" customHeight="1" x14ac:dyDescent="0.2">
      <c r="C63971"/>
      <c r="M63971"/>
    </row>
    <row r="63972" spans="3:13" ht="12.75" customHeight="1" x14ac:dyDescent="0.2">
      <c r="C63972"/>
      <c r="M63972"/>
    </row>
    <row r="63973" spans="3:13" ht="12.75" customHeight="1" x14ac:dyDescent="0.2">
      <c r="C63973"/>
      <c r="M63973"/>
    </row>
    <row r="63974" spans="3:13" ht="12.75" customHeight="1" x14ac:dyDescent="0.2">
      <c r="C63974"/>
      <c r="M63974"/>
    </row>
    <row r="63975" spans="3:13" ht="12.75" customHeight="1" x14ac:dyDescent="0.2">
      <c r="C63975"/>
      <c r="M63975"/>
    </row>
    <row r="63976" spans="3:13" ht="12.75" customHeight="1" x14ac:dyDescent="0.2">
      <c r="C63976"/>
      <c r="M63976"/>
    </row>
    <row r="63977" spans="3:13" ht="12.75" customHeight="1" x14ac:dyDescent="0.2">
      <c r="C63977"/>
      <c r="M63977"/>
    </row>
    <row r="63978" spans="3:13" ht="12.75" customHeight="1" x14ac:dyDescent="0.2">
      <c r="C63978"/>
      <c r="M63978"/>
    </row>
    <row r="63979" spans="3:13" ht="12.75" customHeight="1" x14ac:dyDescent="0.2">
      <c r="C63979"/>
      <c r="M63979"/>
    </row>
    <row r="63980" spans="3:13" ht="12.75" customHeight="1" x14ac:dyDescent="0.2">
      <c r="C63980"/>
      <c r="M63980"/>
    </row>
    <row r="63981" spans="3:13" ht="12.75" customHeight="1" x14ac:dyDescent="0.2">
      <c r="C63981"/>
      <c r="M63981"/>
    </row>
    <row r="63982" spans="3:13" ht="12.75" customHeight="1" x14ac:dyDescent="0.2">
      <c r="C63982"/>
      <c r="M63982"/>
    </row>
    <row r="63983" spans="3:13" ht="12.75" customHeight="1" x14ac:dyDescent="0.2">
      <c r="C63983"/>
      <c r="M63983"/>
    </row>
    <row r="63984" spans="3:13" ht="12.75" customHeight="1" x14ac:dyDescent="0.2">
      <c r="C63984"/>
      <c r="M63984"/>
    </row>
    <row r="63985" spans="3:13" ht="12.75" customHeight="1" x14ac:dyDescent="0.2">
      <c r="C63985"/>
      <c r="M63985"/>
    </row>
    <row r="63986" spans="3:13" ht="12.75" customHeight="1" x14ac:dyDescent="0.2">
      <c r="C63986"/>
      <c r="M63986"/>
    </row>
    <row r="63987" spans="3:13" ht="12.75" customHeight="1" x14ac:dyDescent="0.2">
      <c r="C63987"/>
      <c r="M63987"/>
    </row>
    <row r="63988" spans="3:13" ht="12.75" customHeight="1" x14ac:dyDescent="0.2">
      <c r="C63988"/>
      <c r="M63988"/>
    </row>
    <row r="63989" spans="3:13" ht="12.75" customHeight="1" x14ac:dyDescent="0.2">
      <c r="C63989"/>
      <c r="M63989"/>
    </row>
    <row r="63990" spans="3:13" ht="12.75" customHeight="1" x14ac:dyDescent="0.2">
      <c r="C63990"/>
      <c r="M63990"/>
    </row>
    <row r="63991" spans="3:13" ht="12.75" customHeight="1" x14ac:dyDescent="0.2">
      <c r="C63991"/>
      <c r="M63991"/>
    </row>
    <row r="63992" spans="3:13" ht="12.75" customHeight="1" x14ac:dyDescent="0.2">
      <c r="C63992"/>
      <c r="M63992"/>
    </row>
    <row r="63993" spans="3:13" ht="12.75" customHeight="1" x14ac:dyDescent="0.2">
      <c r="C63993"/>
      <c r="M63993"/>
    </row>
    <row r="63994" spans="3:13" ht="12.75" customHeight="1" x14ac:dyDescent="0.2">
      <c r="C63994"/>
      <c r="M63994"/>
    </row>
    <row r="63995" spans="3:13" ht="12.75" customHeight="1" x14ac:dyDescent="0.2">
      <c r="C63995"/>
      <c r="M63995"/>
    </row>
    <row r="63996" spans="3:13" ht="12.75" customHeight="1" x14ac:dyDescent="0.2">
      <c r="C63996"/>
      <c r="M63996"/>
    </row>
    <row r="63997" spans="3:13" ht="12.75" customHeight="1" x14ac:dyDescent="0.2">
      <c r="C63997"/>
      <c r="M63997"/>
    </row>
    <row r="63998" spans="3:13" ht="12.75" customHeight="1" x14ac:dyDescent="0.2">
      <c r="C63998"/>
      <c r="M63998"/>
    </row>
    <row r="63999" spans="3:13" ht="12.75" customHeight="1" x14ac:dyDescent="0.2">
      <c r="C63999"/>
      <c r="M63999"/>
    </row>
    <row r="64000" spans="3:13" ht="12.75" customHeight="1" x14ac:dyDescent="0.2">
      <c r="C64000"/>
      <c r="M64000"/>
    </row>
    <row r="64001" spans="3:13" ht="12.75" customHeight="1" x14ac:dyDescent="0.2">
      <c r="C64001"/>
      <c r="M64001"/>
    </row>
    <row r="64002" spans="3:13" ht="12.75" customHeight="1" x14ac:dyDescent="0.2">
      <c r="C64002"/>
      <c r="M64002"/>
    </row>
    <row r="64003" spans="3:13" ht="12.75" customHeight="1" x14ac:dyDescent="0.2">
      <c r="C64003"/>
      <c r="M64003"/>
    </row>
    <row r="64004" spans="3:13" ht="12.75" customHeight="1" x14ac:dyDescent="0.2">
      <c r="C64004"/>
      <c r="M64004"/>
    </row>
    <row r="64005" spans="3:13" ht="12.75" customHeight="1" x14ac:dyDescent="0.2">
      <c r="C64005"/>
      <c r="M64005"/>
    </row>
    <row r="64006" spans="3:13" ht="12.75" customHeight="1" x14ac:dyDescent="0.2">
      <c r="C64006"/>
      <c r="M64006"/>
    </row>
    <row r="64007" spans="3:13" ht="12.75" customHeight="1" x14ac:dyDescent="0.2">
      <c r="C64007"/>
      <c r="M64007"/>
    </row>
    <row r="64008" spans="3:13" ht="12.75" customHeight="1" x14ac:dyDescent="0.2">
      <c r="C64008"/>
      <c r="M64008"/>
    </row>
    <row r="64009" spans="3:13" ht="12.75" customHeight="1" x14ac:dyDescent="0.2">
      <c r="C64009"/>
      <c r="M64009"/>
    </row>
    <row r="64010" spans="3:13" ht="12.75" customHeight="1" x14ac:dyDescent="0.2">
      <c r="C64010"/>
      <c r="M64010"/>
    </row>
    <row r="64011" spans="3:13" ht="12.75" customHeight="1" x14ac:dyDescent="0.2">
      <c r="C64011"/>
      <c r="M64011"/>
    </row>
    <row r="64012" spans="3:13" ht="12.75" customHeight="1" x14ac:dyDescent="0.2">
      <c r="C64012"/>
      <c r="M64012"/>
    </row>
    <row r="64013" spans="3:13" ht="12.75" customHeight="1" x14ac:dyDescent="0.2">
      <c r="C64013"/>
      <c r="M64013"/>
    </row>
    <row r="64014" spans="3:13" ht="12.75" customHeight="1" x14ac:dyDescent="0.2">
      <c r="C64014"/>
      <c r="M64014"/>
    </row>
    <row r="64015" spans="3:13" ht="12.75" customHeight="1" x14ac:dyDescent="0.2">
      <c r="C64015"/>
      <c r="M64015"/>
    </row>
    <row r="64016" spans="3:13" ht="12.75" customHeight="1" x14ac:dyDescent="0.2">
      <c r="C64016"/>
      <c r="M64016"/>
    </row>
    <row r="64017" spans="3:13" ht="12.75" customHeight="1" x14ac:dyDescent="0.2">
      <c r="C64017"/>
      <c r="M64017"/>
    </row>
    <row r="64018" spans="3:13" ht="12.75" customHeight="1" x14ac:dyDescent="0.2">
      <c r="C64018"/>
      <c r="M64018"/>
    </row>
    <row r="64019" spans="3:13" ht="12.75" customHeight="1" x14ac:dyDescent="0.2">
      <c r="C64019"/>
      <c r="M64019"/>
    </row>
    <row r="64020" spans="3:13" ht="12.75" customHeight="1" x14ac:dyDescent="0.2">
      <c r="C64020"/>
      <c r="M64020"/>
    </row>
    <row r="64021" spans="3:13" ht="12.75" customHeight="1" x14ac:dyDescent="0.2">
      <c r="C64021"/>
      <c r="M64021"/>
    </row>
    <row r="64022" spans="3:13" ht="12.75" customHeight="1" x14ac:dyDescent="0.2">
      <c r="C64022"/>
      <c r="M64022"/>
    </row>
    <row r="64023" spans="3:13" ht="12.75" customHeight="1" x14ac:dyDescent="0.2">
      <c r="C64023"/>
      <c r="M64023"/>
    </row>
    <row r="64024" spans="3:13" ht="12.75" customHeight="1" x14ac:dyDescent="0.2">
      <c r="C64024"/>
      <c r="M64024"/>
    </row>
    <row r="64025" spans="3:13" ht="12.75" customHeight="1" x14ac:dyDescent="0.2">
      <c r="C64025"/>
      <c r="M64025"/>
    </row>
    <row r="64026" spans="3:13" ht="12.75" customHeight="1" x14ac:dyDescent="0.2">
      <c r="C64026"/>
      <c r="M64026"/>
    </row>
    <row r="64027" spans="3:13" ht="12.75" customHeight="1" x14ac:dyDescent="0.2">
      <c r="C64027"/>
      <c r="M64027"/>
    </row>
    <row r="64028" spans="3:13" ht="12.75" customHeight="1" x14ac:dyDescent="0.2">
      <c r="C64028"/>
      <c r="M64028"/>
    </row>
    <row r="64029" spans="3:13" ht="12.75" customHeight="1" x14ac:dyDescent="0.2">
      <c r="C64029"/>
      <c r="M64029"/>
    </row>
    <row r="64030" spans="3:13" ht="12.75" customHeight="1" x14ac:dyDescent="0.2">
      <c r="C64030"/>
      <c r="M64030"/>
    </row>
    <row r="64031" spans="3:13" ht="12.75" customHeight="1" x14ac:dyDescent="0.2">
      <c r="C64031"/>
      <c r="M64031"/>
    </row>
    <row r="64032" spans="3:13" ht="12.75" customHeight="1" x14ac:dyDescent="0.2">
      <c r="C64032"/>
      <c r="M64032"/>
    </row>
    <row r="64033" spans="3:13" ht="12.75" customHeight="1" x14ac:dyDescent="0.2">
      <c r="C64033"/>
      <c r="M64033"/>
    </row>
    <row r="64034" spans="3:13" ht="12.75" customHeight="1" x14ac:dyDescent="0.2">
      <c r="C64034"/>
      <c r="M64034"/>
    </row>
    <row r="64035" spans="3:13" ht="12.75" customHeight="1" x14ac:dyDescent="0.2">
      <c r="C64035"/>
      <c r="M64035"/>
    </row>
    <row r="64036" spans="3:13" ht="12.75" customHeight="1" x14ac:dyDescent="0.2">
      <c r="C64036"/>
      <c r="M64036"/>
    </row>
    <row r="64037" spans="3:13" ht="12.75" customHeight="1" x14ac:dyDescent="0.2">
      <c r="C64037"/>
      <c r="M64037"/>
    </row>
    <row r="64038" spans="3:13" ht="12.75" customHeight="1" x14ac:dyDescent="0.2">
      <c r="C64038"/>
      <c r="M64038"/>
    </row>
    <row r="64039" spans="3:13" ht="12.75" customHeight="1" x14ac:dyDescent="0.2">
      <c r="C64039"/>
      <c r="M64039"/>
    </row>
    <row r="64040" spans="3:13" ht="12.75" customHeight="1" x14ac:dyDescent="0.2">
      <c r="C64040"/>
      <c r="M64040"/>
    </row>
    <row r="64041" spans="3:13" ht="12.75" customHeight="1" x14ac:dyDescent="0.2">
      <c r="C64041"/>
      <c r="M64041"/>
    </row>
    <row r="64042" spans="3:13" ht="12.75" customHeight="1" x14ac:dyDescent="0.2">
      <c r="C64042"/>
      <c r="M64042"/>
    </row>
    <row r="64043" spans="3:13" ht="12.75" customHeight="1" x14ac:dyDescent="0.2">
      <c r="C64043"/>
      <c r="M64043"/>
    </row>
    <row r="64044" spans="3:13" ht="12.75" customHeight="1" x14ac:dyDescent="0.2">
      <c r="C64044"/>
      <c r="M64044"/>
    </row>
    <row r="64045" spans="3:13" ht="12.75" customHeight="1" x14ac:dyDescent="0.2">
      <c r="C64045"/>
      <c r="M64045"/>
    </row>
    <row r="64046" spans="3:13" ht="12.75" customHeight="1" x14ac:dyDescent="0.2">
      <c r="C64046"/>
      <c r="M64046"/>
    </row>
    <row r="64047" spans="3:13" ht="12.75" customHeight="1" x14ac:dyDescent="0.2">
      <c r="C64047"/>
      <c r="M64047"/>
    </row>
    <row r="64048" spans="3:13" ht="12.75" customHeight="1" x14ac:dyDescent="0.2">
      <c r="C64048"/>
      <c r="M64048"/>
    </row>
    <row r="64049" spans="3:13" ht="12.75" customHeight="1" x14ac:dyDescent="0.2">
      <c r="C64049"/>
      <c r="M64049"/>
    </row>
    <row r="64050" spans="3:13" ht="12.75" customHeight="1" x14ac:dyDescent="0.2">
      <c r="C64050"/>
      <c r="M64050"/>
    </row>
    <row r="64051" spans="3:13" ht="12.75" customHeight="1" x14ac:dyDescent="0.2">
      <c r="C64051"/>
      <c r="M64051"/>
    </row>
    <row r="64052" spans="3:13" ht="12.75" customHeight="1" x14ac:dyDescent="0.2">
      <c r="C64052"/>
      <c r="M64052"/>
    </row>
    <row r="64053" spans="3:13" ht="12.75" customHeight="1" x14ac:dyDescent="0.2">
      <c r="C64053"/>
      <c r="M64053"/>
    </row>
    <row r="64054" spans="3:13" ht="12.75" customHeight="1" x14ac:dyDescent="0.2">
      <c r="C64054"/>
      <c r="M64054"/>
    </row>
    <row r="64055" spans="3:13" ht="12.75" customHeight="1" x14ac:dyDescent="0.2">
      <c r="C64055"/>
      <c r="M64055"/>
    </row>
    <row r="64056" spans="3:13" ht="12.75" customHeight="1" x14ac:dyDescent="0.2">
      <c r="C64056"/>
      <c r="M64056"/>
    </row>
    <row r="64057" spans="3:13" ht="12.75" customHeight="1" x14ac:dyDescent="0.2">
      <c r="C64057"/>
      <c r="M64057"/>
    </row>
    <row r="64058" spans="3:13" ht="12.75" customHeight="1" x14ac:dyDescent="0.2">
      <c r="C64058"/>
      <c r="M64058"/>
    </row>
    <row r="64059" spans="3:13" ht="12.75" customHeight="1" x14ac:dyDescent="0.2">
      <c r="C64059"/>
      <c r="M64059"/>
    </row>
    <row r="64060" spans="3:13" ht="12.75" customHeight="1" x14ac:dyDescent="0.2">
      <c r="C64060"/>
      <c r="M64060"/>
    </row>
    <row r="64061" spans="3:13" ht="12.75" customHeight="1" x14ac:dyDescent="0.2">
      <c r="C64061"/>
      <c r="M64061"/>
    </row>
    <row r="64062" spans="3:13" ht="12.75" customHeight="1" x14ac:dyDescent="0.2">
      <c r="C64062"/>
      <c r="M64062"/>
    </row>
    <row r="64063" spans="3:13" ht="12.75" customHeight="1" x14ac:dyDescent="0.2">
      <c r="C64063"/>
      <c r="M64063"/>
    </row>
    <row r="64064" spans="3:13" ht="12.75" customHeight="1" x14ac:dyDescent="0.2">
      <c r="C64064"/>
      <c r="M64064"/>
    </row>
    <row r="64065" spans="3:13" ht="12.75" customHeight="1" x14ac:dyDescent="0.2">
      <c r="C64065"/>
      <c r="M64065"/>
    </row>
    <row r="64066" spans="3:13" ht="12.75" customHeight="1" x14ac:dyDescent="0.2">
      <c r="C64066"/>
      <c r="M64066"/>
    </row>
    <row r="64067" spans="3:13" ht="12.75" customHeight="1" x14ac:dyDescent="0.2">
      <c r="C64067"/>
      <c r="M64067"/>
    </row>
    <row r="64068" spans="3:13" ht="12.75" customHeight="1" x14ac:dyDescent="0.2">
      <c r="C64068"/>
      <c r="M64068"/>
    </row>
    <row r="64069" spans="3:13" ht="12.75" customHeight="1" x14ac:dyDescent="0.2">
      <c r="C64069"/>
      <c r="M64069"/>
    </row>
    <row r="64070" spans="3:13" ht="12.75" customHeight="1" x14ac:dyDescent="0.2">
      <c r="C64070"/>
      <c r="M64070"/>
    </row>
    <row r="64071" spans="3:13" ht="12.75" customHeight="1" x14ac:dyDescent="0.2">
      <c r="C64071"/>
      <c r="M64071"/>
    </row>
    <row r="64072" spans="3:13" ht="12.75" customHeight="1" x14ac:dyDescent="0.2">
      <c r="C64072"/>
      <c r="M64072"/>
    </row>
    <row r="64073" spans="3:13" ht="12.75" customHeight="1" x14ac:dyDescent="0.2">
      <c r="C64073"/>
      <c r="M64073"/>
    </row>
    <row r="64074" spans="3:13" ht="12.75" customHeight="1" x14ac:dyDescent="0.2">
      <c r="C64074"/>
      <c r="M64074"/>
    </row>
    <row r="64075" spans="3:13" ht="12.75" customHeight="1" x14ac:dyDescent="0.2">
      <c r="C64075"/>
      <c r="M64075"/>
    </row>
    <row r="64076" spans="3:13" ht="12.75" customHeight="1" x14ac:dyDescent="0.2">
      <c r="C64076"/>
      <c r="M64076"/>
    </row>
    <row r="64077" spans="3:13" ht="12.75" customHeight="1" x14ac:dyDescent="0.2">
      <c r="C64077"/>
      <c r="M64077"/>
    </row>
    <row r="64078" spans="3:13" ht="12.75" customHeight="1" x14ac:dyDescent="0.2">
      <c r="C64078"/>
      <c r="M64078"/>
    </row>
    <row r="64079" spans="3:13" ht="12.75" customHeight="1" x14ac:dyDescent="0.2">
      <c r="C64079"/>
      <c r="M64079"/>
    </row>
    <row r="64080" spans="3:13" ht="12.75" customHeight="1" x14ac:dyDescent="0.2">
      <c r="C64080"/>
      <c r="M64080"/>
    </row>
    <row r="64081" spans="3:13" ht="12.75" customHeight="1" x14ac:dyDescent="0.2">
      <c r="C64081"/>
      <c r="M64081"/>
    </row>
    <row r="64082" spans="3:13" ht="12.75" customHeight="1" x14ac:dyDescent="0.2">
      <c r="C64082"/>
      <c r="M64082"/>
    </row>
    <row r="64083" spans="3:13" ht="12.75" customHeight="1" x14ac:dyDescent="0.2">
      <c r="C64083"/>
      <c r="M64083"/>
    </row>
    <row r="64084" spans="3:13" ht="12.75" customHeight="1" x14ac:dyDescent="0.2">
      <c r="C64084"/>
      <c r="M64084"/>
    </row>
    <row r="64085" spans="3:13" ht="12.75" customHeight="1" x14ac:dyDescent="0.2">
      <c r="C64085"/>
      <c r="M64085"/>
    </row>
    <row r="64086" spans="3:13" ht="12.75" customHeight="1" x14ac:dyDescent="0.2">
      <c r="C64086"/>
      <c r="M64086"/>
    </row>
    <row r="64087" spans="3:13" ht="12.75" customHeight="1" x14ac:dyDescent="0.2">
      <c r="C64087"/>
      <c r="M64087"/>
    </row>
    <row r="64088" spans="3:13" ht="12.75" customHeight="1" x14ac:dyDescent="0.2">
      <c r="C64088"/>
      <c r="M64088"/>
    </row>
    <row r="64089" spans="3:13" ht="12.75" customHeight="1" x14ac:dyDescent="0.2">
      <c r="C64089"/>
      <c r="M64089"/>
    </row>
    <row r="64090" spans="3:13" ht="12.75" customHeight="1" x14ac:dyDescent="0.2">
      <c r="C64090"/>
      <c r="M64090"/>
    </row>
    <row r="64091" spans="3:13" ht="12.75" customHeight="1" x14ac:dyDescent="0.2">
      <c r="C64091"/>
      <c r="M64091"/>
    </row>
    <row r="64092" spans="3:13" ht="12.75" customHeight="1" x14ac:dyDescent="0.2">
      <c r="C64092"/>
      <c r="M64092"/>
    </row>
    <row r="64093" spans="3:13" ht="12.75" customHeight="1" x14ac:dyDescent="0.2">
      <c r="C64093"/>
      <c r="M64093"/>
    </row>
    <row r="64094" spans="3:13" ht="12.75" customHeight="1" x14ac:dyDescent="0.2">
      <c r="C64094"/>
      <c r="M64094"/>
    </row>
    <row r="64095" spans="3:13" ht="12.75" customHeight="1" x14ac:dyDescent="0.2">
      <c r="C64095"/>
      <c r="M64095"/>
    </row>
    <row r="64096" spans="3:13" ht="12.75" customHeight="1" x14ac:dyDescent="0.2">
      <c r="C64096"/>
      <c r="M64096"/>
    </row>
    <row r="64097" spans="3:13" ht="12.75" customHeight="1" x14ac:dyDescent="0.2">
      <c r="C64097"/>
      <c r="M64097"/>
    </row>
    <row r="64098" spans="3:13" ht="12.75" customHeight="1" x14ac:dyDescent="0.2">
      <c r="C64098"/>
      <c r="M64098"/>
    </row>
    <row r="64099" spans="3:13" ht="12.75" customHeight="1" x14ac:dyDescent="0.2">
      <c r="C64099"/>
      <c r="M64099"/>
    </row>
    <row r="64100" spans="3:13" ht="12.75" customHeight="1" x14ac:dyDescent="0.2">
      <c r="C64100"/>
      <c r="M64100"/>
    </row>
    <row r="64101" spans="3:13" ht="12.75" customHeight="1" x14ac:dyDescent="0.2">
      <c r="C64101"/>
      <c r="M64101"/>
    </row>
    <row r="64102" spans="3:13" ht="12.75" customHeight="1" x14ac:dyDescent="0.2">
      <c r="C64102"/>
      <c r="M64102"/>
    </row>
    <row r="64103" spans="3:13" ht="12.75" customHeight="1" x14ac:dyDescent="0.2">
      <c r="C64103"/>
      <c r="M64103"/>
    </row>
    <row r="64104" spans="3:13" ht="12.75" customHeight="1" x14ac:dyDescent="0.2">
      <c r="C64104"/>
      <c r="M64104"/>
    </row>
    <row r="64105" spans="3:13" ht="12.75" customHeight="1" x14ac:dyDescent="0.2">
      <c r="C64105"/>
      <c r="M64105"/>
    </row>
    <row r="64106" spans="3:13" ht="12.75" customHeight="1" x14ac:dyDescent="0.2">
      <c r="C64106"/>
      <c r="M64106"/>
    </row>
    <row r="64107" spans="3:13" ht="12.75" customHeight="1" x14ac:dyDescent="0.2">
      <c r="C64107"/>
      <c r="M64107"/>
    </row>
    <row r="64108" spans="3:13" ht="12.75" customHeight="1" x14ac:dyDescent="0.2">
      <c r="C64108"/>
      <c r="M64108"/>
    </row>
    <row r="64109" spans="3:13" ht="12.75" customHeight="1" x14ac:dyDescent="0.2">
      <c r="C64109"/>
      <c r="M64109"/>
    </row>
    <row r="64110" spans="3:13" ht="12.75" customHeight="1" x14ac:dyDescent="0.2">
      <c r="C64110"/>
      <c r="M64110"/>
    </row>
    <row r="64111" spans="3:13" ht="12.75" customHeight="1" x14ac:dyDescent="0.2">
      <c r="C64111"/>
      <c r="M64111"/>
    </row>
    <row r="64112" spans="3:13" ht="12.75" customHeight="1" x14ac:dyDescent="0.2">
      <c r="C64112"/>
      <c r="M64112"/>
    </row>
    <row r="64113" spans="3:13" ht="12.75" customHeight="1" x14ac:dyDescent="0.2">
      <c r="C64113"/>
      <c r="M64113"/>
    </row>
    <row r="64114" spans="3:13" ht="12.75" customHeight="1" x14ac:dyDescent="0.2">
      <c r="C64114"/>
      <c r="M64114"/>
    </row>
    <row r="64115" spans="3:13" ht="12.75" customHeight="1" x14ac:dyDescent="0.2">
      <c r="C64115"/>
      <c r="M64115"/>
    </row>
    <row r="64116" spans="3:13" ht="12.75" customHeight="1" x14ac:dyDescent="0.2">
      <c r="C64116"/>
      <c r="M64116"/>
    </row>
    <row r="64117" spans="3:13" ht="12.75" customHeight="1" x14ac:dyDescent="0.2">
      <c r="C64117"/>
      <c r="M64117"/>
    </row>
    <row r="64118" spans="3:13" ht="12.75" customHeight="1" x14ac:dyDescent="0.2">
      <c r="C64118"/>
      <c r="M64118"/>
    </row>
    <row r="64119" spans="3:13" ht="12.75" customHeight="1" x14ac:dyDescent="0.2">
      <c r="C64119"/>
      <c r="M64119"/>
    </row>
    <row r="64120" spans="3:13" ht="12.75" customHeight="1" x14ac:dyDescent="0.2">
      <c r="C64120"/>
      <c r="M64120"/>
    </row>
    <row r="64121" spans="3:13" ht="12.75" customHeight="1" x14ac:dyDescent="0.2">
      <c r="C64121"/>
      <c r="M64121"/>
    </row>
    <row r="64122" spans="3:13" ht="12.75" customHeight="1" x14ac:dyDescent="0.2">
      <c r="C64122"/>
      <c r="M64122"/>
    </row>
    <row r="64123" spans="3:13" ht="12.75" customHeight="1" x14ac:dyDescent="0.2">
      <c r="C64123"/>
      <c r="M64123"/>
    </row>
    <row r="64124" spans="3:13" ht="12.75" customHeight="1" x14ac:dyDescent="0.2">
      <c r="C64124"/>
      <c r="M64124"/>
    </row>
    <row r="64125" spans="3:13" ht="12.75" customHeight="1" x14ac:dyDescent="0.2">
      <c r="C64125"/>
      <c r="M64125"/>
    </row>
    <row r="64126" spans="3:13" ht="12.75" customHeight="1" x14ac:dyDescent="0.2">
      <c r="C64126"/>
      <c r="M64126"/>
    </row>
    <row r="64127" spans="3:13" ht="12.75" customHeight="1" x14ac:dyDescent="0.2">
      <c r="C64127"/>
      <c r="M64127"/>
    </row>
    <row r="64128" spans="3:13" ht="12.75" customHeight="1" x14ac:dyDescent="0.2">
      <c r="C64128"/>
      <c r="M64128"/>
    </row>
    <row r="64129" spans="3:13" ht="12.75" customHeight="1" x14ac:dyDescent="0.2">
      <c r="C64129"/>
      <c r="M64129"/>
    </row>
    <row r="64130" spans="3:13" ht="12.75" customHeight="1" x14ac:dyDescent="0.2">
      <c r="C64130"/>
      <c r="M64130"/>
    </row>
    <row r="64131" spans="3:13" ht="12.75" customHeight="1" x14ac:dyDescent="0.2">
      <c r="C64131"/>
      <c r="M64131"/>
    </row>
    <row r="64132" spans="3:13" ht="12.75" customHeight="1" x14ac:dyDescent="0.2">
      <c r="C64132"/>
      <c r="M64132"/>
    </row>
    <row r="64133" spans="3:13" ht="12.75" customHeight="1" x14ac:dyDescent="0.2">
      <c r="C64133"/>
      <c r="M64133"/>
    </row>
    <row r="64134" spans="3:13" ht="12.75" customHeight="1" x14ac:dyDescent="0.2">
      <c r="C64134"/>
      <c r="M64134"/>
    </row>
    <row r="64135" spans="3:13" ht="12.75" customHeight="1" x14ac:dyDescent="0.2">
      <c r="C64135"/>
      <c r="M64135"/>
    </row>
    <row r="64136" spans="3:13" ht="12.75" customHeight="1" x14ac:dyDescent="0.2">
      <c r="C64136"/>
      <c r="M64136"/>
    </row>
    <row r="64137" spans="3:13" ht="12.75" customHeight="1" x14ac:dyDescent="0.2">
      <c r="C64137"/>
      <c r="M64137"/>
    </row>
    <row r="64138" spans="3:13" ht="12.75" customHeight="1" x14ac:dyDescent="0.2">
      <c r="C64138"/>
      <c r="M64138"/>
    </row>
    <row r="64139" spans="3:13" ht="12.75" customHeight="1" x14ac:dyDescent="0.2">
      <c r="C64139"/>
      <c r="M64139"/>
    </row>
    <row r="64140" spans="3:13" ht="12.75" customHeight="1" x14ac:dyDescent="0.2">
      <c r="C64140"/>
      <c r="M64140"/>
    </row>
    <row r="64141" spans="3:13" ht="12.75" customHeight="1" x14ac:dyDescent="0.2">
      <c r="C64141"/>
      <c r="M64141"/>
    </row>
    <row r="64142" spans="3:13" ht="12.75" customHeight="1" x14ac:dyDescent="0.2">
      <c r="C64142"/>
      <c r="M64142"/>
    </row>
    <row r="64143" spans="3:13" ht="12.75" customHeight="1" x14ac:dyDescent="0.2">
      <c r="C64143"/>
      <c r="M64143"/>
    </row>
    <row r="64144" spans="3:13" ht="12.75" customHeight="1" x14ac:dyDescent="0.2">
      <c r="C64144"/>
      <c r="M64144"/>
    </row>
    <row r="64145" spans="3:13" ht="12.75" customHeight="1" x14ac:dyDescent="0.2">
      <c r="C64145"/>
      <c r="M64145"/>
    </row>
    <row r="64146" spans="3:13" ht="12.75" customHeight="1" x14ac:dyDescent="0.2">
      <c r="C64146"/>
      <c r="M64146"/>
    </row>
    <row r="64147" spans="3:13" ht="12.75" customHeight="1" x14ac:dyDescent="0.2">
      <c r="C64147"/>
      <c r="M64147"/>
    </row>
    <row r="64148" spans="3:13" ht="12.75" customHeight="1" x14ac:dyDescent="0.2">
      <c r="C64148"/>
      <c r="M64148"/>
    </row>
    <row r="64149" spans="3:13" ht="12.75" customHeight="1" x14ac:dyDescent="0.2">
      <c r="C64149"/>
      <c r="M64149"/>
    </row>
    <row r="64150" spans="3:13" ht="12.75" customHeight="1" x14ac:dyDescent="0.2">
      <c r="C64150"/>
      <c r="M64150"/>
    </row>
    <row r="64151" spans="3:13" ht="12.75" customHeight="1" x14ac:dyDescent="0.2">
      <c r="C64151"/>
      <c r="M64151"/>
    </row>
    <row r="64152" spans="3:13" ht="12.75" customHeight="1" x14ac:dyDescent="0.2">
      <c r="C64152"/>
      <c r="M64152"/>
    </row>
    <row r="64153" spans="3:13" ht="12.75" customHeight="1" x14ac:dyDescent="0.2">
      <c r="C64153"/>
      <c r="M64153"/>
    </row>
    <row r="64154" spans="3:13" ht="12.75" customHeight="1" x14ac:dyDescent="0.2">
      <c r="C64154"/>
      <c r="M64154"/>
    </row>
    <row r="64155" spans="3:13" ht="12.75" customHeight="1" x14ac:dyDescent="0.2">
      <c r="C64155"/>
      <c r="M64155"/>
    </row>
    <row r="64156" spans="3:13" ht="12.75" customHeight="1" x14ac:dyDescent="0.2">
      <c r="C64156"/>
      <c r="M64156"/>
    </row>
    <row r="64157" spans="3:13" ht="12.75" customHeight="1" x14ac:dyDescent="0.2">
      <c r="C64157"/>
      <c r="M64157"/>
    </row>
    <row r="64158" spans="3:13" ht="12.75" customHeight="1" x14ac:dyDescent="0.2">
      <c r="C64158"/>
      <c r="M64158"/>
    </row>
    <row r="64159" spans="3:13" ht="12.75" customHeight="1" x14ac:dyDescent="0.2">
      <c r="C64159"/>
      <c r="M64159"/>
    </row>
    <row r="64160" spans="3:13" ht="12.75" customHeight="1" x14ac:dyDescent="0.2">
      <c r="C64160"/>
      <c r="M64160"/>
    </row>
    <row r="64161" spans="3:13" ht="12.75" customHeight="1" x14ac:dyDescent="0.2">
      <c r="C64161"/>
      <c r="M64161"/>
    </row>
    <row r="64162" spans="3:13" ht="12.75" customHeight="1" x14ac:dyDescent="0.2">
      <c r="C64162"/>
      <c r="M64162"/>
    </row>
    <row r="64163" spans="3:13" ht="12.75" customHeight="1" x14ac:dyDescent="0.2">
      <c r="C64163"/>
      <c r="M64163"/>
    </row>
    <row r="64164" spans="3:13" ht="12.75" customHeight="1" x14ac:dyDescent="0.2">
      <c r="C64164"/>
      <c r="M64164"/>
    </row>
    <row r="64165" spans="3:13" ht="12.75" customHeight="1" x14ac:dyDescent="0.2">
      <c r="C64165"/>
      <c r="M64165"/>
    </row>
    <row r="64166" spans="3:13" ht="12.75" customHeight="1" x14ac:dyDescent="0.2">
      <c r="C64166"/>
      <c r="M64166"/>
    </row>
    <row r="64167" spans="3:13" ht="12.75" customHeight="1" x14ac:dyDescent="0.2">
      <c r="C64167"/>
      <c r="M64167"/>
    </row>
    <row r="64168" spans="3:13" ht="12.75" customHeight="1" x14ac:dyDescent="0.2">
      <c r="C64168"/>
      <c r="M64168"/>
    </row>
    <row r="64169" spans="3:13" ht="12.75" customHeight="1" x14ac:dyDescent="0.2">
      <c r="C64169"/>
      <c r="M64169"/>
    </row>
    <row r="64170" spans="3:13" ht="12.75" customHeight="1" x14ac:dyDescent="0.2">
      <c r="C64170"/>
      <c r="M64170"/>
    </row>
    <row r="64171" spans="3:13" ht="12.75" customHeight="1" x14ac:dyDescent="0.2">
      <c r="C64171"/>
      <c r="M64171"/>
    </row>
    <row r="64172" spans="3:13" ht="12.75" customHeight="1" x14ac:dyDescent="0.2">
      <c r="C64172"/>
      <c r="M64172"/>
    </row>
    <row r="64173" spans="3:13" ht="12.75" customHeight="1" x14ac:dyDescent="0.2">
      <c r="C64173"/>
      <c r="M64173"/>
    </row>
    <row r="64174" spans="3:13" ht="12.75" customHeight="1" x14ac:dyDescent="0.2">
      <c r="C64174"/>
      <c r="M64174"/>
    </row>
    <row r="64175" spans="3:13" ht="12.75" customHeight="1" x14ac:dyDescent="0.2">
      <c r="C64175"/>
      <c r="M64175"/>
    </row>
    <row r="64176" spans="3:13" ht="12.75" customHeight="1" x14ac:dyDescent="0.2">
      <c r="C64176"/>
      <c r="M64176"/>
    </row>
    <row r="64177" spans="3:13" ht="12.75" customHeight="1" x14ac:dyDescent="0.2">
      <c r="C64177"/>
      <c r="M64177"/>
    </row>
    <row r="64178" spans="3:13" ht="12.75" customHeight="1" x14ac:dyDescent="0.2">
      <c r="C64178"/>
      <c r="M64178"/>
    </row>
    <row r="64179" spans="3:13" ht="12.75" customHeight="1" x14ac:dyDescent="0.2">
      <c r="C64179"/>
      <c r="M64179"/>
    </row>
    <row r="64180" spans="3:13" ht="12.75" customHeight="1" x14ac:dyDescent="0.2">
      <c r="C64180"/>
      <c r="M64180"/>
    </row>
    <row r="64181" spans="3:13" ht="12.75" customHeight="1" x14ac:dyDescent="0.2">
      <c r="C64181"/>
      <c r="M64181"/>
    </row>
    <row r="64182" spans="3:13" ht="12.75" customHeight="1" x14ac:dyDescent="0.2">
      <c r="C64182"/>
      <c r="M64182"/>
    </row>
    <row r="64183" spans="3:13" ht="12.75" customHeight="1" x14ac:dyDescent="0.2">
      <c r="C64183"/>
      <c r="M64183"/>
    </row>
    <row r="64184" spans="3:13" ht="12.75" customHeight="1" x14ac:dyDescent="0.2">
      <c r="C64184"/>
      <c r="M64184"/>
    </row>
    <row r="64185" spans="3:13" ht="12.75" customHeight="1" x14ac:dyDescent="0.2">
      <c r="C64185"/>
      <c r="M64185"/>
    </row>
    <row r="64186" spans="3:13" ht="12.75" customHeight="1" x14ac:dyDescent="0.2">
      <c r="C64186"/>
      <c r="M64186"/>
    </row>
    <row r="64187" spans="3:13" ht="12.75" customHeight="1" x14ac:dyDescent="0.2">
      <c r="C64187"/>
      <c r="M64187"/>
    </row>
    <row r="64188" spans="3:13" ht="12.75" customHeight="1" x14ac:dyDescent="0.2">
      <c r="C64188"/>
      <c r="M64188"/>
    </row>
    <row r="64189" spans="3:13" ht="12.75" customHeight="1" x14ac:dyDescent="0.2">
      <c r="C64189"/>
      <c r="M64189"/>
    </row>
    <row r="64190" spans="3:13" ht="12.75" customHeight="1" x14ac:dyDescent="0.2">
      <c r="C64190"/>
      <c r="M64190"/>
    </row>
    <row r="64191" spans="3:13" ht="12.75" customHeight="1" x14ac:dyDescent="0.2">
      <c r="C64191"/>
      <c r="M64191"/>
    </row>
    <row r="64192" spans="3:13" ht="12.75" customHeight="1" x14ac:dyDescent="0.2">
      <c r="C64192"/>
      <c r="M64192"/>
    </row>
    <row r="64193" spans="3:13" ht="12.75" customHeight="1" x14ac:dyDescent="0.2">
      <c r="C64193"/>
      <c r="M64193"/>
    </row>
    <row r="64194" spans="3:13" ht="12.75" customHeight="1" x14ac:dyDescent="0.2">
      <c r="C64194"/>
      <c r="M64194"/>
    </row>
    <row r="64195" spans="3:13" ht="12.75" customHeight="1" x14ac:dyDescent="0.2">
      <c r="C64195"/>
      <c r="M64195"/>
    </row>
    <row r="64196" spans="3:13" ht="12.75" customHeight="1" x14ac:dyDescent="0.2">
      <c r="C64196"/>
      <c r="M64196"/>
    </row>
    <row r="64197" spans="3:13" ht="12.75" customHeight="1" x14ac:dyDescent="0.2">
      <c r="C64197"/>
      <c r="M64197"/>
    </row>
    <row r="64198" spans="3:13" ht="12.75" customHeight="1" x14ac:dyDescent="0.2">
      <c r="C64198"/>
      <c r="M64198"/>
    </row>
    <row r="64199" spans="3:13" ht="12.75" customHeight="1" x14ac:dyDescent="0.2">
      <c r="C64199"/>
      <c r="M64199"/>
    </row>
    <row r="64200" spans="3:13" ht="12.75" customHeight="1" x14ac:dyDescent="0.2">
      <c r="C64200"/>
      <c r="M64200"/>
    </row>
    <row r="64201" spans="3:13" ht="12.75" customHeight="1" x14ac:dyDescent="0.2">
      <c r="C64201"/>
      <c r="M64201"/>
    </row>
    <row r="64202" spans="3:13" ht="12.75" customHeight="1" x14ac:dyDescent="0.2">
      <c r="C64202"/>
      <c r="M64202"/>
    </row>
    <row r="64203" spans="3:13" ht="12.75" customHeight="1" x14ac:dyDescent="0.2">
      <c r="C64203"/>
      <c r="M64203"/>
    </row>
    <row r="64204" spans="3:13" ht="12.75" customHeight="1" x14ac:dyDescent="0.2">
      <c r="C64204"/>
      <c r="M64204"/>
    </row>
    <row r="64205" spans="3:13" ht="12.75" customHeight="1" x14ac:dyDescent="0.2">
      <c r="C64205"/>
      <c r="M64205"/>
    </row>
    <row r="64206" spans="3:13" ht="12.75" customHeight="1" x14ac:dyDescent="0.2">
      <c r="C64206"/>
      <c r="M64206"/>
    </row>
    <row r="64207" spans="3:13" ht="12.75" customHeight="1" x14ac:dyDescent="0.2">
      <c r="C64207"/>
      <c r="M64207"/>
    </row>
    <row r="64208" spans="3:13" ht="12.75" customHeight="1" x14ac:dyDescent="0.2">
      <c r="C64208"/>
      <c r="M64208"/>
    </row>
    <row r="64209" spans="3:13" ht="12.75" customHeight="1" x14ac:dyDescent="0.2">
      <c r="C64209"/>
      <c r="M64209"/>
    </row>
    <row r="64210" spans="3:13" ht="12.75" customHeight="1" x14ac:dyDescent="0.2">
      <c r="C64210"/>
      <c r="M64210"/>
    </row>
    <row r="64211" spans="3:13" ht="12.75" customHeight="1" x14ac:dyDescent="0.2">
      <c r="C64211"/>
      <c r="M64211"/>
    </row>
    <row r="64212" spans="3:13" ht="12.75" customHeight="1" x14ac:dyDescent="0.2">
      <c r="C64212"/>
      <c r="M64212"/>
    </row>
    <row r="64213" spans="3:13" ht="12.75" customHeight="1" x14ac:dyDescent="0.2">
      <c r="C64213"/>
      <c r="M64213"/>
    </row>
    <row r="64214" spans="3:13" ht="12.75" customHeight="1" x14ac:dyDescent="0.2">
      <c r="C64214"/>
      <c r="M64214"/>
    </row>
    <row r="64215" spans="3:13" ht="12.75" customHeight="1" x14ac:dyDescent="0.2">
      <c r="C64215"/>
      <c r="M64215"/>
    </row>
    <row r="64216" spans="3:13" ht="12.75" customHeight="1" x14ac:dyDescent="0.2">
      <c r="C64216"/>
      <c r="M64216"/>
    </row>
    <row r="64217" spans="3:13" ht="12.75" customHeight="1" x14ac:dyDescent="0.2">
      <c r="C64217"/>
      <c r="M64217"/>
    </row>
    <row r="64218" spans="3:13" ht="12.75" customHeight="1" x14ac:dyDescent="0.2">
      <c r="C64218"/>
      <c r="M64218"/>
    </row>
    <row r="64219" spans="3:13" ht="12.75" customHeight="1" x14ac:dyDescent="0.2">
      <c r="C64219"/>
      <c r="M64219"/>
    </row>
    <row r="64220" spans="3:13" ht="12.75" customHeight="1" x14ac:dyDescent="0.2">
      <c r="C64220"/>
      <c r="M64220"/>
    </row>
    <row r="64221" spans="3:13" ht="12.75" customHeight="1" x14ac:dyDescent="0.2">
      <c r="C64221"/>
      <c r="M64221"/>
    </row>
    <row r="64222" spans="3:13" ht="12.75" customHeight="1" x14ac:dyDescent="0.2">
      <c r="C64222"/>
      <c r="M64222"/>
    </row>
    <row r="64223" spans="3:13" ht="12.75" customHeight="1" x14ac:dyDescent="0.2">
      <c r="C64223"/>
      <c r="M64223"/>
    </row>
    <row r="64224" spans="3:13" ht="12.75" customHeight="1" x14ac:dyDescent="0.2">
      <c r="C64224"/>
      <c r="M64224"/>
    </row>
    <row r="64225" spans="3:13" ht="12.75" customHeight="1" x14ac:dyDescent="0.2">
      <c r="C64225"/>
      <c r="M64225"/>
    </row>
    <row r="64226" spans="3:13" ht="12.75" customHeight="1" x14ac:dyDescent="0.2">
      <c r="C64226"/>
      <c r="M64226"/>
    </row>
    <row r="64227" spans="3:13" ht="12.75" customHeight="1" x14ac:dyDescent="0.2">
      <c r="C64227"/>
      <c r="M64227"/>
    </row>
    <row r="64228" spans="3:13" ht="12.75" customHeight="1" x14ac:dyDescent="0.2">
      <c r="C64228"/>
      <c r="M64228"/>
    </row>
    <row r="64229" spans="3:13" ht="12.75" customHeight="1" x14ac:dyDescent="0.2">
      <c r="C64229"/>
      <c r="M64229"/>
    </row>
    <row r="64230" spans="3:13" ht="12.75" customHeight="1" x14ac:dyDescent="0.2">
      <c r="C64230"/>
      <c r="M64230"/>
    </row>
    <row r="64231" spans="3:13" ht="12.75" customHeight="1" x14ac:dyDescent="0.2">
      <c r="C64231"/>
      <c r="M64231"/>
    </row>
    <row r="64232" spans="3:13" ht="12.75" customHeight="1" x14ac:dyDescent="0.2">
      <c r="C64232"/>
      <c r="M64232"/>
    </row>
    <row r="64233" spans="3:13" ht="12.75" customHeight="1" x14ac:dyDescent="0.2">
      <c r="C64233"/>
      <c r="M64233"/>
    </row>
    <row r="64234" spans="3:13" ht="12.75" customHeight="1" x14ac:dyDescent="0.2">
      <c r="C64234"/>
      <c r="M64234"/>
    </row>
    <row r="64235" spans="3:13" ht="12.75" customHeight="1" x14ac:dyDescent="0.2">
      <c r="C64235"/>
      <c r="M64235"/>
    </row>
    <row r="64236" spans="3:13" ht="12.75" customHeight="1" x14ac:dyDescent="0.2">
      <c r="C64236"/>
      <c r="M64236"/>
    </row>
    <row r="64237" spans="3:13" ht="12.75" customHeight="1" x14ac:dyDescent="0.2">
      <c r="C64237"/>
      <c r="M64237"/>
    </row>
    <row r="64238" spans="3:13" ht="12.75" customHeight="1" x14ac:dyDescent="0.2">
      <c r="C64238"/>
      <c r="M64238"/>
    </row>
    <row r="64239" spans="3:13" ht="12.75" customHeight="1" x14ac:dyDescent="0.2">
      <c r="C64239"/>
      <c r="M64239"/>
    </row>
    <row r="64240" spans="3:13" ht="12.75" customHeight="1" x14ac:dyDescent="0.2">
      <c r="C64240"/>
      <c r="M64240"/>
    </row>
    <row r="64241" spans="3:13" ht="12.75" customHeight="1" x14ac:dyDescent="0.2">
      <c r="C64241"/>
      <c r="M64241"/>
    </row>
    <row r="64242" spans="3:13" ht="12.75" customHeight="1" x14ac:dyDescent="0.2">
      <c r="C64242"/>
      <c r="M64242"/>
    </row>
    <row r="64243" spans="3:13" ht="12.75" customHeight="1" x14ac:dyDescent="0.2">
      <c r="C64243"/>
      <c r="M64243"/>
    </row>
    <row r="64244" spans="3:13" ht="12.75" customHeight="1" x14ac:dyDescent="0.2">
      <c r="C64244"/>
      <c r="M64244"/>
    </row>
    <row r="64245" spans="3:13" ht="12.75" customHeight="1" x14ac:dyDescent="0.2">
      <c r="C64245"/>
      <c r="M64245"/>
    </row>
    <row r="64246" spans="3:13" ht="12.75" customHeight="1" x14ac:dyDescent="0.2">
      <c r="C64246"/>
      <c r="M64246"/>
    </row>
    <row r="64247" spans="3:13" ht="12.75" customHeight="1" x14ac:dyDescent="0.2">
      <c r="C64247"/>
      <c r="M64247"/>
    </row>
    <row r="64248" spans="3:13" ht="12.75" customHeight="1" x14ac:dyDescent="0.2">
      <c r="C64248"/>
      <c r="M64248"/>
    </row>
    <row r="64249" spans="3:13" ht="12.75" customHeight="1" x14ac:dyDescent="0.2">
      <c r="C64249"/>
      <c r="M64249"/>
    </row>
    <row r="64250" spans="3:13" ht="12.75" customHeight="1" x14ac:dyDescent="0.2">
      <c r="C64250"/>
      <c r="M64250"/>
    </row>
    <row r="64251" spans="3:13" ht="12.75" customHeight="1" x14ac:dyDescent="0.2">
      <c r="C64251"/>
      <c r="M64251"/>
    </row>
    <row r="64252" spans="3:13" ht="12.75" customHeight="1" x14ac:dyDescent="0.2">
      <c r="C64252"/>
      <c r="M64252"/>
    </row>
    <row r="64253" spans="3:13" ht="12.75" customHeight="1" x14ac:dyDescent="0.2">
      <c r="C64253"/>
      <c r="M64253"/>
    </row>
    <row r="64254" spans="3:13" ht="12.75" customHeight="1" x14ac:dyDescent="0.2">
      <c r="C64254"/>
      <c r="M64254"/>
    </row>
    <row r="64255" spans="3:13" ht="12.75" customHeight="1" x14ac:dyDescent="0.2">
      <c r="C64255"/>
      <c r="M64255"/>
    </row>
    <row r="64256" spans="3:13" ht="12.75" customHeight="1" x14ac:dyDescent="0.2">
      <c r="C64256"/>
      <c r="M64256"/>
    </row>
    <row r="64257" spans="3:13" ht="12.75" customHeight="1" x14ac:dyDescent="0.2">
      <c r="C64257"/>
      <c r="M64257"/>
    </row>
    <row r="64258" spans="3:13" ht="12.75" customHeight="1" x14ac:dyDescent="0.2">
      <c r="C64258"/>
      <c r="M64258"/>
    </row>
    <row r="64259" spans="3:13" ht="12.75" customHeight="1" x14ac:dyDescent="0.2">
      <c r="C64259"/>
      <c r="M64259"/>
    </row>
    <row r="64260" spans="3:13" ht="12.75" customHeight="1" x14ac:dyDescent="0.2">
      <c r="C64260"/>
      <c r="M64260"/>
    </row>
    <row r="64261" spans="3:13" ht="12.75" customHeight="1" x14ac:dyDescent="0.2">
      <c r="C64261"/>
      <c r="M64261"/>
    </row>
    <row r="64262" spans="3:13" ht="12.75" customHeight="1" x14ac:dyDescent="0.2">
      <c r="C64262"/>
      <c r="M64262"/>
    </row>
    <row r="64263" spans="3:13" ht="12.75" customHeight="1" x14ac:dyDescent="0.2">
      <c r="C64263"/>
      <c r="M64263"/>
    </row>
    <row r="64264" spans="3:13" ht="12.75" customHeight="1" x14ac:dyDescent="0.2">
      <c r="C64264"/>
      <c r="M64264"/>
    </row>
    <row r="64265" spans="3:13" ht="12.75" customHeight="1" x14ac:dyDescent="0.2">
      <c r="C64265"/>
      <c r="M64265"/>
    </row>
    <row r="64266" spans="3:13" ht="12.75" customHeight="1" x14ac:dyDescent="0.2">
      <c r="C64266"/>
      <c r="M64266"/>
    </row>
    <row r="64267" spans="3:13" ht="12.75" customHeight="1" x14ac:dyDescent="0.2">
      <c r="C64267"/>
      <c r="M64267"/>
    </row>
    <row r="64268" spans="3:13" ht="12.75" customHeight="1" x14ac:dyDescent="0.2">
      <c r="C64268"/>
      <c r="M64268"/>
    </row>
    <row r="64269" spans="3:13" ht="12.75" customHeight="1" x14ac:dyDescent="0.2">
      <c r="C64269"/>
      <c r="M64269"/>
    </row>
    <row r="64270" spans="3:13" ht="12.75" customHeight="1" x14ac:dyDescent="0.2">
      <c r="C64270"/>
      <c r="M64270"/>
    </row>
    <row r="64271" spans="3:13" ht="12.75" customHeight="1" x14ac:dyDescent="0.2">
      <c r="C64271"/>
      <c r="M64271"/>
    </row>
    <row r="64272" spans="3:13" ht="12.75" customHeight="1" x14ac:dyDescent="0.2">
      <c r="C64272"/>
      <c r="M64272"/>
    </row>
    <row r="64273" spans="3:13" ht="12.75" customHeight="1" x14ac:dyDescent="0.2">
      <c r="C64273"/>
      <c r="M64273"/>
    </row>
    <row r="64274" spans="3:13" ht="12.75" customHeight="1" x14ac:dyDescent="0.2">
      <c r="C64274"/>
      <c r="M64274"/>
    </row>
    <row r="64275" spans="3:13" ht="12.75" customHeight="1" x14ac:dyDescent="0.2">
      <c r="C64275"/>
      <c r="M64275"/>
    </row>
    <row r="64276" spans="3:13" ht="12.75" customHeight="1" x14ac:dyDescent="0.2">
      <c r="C64276"/>
      <c r="M64276"/>
    </row>
    <row r="64277" spans="3:13" ht="12.75" customHeight="1" x14ac:dyDescent="0.2">
      <c r="C64277"/>
      <c r="M64277"/>
    </row>
    <row r="64278" spans="3:13" ht="12.75" customHeight="1" x14ac:dyDescent="0.2">
      <c r="C64278"/>
      <c r="M64278"/>
    </row>
    <row r="64279" spans="3:13" ht="12.75" customHeight="1" x14ac:dyDescent="0.2">
      <c r="C64279"/>
      <c r="M64279"/>
    </row>
    <row r="64280" spans="3:13" ht="12.75" customHeight="1" x14ac:dyDescent="0.2">
      <c r="C64280"/>
      <c r="M64280"/>
    </row>
    <row r="64281" spans="3:13" ht="12.75" customHeight="1" x14ac:dyDescent="0.2">
      <c r="C64281"/>
      <c r="M64281"/>
    </row>
    <row r="64282" spans="3:13" ht="12.75" customHeight="1" x14ac:dyDescent="0.2">
      <c r="C64282"/>
      <c r="M64282"/>
    </row>
    <row r="64283" spans="3:13" ht="12.75" customHeight="1" x14ac:dyDescent="0.2">
      <c r="C64283"/>
      <c r="M64283"/>
    </row>
    <row r="64284" spans="3:13" ht="12.75" customHeight="1" x14ac:dyDescent="0.2">
      <c r="C64284"/>
      <c r="M64284"/>
    </row>
    <row r="64285" spans="3:13" ht="12.75" customHeight="1" x14ac:dyDescent="0.2">
      <c r="C64285"/>
      <c r="M64285"/>
    </row>
    <row r="64286" spans="3:13" ht="12.75" customHeight="1" x14ac:dyDescent="0.2">
      <c r="C64286"/>
      <c r="M64286"/>
    </row>
    <row r="64287" spans="3:13" ht="12.75" customHeight="1" x14ac:dyDescent="0.2">
      <c r="C64287"/>
      <c r="M64287"/>
    </row>
    <row r="64288" spans="3:13" ht="12.75" customHeight="1" x14ac:dyDescent="0.2">
      <c r="C64288"/>
      <c r="M64288"/>
    </row>
    <row r="64289" spans="3:13" ht="12.75" customHeight="1" x14ac:dyDescent="0.2">
      <c r="C64289"/>
      <c r="M64289"/>
    </row>
    <row r="64290" spans="3:13" ht="12.75" customHeight="1" x14ac:dyDescent="0.2">
      <c r="C64290"/>
      <c r="M64290"/>
    </row>
    <row r="64291" spans="3:13" ht="12.75" customHeight="1" x14ac:dyDescent="0.2">
      <c r="C64291"/>
      <c r="M64291"/>
    </row>
    <row r="64292" spans="3:13" ht="12.75" customHeight="1" x14ac:dyDescent="0.2">
      <c r="C64292"/>
      <c r="M64292"/>
    </row>
    <row r="64293" spans="3:13" ht="12.75" customHeight="1" x14ac:dyDescent="0.2">
      <c r="C64293"/>
      <c r="M64293"/>
    </row>
    <row r="64294" spans="3:13" ht="12.75" customHeight="1" x14ac:dyDescent="0.2">
      <c r="C64294"/>
      <c r="M64294"/>
    </row>
    <row r="64295" spans="3:13" ht="12.75" customHeight="1" x14ac:dyDescent="0.2">
      <c r="C64295"/>
      <c r="M64295"/>
    </row>
    <row r="64296" spans="3:13" ht="12.75" customHeight="1" x14ac:dyDescent="0.2">
      <c r="C64296"/>
      <c r="M64296"/>
    </row>
    <row r="64297" spans="3:13" ht="12.75" customHeight="1" x14ac:dyDescent="0.2">
      <c r="C64297"/>
      <c r="M64297"/>
    </row>
    <row r="64298" spans="3:13" ht="12.75" customHeight="1" x14ac:dyDescent="0.2">
      <c r="C64298"/>
      <c r="M64298"/>
    </row>
    <row r="64299" spans="3:13" ht="12.75" customHeight="1" x14ac:dyDescent="0.2">
      <c r="C64299"/>
      <c r="M64299"/>
    </row>
    <row r="64300" spans="3:13" ht="12.75" customHeight="1" x14ac:dyDescent="0.2">
      <c r="C64300"/>
      <c r="M64300"/>
    </row>
    <row r="64301" spans="3:13" ht="12.75" customHeight="1" x14ac:dyDescent="0.2">
      <c r="C64301"/>
      <c r="M64301"/>
    </row>
    <row r="64302" spans="3:13" ht="12.75" customHeight="1" x14ac:dyDescent="0.2">
      <c r="C64302"/>
      <c r="M64302"/>
    </row>
    <row r="64303" spans="3:13" ht="12.75" customHeight="1" x14ac:dyDescent="0.2">
      <c r="C64303"/>
      <c r="M64303"/>
    </row>
    <row r="64304" spans="3:13" ht="12.75" customHeight="1" x14ac:dyDescent="0.2">
      <c r="C64304"/>
      <c r="M64304"/>
    </row>
    <row r="64305" spans="3:13" ht="12.75" customHeight="1" x14ac:dyDescent="0.2">
      <c r="C64305"/>
      <c r="M64305"/>
    </row>
    <row r="64306" spans="3:13" ht="12.75" customHeight="1" x14ac:dyDescent="0.2">
      <c r="C64306"/>
      <c r="M64306"/>
    </row>
    <row r="64307" spans="3:13" ht="12.75" customHeight="1" x14ac:dyDescent="0.2">
      <c r="C64307"/>
      <c r="M64307"/>
    </row>
    <row r="64308" spans="3:13" ht="12.75" customHeight="1" x14ac:dyDescent="0.2">
      <c r="C64308"/>
      <c r="M64308"/>
    </row>
    <row r="64309" spans="3:13" ht="12.75" customHeight="1" x14ac:dyDescent="0.2">
      <c r="C64309"/>
      <c r="M64309"/>
    </row>
    <row r="64310" spans="3:13" ht="12.75" customHeight="1" x14ac:dyDescent="0.2">
      <c r="C64310"/>
      <c r="M64310"/>
    </row>
    <row r="64311" spans="3:13" ht="12.75" customHeight="1" x14ac:dyDescent="0.2">
      <c r="C64311"/>
      <c r="M64311"/>
    </row>
    <row r="64312" spans="3:13" ht="12.75" customHeight="1" x14ac:dyDescent="0.2">
      <c r="C64312"/>
      <c r="M64312"/>
    </row>
    <row r="64313" spans="3:13" ht="12.75" customHeight="1" x14ac:dyDescent="0.2">
      <c r="C64313"/>
      <c r="M64313"/>
    </row>
    <row r="64314" spans="3:13" ht="12.75" customHeight="1" x14ac:dyDescent="0.2">
      <c r="C64314"/>
      <c r="M64314"/>
    </row>
    <row r="64315" spans="3:13" ht="12.75" customHeight="1" x14ac:dyDescent="0.2">
      <c r="C64315"/>
      <c r="M64315"/>
    </row>
    <row r="64316" spans="3:13" ht="12.75" customHeight="1" x14ac:dyDescent="0.2">
      <c r="C64316"/>
      <c r="M64316"/>
    </row>
    <row r="64317" spans="3:13" ht="12.75" customHeight="1" x14ac:dyDescent="0.2">
      <c r="C64317"/>
      <c r="M64317"/>
    </row>
    <row r="64318" spans="3:13" ht="12.75" customHeight="1" x14ac:dyDescent="0.2">
      <c r="C64318"/>
      <c r="M64318"/>
    </row>
    <row r="64319" spans="3:13" ht="12.75" customHeight="1" x14ac:dyDescent="0.2">
      <c r="C64319"/>
      <c r="M64319"/>
    </row>
    <row r="64320" spans="3:13" ht="12.75" customHeight="1" x14ac:dyDescent="0.2">
      <c r="C64320"/>
      <c r="M64320"/>
    </row>
    <row r="64321" spans="3:13" ht="12.75" customHeight="1" x14ac:dyDescent="0.2">
      <c r="C64321"/>
      <c r="M64321"/>
    </row>
    <row r="64322" spans="3:13" ht="12.75" customHeight="1" x14ac:dyDescent="0.2">
      <c r="C64322"/>
      <c r="M64322"/>
    </row>
    <row r="64323" spans="3:13" ht="12.75" customHeight="1" x14ac:dyDescent="0.2">
      <c r="C64323"/>
      <c r="M64323"/>
    </row>
    <row r="64324" spans="3:13" ht="12.75" customHeight="1" x14ac:dyDescent="0.2">
      <c r="C64324"/>
      <c r="M64324"/>
    </row>
    <row r="64325" spans="3:13" ht="12.75" customHeight="1" x14ac:dyDescent="0.2">
      <c r="C64325"/>
      <c r="M64325"/>
    </row>
    <row r="64326" spans="3:13" ht="12.75" customHeight="1" x14ac:dyDescent="0.2">
      <c r="C64326"/>
      <c r="M64326"/>
    </row>
    <row r="64327" spans="3:13" ht="12.75" customHeight="1" x14ac:dyDescent="0.2">
      <c r="C64327"/>
      <c r="M64327"/>
    </row>
    <row r="64328" spans="3:13" ht="12.75" customHeight="1" x14ac:dyDescent="0.2">
      <c r="C64328"/>
      <c r="M64328"/>
    </row>
    <row r="64329" spans="3:13" ht="12.75" customHeight="1" x14ac:dyDescent="0.2">
      <c r="C64329"/>
      <c r="M64329"/>
    </row>
    <row r="64330" spans="3:13" ht="12.75" customHeight="1" x14ac:dyDescent="0.2">
      <c r="C64330"/>
      <c r="M64330"/>
    </row>
    <row r="64331" spans="3:13" ht="12.75" customHeight="1" x14ac:dyDescent="0.2">
      <c r="C64331"/>
      <c r="M64331"/>
    </row>
    <row r="64332" spans="3:13" ht="12.75" customHeight="1" x14ac:dyDescent="0.2">
      <c r="C64332"/>
      <c r="M64332"/>
    </row>
    <row r="64333" spans="3:13" ht="12.75" customHeight="1" x14ac:dyDescent="0.2">
      <c r="C64333"/>
      <c r="M64333"/>
    </row>
    <row r="64334" spans="3:13" ht="12.75" customHeight="1" x14ac:dyDescent="0.2">
      <c r="C64334"/>
      <c r="M64334"/>
    </row>
    <row r="64335" spans="3:13" ht="12.75" customHeight="1" x14ac:dyDescent="0.2">
      <c r="C64335"/>
      <c r="M64335"/>
    </row>
    <row r="64336" spans="3:13" ht="12.75" customHeight="1" x14ac:dyDescent="0.2">
      <c r="C64336"/>
      <c r="M64336"/>
    </row>
    <row r="64337" spans="3:13" ht="12.75" customHeight="1" x14ac:dyDescent="0.2">
      <c r="C64337"/>
      <c r="M64337"/>
    </row>
    <row r="64338" spans="3:13" ht="12.75" customHeight="1" x14ac:dyDescent="0.2">
      <c r="C64338"/>
      <c r="M64338"/>
    </row>
    <row r="64339" spans="3:13" ht="12.75" customHeight="1" x14ac:dyDescent="0.2">
      <c r="C64339"/>
      <c r="M64339"/>
    </row>
    <row r="64340" spans="3:13" ht="12.75" customHeight="1" x14ac:dyDescent="0.2">
      <c r="C64340"/>
      <c r="M64340"/>
    </row>
    <row r="64341" spans="3:13" ht="12.75" customHeight="1" x14ac:dyDescent="0.2">
      <c r="C64341"/>
      <c r="M64341"/>
    </row>
    <row r="64342" spans="3:13" ht="12.75" customHeight="1" x14ac:dyDescent="0.2">
      <c r="C64342"/>
      <c r="M64342"/>
    </row>
    <row r="64343" spans="3:13" ht="12.75" customHeight="1" x14ac:dyDescent="0.2">
      <c r="C64343"/>
      <c r="M64343"/>
    </row>
    <row r="64344" spans="3:13" ht="12.75" customHeight="1" x14ac:dyDescent="0.2">
      <c r="C64344"/>
      <c r="M64344"/>
    </row>
    <row r="64345" spans="3:13" ht="12.75" customHeight="1" x14ac:dyDescent="0.2">
      <c r="C64345"/>
      <c r="M64345"/>
    </row>
    <row r="64346" spans="3:13" ht="12.75" customHeight="1" x14ac:dyDescent="0.2">
      <c r="C64346"/>
      <c r="M64346"/>
    </row>
    <row r="64347" spans="3:13" ht="12.75" customHeight="1" x14ac:dyDescent="0.2">
      <c r="C64347"/>
      <c r="M64347"/>
    </row>
    <row r="64348" spans="3:13" ht="12.75" customHeight="1" x14ac:dyDescent="0.2">
      <c r="C64348"/>
      <c r="M64348"/>
    </row>
    <row r="64349" spans="3:13" ht="12.75" customHeight="1" x14ac:dyDescent="0.2">
      <c r="C64349"/>
      <c r="M64349"/>
    </row>
    <row r="64350" spans="3:13" ht="12.75" customHeight="1" x14ac:dyDescent="0.2">
      <c r="C64350"/>
      <c r="M64350"/>
    </row>
    <row r="64351" spans="3:13" ht="12.75" customHeight="1" x14ac:dyDescent="0.2">
      <c r="C64351"/>
      <c r="M64351"/>
    </row>
    <row r="64352" spans="3:13" ht="12.75" customHeight="1" x14ac:dyDescent="0.2">
      <c r="C64352"/>
      <c r="M64352"/>
    </row>
    <row r="64353" spans="3:13" ht="12.75" customHeight="1" x14ac:dyDescent="0.2">
      <c r="C64353"/>
      <c r="M64353"/>
    </row>
    <row r="64354" spans="3:13" ht="12.75" customHeight="1" x14ac:dyDescent="0.2">
      <c r="C64354"/>
      <c r="M64354"/>
    </row>
    <row r="64355" spans="3:13" ht="12.75" customHeight="1" x14ac:dyDescent="0.2">
      <c r="C64355"/>
      <c r="M64355"/>
    </row>
    <row r="64356" spans="3:13" ht="12.75" customHeight="1" x14ac:dyDescent="0.2">
      <c r="C64356"/>
      <c r="M64356"/>
    </row>
    <row r="64357" spans="3:13" ht="12.75" customHeight="1" x14ac:dyDescent="0.2">
      <c r="C64357"/>
      <c r="M64357"/>
    </row>
    <row r="64358" spans="3:13" ht="12.75" customHeight="1" x14ac:dyDescent="0.2">
      <c r="C64358"/>
      <c r="M64358"/>
    </row>
    <row r="64359" spans="3:13" ht="12.75" customHeight="1" x14ac:dyDescent="0.2">
      <c r="C64359"/>
      <c r="M64359"/>
    </row>
    <row r="64360" spans="3:13" ht="12.75" customHeight="1" x14ac:dyDescent="0.2">
      <c r="C64360"/>
      <c r="M64360"/>
    </row>
    <row r="64361" spans="3:13" ht="12.75" customHeight="1" x14ac:dyDescent="0.2">
      <c r="C64361"/>
      <c r="M64361"/>
    </row>
    <row r="64362" spans="3:13" ht="12.75" customHeight="1" x14ac:dyDescent="0.2">
      <c r="C64362"/>
      <c r="M64362"/>
    </row>
    <row r="64363" spans="3:13" ht="12.75" customHeight="1" x14ac:dyDescent="0.2">
      <c r="C64363"/>
      <c r="M64363"/>
    </row>
    <row r="64364" spans="3:13" ht="12.75" customHeight="1" x14ac:dyDescent="0.2">
      <c r="C64364"/>
      <c r="M64364"/>
    </row>
    <row r="64365" spans="3:13" ht="12.75" customHeight="1" x14ac:dyDescent="0.2">
      <c r="C64365"/>
      <c r="M64365"/>
    </row>
    <row r="64366" spans="3:13" ht="12.75" customHeight="1" x14ac:dyDescent="0.2">
      <c r="C64366"/>
      <c r="M64366"/>
    </row>
    <row r="64367" spans="3:13" ht="12.75" customHeight="1" x14ac:dyDescent="0.2">
      <c r="C64367"/>
      <c r="M64367"/>
    </row>
    <row r="64368" spans="3:13" ht="12.75" customHeight="1" x14ac:dyDescent="0.2">
      <c r="C64368"/>
      <c r="M64368"/>
    </row>
    <row r="64369" spans="3:13" ht="12.75" customHeight="1" x14ac:dyDescent="0.2">
      <c r="C64369"/>
      <c r="M64369"/>
    </row>
    <row r="64370" spans="3:13" ht="12.75" customHeight="1" x14ac:dyDescent="0.2">
      <c r="C64370"/>
      <c r="M64370"/>
    </row>
    <row r="64371" spans="3:13" ht="12.75" customHeight="1" x14ac:dyDescent="0.2">
      <c r="C64371"/>
      <c r="M64371"/>
    </row>
    <row r="64372" spans="3:13" ht="12.75" customHeight="1" x14ac:dyDescent="0.2">
      <c r="C64372"/>
      <c r="M64372"/>
    </row>
    <row r="64373" spans="3:13" ht="12.75" customHeight="1" x14ac:dyDescent="0.2">
      <c r="C64373"/>
      <c r="M64373"/>
    </row>
    <row r="64374" spans="3:13" ht="12.75" customHeight="1" x14ac:dyDescent="0.2">
      <c r="C64374"/>
      <c r="M64374"/>
    </row>
    <row r="64375" spans="3:13" ht="12.75" customHeight="1" x14ac:dyDescent="0.2">
      <c r="C64375"/>
      <c r="M64375"/>
    </row>
    <row r="64376" spans="3:13" ht="12.75" customHeight="1" x14ac:dyDescent="0.2">
      <c r="C64376"/>
      <c r="M64376"/>
    </row>
    <row r="64377" spans="3:13" ht="12.75" customHeight="1" x14ac:dyDescent="0.2">
      <c r="C64377"/>
      <c r="M64377"/>
    </row>
    <row r="64378" spans="3:13" ht="12.75" customHeight="1" x14ac:dyDescent="0.2">
      <c r="C64378"/>
      <c r="M64378"/>
    </row>
    <row r="64379" spans="3:13" ht="12.75" customHeight="1" x14ac:dyDescent="0.2">
      <c r="C64379"/>
      <c r="M64379"/>
    </row>
    <row r="64380" spans="3:13" ht="12.75" customHeight="1" x14ac:dyDescent="0.2">
      <c r="C64380"/>
      <c r="M64380"/>
    </row>
    <row r="64381" spans="3:13" ht="12.75" customHeight="1" x14ac:dyDescent="0.2">
      <c r="C64381"/>
      <c r="M64381"/>
    </row>
    <row r="64382" spans="3:13" ht="12.75" customHeight="1" x14ac:dyDescent="0.2">
      <c r="C64382"/>
      <c r="M64382"/>
    </row>
    <row r="64383" spans="3:13" ht="12.75" customHeight="1" x14ac:dyDescent="0.2">
      <c r="C64383"/>
      <c r="M64383"/>
    </row>
    <row r="64384" spans="3:13" ht="12.75" customHeight="1" x14ac:dyDescent="0.2">
      <c r="C64384"/>
      <c r="M64384"/>
    </row>
    <row r="64385" spans="3:13" ht="12.75" customHeight="1" x14ac:dyDescent="0.2">
      <c r="C64385"/>
      <c r="M64385"/>
    </row>
    <row r="64386" spans="3:13" ht="12.75" customHeight="1" x14ac:dyDescent="0.2">
      <c r="C64386"/>
      <c r="M64386"/>
    </row>
    <row r="64387" spans="3:13" ht="12.75" customHeight="1" x14ac:dyDescent="0.2">
      <c r="C64387"/>
      <c r="M64387"/>
    </row>
    <row r="64388" spans="3:13" ht="12.75" customHeight="1" x14ac:dyDescent="0.2">
      <c r="C64388"/>
      <c r="M64388"/>
    </row>
    <row r="64389" spans="3:13" ht="12.75" customHeight="1" x14ac:dyDescent="0.2">
      <c r="C64389"/>
      <c r="M64389"/>
    </row>
    <row r="64390" spans="3:13" ht="12.75" customHeight="1" x14ac:dyDescent="0.2">
      <c r="C64390"/>
      <c r="M64390"/>
    </row>
    <row r="64391" spans="3:13" ht="12.75" customHeight="1" x14ac:dyDescent="0.2">
      <c r="C64391"/>
      <c r="M64391"/>
    </row>
    <row r="64392" spans="3:13" ht="12.75" customHeight="1" x14ac:dyDescent="0.2">
      <c r="C64392"/>
      <c r="M64392"/>
    </row>
    <row r="64393" spans="3:13" ht="12.75" customHeight="1" x14ac:dyDescent="0.2">
      <c r="C64393"/>
      <c r="M64393"/>
    </row>
    <row r="64394" spans="3:13" ht="12.75" customHeight="1" x14ac:dyDescent="0.2">
      <c r="C64394"/>
      <c r="M64394"/>
    </row>
    <row r="64395" spans="3:13" ht="12.75" customHeight="1" x14ac:dyDescent="0.2">
      <c r="C64395"/>
      <c r="M64395"/>
    </row>
    <row r="64396" spans="3:13" ht="12.75" customHeight="1" x14ac:dyDescent="0.2">
      <c r="C64396"/>
      <c r="M64396"/>
    </row>
    <row r="64397" spans="3:13" ht="12.75" customHeight="1" x14ac:dyDescent="0.2">
      <c r="C64397"/>
      <c r="M64397"/>
    </row>
    <row r="64398" spans="3:13" ht="12.75" customHeight="1" x14ac:dyDescent="0.2">
      <c r="C64398"/>
      <c r="M64398"/>
    </row>
    <row r="64399" spans="3:13" ht="12.75" customHeight="1" x14ac:dyDescent="0.2">
      <c r="C64399"/>
      <c r="M64399"/>
    </row>
    <row r="64400" spans="3:13" ht="12.75" customHeight="1" x14ac:dyDescent="0.2">
      <c r="C64400"/>
      <c r="M64400"/>
    </row>
    <row r="64401" spans="3:13" ht="12.75" customHeight="1" x14ac:dyDescent="0.2">
      <c r="C64401"/>
      <c r="M64401"/>
    </row>
    <row r="64402" spans="3:13" ht="12.75" customHeight="1" x14ac:dyDescent="0.2">
      <c r="C64402"/>
      <c r="M64402"/>
    </row>
    <row r="64403" spans="3:13" ht="12.75" customHeight="1" x14ac:dyDescent="0.2">
      <c r="C64403"/>
      <c r="M64403"/>
    </row>
    <row r="64404" spans="3:13" ht="12.75" customHeight="1" x14ac:dyDescent="0.2">
      <c r="C64404"/>
      <c r="M64404"/>
    </row>
    <row r="64405" spans="3:13" ht="12.75" customHeight="1" x14ac:dyDescent="0.2">
      <c r="C64405"/>
      <c r="M64405"/>
    </row>
    <row r="64406" spans="3:13" ht="12.75" customHeight="1" x14ac:dyDescent="0.2">
      <c r="C64406"/>
      <c r="M64406"/>
    </row>
    <row r="64407" spans="3:13" ht="12.75" customHeight="1" x14ac:dyDescent="0.2">
      <c r="C64407"/>
      <c r="M64407"/>
    </row>
    <row r="64408" spans="3:13" ht="12.75" customHeight="1" x14ac:dyDescent="0.2">
      <c r="C64408"/>
      <c r="M64408"/>
    </row>
    <row r="64409" spans="3:13" ht="12.75" customHeight="1" x14ac:dyDescent="0.2">
      <c r="C64409"/>
      <c r="M64409"/>
    </row>
    <row r="64410" spans="3:13" ht="12.75" customHeight="1" x14ac:dyDescent="0.2">
      <c r="C64410"/>
      <c r="M64410"/>
    </row>
    <row r="64411" spans="3:13" ht="12.75" customHeight="1" x14ac:dyDescent="0.2">
      <c r="C64411"/>
      <c r="M64411"/>
    </row>
    <row r="64412" spans="3:13" ht="12.75" customHeight="1" x14ac:dyDescent="0.2">
      <c r="C64412"/>
      <c r="M64412"/>
    </row>
    <row r="64413" spans="3:13" ht="12.75" customHeight="1" x14ac:dyDescent="0.2">
      <c r="C64413"/>
      <c r="M64413"/>
    </row>
    <row r="64414" spans="3:13" ht="12.75" customHeight="1" x14ac:dyDescent="0.2">
      <c r="C64414"/>
      <c r="M64414"/>
    </row>
    <row r="64415" spans="3:13" ht="12.75" customHeight="1" x14ac:dyDescent="0.2">
      <c r="C64415"/>
      <c r="M64415"/>
    </row>
    <row r="64416" spans="3:13" ht="12.75" customHeight="1" x14ac:dyDescent="0.2">
      <c r="C64416"/>
      <c r="M64416"/>
    </row>
    <row r="64417" spans="3:13" ht="12.75" customHeight="1" x14ac:dyDescent="0.2">
      <c r="C64417"/>
      <c r="M64417"/>
    </row>
    <row r="64418" spans="3:13" ht="12.75" customHeight="1" x14ac:dyDescent="0.2">
      <c r="C64418"/>
      <c r="M64418"/>
    </row>
    <row r="64419" spans="3:13" ht="12.75" customHeight="1" x14ac:dyDescent="0.2">
      <c r="C64419"/>
      <c r="M64419"/>
    </row>
    <row r="64420" spans="3:13" ht="12.75" customHeight="1" x14ac:dyDescent="0.2">
      <c r="C64420"/>
      <c r="M64420"/>
    </row>
    <row r="64421" spans="3:13" ht="12.75" customHeight="1" x14ac:dyDescent="0.2">
      <c r="C64421"/>
      <c r="M64421"/>
    </row>
    <row r="64422" spans="3:13" ht="12.75" customHeight="1" x14ac:dyDescent="0.2">
      <c r="C64422"/>
      <c r="M64422"/>
    </row>
    <row r="64423" spans="3:13" ht="12.75" customHeight="1" x14ac:dyDescent="0.2">
      <c r="C64423"/>
      <c r="M64423"/>
    </row>
    <row r="64424" spans="3:13" ht="12.75" customHeight="1" x14ac:dyDescent="0.2">
      <c r="C64424"/>
      <c r="M64424"/>
    </row>
    <row r="64425" spans="3:13" ht="12.75" customHeight="1" x14ac:dyDescent="0.2">
      <c r="C64425"/>
      <c r="M64425"/>
    </row>
    <row r="64426" spans="3:13" ht="12.75" customHeight="1" x14ac:dyDescent="0.2">
      <c r="C64426"/>
      <c r="M64426"/>
    </row>
    <row r="64427" spans="3:13" ht="12.75" customHeight="1" x14ac:dyDescent="0.2">
      <c r="C64427"/>
      <c r="M64427"/>
    </row>
    <row r="64428" spans="3:13" ht="12.75" customHeight="1" x14ac:dyDescent="0.2">
      <c r="C64428"/>
      <c r="M64428"/>
    </row>
    <row r="64429" spans="3:13" ht="12.75" customHeight="1" x14ac:dyDescent="0.2">
      <c r="C64429"/>
      <c r="M64429"/>
    </row>
    <row r="64430" spans="3:13" ht="12.75" customHeight="1" x14ac:dyDescent="0.2">
      <c r="C64430"/>
      <c r="M64430"/>
    </row>
    <row r="64431" spans="3:13" ht="12.75" customHeight="1" x14ac:dyDescent="0.2">
      <c r="C64431"/>
      <c r="M64431"/>
    </row>
    <row r="64432" spans="3:13" ht="12.75" customHeight="1" x14ac:dyDescent="0.2">
      <c r="C64432"/>
      <c r="M64432"/>
    </row>
    <row r="64433" spans="3:13" ht="12.75" customHeight="1" x14ac:dyDescent="0.2">
      <c r="C64433"/>
      <c r="M64433"/>
    </row>
    <row r="64434" spans="3:13" ht="12.75" customHeight="1" x14ac:dyDescent="0.2">
      <c r="C64434"/>
      <c r="M64434"/>
    </row>
    <row r="64435" spans="3:13" ht="12.75" customHeight="1" x14ac:dyDescent="0.2">
      <c r="C64435"/>
      <c r="M64435"/>
    </row>
    <row r="64436" spans="3:13" ht="12.75" customHeight="1" x14ac:dyDescent="0.2">
      <c r="C64436"/>
      <c r="M64436"/>
    </row>
    <row r="64437" spans="3:13" ht="12.75" customHeight="1" x14ac:dyDescent="0.2">
      <c r="C64437"/>
      <c r="M64437"/>
    </row>
    <row r="64438" spans="3:13" ht="12.75" customHeight="1" x14ac:dyDescent="0.2">
      <c r="C64438"/>
      <c r="M64438"/>
    </row>
    <row r="64439" spans="3:13" ht="12.75" customHeight="1" x14ac:dyDescent="0.2">
      <c r="C64439"/>
      <c r="M64439"/>
    </row>
    <row r="64440" spans="3:13" ht="12.75" customHeight="1" x14ac:dyDescent="0.2">
      <c r="C64440"/>
      <c r="M64440"/>
    </row>
    <row r="64441" spans="3:13" ht="12.75" customHeight="1" x14ac:dyDescent="0.2">
      <c r="C64441"/>
      <c r="M64441"/>
    </row>
    <row r="64442" spans="3:13" ht="12.75" customHeight="1" x14ac:dyDescent="0.2">
      <c r="C64442"/>
      <c r="M64442"/>
    </row>
    <row r="64443" spans="3:13" ht="12.75" customHeight="1" x14ac:dyDescent="0.2">
      <c r="C64443"/>
      <c r="M64443"/>
    </row>
    <row r="64444" spans="3:13" ht="12.75" customHeight="1" x14ac:dyDescent="0.2">
      <c r="C64444"/>
      <c r="M64444"/>
    </row>
    <row r="64445" spans="3:13" ht="12.75" customHeight="1" x14ac:dyDescent="0.2">
      <c r="C64445"/>
      <c r="M64445"/>
    </row>
    <row r="64446" spans="3:13" ht="12.75" customHeight="1" x14ac:dyDescent="0.2">
      <c r="C64446"/>
      <c r="M64446"/>
    </row>
    <row r="64447" spans="3:13" ht="12.75" customHeight="1" x14ac:dyDescent="0.2">
      <c r="C64447"/>
      <c r="M64447"/>
    </row>
    <row r="64448" spans="3:13" ht="12.75" customHeight="1" x14ac:dyDescent="0.2">
      <c r="C64448"/>
      <c r="M64448"/>
    </row>
    <row r="64449" spans="3:13" ht="12.75" customHeight="1" x14ac:dyDescent="0.2">
      <c r="C64449"/>
      <c r="M64449"/>
    </row>
    <row r="64450" spans="3:13" ht="12.75" customHeight="1" x14ac:dyDescent="0.2">
      <c r="C64450"/>
      <c r="M64450"/>
    </row>
    <row r="64451" spans="3:13" ht="12.75" customHeight="1" x14ac:dyDescent="0.2">
      <c r="C64451"/>
      <c r="M64451"/>
    </row>
    <row r="64452" spans="3:13" ht="12.75" customHeight="1" x14ac:dyDescent="0.2">
      <c r="C64452"/>
      <c r="M64452"/>
    </row>
    <row r="64453" spans="3:13" ht="12.75" customHeight="1" x14ac:dyDescent="0.2">
      <c r="C64453"/>
      <c r="M64453"/>
    </row>
    <row r="64454" spans="3:13" ht="12.75" customHeight="1" x14ac:dyDescent="0.2">
      <c r="C64454"/>
      <c r="M64454"/>
    </row>
    <row r="64455" spans="3:13" ht="12.75" customHeight="1" x14ac:dyDescent="0.2">
      <c r="C64455"/>
      <c r="M64455"/>
    </row>
    <row r="64456" spans="3:13" ht="12.75" customHeight="1" x14ac:dyDescent="0.2">
      <c r="C64456"/>
      <c r="M64456"/>
    </row>
    <row r="64457" spans="3:13" ht="12.75" customHeight="1" x14ac:dyDescent="0.2">
      <c r="C64457"/>
      <c r="M64457"/>
    </row>
    <row r="64458" spans="3:13" ht="12.75" customHeight="1" x14ac:dyDescent="0.2">
      <c r="C64458"/>
      <c r="M64458"/>
    </row>
    <row r="64459" spans="3:13" ht="12.75" customHeight="1" x14ac:dyDescent="0.2">
      <c r="C64459"/>
      <c r="M64459"/>
    </row>
    <row r="64460" spans="3:13" ht="12.75" customHeight="1" x14ac:dyDescent="0.2">
      <c r="C64460"/>
      <c r="M64460"/>
    </row>
    <row r="64461" spans="3:13" ht="12.75" customHeight="1" x14ac:dyDescent="0.2">
      <c r="C64461"/>
      <c r="M64461"/>
    </row>
    <row r="64462" spans="3:13" ht="12.75" customHeight="1" x14ac:dyDescent="0.2">
      <c r="C64462"/>
      <c r="M64462"/>
    </row>
    <row r="64463" spans="3:13" ht="12.75" customHeight="1" x14ac:dyDescent="0.2">
      <c r="C64463"/>
      <c r="M64463"/>
    </row>
    <row r="64464" spans="3:13" ht="12.75" customHeight="1" x14ac:dyDescent="0.2">
      <c r="C64464"/>
      <c r="M64464"/>
    </row>
    <row r="64465" spans="3:13" ht="12.75" customHeight="1" x14ac:dyDescent="0.2">
      <c r="C64465"/>
      <c r="M64465"/>
    </row>
    <row r="64466" spans="3:13" ht="12.75" customHeight="1" x14ac:dyDescent="0.2">
      <c r="C64466"/>
      <c r="M64466"/>
    </row>
    <row r="64467" spans="3:13" ht="12.75" customHeight="1" x14ac:dyDescent="0.2">
      <c r="C64467"/>
      <c r="M64467"/>
    </row>
    <row r="64468" spans="3:13" ht="12.75" customHeight="1" x14ac:dyDescent="0.2">
      <c r="C64468"/>
      <c r="M64468"/>
    </row>
    <row r="64469" spans="3:13" ht="12.75" customHeight="1" x14ac:dyDescent="0.2">
      <c r="C64469"/>
      <c r="M64469"/>
    </row>
    <row r="64470" spans="3:13" ht="12.75" customHeight="1" x14ac:dyDescent="0.2">
      <c r="C64470"/>
      <c r="M64470"/>
    </row>
    <row r="64471" spans="3:13" ht="12.75" customHeight="1" x14ac:dyDescent="0.2">
      <c r="C64471"/>
      <c r="M64471"/>
    </row>
    <row r="64472" spans="3:13" ht="12.75" customHeight="1" x14ac:dyDescent="0.2">
      <c r="C64472"/>
      <c r="M64472"/>
    </row>
    <row r="64473" spans="3:13" ht="12.75" customHeight="1" x14ac:dyDescent="0.2">
      <c r="C64473"/>
      <c r="M64473"/>
    </row>
    <row r="64474" spans="3:13" ht="12.75" customHeight="1" x14ac:dyDescent="0.2">
      <c r="C64474"/>
      <c r="M64474"/>
    </row>
    <row r="64475" spans="3:13" ht="12.75" customHeight="1" x14ac:dyDescent="0.2">
      <c r="C64475"/>
      <c r="M64475"/>
    </row>
    <row r="64476" spans="3:13" ht="12.75" customHeight="1" x14ac:dyDescent="0.2">
      <c r="C64476"/>
      <c r="M64476"/>
    </row>
    <row r="64477" spans="3:13" ht="12.75" customHeight="1" x14ac:dyDescent="0.2">
      <c r="C64477"/>
      <c r="M64477"/>
    </row>
    <row r="64478" spans="3:13" ht="12.75" customHeight="1" x14ac:dyDescent="0.2">
      <c r="C64478"/>
      <c r="M64478"/>
    </row>
    <row r="64479" spans="3:13" ht="12.75" customHeight="1" x14ac:dyDescent="0.2">
      <c r="C64479"/>
      <c r="M64479"/>
    </row>
    <row r="64480" spans="3:13" ht="12.75" customHeight="1" x14ac:dyDescent="0.2">
      <c r="C64480"/>
      <c r="M64480"/>
    </row>
    <row r="64481" spans="3:13" ht="12.75" customHeight="1" x14ac:dyDescent="0.2">
      <c r="C64481"/>
      <c r="M64481"/>
    </row>
    <row r="64482" spans="3:13" ht="12.75" customHeight="1" x14ac:dyDescent="0.2">
      <c r="C64482"/>
      <c r="M64482"/>
    </row>
    <row r="64483" spans="3:13" ht="12.75" customHeight="1" x14ac:dyDescent="0.2">
      <c r="C64483"/>
      <c r="M64483"/>
    </row>
    <row r="64484" spans="3:13" ht="12.75" customHeight="1" x14ac:dyDescent="0.2">
      <c r="C64484"/>
      <c r="M64484"/>
    </row>
    <row r="64485" spans="3:13" ht="12.75" customHeight="1" x14ac:dyDescent="0.2">
      <c r="C64485"/>
      <c r="M64485"/>
    </row>
    <row r="64486" spans="3:13" ht="12.75" customHeight="1" x14ac:dyDescent="0.2">
      <c r="C64486"/>
      <c r="M64486"/>
    </row>
    <row r="64487" spans="3:13" ht="12.75" customHeight="1" x14ac:dyDescent="0.2">
      <c r="C64487"/>
      <c r="M64487"/>
    </row>
    <row r="64488" spans="3:13" ht="12.75" customHeight="1" x14ac:dyDescent="0.2">
      <c r="C64488"/>
      <c r="M64488"/>
    </row>
    <row r="64489" spans="3:13" ht="12.75" customHeight="1" x14ac:dyDescent="0.2">
      <c r="C64489"/>
      <c r="M64489"/>
    </row>
    <row r="64490" spans="3:13" ht="12.75" customHeight="1" x14ac:dyDescent="0.2">
      <c r="C64490"/>
      <c r="M64490"/>
    </row>
    <row r="64491" spans="3:13" ht="12.75" customHeight="1" x14ac:dyDescent="0.2">
      <c r="C64491"/>
      <c r="M64491"/>
    </row>
    <row r="64492" spans="3:13" ht="12.75" customHeight="1" x14ac:dyDescent="0.2">
      <c r="C64492"/>
      <c r="M64492"/>
    </row>
    <row r="64493" spans="3:13" ht="12.75" customHeight="1" x14ac:dyDescent="0.2">
      <c r="C64493"/>
      <c r="M64493"/>
    </row>
    <row r="64494" spans="3:13" ht="12.75" customHeight="1" x14ac:dyDescent="0.2">
      <c r="C64494"/>
      <c r="M64494"/>
    </row>
    <row r="64495" spans="3:13" ht="12.75" customHeight="1" x14ac:dyDescent="0.2">
      <c r="C64495"/>
      <c r="M64495"/>
    </row>
    <row r="64496" spans="3:13" ht="12.75" customHeight="1" x14ac:dyDescent="0.2">
      <c r="C64496"/>
      <c r="M64496"/>
    </row>
    <row r="64497" spans="3:13" ht="12.75" customHeight="1" x14ac:dyDescent="0.2">
      <c r="C64497"/>
      <c r="M64497"/>
    </row>
    <row r="64498" spans="3:13" ht="12.75" customHeight="1" x14ac:dyDescent="0.2">
      <c r="C64498"/>
      <c r="M64498"/>
    </row>
    <row r="64499" spans="3:13" ht="12.75" customHeight="1" x14ac:dyDescent="0.2">
      <c r="C64499"/>
      <c r="M64499"/>
    </row>
    <row r="64500" spans="3:13" ht="12.75" customHeight="1" x14ac:dyDescent="0.2">
      <c r="C64500"/>
      <c r="M64500"/>
    </row>
    <row r="64501" spans="3:13" ht="12.75" customHeight="1" x14ac:dyDescent="0.2">
      <c r="C64501"/>
      <c r="M64501"/>
    </row>
    <row r="64502" spans="3:13" ht="12.75" customHeight="1" x14ac:dyDescent="0.2">
      <c r="C64502"/>
      <c r="M64502"/>
    </row>
    <row r="64503" spans="3:13" ht="12.75" customHeight="1" x14ac:dyDescent="0.2">
      <c r="C64503"/>
      <c r="M64503"/>
    </row>
    <row r="64504" spans="3:13" ht="12.75" customHeight="1" x14ac:dyDescent="0.2">
      <c r="C64504"/>
      <c r="M64504"/>
    </row>
    <row r="64505" spans="3:13" ht="12.75" customHeight="1" x14ac:dyDescent="0.2">
      <c r="C64505"/>
      <c r="M64505"/>
    </row>
    <row r="64506" spans="3:13" ht="12.75" customHeight="1" x14ac:dyDescent="0.2">
      <c r="C64506"/>
      <c r="M64506"/>
    </row>
    <row r="64507" spans="3:13" ht="12.75" customHeight="1" x14ac:dyDescent="0.2">
      <c r="C64507"/>
      <c r="M64507"/>
    </row>
    <row r="64508" spans="3:13" ht="12.75" customHeight="1" x14ac:dyDescent="0.2">
      <c r="C64508"/>
      <c r="M64508"/>
    </row>
    <row r="64509" spans="3:13" ht="12.75" customHeight="1" x14ac:dyDescent="0.2">
      <c r="C64509"/>
      <c r="M64509"/>
    </row>
    <row r="64510" spans="3:13" ht="12.75" customHeight="1" x14ac:dyDescent="0.2">
      <c r="C64510"/>
      <c r="M64510"/>
    </row>
    <row r="64511" spans="3:13" ht="12.75" customHeight="1" x14ac:dyDescent="0.2">
      <c r="C64511"/>
      <c r="M64511"/>
    </row>
    <row r="64512" spans="3:13" ht="12.75" customHeight="1" x14ac:dyDescent="0.2">
      <c r="C64512"/>
      <c r="M64512"/>
    </row>
    <row r="64513" spans="3:13" ht="12.75" customHeight="1" x14ac:dyDescent="0.2">
      <c r="C64513"/>
      <c r="M64513"/>
    </row>
    <row r="64514" spans="3:13" ht="12.75" customHeight="1" x14ac:dyDescent="0.2">
      <c r="C64514"/>
      <c r="M64514"/>
    </row>
    <row r="64515" spans="3:13" ht="12.75" customHeight="1" x14ac:dyDescent="0.2">
      <c r="C64515"/>
      <c r="M64515"/>
    </row>
    <row r="64516" spans="3:13" ht="12.75" customHeight="1" x14ac:dyDescent="0.2">
      <c r="C64516"/>
      <c r="M64516"/>
    </row>
    <row r="64517" spans="3:13" ht="12.75" customHeight="1" x14ac:dyDescent="0.2">
      <c r="C64517"/>
      <c r="M64517"/>
    </row>
    <row r="64518" spans="3:13" ht="12.75" customHeight="1" x14ac:dyDescent="0.2">
      <c r="C64518"/>
      <c r="M64518"/>
    </row>
    <row r="64519" spans="3:13" ht="12.75" customHeight="1" x14ac:dyDescent="0.2">
      <c r="C64519"/>
      <c r="M64519"/>
    </row>
    <row r="64520" spans="3:13" ht="12.75" customHeight="1" x14ac:dyDescent="0.2">
      <c r="C64520"/>
      <c r="M64520"/>
    </row>
    <row r="64521" spans="3:13" ht="12.75" customHeight="1" x14ac:dyDescent="0.2">
      <c r="C64521"/>
      <c r="M64521"/>
    </row>
    <row r="64522" spans="3:13" ht="12.75" customHeight="1" x14ac:dyDescent="0.2">
      <c r="C64522"/>
      <c r="M64522"/>
    </row>
    <row r="64523" spans="3:13" ht="12.75" customHeight="1" x14ac:dyDescent="0.2">
      <c r="C64523"/>
      <c r="M64523"/>
    </row>
    <row r="64524" spans="3:13" ht="12.75" customHeight="1" x14ac:dyDescent="0.2">
      <c r="C64524"/>
      <c r="M64524"/>
    </row>
    <row r="64525" spans="3:13" ht="12.75" customHeight="1" x14ac:dyDescent="0.2">
      <c r="C64525"/>
      <c r="M64525"/>
    </row>
    <row r="64526" spans="3:13" ht="12.75" customHeight="1" x14ac:dyDescent="0.2">
      <c r="C64526"/>
      <c r="M64526"/>
    </row>
    <row r="64527" spans="3:13" ht="12.75" customHeight="1" x14ac:dyDescent="0.2">
      <c r="C64527"/>
      <c r="M64527"/>
    </row>
    <row r="64528" spans="3:13" ht="12.75" customHeight="1" x14ac:dyDescent="0.2">
      <c r="C64528"/>
      <c r="M64528"/>
    </row>
    <row r="64529" spans="3:13" ht="12.75" customHeight="1" x14ac:dyDescent="0.2">
      <c r="C64529"/>
      <c r="M64529"/>
    </row>
    <row r="64530" spans="3:13" ht="12.75" customHeight="1" x14ac:dyDescent="0.2">
      <c r="C64530"/>
      <c r="M64530"/>
    </row>
    <row r="64531" spans="3:13" ht="12.75" customHeight="1" x14ac:dyDescent="0.2">
      <c r="C64531"/>
      <c r="M64531"/>
    </row>
    <row r="64532" spans="3:13" ht="12.75" customHeight="1" x14ac:dyDescent="0.2">
      <c r="C64532"/>
      <c r="M64532"/>
    </row>
    <row r="64533" spans="3:13" ht="12.75" customHeight="1" x14ac:dyDescent="0.2">
      <c r="C64533"/>
      <c r="M64533"/>
    </row>
    <row r="64534" spans="3:13" ht="12.75" customHeight="1" x14ac:dyDescent="0.2">
      <c r="C64534"/>
      <c r="M64534"/>
    </row>
    <row r="64535" spans="3:13" ht="12.75" customHeight="1" x14ac:dyDescent="0.2">
      <c r="C64535"/>
      <c r="M64535"/>
    </row>
    <row r="64536" spans="3:13" ht="12.75" customHeight="1" x14ac:dyDescent="0.2">
      <c r="C64536"/>
      <c r="M64536"/>
    </row>
    <row r="64537" spans="3:13" ht="12.75" customHeight="1" x14ac:dyDescent="0.2">
      <c r="C64537"/>
      <c r="M64537"/>
    </row>
    <row r="64538" spans="3:13" ht="12.75" customHeight="1" x14ac:dyDescent="0.2">
      <c r="C64538"/>
      <c r="M64538"/>
    </row>
    <row r="64539" spans="3:13" ht="12.75" customHeight="1" x14ac:dyDescent="0.2">
      <c r="C64539"/>
      <c r="M64539"/>
    </row>
    <row r="64540" spans="3:13" ht="12.75" customHeight="1" x14ac:dyDescent="0.2">
      <c r="C64540"/>
      <c r="M64540"/>
    </row>
    <row r="64541" spans="3:13" ht="12.75" customHeight="1" x14ac:dyDescent="0.2">
      <c r="C64541"/>
      <c r="M64541"/>
    </row>
    <row r="64542" spans="3:13" ht="12.75" customHeight="1" x14ac:dyDescent="0.2">
      <c r="C64542"/>
      <c r="M64542"/>
    </row>
    <row r="64543" spans="3:13" ht="12.75" customHeight="1" x14ac:dyDescent="0.2">
      <c r="C64543"/>
      <c r="M64543"/>
    </row>
    <row r="64544" spans="3:13" ht="12.75" customHeight="1" x14ac:dyDescent="0.2">
      <c r="C64544"/>
      <c r="M64544"/>
    </row>
    <row r="64545" spans="3:13" ht="12.75" customHeight="1" x14ac:dyDescent="0.2">
      <c r="C64545"/>
      <c r="M64545"/>
    </row>
    <row r="64546" spans="3:13" ht="12.75" customHeight="1" x14ac:dyDescent="0.2">
      <c r="C64546"/>
      <c r="M64546"/>
    </row>
    <row r="64547" spans="3:13" ht="12.75" customHeight="1" x14ac:dyDescent="0.2">
      <c r="C64547"/>
      <c r="M64547"/>
    </row>
    <row r="64548" spans="3:13" ht="12.75" customHeight="1" x14ac:dyDescent="0.2">
      <c r="C64548"/>
      <c r="M64548"/>
    </row>
    <row r="64549" spans="3:13" ht="12.75" customHeight="1" x14ac:dyDescent="0.2">
      <c r="C64549"/>
      <c r="M64549"/>
    </row>
    <row r="64550" spans="3:13" ht="12.75" customHeight="1" x14ac:dyDescent="0.2">
      <c r="C64550"/>
      <c r="M64550"/>
    </row>
    <row r="64551" spans="3:13" ht="12.75" customHeight="1" x14ac:dyDescent="0.2">
      <c r="C64551"/>
      <c r="M64551"/>
    </row>
    <row r="64552" spans="3:13" ht="12.75" customHeight="1" x14ac:dyDescent="0.2">
      <c r="C64552"/>
      <c r="M64552"/>
    </row>
    <row r="64553" spans="3:13" ht="12.75" customHeight="1" x14ac:dyDescent="0.2">
      <c r="C64553"/>
      <c r="M64553"/>
    </row>
    <row r="64554" spans="3:13" ht="12.75" customHeight="1" x14ac:dyDescent="0.2">
      <c r="C64554"/>
      <c r="M64554"/>
    </row>
    <row r="64555" spans="3:13" ht="12.75" customHeight="1" x14ac:dyDescent="0.2">
      <c r="C64555"/>
      <c r="M64555"/>
    </row>
    <row r="64556" spans="3:13" ht="12.75" customHeight="1" x14ac:dyDescent="0.2">
      <c r="C64556"/>
      <c r="M64556"/>
    </row>
    <row r="64557" spans="3:13" ht="12.75" customHeight="1" x14ac:dyDescent="0.2">
      <c r="C64557"/>
      <c r="M64557"/>
    </row>
    <row r="64558" spans="3:13" ht="12.75" customHeight="1" x14ac:dyDescent="0.2">
      <c r="C64558"/>
      <c r="M64558"/>
    </row>
    <row r="64559" spans="3:13" ht="12.75" customHeight="1" x14ac:dyDescent="0.2">
      <c r="C64559"/>
      <c r="M64559"/>
    </row>
    <row r="64560" spans="3:13" ht="12.75" customHeight="1" x14ac:dyDescent="0.2">
      <c r="C64560"/>
      <c r="M64560"/>
    </row>
    <row r="64561" spans="3:13" ht="12.75" customHeight="1" x14ac:dyDescent="0.2">
      <c r="C64561"/>
      <c r="M64561"/>
    </row>
    <row r="64562" spans="3:13" ht="12.75" customHeight="1" x14ac:dyDescent="0.2">
      <c r="C64562"/>
      <c r="M64562"/>
    </row>
    <row r="64563" spans="3:13" ht="12.75" customHeight="1" x14ac:dyDescent="0.2">
      <c r="C64563"/>
      <c r="M64563"/>
    </row>
    <row r="64564" spans="3:13" ht="12.75" customHeight="1" x14ac:dyDescent="0.2">
      <c r="C64564"/>
      <c r="M64564"/>
    </row>
    <row r="64565" spans="3:13" ht="12.75" customHeight="1" x14ac:dyDescent="0.2">
      <c r="C64565"/>
      <c r="M64565"/>
    </row>
    <row r="64566" spans="3:13" ht="12.75" customHeight="1" x14ac:dyDescent="0.2">
      <c r="C64566"/>
      <c r="M64566"/>
    </row>
    <row r="64567" spans="3:13" ht="12.75" customHeight="1" x14ac:dyDescent="0.2">
      <c r="C64567"/>
      <c r="M64567"/>
    </row>
    <row r="64568" spans="3:13" ht="12.75" customHeight="1" x14ac:dyDescent="0.2">
      <c r="C64568"/>
      <c r="M64568"/>
    </row>
    <row r="64569" spans="3:13" ht="12.75" customHeight="1" x14ac:dyDescent="0.2">
      <c r="C64569"/>
      <c r="M64569"/>
    </row>
    <row r="64570" spans="3:13" ht="12.75" customHeight="1" x14ac:dyDescent="0.2">
      <c r="C64570"/>
      <c r="M64570"/>
    </row>
    <row r="64571" spans="3:13" ht="12.75" customHeight="1" x14ac:dyDescent="0.2">
      <c r="C64571"/>
      <c r="M64571"/>
    </row>
    <row r="64572" spans="3:13" ht="12.75" customHeight="1" x14ac:dyDescent="0.2">
      <c r="C64572"/>
      <c r="M64572"/>
    </row>
    <row r="64573" spans="3:13" ht="12.75" customHeight="1" x14ac:dyDescent="0.2">
      <c r="C64573"/>
      <c r="M64573"/>
    </row>
    <row r="64574" spans="3:13" ht="12.75" customHeight="1" x14ac:dyDescent="0.2">
      <c r="C64574"/>
      <c r="M64574"/>
    </row>
    <row r="64575" spans="3:13" ht="12.75" customHeight="1" x14ac:dyDescent="0.2">
      <c r="C64575"/>
      <c r="M64575"/>
    </row>
    <row r="64576" spans="3:13" ht="12.75" customHeight="1" x14ac:dyDescent="0.2">
      <c r="C64576"/>
      <c r="M64576"/>
    </row>
    <row r="64577" spans="3:13" ht="12.75" customHeight="1" x14ac:dyDescent="0.2">
      <c r="C64577"/>
      <c r="M64577"/>
    </row>
    <row r="64578" spans="3:13" ht="12.75" customHeight="1" x14ac:dyDescent="0.2">
      <c r="C64578"/>
      <c r="M64578"/>
    </row>
    <row r="64579" spans="3:13" ht="12.75" customHeight="1" x14ac:dyDescent="0.2">
      <c r="C64579"/>
      <c r="M64579"/>
    </row>
    <row r="64580" spans="3:13" ht="12.75" customHeight="1" x14ac:dyDescent="0.2">
      <c r="C64580"/>
      <c r="M64580"/>
    </row>
    <row r="64581" spans="3:13" ht="12.75" customHeight="1" x14ac:dyDescent="0.2">
      <c r="C64581"/>
      <c r="M64581"/>
    </row>
    <row r="64582" spans="3:13" ht="12.75" customHeight="1" x14ac:dyDescent="0.2">
      <c r="C64582"/>
      <c r="M64582"/>
    </row>
    <row r="64583" spans="3:13" ht="12.75" customHeight="1" x14ac:dyDescent="0.2">
      <c r="C64583"/>
      <c r="M64583"/>
    </row>
    <row r="64584" spans="3:13" ht="12.75" customHeight="1" x14ac:dyDescent="0.2">
      <c r="C64584"/>
      <c r="M64584"/>
    </row>
    <row r="64585" spans="3:13" ht="12.75" customHeight="1" x14ac:dyDescent="0.2">
      <c r="C64585"/>
      <c r="M64585"/>
    </row>
    <row r="64586" spans="3:13" ht="12.75" customHeight="1" x14ac:dyDescent="0.2">
      <c r="C64586"/>
      <c r="M64586"/>
    </row>
    <row r="64587" spans="3:13" ht="12.75" customHeight="1" x14ac:dyDescent="0.2">
      <c r="C64587"/>
      <c r="M64587"/>
    </row>
    <row r="64588" spans="3:13" ht="12.75" customHeight="1" x14ac:dyDescent="0.2">
      <c r="C64588"/>
      <c r="M64588"/>
    </row>
    <row r="64589" spans="3:13" ht="12.75" customHeight="1" x14ac:dyDescent="0.2">
      <c r="C64589"/>
      <c r="M64589"/>
    </row>
    <row r="64590" spans="3:13" ht="12.75" customHeight="1" x14ac:dyDescent="0.2">
      <c r="C64590"/>
      <c r="M64590"/>
    </row>
    <row r="64591" spans="3:13" ht="12.75" customHeight="1" x14ac:dyDescent="0.2">
      <c r="C64591"/>
      <c r="M64591"/>
    </row>
    <row r="64592" spans="3:13" ht="12.75" customHeight="1" x14ac:dyDescent="0.2">
      <c r="C64592"/>
      <c r="M64592"/>
    </row>
    <row r="64593" spans="3:13" ht="12.75" customHeight="1" x14ac:dyDescent="0.2">
      <c r="C64593"/>
      <c r="M64593"/>
    </row>
    <row r="64594" spans="3:13" ht="12.75" customHeight="1" x14ac:dyDescent="0.2">
      <c r="C64594"/>
      <c r="M64594"/>
    </row>
    <row r="64595" spans="3:13" ht="12.75" customHeight="1" x14ac:dyDescent="0.2">
      <c r="C64595"/>
      <c r="M64595"/>
    </row>
    <row r="64596" spans="3:13" ht="12.75" customHeight="1" x14ac:dyDescent="0.2">
      <c r="C64596"/>
      <c r="M64596"/>
    </row>
    <row r="64597" spans="3:13" ht="12.75" customHeight="1" x14ac:dyDescent="0.2">
      <c r="C64597"/>
      <c r="M64597"/>
    </row>
    <row r="64598" spans="3:13" ht="12.75" customHeight="1" x14ac:dyDescent="0.2">
      <c r="C64598"/>
      <c r="M64598"/>
    </row>
    <row r="64599" spans="3:13" ht="12.75" customHeight="1" x14ac:dyDescent="0.2">
      <c r="C64599"/>
      <c r="M64599"/>
    </row>
    <row r="64600" spans="3:13" ht="12.75" customHeight="1" x14ac:dyDescent="0.2">
      <c r="C64600"/>
      <c r="M64600"/>
    </row>
    <row r="64601" spans="3:13" ht="12.75" customHeight="1" x14ac:dyDescent="0.2">
      <c r="C64601"/>
      <c r="M64601"/>
    </row>
    <row r="64602" spans="3:13" ht="12.75" customHeight="1" x14ac:dyDescent="0.2">
      <c r="C64602"/>
      <c r="M64602"/>
    </row>
    <row r="64603" spans="3:13" ht="12.75" customHeight="1" x14ac:dyDescent="0.2">
      <c r="C64603"/>
      <c r="M64603"/>
    </row>
    <row r="64604" spans="3:13" ht="12.75" customHeight="1" x14ac:dyDescent="0.2">
      <c r="C64604"/>
      <c r="M64604"/>
    </row>
    <row r="64605" spans="3:13" ht="12.75" customHeight="1" x14ac:dyDescent="0.2">
      <c r="C64605"/>
      <c r="M64605"/>
    </row>
    <row r="64606" spans="3:13" ht="12.75" customHeight="1" x14ac:dyDescent="0.2">
      <c r="C64606"/>
      <c r="M64606"/>
    </row>
    <row r="64607" spans="3:13" ht="12.75" customHeight="1" x14ac:dyDescent="0.2">
      <c r="C64607"/>
      <c r="M64607"/>
    </row>
    <row r="64608" spans="3:13" ht="12.75" customHeight="1" x14ac:dyDescent="0.2">
      <c r="C64608"/>
      <c r="M64608"/>
    </row>
    <row r="64609" spans="3:13" ht="12.75" customHeight="1" x14ac:dyDescent="0.2">
      <c r="C64609"/>
      <c r="M64609"/>
    </row>
    <row r="64610" spans="3:13" ht="12.75" customHeight="1" x14ac:dyDescent="0.2">
      <c r="C64610"/>
      <c r="M64610"/>
    </row>
    <row r="64611" spans="3:13" ht="12.75" customHeight="1" x14ac:dyDescent="0.2">
      <c r="C64611"/>
      <c r="M64611"/>
    </row>
    <row r="64612" spans="3:13" ht="12.75" customHeight="1" x14ac:dyDescent="0.2">
      <c r="C64612"/>
      <c r="M64612"/>
    </row>
    <row r="64613" spans="3:13" ht="12.75" customHeight="1" x14ac:dyDescent="0.2">
      <c r="C64613"/>
      <c r="M64613"/>
    </row>
    <row r="64614" spans="3:13" ht="12.75" customHeight="1" x14ac:dyDescent="0.2">
      <c r="C64614"/>
      <c r="M64614"/>
    </row>
    <row r="64615" spans="3:13" ht="12.75" customHeight="1" x14ac:dyDescent="0.2">
      <c r="C64615"/>
      <c r="M64615"/>
    </row>
    <row r="64616" spans="3:13" ht="12.75" customHeight="1" x14ac:dyDescent="0.2">
      <c r="C64616"/>
      <c r="M64616"/>
    </row>
    <row r="64617" spans="3:13" ht="12.75" customHeight="1" x14ac:dyDescent="0.2">
      <c r="C64617"/>
      <c r="M64617"/>
    </row>
    <row r="64618" spans="3:13" ht="12.75" customHeight="1" x14ac:dyDescent="0.2">
      <c r="C64618"/>
      <c r="M64618"/>
    </row>
    <row r="64619" spans="3:13" ht="12.75" customHeight="1" x14ac:dyDescent="0.2">
      <c r="C64619"/>
      <c r="M64619"/>
    </row>
    <row r="64620" spans="3:13" ht="12.75" customHeight="1" x14ac:dyDescent="0.2">
      <c r="C64620"/>
      <c r="M64620"/>
    </row>
    <row r="64621" spans="3:13" ht="12.75" customHeight="1" x14ac:dyDescent="0.2">
      <c r="C64621"/>
      <c r="M64621"/>
    </row>
    <row r="64622" spans="3:13" ht="12.75" customHeight="1" x14ac:dyDescent="0.2">
      <c r="C64622"/>
      <c r="M64622"/>
    </row>
    <row r="64623" spans="3:13" ht="12.75" customHeight="1" x14ac:dyDescent="0.2">
      <c r="C64623"/>
      <c r="M64623"/>
    </row>
    <row r="64624" spans="3:13" ht="12.75" customHeight="1" x14ac:dyDescent="0.2">
      <c r="C64624"/>
      <c r="M64624"/>
    </row>
    <row r="64625" spans="3:13" ht="12.75" customHeight="1" x14ac:dyDescent="0.2">
      <c r="C64625"/>
      <c r="M64625"/>
    </row>
    <row r="64626" spans="3:13" ht="12.75" customHeight="1" x14ac:dyDescent="0.2">
      <c r="C64626"/>
      <c r="M64626"/>
    </row>
    <row r="64627" spans="3:13" ht="12.75" customHeight="1" x14ac:dyDescent="0.2">
      <c r="C64627"/>
      <c r="M64627"/>
    </row>
    <row r="64628" spans="3:13" ht="12.75" customHeight="1" x14ac:dyDescent="0.2">
      <c r="C64628"/>
      <c r="M64628"/>
    </row>
    <row r="64629" spans="3:13" ht="12.75" customHeight="1" x14ac:dyDescent="0.2">
      <c r="C64629"/>
      <c r="M64629"/>
    </row>
    <row r="64630" spans="3:13" ht="12.75" customHeight="1" x14ac:dyDescent="0.2">
      <c r="C64630"/>
      <c r="M64630"/>
    </row>
    <row r="64631" spans="3:13" ht="12.75" customHeight="1" x14ac:dyDescent="0.2">
      <c r="C64631"/>
      <c r="M64631"/>
    </row>
    <row r="64632" spans="3:13" ht="12.75" customHeight="1" x14ac:dyDescent="0.2">
      <c r="C64632"/>
      <c r="M64632"/>
    </row>
    <row r="64633" spans="3:13" ht="12.75" customHeight="1" x14ac:dyDescent="0.2">
      <c r="C64633"/>
      <c r="M64633"/>
    </row>
    <row r="64634" spans="3:13" ht="12.75" customHeight="1" x14ac:dyDescent="0.2">
      <c r="C64634"/>
      <c r="M64634"/>
    </row>
    <row r="64635" spans="3:13" ht="12.75" customHeight="1" x14ac:dyDescent="0.2">
      <c r="C64635"/>
      <c r="M64635"/>
    </row>
    <row r="64636" spans="3:13" ht="12.75" customHeight="1" x14ac:dyDescent="0.2">
      <c r="C64636"/>
      <c r="M64636"/>
    </row>
    <row r="64637" spans="3:13" ht="12.75" customHeight="1" x14ac:dyDescent="0.2">
      <c r="C64637"/>
      <c r="M64637"/>
    </row>
    <row r="64638" spans="3:13" ht="12.75" customHeight="1" x14ac:dyDescent="0.2">
      <c r="C64638"/>
      <c r="M64638"/>
    </row>
    <row r="64639" spans="3:13" ht="12.75" customHeight="1" x14ac:dyDescent="0.2">
      <c r="C64639"/>
      <c r="M64639"/>
    </row>
    <row r="64640" spans="3:13" ht="12.75" customHeight="1" x14ac:dyDescent="0.2">
      <c r="C64640"/>
      <c r="M64640"/>
    </row>
    <row r="64641" spans="3:13" ht="12.75" customHeight="1" x14ac:dyDescent="0.2">
      <c r="C64641"/>
      <c r="M64641"/>
    </row>
    <row r="64642" spans="3:13" ht="12.75" customHeight="1" x14ac:dyDescent="0.2">
      <c r="C64642"/>
      <c r="M64642"/>
    </row>
    <row r="64643" spans="3:13" ht="12.75" customHeight="1" x14ac:dyDescent="0.2">
      <c r="C64643"/>
      <c r="M64643"/>
    </row>
    <row r="64644" spans="3:13" ht="12.75" customHeight="1" x14ac:dyDescent="0.2">
      <c r="C64644"/>
      <c r="M64644"/>
    </row>
    <row r="64645" spans="3:13" ht="12.75" customHeight="1" x14ac:dyDescent="0.2">
      <c r="C64645"/>
      <c r="M64645"/>
    </row>
    <row r="64646" spans="3:13" ht="12.75" customHeight="1" x14ac:dyDescent="0.2">
      <c r="C64646"/>
      <c r="M64646"/>
    </row>
    <row r="64647" spans="3:13" ht="12.75" customHeight="1" x14ac:dyDescent="0.2">
      <c r="C64647"/>
      <c r="M64647"/>
    </row>
    <row r="64648" spans="3:13" ht="12.75" customHeight="1" x14ac:dyDescent="0.2">
      <c r="C64648"/>
      <c r="M64648"/>
    </row>
    <row r="64649" spans="3:13" ht="12.75" customHeight="1" x14ac:dyDescent="0.2">
      <c r="C64649"/>
      <c r="M64649"/>
    </row>
    <row r="64650" spans="3:13" ht="12.75" customHeight="1" x14ac:dyDescent="0.2">
      <c r="C64650"/>
      <c r="M64650"/>
    </row>
    <row r="64651" spans="3:13" ht="12.75" customHeight="1" x14ac:dyDescent="0.2">
      <c r="C64651"/>
      <c r="M64651"/>
    </row>
    <row r="64652" spans="3:13" ht="12.75" customHeight="1" x14ac:dyDescent="0.2">
      <c r="C64652"/>
      <c r="M64652"/>
    </row>
    <row r="64653" spans="3:13" ht="12.75" customHeight="1" x14ac:dyDescent="0.2">
      <c r="C64653"/>
      <c r="M64653"/>
    </row>
    <row r="64654" spans="3:13" ht="12.75" customHeight="1" x14ac:dyDescent="0.2">
      <c r="C64654"/>
      <c r="M64654"/>
    </row>
    <row r="64655" spans="3:13" ht="12.75" customHeight="1" x14ac:dyDescent="0.2">
      <c r="C64655"/>
      <c r="M64655"/>
    </row>
    <row r="64656" spans="3:13" ht="12.75" customHeight="1" x14ac:dyDescent="0.2">
      <c r="C64656"/>
      <c r="M64656"/>
    </row>
    <row r="64657" spans="3:13" ht="12.75" customHeight="1" x14ac:dyDescent="0.2">
      <c r="C64657"/>
      <c r="M64657"/>
    </row>
    <row r="64658" spans="3:13" ht="12.75" customHeight="1" x14ac:dyDescent="0.2">
      <c r="C64658"/>
      <c r="M64658"/>
    </row>
    <row r="64659" spans="3:13" ht="12.75" customHeight="1" x14ac:dyDescent="0.2">
      <c r="C64659"/>
      <c r="M64659"/>
    </row>
    <row r="64660" spans="3:13" ht="12.75" customHeight="1" x14ac:dyDescent="0.2">
      <c r="C64660"/>
      <c r="M64660"/>
    </row>
    <row r="64661" spans="3:13" ht="12.75" customHeight="1" x14ac:dyDescent="0.2">
      <c r="C64661"/>
      <c r="M64661"/>
    </row>
    <row r="64662" spans="3:13" ht="12.75" customHeight="1" x14ac:dyDescent="0.2">
      <c r="C64662"/>
      <c r="M64662"/>
    </row>
    <row r="64663" spans="3:13" ht="12.75" customHeight="1" x14ac:dyDescent="0.2">
      <c r="C64663"/>
      <c r="M64663"/>
    </row>
    <row r="64664" spans="3:13" ht="12.75" customHeight="1" x14ac:dyDescent="0.2">
      <c r="C64664"/>
      <c r="M64664"/>
    </row>
    <row r="64665" spans="3:13" ht="12.75" customHeight="1" x14ac:dyDescent="0.2">
      <c r="C64665"/>
      <c r="M64665"/>
    </row>
    <row r="64666" spans="3:13" ht="12.75" customHeight="1" x14ac:dyDescent="0.2">
      <c r="C64666"/>
      <c r="M64666"/>
    </row>
    <row r="64667" spans="3:13" ht="12.75" customHeight="1" x14ac:dyDescent="0.2">
      <c r="C64667"/>
      <c r="M64667"/>
    </row>
    <row r="64668" spans="3:13" ht="12.75" customHeight="1" x14ac:dyDescent="0.2">
      <c r="C64668"/>
      <c r="M64668"/>
    </row>
    <row r="64669" spans="3:13" ht="12.75" customHeight="1" x14ac:dyDescent="0.2">
      <c r="C64669"/>
      <c r="M64669"/>
    </row>
    <row r="64670" spans="3:13" ht="12.75" customHeight="1" x14ac:dyDescent="0.2">
      <c r="C64670"/>
      <c r="M64670"/>
    </row>
    <row r="64671" spans="3:13" ht="12.75" customHeight="1" x14ac:dyDescent="0.2">
      <c r="C64671"/>
      <c r="M64671"/>
    </row>
    <row r="64672" spans="3:13" ht="12.75" customHeight="1" x14ac:dyDescent="0.2">
      <c r="C64672"/>
      <c r="M64672"/>
    </row>
    <row r="64673" spans="3:13" ht="12.75" customHeight="1" x14ac:dyDescent="0.2">
      <c r="C64673"/>
      <c r="M64673"/>
    </row>
    <row r="64674" spans="3:13" ht="12.75" customHeight="1" x14ac:dyDescent="0.2">
      <c r="C64674"/>
      <c r="M64674"/>
    </row>
    <row r="64675" spans="3:13" ht="12.75" customHeight="1" x14ac:dyDescent="0.2">
      <c r="C64675"/>
      <c r="M64675"/>
    </row>
    <row r="64676" spans="3:13" ht="12.75" customHeight="1" x14ac:dyDescent="0.2">
      <c r="C64676"/>
      <c r="M64676"/>
    </row>
    <row r="64677" spans="3:13" ht="12.75" customHeight="1" x14ac:dyDescent="0.2">
      <c r="C64677"/>
      <c r="M64677"/>
    </row>
    <row r="64678" spans="3:13" ht="12.75" customHeight="1" x14ac:dyDescent="0.2">
      <c r="C64678"/>
      <c r="M64678"/>
    </row>
    <row r="64679" spans="3:13" ht="12.75" customHeight="1" x14ac:dyDescent="0.2">
      <c r="C64679"/>
      <c r="M64679"/>
    </row>
    <row r="64680" spans="3:13" ht="12.75" customHeight="1" x14ac:dyDescent="0.2">
      <c r="C64680"/>
      <c r="M64680"/>
    </row>
    <row r="64681" spans="3:13" ht="12.75" customHeight="1" x14ac:dyDescent="0.2">
      <c r="C64681"/>
      <c r="M64681"/>
    </row>
    <row r="64682" spans="3:13" ht="12.75" customHeight="1" x14ac:dyDescent="0.2">
      <c r="C64682"/>
      <c r="M64682"/>
    </row>
    <row r="64683" spans="3:13" ht="12.75" customHeight="1" x14ac:dyDescent="0.2">
      <c r="C64683"/>
      <c r="M64683"/>
    </row>
    <row r="64684" spans="3:13" ht="12.75" customHeight="1" x14ac:dyDescent="0.2">
      <c r="C64684"/>
      <c r="M64684"/>
    </row>
    <row r="64685" spans="3:13" ht="12.75" customHeight="1" x14ac:dyDescent="0.2">
      <c r="C64685"/>
      <c r="M64685"/>
    </row>
    <row r="64686" spans="3:13" ht="12.75" customHeight="1" x14ac:dyDescent="0.2">
      <c r="C64686"/>
      <c r="M64686"/>
    </row>
    <row r="64687" spans="3:13" ht="12.75" customHeight="1" x14ac:dyDescent="0.2">
      <c r="C64687"/>
      <c r="M64687"/>
    </row>
    <row r="64688" spans="3:13" ht="12.75" customHeight="1" x14ac:dyDescent="0.2">
      <c r="C64688"/>
      <c r="M64688"/>
    </row>
    <row r="64689" spans="3:13" ht="12.75" customHeight="1" x14ac:dyDescent="0.2">
      <c r="C64689"/>
      <c r="M64689"/>
    </row>
    <row r="64690" spans="3:13" ht="12.75" customHeight="1" x14ac:dyDescent="0.2">
      <c r="C64690"/>
      <c r="M64690"/>
    </row>
    <row r="64691" spans="3:13" ht="12.75" customHeight="1" x14ac:dyDescent="0.2">
      <c r="C64691"/>
      <c r="M64691"/>
    </row>
    <row r="64692" spans="3:13" ht="12.75" customHeight="1" x14ac:dyDescent="0.2">
      <c r="C64692"/>
      <c r="M64692"/>
    </row>
    <row r="64693" spans="3:13" ht="12.75" customHeight="1" x14ac:dyDescent="0.2">
      <c r="C64693"/>
      <c r="M64693"/>
    </row>
    <row r="64694" spans="3:13" ht="12.75" customHeight="1" x14ac:dyDescent="0.2">
      <c r="C64694"/>
      <c r="M64694"/>
    </row>
    <row r="64695" spans="3:13" ht="12.75" customHeight="1" x14ac:dyDescent="0.2">
      <c r="C64695"/>
      <c r="M64695"/>
    </row>
    <row r="64696" spans="3:13" ht="12.75" customHeight="1" x14ac:dyDescent="0.2">
      <c r="C64696"/>
      <c r="M64696"/>
    </row>
    <row r="64697" spans="3:13" ht="12.75" customHeight="1" x14ac:dyDescent="0.2">
      <c r="C64697"/>
      <c r="M64697"/>
    </row>
    <row r="64698" spans="3:13" ht="12.75" customHeight="1" x14ac:dyDescent="0.2">
      <c r="C64698"/>
      <c r="M64698"/>
    </row>
    <row r="64699" spans="3:13" ht="12.75" customHeight="1" x14ac:dyDescent="0.2">
      <c r="C64699"/>
      <c r="M64699"/>
    </row>
    <row r="64700" spans="3:13" ht="12.75" customHeight="1" x14ac:dyDescent="0.2">
      <c r="C64700"/>
      <c r="M64700"/>
    </row>
    <row r="64701" spans="3:13" ht="12.75" customHeight="1" x14ac:dyDescent="0.2">
      <c r="C64701"/>
      <c r="M64701"/>
    </row>
    <row r="64702" spans="3:13" ht="12.75" customHeight="1" x14ac:dyDescent="0.2">
      <c r="C64702"/>
      <c r="M64702"/>
    </row>
    <row r="64703" spans="3:13" ht="12.75" customHeight="1" x14ac:dyDescent="0.2">
      <c r="C64703"/>
      <c r="M64703"/>
    </row>
    <row r="64704" spans="3:13" ht="12.75" customHeight="1" x14ac:dyDescent="0.2">
      <c r="C64704"/>
      <c r="M64704"/>
    </row>
    <row r="64705" spans="3:13" ht="12.75" customHeight="1" x14ac:dyDescent="0.2">
      <c r="C64705"/>
      <c r="M64705"/>
    </row>
    <row r="64706" spans="3:13" ht="12.75" customHeight="1" x14ac:dyDescent="0.2">
      <c r="C64706"/>
      <c r="M64706"/>
    </row>
    <row r="64707" spans="3:13" ht="12.75" customHeight="1" x14ac:dyDescent="0.2">
      <c r="C64707"/>
      <c r="M64707"/>
    </row>
    <row r="64708" spans="3:13" ht="12.75" customHeight="1" x14ac:dyDescent="0.2">
      <c r="C64708"/>
      <c r="M64708"/>
    </row>
    <row r="64709" spans="3:13" ht="12.75" customHeight="1" x14ac:dyDescent="0.2">
      <c r="C64709"/>
      <c r="M64709"/>
    </row>
    <row r="64710" spans="3:13" ht="12.75" customHeight="1" x14ac:dyDescent="0.2">
      <c r="C64710"/>
      <c r="M64710"/>
    </row>
    <row r="64711" spans="3:13" ht="12.75" customHeight="1" x14ac:dyDescent="0.2">
      <c r="C64711"/>
      <c r="M64711"/>
    </row>
    <row r="64712" spans="3:13" ht="12.75" customHeight="1" x14ac:dyDescent="0.2">
      <c r="C64712"/>
      <c r="M64712"/>
    </row>
    <row r="64713" spans="3:13" ht="12.75" customHeight="1" x14ac:dyDescent="0.2">
      <c r="C64713"/>
      <c r="M64713"/>
    </row>
    <row r="64714" spans="3:13" ht="12.75" customHeight="1" x14ac:dyDescent="0.2">
      <c r="C64714"/>
      <c r="M64714"/>
    </row>
    <row r="64715" spans="3:13" ht="12.75" customHeight="1" x14ac:dyDescent="0.2">
      <c r="C64715"/>
      <c r="M64715"/>
    </row>
    <row r="64716" spans="3:13" ht="12.75" customHeight="1" x14ac:dyDescent="0.2">
      <c r="C64716"/>
      <c r="M64716"/>
    </row>
    <row r="64717" spans="3:13" ht="12.75" customHeight="1" x14ac:dyDescent="0.2">
      <c r="C64717"/>
      <c r="M64717"/>
    </row>
    <row r="64718" spans="3:13" ht="12.75" customHeight="1" x14ac:dyDescent="0.2">
      <c r="C64718"/>
      <c r="M64718"/>
    </row>
    <row r="64719" spans="3:13" ht="12.75" customHeight="1" x14ac:dyDescent="0.2">
      <c r="C64719"/>
      <c r="M64719"/>
    </row>
    <row r="64720" spans="3:13" ht="12.75" customHeight="1" x14ac:dyDescent="0.2">
      <c r="C64720"/>
      <c r="M64720"/>
    </row>
    <row r="64721" spans="3:13" ht="12.75" customHeight="1" x14ac:dyDescent="0.2">
      <c r="C64721"/>
      <c r="M64721"/>
    </row>
    <row r="64722" spans="3:13" ht="12.75" customHeight="1" x14ac:dyDescent="0.2">
      <c r="C64722"/>
      <c r="M64722"/>
    </row>
    <row r="64723" spans="3:13" ht="12.75" customHeight="1" x14ac:dyDescent="0.2">
      <c r="C64723"/>
      <c r="M64723"/>
    </row>
    <row r="64724" spans="3:13" ht="12.75" customHeight="1" x14ac:dyDescent="0.2">
      <c r="C64724"/>
      <c r="M64724"/>
    </row>
    <row r="64725" spans="3:13" ht="12.75" customHeight="1" x14ac:dyDescent="0.2">
      <c r="C64725"/>
      <c r="M64725"/>
    </row>
    <row r="64726" spans="3:13" ht="12.75" customHeight="1" x14ac:dyDescent="0.2">
      <c r="C64726"/>
      <c r="M64726"/>
    </row>
    <row r="64727" spans="3:13" ht="12.75" customHeight="1" x14ac:dyDescent="0.2">
      <c r="C64727"/>
      <c r="M64727"/>
    </row>
    <row r="64728" spans="3:13" ht="12.75" customHeight="1" x14ac:dyDescent="0.2">
      <c r="C64728"/>
      <c r="M64728"/>
    </row>
    <row r="64729" spans="3:13" ht="12.75" customHeight="1" x14ac:dyDescent="0.2">
      <c r="C64729"/>
      <c r="M64729"/>
    </row>
    <row r="64730" spans="3:13" ht="12.75" customHeight="1" x14ac:dyDescent="0.2">
      <c r="C64730"/>
      <c r="M64730"/>
    </row>
    <row r="64731" spans="3:13" ht="12.75" customHeight="1" x14ac:dyDescent="0.2">
      <c r="C64731"/>
      <c r="M64731"/>
    </row>
    <row r="64732" spans="3:13" ht="12.75" customHeight="1" x14ac:dyDescent="0.2">
      <c r="C64732"/>
      <c r="M64732"/>
    </row>
    <row r="64733" spans="3:13" ht="12.75" customHeight="1" x14ac:dyDescent="0.2">
      <c r="C64733"/>
      <c r="M64733"/>
    </row>
    <row r="64734" spans="3:13" ht="12.75" customHeight="1" x14ac:dyDescent="0.2">
      <c r="C64734"/>
      <c r="M64734"/>
    </row>
    <row r="64735" spans="3:13" ht="12.75" customHeight="1" x14ac:dyDescent="0.2">
      <c r="C64735"/>
      <c r="M64735"/>
    </row>
    <row r="64736" spans="3:13" ht="12.75" customHeight="1" x14ac:dyDescent="0.2">
      <c r="C64736"/>
      <c r="M64736"/>
    </row>
    <row r="64737" spans="3:13" ht="12.75" customHeight="1" x14ac:dyDescent="0.2">
      <c r="C64737"/>
      <c r="M64737"/>
    </row>
    <row r="64738" spans="3:13" ht="12.75" customHeight="1" x14ac:dyDescent="0.2">
      <c r="C64738"/>
      <c r="M64738"/>
    </row>
    <row r="64739" spans="3:13" ht="12.75" customHeight="1" x14ac:dyDescent="0.2">
      <c r="C64739"/>
      <c r="M64739"/>
    </row>
    <row r="64740" spans="3:13" ht="12.75" customHeight="1" x14ac:dyDescent="0.2">
      <c r="C64740"/>
      <c r="M64740"/>
    </row>
    <row r="64741" spans="3:13" ht="12.75" customHeight="1" x14ac:dyDescent="0.2">
      <c r="C64741"/>
      <c r="M64741"/>
    </row>
    <row r="64742" spans="3:13" ht="12.75" customHeight="1" x14ac:dyDescent="0.2">
      <c r="C64742"/>
      <c r="M64742"/>
    </row>
    <row r="64743" spans="3:13" ht="12.75" customHeight="1" x14ac:dyDescent="0.2">
      <c r="C64743"/>
      <c r="M64743"/>
    </row>
    <row r="64744" spans="3:13" ht="12.75" customHeight="1" x14ac:dyDescent="0.2">
      <c r="C64744"/>
      <c r="M64744"/>
    </row>
    <row r="64745" spans="3:13" ht="12.75" customHeight="1" x14ac:dyDescent="0.2">
      <c r="C64745"/>
      <c r="M64745"/>
    </row>
    <row r="64746" spans="3:13" ht="12.75" customHeight="1" x14ac:dyDescent="0.2">
      <c r="C64746"/>
      <c r="M64746"/>
    </row>
    <row r="64747" spans="3:13" ht="12.75" customHeight="1" x14ac:dyDescent="0.2">
      <c r="C64747"/>
      <c r="M64747"/>
    </row>
    <row r="64748" spans="3:13" ht="12.75" customHeight="1" x14ac:dyDescent="0.2">
      <c r="C64748"/>
      <c r="M64748"/>
    </row>
    <row r="64749" spans="3:13" ht="12.75" customHeight="1" x14ac:dyDescent="0.2">
      <c r="C64749"/>
      <c r="M64749"/>
    </row>
    <row r="64750" spans="3:13" ht="12.75" customHeight="1" x14ac:dyDescent="0.2">
      <c r="C64750"/>
      <c r="M64750"/>
    </row>
    <row r="64751" spans="3:13" ht="12.75" customHeight="1" x14ac:dyDescent="0.2">
      <c r="C64751"/>
      <c r="M64751"/>
    </row>
    <row r="64752" spans="3:13" ht="12.75" customHeight="1" x14ac:dyDescent="0.2">
      <c r="C64752"/>
      <c r="M64752"/>
    </row>
    <row r="64753" spans="3:13" ht="12.75" customHeight="1" x14ac:dyDescent="0.2">
      <c r="C64753"/>
      <c r="M64753"/>
    </row>
    <row r="64754" spans="3:13" ht="12.75" customHeight="1" x14ac:dyDescent="0.2">
      <c r="C64754"/>
      <c r="M64754"/>
    </row>
    <row r="64755" spans="3:13" ht="12.75" customHeight="1" x14ac:dyDescent="0.2">
      <c r="C64755"/>
      <c r="M64755"/>
    </row>
    <row r="64756" spans="3:13" ht="12.75" customHeight="1" x14ac:dyDescent="0.2">
      <c r="C64756"/>
      <c r="M64756"/>
    </row>
    <row r="64757" spans="3:13" ht="12.75" customHeight="1" x14ac:dyDescent="0.2">
      <c r="C64757"/>
      <c r="M64757"/>
    </row>
    <row r="64758" spans="3:13" ht="12.75" customHeight="1" x14ac:dyDescent="0.2">
      <c r="C64758"/>
      <c r="M64758"/>
    </row>
    <row r="64759" spans="3:13" ht="12.75" customHeight="1" x14ac:dyDescent="0.2">
      <c r="C64759"/>
      <c r="M64759"/>
    </row>
    <row r="64760" spans="3:13" ht="12.75" customHeight="1" x14ac:dyDescent="0.2">
      <c r="C64760"/>
      <c r="M64760"/>
    </row>
    <row r="64761" spans="3:13" ht="12.75" customHeight="1" x14ac:dyDescent="0.2">
      <c r="C64761"/>
      <c r="M64761"/>
    </row>
    <row r="64762" spans="3:13" ht="12.75" customHeight="1" x14ac:dyDescent="0.2">
      <c r="C64762"/>
      <c r="M64762"/>
    </row>
    <row r="64763" spans="3:13" ht="12.75" customHeight="1" x14ac:dyDescent="0.2">
      <c r="C64763"/>
      <c r="M64763"/>
    </row>
    <row r="64764" spans="3:13" ht="12.75" customHeight="1" x14ac:dyDescent="0.2">
      <c r="C64764"/>
      <c r="M64764"/>
    </row>
    <row r="64765" spans="3:13" ht="12.75" customHeight="1" x14ac:dyDescent="0.2">
      <c r="C64765"/>
      <c r="M64765"/>
    </row>
    <row r="64766" spans="3:13" ht="12.75" customHeight="1" x14ac:dyDescent="0.2">
      <c r="C64766"/>
      <c r="M64766"/>
    </row>
    <row r="64767" spans="3:13" ht="12.75" customHeight="1" x14ac:dyDescent="0.2">
      <c r="C64767"/>
      <c r="M64767"/>
    </row>
    <row r="64768" spans="3:13" ht="12.75" customHeight="1" x14ac:dyDescent="0.2">
      <c r="C64768"/>
      <c r="M64768"/>
    </row>
    <row r="64769" spans="3:13" ht="12.75" customHeight="1" x14ac:dyDescent="0.2">
      <c r="C64769"/>
      <c r="M64769"/>
    </row>
    <row r="64770" spans="3:13" ht="12.75" customHeight="1" x14ac:dyDescent="0.2">
      <c r="C64770"/>
      <c r="M64770"/>
    </row>
    <row r="64771" spans="3:13" ht="12.75" customHeight="1" x14ac:dyDescent="0.2">
      <c r="C64771"/>
      <c r="M64771"/>
    </row>
    <row r="64772" spans="3:13" ht="12.75" customHeight="1" x14ac:dyDescent="0.2">
      <c r="C64772"/>
      <c r="M64772"/>
    </row>
    <row r="64773" spans="3:13" ht="12.75" customHeight="1" x14ac:dyDescent="0.2">
      <c r="C64773"/>
      <c r="M64773"/>
    </row>
    <row r="64774" spans="3:13" ht="12.75" customHeight="1" x14ac:dyDescent="0.2">
      <c r="C64774"/>
      <c r="M64774"/>
    </row>
    <row r="64775" spans="3:13" ht="12.75" customHeight="1" x14ac:dyDescent="0.2">
      <c r="C64775"/>
      <c r="M64775"/>
    </row>
    <row r="64776" spans="3:13" ht="12.75" customHeight="1" x14ac:dyDescent="0.2">
      <c r="C64776"/>
      <c r="M64776"/>
    </row>
    <row r="64777" spans="3:13" ht="12.75" customHeight="1" x14ac:dyDescent="0.2">
      <c r="C64777"/>
      <c r="M64777"/>
    </row>
    <row r="64778" spans="3:13" ht="12.75" customHeight="1" x14ac:dyDescent="0.2">
      <c r="C64778"/>
      <c r="M64778"/>
    </row>
    <row r="64779" spans="3:13" ht="12.75" customHeight="1" x14ac:dyDescent="0.2">
      <c r="C64779"/>
      <c r="M64779"/>
    </row>
    <row r="64780" spans="3:13" ht="12.75" customHeight="1" x14ac:dyDescent="0.2">
      <c r="C64780"/>
      <c r="M64780"/>
    </row>
    <row r="64781" spans="3:13" ht="12.75" customHeight="1" x14ac:dyDescent="0.2">
      <c r="C64781"/>
      <c r="M64781"/>
    </row>
    <row r="64782" spans="3:13" ht="12.75" customHeight="1" x14ac:dyDescent="0.2">
      <c r="C64782"/>
      <c r="M64782"/>
    </row>
    <row r="64783" spans="3:13" ht="12.75" customHeight="1" x14ac:dyDescent="0.2">
      <c r="C64783"/>
      <c r="M64783"/>
    </row>
    <row r="64784" spans="3:13" ht="12.75" customHeight="1" x14ac:dyDescent="0.2">
      <c r="C64784"/>
      <c r="M64784"/>
    </row>
    <row r="64785" spans="3:13" ht="12.75" customHeight="1" x14ac:dyDescent="0.2">
      <c r="C64785"/>
      <c r="M64785"/>
    </row>
    <row r="64786" spans="3:13" ht="12.75" customHeight="1" x14ac:dyDescent="0.2">
      <c r="C64786"/>
      <c r="M64786"/>
    </row>
    <row r="64787" spans="3:13" ht="12.75" customHeight="1" x14ac:dyDescent="0.2">
      <c r="C64787"/>
      <c r="M64787"/>
    </row>
    <row r="64788" spans="3:13" ht="12.75" customHeight="1" x14ac:dyDescent="0.2">
      <c r="C64788"/>
      <c r="M64788"/>
    </row>
    <row r="64789" spans="3:13" ht="12.75" customHeight="1" x14ac:dyDescent="0.2">
      <c r="C64789"/>
      <c r="M64789"/>
    </row>
    <row r="64790" spans="3:13" ht="12.75" customHeight="1" x14ac:dyDescent="0.2">
      <c r="C64790"/>
      <c r="M64790"/>
    </row>
    <row r="64791" spans="3:13" ht="12.75" customHeight="1" x14ac:dyDescent="0.2">
      <c r="C64791"/>
      <c r="M64791"/>
    </row>
    <row r="64792" spans="3:13" ht="12.75" customHeight="1" x14ac:dyDescent="0.2">
      <c r="C64792"/>
      <c r="M64792"/>
    </row>
    <row r="64793" spans="3:13" ht="12.75" customHeight="1" x14ac:dyDescent="0.2">
      <c r="C64793"/>
      <c r="M64793"/>
    </row>
    <row r="64794" spans="3:13" ht="12.75" customHeight="1" x14ac:dyDescent="0.2">
      <c r="C64794"/>
      <c r="M64794"/>
    </row>
    <row r="64795" spans="3:13" ht="12.75" customHeight="1" x14ac:dyDescent="0.2">
      <c r="C64795"/>
      <c r="M64795"/>
    </row>
    <row r="64796" spans="3:13" ht="12.75" customHeight="1" x14ac:dyDescent="0.2">
      <c r="C64796"/>
      <c r="M64796"/>
    </row>
    <row r="64797" spans="3:13" ht="12.75" customHeight="1" x14ac:dyDescent="0.2">
      <c r="C64797"/>
      <c r="M64797"/>
    </row>
    <row r="64798" spans="3:13" ht="12.75" customHeight="1" x14ac:dyDescent="0.2">
      <c r="C64798"/>
      <c r="M64798"/>
    </row>
    <row r="64799" spans="3:13" ht="12.75" customHeight="1" x14ac:dyDescent="0.2">
      <c r="C64799"/>
      <c r="M64799"/>
    </row>
    <row r="64800" spans="3:13" ht="12.75" customHeight="1" x14ac:dyDescent="0.2">
      <c r="C64800"/>
      <c r="M64800"/>
    </row>
    <row r="64801" spans="3:13" ht="12.75" customHeight="1" x14ac:dyDescent="0.2">
      <c r="C64801"/>
      <c r="M64801"/>
    </row>
    <row r="64802" spans="3:13" ht="12.75" customHeight="1" x14ac:dyDescent="0.2">
      <c r="C64802"/>
      <c r="M64802"/>
    </row>
    <row r="64803" spans="3:13" ht="12.75" customHeight="1" x14ac:dyDescent="0.2">
      <c r="C64803"/>
      <c r="M64803"/>
    </row>
    <row r="64804" spans="3:13" ht="12.75" customHeight="1" x14ac:dyDescent="0.2">
      <c r="C64804"/>
      <c r="M64804"/>
    </row>
    <row r="64805" spans="3:13" ht="12.75" customHeight="1" x14ac:dyDescent="0.2">
      <c r="C64805"/>
      <c r="M64805"/>
    </row>
    <row r="64806" spans="3:13" ht="12.75" customHeight="1" x14ac:dyDescent="0.2">
      <c r="C64806"/>
      <c r="M64806"/>
    </row>
    <row r="64807" spans="3:13" ht="12.75" customHeight="1" x14ac:dyDescent="0.2">
      <c r="C64807"/>
      <c r="M64807"/>
    </row>
    <row r="64808" spans="3:13" ht="12.75" customHeight="1" x14ac:dyDescent="0.2">
      <c r="C64808"/>
      <c r="M64808"/>
    </row>
    <row r="64809" spans="3:13" ht="12.75" customHeight="1" x14ac:dyDescent="0.2">
      <c r="C64809"/>
      <c r="M64809"/>
    </row>
    <row r="64810" spans="3:13" ht="12.75" customHeight="1" x14ac:dyDescent="0.2">
      <c r="C64810"/>
      <c r="M64810"/>
    </row>
    <row r="64811" spans="3:13" ht="12.75" customHeight="1" x14ac:dyDescent="0.2">
      <c r="C64811"/>
      <c r="M64811"/>
    </row>
    <row r="64812" spans="3:13" ht="12.75" customHeight="1" x14ac:dyDescent="0.2">
      <c r="C64812"/>
      <c r="M64812"/>
    </row>
    <row r="64813" spans="3:13" ht="12.75" customHeight="1" x14ac:dyDescent="0.2">
      <c r="C64813"/>
      <c r="M64813"/>
    </row>
    <row r="64814" spans="3:13" ht="12.75" customHeight="1" x14ac:dyDescent="0.2">
      <c r="C64814"/>
      <c r="M64814"/>
    </row>
    <row r="64815" spans="3:13" ht="12.75" customHeight="1" x14ac:dyDescent="0.2">
      <c r="C64815"/>
      <c r="M64815"/>
    </row>
    <row r="64816" spans="3:13" ht="12.75" customHeight="1" x14ac:dyDescent="0.2">
      <c r="C64816"/>
      <c r="M64816"/>
    </row>
    <row r="64817" spans="3:13" ht="12.75" customHeight="1" x14ac:dyDescent="0.2">
      <c r="C64817"/>
      <c r="M64817"/>
    </row>
    <row r="64818" spans="3:13" ht="12.75" customHeight="1" x14ac:dyDescent="0.2">
      <c r="C64818"/>
      <c r="M64818"/>
    </row>
    <row r="64819" spans="3:13" ht="12.75" customHeight="1" x14ac:dyDescent="0.2">
      <c r="C64819"/>
      <c r="M64819"/>
    </row>
    <row r="64820" spans="3:13" ht="12.75" customHeight="1" x14ac:dyDescent="0.2">
      <c r="C64820"/>
      <c r="M64820"/>
    </row>
    <row r="64821" spans="3:13" ht="12.75" customHeight="1" x14ac:dyDescent="0.2">
      <c r="C64821"/>
      <c r="M64821"/>
    </row>
    <row r="64822" spans="3:13" ht="12.75" customHeight="1" x14ac:dyDescent="0.2">
      <c r="C64822"/>
      <c r="M64822"/>
    </row>
    <row r="64823" spans="3:13" ht="12.75" customHeight="1" x14ac:dyDescent="0.2">
      <c r="C64823"/>
      <c r="M64823"/>
    </row>
    <row r="64824" spans="3:13" ht="12.75" customHeight="1" x14ac:dyDescent="0.2">
      <c r="C64824"/>
      <c r="M64824"/>
    </row>
    <row r="64825" spans="3:13" ht="12.75" customHeight="1" x14ac:dyDescent="0.2">
      <c r="C64825"/>
      <c r="M64825"/>
    </row>
    <row r="64826" spans="3:13" ht="12.75" customHeight="1" x14ac:dyDescent="0.2">
      <c r="C64826"/>
      <c r="M64826"/>
    </row>
    <row r="64827" spans="3:13" ht="12.75" customHeight="1" x14ac:dyDescent="0.2">
      <c r="C64827"/>
      <c r="M64827"/>
    </row>
    <row r="64828" spans="3:13" ht="12.75" customHeight="1" x14ac:dyDescent="0.2">
      <c r="C64828"/>
      <c r="M64828"/>
    </row>
    <row r="64829" spans="3:13" ht="12.75" customHeight="1" x14ac:dyDescent="0.2">
      <c r="C64829"/>
      <c r="M64829"/>
    </row>
    <row r="64830" spans="3:13" ht="12.75" customHeight="1" x14ac:dyDescent="0.2">
      <c r="C64830"/>
      <c r="M64830"/>
    </row>
    <row r="64831" spans="3:13" ht="12.75" customHeight="1" x14ac:dyDescent="0.2">
      <c r="C64831"/>
      <c r="M64831"/>
    </row>
    <row r="64832" spans="3:13" ht="12.75" customHeight="1" x14ac:dyDescent="0.2">
      <c r="C64832"/>
      <c r="M64832"/>
    </row>
    <row r="64833" spans="3:13" ht="12.75" customHeight="1" x14ac:dyDescent="0.2">
      <c r="C64833"/>
      <c r="M64833"/>
    </row>
    <row r="64834" spans="3:13" ht="12.75" customHeight="1" x14ac:dyDescent="0.2">
      <c r="C64834"/>
      <c r="M64834"/>
    </row>
    <row r="64835" spans="3:13" ht="12.75" customHeight="1" x14ac:dyDescent="0.2">
      <c r="C64835"/>
      <c r="M64835"/>
    </row>
    <row r="64836" spans="3:13" ht="12.75" customHeight="1" x14ac:dyDescent="0.2">
      <c r="C64836"/>
      <c r="M64836"/>
    </row>
    <row r="64837" spans="3:13" ht="12.75" customHeight="1" x14ac:dyDescent="0.2">
      <c r="C64837"/>
      <c r="M64837"/>
    </row>
    <row r="64838" spans="3:13" ht="12.75" customHeight="1" x14ac:dyDescent="0.2">
      <c r="C64838"/>
      <c r="M64838"/>
    </row>
    <row r="64839" spans="3:13" ht="12.75" customHeight="1" x14ac:dyDescent="0.2">
      <c r="C64839"/>
      <c r="M64839"/>
    </row>
    <row r="64840" spans="3:13" ht="12.75" customHeight="1" x14ac:dyDescent="0.2">
      <c r="C64840"/>
      <c r="M64840"/>
    </row>
    <row r="64841" spans="3:13" ht="12.75" customHeight="1" x14ac:dyDescent="0.2">
      <c r="C64841"/>
      <c r="M64841"/>
    </row>
    <row r="64842" spans="3:13" ht="12.75" customHeight="1" x14ac:dyDescent="0.2">
      <c r="C64842"/>
      <c r="M64842"/>
    </row>
    <row r="64843" spans="3:13" ht="12.75" customHeight="1" x14ac:dyDescent="0.2">
      <c r="C64843"/>
      <c r="M64843"/>
    </row>
    <row r="64844" spans="3:13" ht="12.75" customHeight="1" x14ac:dyDescent="0.2">
      <c r="C64844"/>
      <c r="M64844"/>
    </row>
    <row r="64845" spans="3:13" ht="12.75" customHeight="1" x14ac:dyDescent="0.2">
      <c r="C64845"/>
      <c r="M64845"/>
    </row>
    <row r="64846" spans="3:13" ht="12.75" customHeight="1" x14ac:dyDescent="0.2">
      <c r="C64846"/>
      <c r="M64846"/>
    </row>
    <row r="64847" spans="3:13" ht="12.75" customHeight="1" x14ac:dyDescent="0.2">
      <c r="C64847"/>
      <c r="M64847"/>
    </row>
    <row r="64848" spans="3:13" ht="12.75" customHeight="1" x14ac:dyDescent="0.2">
      <c r="C64848"/>
      <c r="M64848"/>
    </row>
    <row r="64849" spans="3:13" ht="12.75" customHeight="1" x14ac:dyDescent="0.2">
      <c r="C64849"/>
      <c r="M64849"/>
    </row>
    <row r="64850" spans="3:13" ht="12.75" customHeight="1" x14ac:dyDescent="0.2">
      <c r="C64850"/>
      <c r="M64850"/>
    </row>
    <row r="64851" spans="3:13" ht="12.75" customHeight="1" x14ac:dyDescent="0.2">
      <c r="C64851"/>
      <c r="M64851"/>
    </row>
    <row r="64852" spans="3:13" ht="12.75" customHeight="1" x14ac:dyDescent="0.2">
      <c r="C64852"/>
      <c r="M64852"/>
    </row>
    <row r="64853" spans="3:13" ht="12.75" customHeight="1" x14ac:dyDescent="0.2">
      <c r="C64853"/>
      <c r="M64853"/>
    </row>
    <row r="64854" spans="3:13" ht="12.75" customHeight="1" x14ac:dyDescent="0.2">
      <c r="C64854"/>
      <c r="M64854"/>
    </row>
    <row r="64855" spans="3:13" ht="12.75" customHeight="1" x14ac:dyDescent="0.2">
      <c r="C64855"/>
      <c r="M64855"/>
    </row>
    <row r="64856" spans="3:13" ht="12.75" customHeight="1" x14ac:dyDescent="0.2">
      <c r="C64856"/>
      <c r="M64856"/>
    </row>
    <row r="64857" spans="3:13" ht="12.75" customHeight="1" x14ac:dyDescent="0.2">
      <c r="C64857"/>
      <c r="M64857"/>
    </row>
    <row r="64858" spans="3:13" ht="12.75" customHeight="1" x14ac:dyDescent="0.2">
      <c r="C64858"/>
      <c r="M64858"/>
    </row>
    <row r="64859" spans="3:13" ht="12.75" customHeight="1" x14ac:dyDescent="0.2">
      <c r="C64859"/>
      <c r="M64859"/>
    </row>
    <row r="64860" spans="3:13" ht="12.75" customHeight="1" x14ac:dyDescent="0.2">
      <c r="C64860"/>
      <c r="M64860"/>
    </row>
    <row r="64861" spans="3:13" ht="12.75" customHeight="1" x14ac:dyDescent="0.2">
      <c r="C64861"/>
      <c r="M64861"/>
    </row>
    <row r="64862" spans="3:13" ht="12.75" customHeight="1" x14ac:dyDescent="0.2">
      <c r="C64862"/>
      <c r="M64862"/>
    </row>
    <row r="64863" spans="3:13" ht="12.75" customHeight="1" x14ac:dyDescent="0.2">
      <c r="C64863"/>
      <c r="M64863"/>
    </row>
    <row r="64864" spans="3:13" ht="12.75" customHeight="1" x14ac:dyDescent="0.2">
      <c r="C64864"/>
      <c r="M64864"/>
    </row>
    <row r="64865" spans="3:13" ht="12.75" customHeight="1" x14ac:dyDescent="0.2">
      <c r="C64865"/>
      <c r="M64865"/>
    </row>
    <row r="64866" spans="3:13" ht="12.75" customHeight="1" x14ac:dyDescent="0.2">
      <c r="C64866"/>
      <c r="M64866"/>
    </row>
    <row r="64867" spans="3:13" ht="12.75" customHeight="1" x14ac:dyDescent="0.2">
      <c r="C64867"/>
      <c r="M64867"/>
    </row>
    <row r="64868" spans="3:13" ht="12.75" customHeight="1" x14ac:dyDescent="0.2">
      <c r="C64868"/>
      <c r="M64868"/>
    </row>
    <row r="64869" spans="3:13" ht="12.75" customHeight="1" x14ac:dyDescent="0.2">
      <c r="C64869"/>
      <c r="M64869"/>
    </row>
    <row r="64870" spans="3:13" ht="12.75" customHeight="1" x14ac:dyDescent="0.2">
      <c r="C64870"/>
      <c r="M64870"/>
    </row>
    <row r="64871" spans="3:13" ht="12.75" customHeight="1" x14ac:dyDescent="0.2">
      <c r="C64871"/>
      <c r="M64871"/>
    </row>
    <row r="64872" spans="3:13" ht="12.75" customHeight="1" x14ac:dyDescent="0.2">
      <c r="C64872"/>
      <c r="M64872"/>
    </row>
    <row r="64873" spans="3:13" ht="12.75" customHeight="1" x14ac:dyDescent="0.2">
      <c r="C64873"/>
      <c r="M64873"/>
    </row>
    <row r="64874" spans="3:13" ht="12.75" customHeight="1" x14ac:dyDescent="0.2">
      <c r="C64874"/>
      <c r="M64874"/>
    </row>
    <row r="64875" spans="3:13" ht="12.75" customHeight="1" x14ac:dyDescent="0.2">
      <c r="C64875"/>
      <c r="M64875"/>
    </row>
    <row r="64876" spans="3:13" ht="12.75" customHeight="1" x14ac:dyDescent="0.2">
      <c r="C64876"/>
      <c r="M64876"/>
    </row>
    <row r="64877" spans="3:13" ht="12.75" customHeight="1" x14ac:dyDescent="0.2">
      <c r="C64877"/>
      <c r="M64877"/>
    </row>
    <row r="64878" spans="3:13" ht="12.75" customHeight="1" x14ac:dyDescent="0.2">
      <c r="C64878"/>
      <c r="M64878"/>
    </row>
    <row r="64879" spans="3:13" ht="12.75" customHeight="1" x14ac:dyDescent="0.2">
      <c r="C64879"/>
      <c r="M64879"/>
    </row>
    <row r="64880" spans="3:13" ht="12.75" customHeight="1" x14ac:dyDescent="0.2">
      <c r="C64880"/>
      <c r="M64880"/>
    </row>
    <row r="64881" spans="3:13" ht="12.75" customHeight="1" x14ac:dyDescent="0.2">
      <c r="C64881"/>
      <c r="M64881"/>
    </row>
    <row r="64882" spans="3:13" ht="12.75" customHeight="1" x14ac:dyDescent="0.2">
      <c r="C64882"/>
      <c r="M64882"/>
    </row>
    <row r="64883" spans="3:13" ht="12.75" customHeight="1" x14ac:dyDescent="0.2">
      <c r="C64883"/>
      <c r="M64883"/>
    </row>
    <row r="64884" spans="3:13" ht="12.75" customHeight="1" x14ac:dyDescent="0.2">
      <c r="C64884"/>
      <c r="M64884"/>
    </row>
    <row r="64885" spans="3:13" ht="12.75" customHeight="1" x14ac:dyDescent="0.2">
      <c r="C64885"/>
      <c r="M64885"/>
    </row>
    <row r="64886" spans="3:13" ht="12.75" customHeight="1" x14ac:dyDescent="0.2">
      <c r="C64886"/>
      <c r="M64886"/>
    </row>
    <row r="64887" spans="3:13" ht="12.75" customHeight="1" x14ac:dyDescent="0.2">
      <c r="C64887"/>
      <c r="M64887"/>
    </row>
    <row r="64888" spans="3:13" ht="12.75" customHeight="1" x14ac:dyDescent="0.2">
      <c r="C64888"/>
      <c r="M64888"/>
    </row>
    <row r="64889" spans="3:13" ht="12.75" customHeight="1" x14ac:dyDescent="0.2">
      <c r="C64889"/>
      <c r="M64889"/>
    </row>
    <row r="64890" spans="3:13" ht="12.75" customHeight="1" x14ac:dyDescent="0.2">
      <c r="C64890"/>
      <c r="M64890"/>
    </row>
    <row r="64891" spans="3:13" ht="12.75" customHeight="1" x14ac:dyDescent="0.2">
      <c r="C64891"/>
      <c r="M64891"/>
    </row>
    <row r="64892" spans="3:13" ht="12.75" customHeight="1" x14ac:dyDescent="0.2">
      <c r="C64892"/>
      <c r="M64892"/>
    </row>
    <row r="64893" spans="3:13" ht="12.75" customHeight="1" x14ac:dyDescent="0.2">
      <c r="C64893"/>
      <c r="M64893"/>
    </row>
    <row r="64894" spans="3:13" ht="12.75" customHeight="1" x14ac:dyDescent="0.2">
      <c r="C64894"/>
      <c r="M64894"/>
    </row>
    <row r="64895" spans="3:13" ht="12.75" customHeight="1" x14ac:dyDescent="0.2">
      <c r="C64895"/>
      <c r="M64895"/>
    </row>
    <row r="64896" spans="3:13" ht="12.75" customHeight="1" x14ac:dyDescent="0.2">
      <c r="C64896"/>
      <c r="M64896"/>
    </row>
    <row r="64897" spans="3:13" ht="12.75" customHeight="1" x14ac:dyDescent="0.2">
      <c r="C64897"/>
      <c r="M64897"/>
    </row>
    <row r="64898" spans="3:13" ht="12.75" customHeight="1" x14ac:dyDescent="0.2">
      <c r="C64898"/>
      <c r="M64898"/>
    </row>
    <row r="64899" spans="3:13" ht="12.75" customHeight="1" x14ac:dyDescent="0.2">
      <c r="C64899"/>
      <c r="M64899"/>
    </row>
    <row r="64900" spans="3:13" ht="12.75" customHeight="1" x14ac:dyDescent="0.2">
      <c r="C64900"/>
      <c r="M64900"/>
    </row>
    <row r="64901" spans="3:13" ht="12.75" customHeight="1" x14ac:dyDescent="0.2">
      <c r="C64901"/>
      <c r="M64901"/>
    </row>
    <row r="64902" spans="3:13" ht="12.75" customHeight="1" x14ac:dyDescent="0.2">
      <c r="C64902"/>
      <c r="M64902"/>
    </row>
    <row r="64903" spans="3:13" ht="12.75" customHeight="1" x14ac:dyDescent="0.2">
      <c r="C64903"/>
      <c r="M64903"/>
    </row>
    <row r="64904" spans="3:13" ht="12.75" customHeight="1" x14ac:dyDescent="0.2">
      <c r="C64904"/>
      <c r="M64904"/>
    </row>
    <row r="64905" spans="3:13" ht="12.75" customHeight="1" x14ac:dyDescent="0.2">
      <c r="C64905"/>
      <c r="M64905"/>
    </row>
    <row r="64906" spans="3:13" ht="12.75" customHeight="1" x14ac:dyDescent="0.2">
      <c r="C64906"/>
      <c r="M64906"/>
    </row>
    <row r="64907" spans="3:13" ht="12.75" customHeight="1" x14ac:dyDescent="0.2">
      <c r="C64907"/>
      <c r="M64907"/>
    </row>
    <row r="64908" spans="3:13" ht="12.75" customHeight="1" x14ac:dyDescent="0.2">
      <c r="C64908"/>
      <c r="M64908"/>
    </row>
    <row r="64909" spans="3:13" ht="12.75" customHeight="1" x14ac:dyDescent="0.2">
      <c r="C64909"/>
      <c r="M64909"/>
    </row>
    <row r="64910" spans="3:13" ht="12.75" customHeight="1" x14ac:dyDescent="0.2">
      <c r="C64910"/>
      <c r="M64910"/>
    </row>
    <row r="64911" spans="3:13" ht="12.75" customHeight="1" x14ac:dyDescent="0.2">
      <c r="C64911"/>
      <c r="M64911"/>
    </row>
    <row r="64912" spans="3:13" ht="12.75" customHeight="1" x14ac:dyDescent="0.2">
      <c r="C64912"/>
      <c r="M64912"/>
    </row>
    <row r="64913" spans="3:13" ht="12.75" customHeight="1" x14ac:dyDescent="0.2">
      <c r="C64913"/>
      <c r="M64913"/>
    </row>
    <row r="64914" spans="3:13" ht="12.75" customHeight="1" x14ac:dyDescent="0.2">
      <c r="C64914"/>
      <c r="M64914"/>
    </row>
    <row r="64915" spans="3:13" ht="12.75" customHeight="1" x14ac:dyDescent="0.2">
      <c r="C64915"/>
      <c r="M64915"/>
    </row>
    <row r="64916" spans="3:13" ht="12.75" customHeight="1" x14ac:dyDescent="0.2">
      <c r="C64916"/>
      <c r="M64916"/>
    </row>
    <row r="64917" spans="3:13" ht="12.75" customHeight="1" x14ac:dyDescent="0.2">
      <c r="C64917"/>
      <c r="M64917"/>
    </row>
    <row r="64918" spans="3:13" ht="12.75" customHeight="1" x14ac:dyDescent="0.2">
      <c r="C64918"/>
      <c r="M64918"/>
    </row>
    <row r="64919" spans="3:13" ht="12.75" customHeight="1" x14ac:dyDescent="0.2">
      <c r="C64919"/>
      <c r="M64919"/>
    </row>
    <row r="64920" spans="3:13" ht="12.75" customHeight="1" x14ac:dyDescent="0.2">
      <c r="C64920"/>
      <c r="M64920"/>
    </row>
    <row r="64921" spans="3:13" ht="12.75" customHeight="1" x14ac:dyDescent="0.2">
      <c r="C64921"/>
      <c r="M64921"/>
    </row>
    <row r="64922" spans="3:13" ht="12.75" customHeight="1" x14ac:dyDescent="0.2">
      <c r="C64922"/>
      <c r="M64922"/>
    </row>
    <row r="64923" spans="3:13" ht="12.75" customHeight="1" x14ac:dyDescent="0.2">
      <c r="C64923"/>
      <c r="M64923"/>
    </row>
    <row r="64924" spans="3:13" ht="12.75" customHeight="1" x14ac:dyDescent="0.2">
      <c r="C64924"/>
      <c r="M64924"/>
    </row>
    <row r="64925" spans="3:13" ht="12.75" customHeight="1" x14ac:dyDescent="0.2">
      <c r="C64925"/>
      <c r="M64925"/>
    </row>
    <row r="64926" spans="3:13" ht="12.75" customHeight="1" x14ac:dyDescent="0.2">
      <c r="C64926"/>
      <c r="M64926"/>
    </row>
    <row r="64927" spans="3:13" ht="12.75" customHeight="1" x14ac:dyDescent="0.2">
      <c r="C64927"/>
      <c r="M64927"/>
    </row>
    <row r="64928" spans="3:13" ht="12.75" customHeight="1" x14ac:dyDescent="0.2">
      <c r="C64928"/>
      <c r="M64928"/>
    </row>
    <row r="64929" spans="3:13" ht="12.75" customHeight="1" x14ac:dyDescent="0.2">
      <c r="C64929"/>
      <c r="M64929"/>
    </row>
    <row r="64930" spans="3:13" ht="12.75" customHeight="1" x14ac:dyDescent="0.2">
      <c r="C64930"/>
      <c r="M64930"/>
    </row>
    <row r="64931" spans="3:13" ht="12.75" customHeight="1" x14ac:dyDescent="0.2">
      <c r="C64931"/>
      <c r="M64931"/>
    </row>
    <row r="64932" spans="3:13" ht="12.75" customHeight="1" x14ac:dyDescent="0.2">
      <c r="C64932"/>
      <c r="M64932"/>
    </row>
    <row r="64933" spans="3:13" ht="12.75" customHeight="1" x14ac:dyDescent="0.2">
      <c r="C64933"/>
      <c r="M64933"/>
    </row>
    <row r="64934" spans="3:13" ht="12.75" customHeight="1" x14ac:dyDescent="0.2">
      <c r="C64934"/>
      <c r="M64934"/>
    </row>
    <row r="64935" spans="3:13" ht="12.75" customHeight="1" x14ac:dyDescent="0.2">
      <c r="C64935"/>
      <c r="M64935"/>
    </row>
    <row r="64936" spans="3:13" ht="12.75" customHeight="1" x14ac:dyDescent="0.2">
      <c r="C64936"/>
      <c r="M64936"/>
    </row>
    <row r="64937" spans="3:13" ht="12.75" customHeight="1" x14ac:dyDescent="0.2">
      <c r="C64937"/>
      <c r="M64937"/>
    </row>
    <row r="64938" spans="3:13" ht="12.75" customHeight="1" x14ac:dyDescent="0.2">
      <c r="C64938"/>
      <c r="M64938"/>
    </row>
    <row r="64939" spans="3:13" ht="12.75" customHeight="1" x14ac:dyDescent="0.2">
      <c r="C64939"/>
      <c r="M64939"/>
    </row>
    <row r="64940" spans="3:13" ht="12.75" customHeight="1" x14ac:dyDescent="0.2">
      <c r="C64940"/>
      <c r="M64940"/>
    </row>
    <row r="64941" spans="3:13" ht="12.75" customHeight="1" x14ac:dyDescent="0.2">
      <c r="C64941"/>
      <c r="M64941"/>
    </row>
    <row r="64942" spans="3:13" ht="12.75" customHeight="1" x14ac:dyDescent="0.2">
      <c r="C64942"/>
      <c r="M64942"/>
    </row>
    <row r="64943" spans="3:13" ht="12.75" customHeight="1" x14ac:dyDescent="0.2">
      <c r="C64943"/>
      <c r="M64943"/>
    </row>
    <row r="64944" spans="3:13" ht="12.75" customHeight="1" x14ac:dyDescent="0.2">
      <c r="C64944"/>
      <c r="M64944"/>
    </row>
    <row r="64945" spans="3:13" ht="12.75" customHeight="1" x14ac:dyDescent="0.2">
      <c r="C64945"/>
      <c r="M64945"/>
    </row>
    <row r="64946" spans="3:13" ht="12.75" customHeight="1" x14ac:dyDescent="0.2">
      <c r="C64946"/>
      <c r="M64946"/>
    </row>
    <row r="64947" spans="3:13" ht="12.75" customHeight="1" x14ac:dyDescent="0.2">
      <c r="C64947"/>
      <c r="M64947"/>
    </row>
    <row r="64948" spans="3:13" ht="12.75" customHeight="1" x14ac:dyDescent="0.2">
      <c r="C64948"/>
      <c r="M64948"/>
    </row>
    <row r="64949" spans="3:13" ht="12.75" customHeight="1" x14ac:dyDescent="0.2">
      <c r="C64949"/>
      <c r="M64949"/>
    </row>
    <row r="64950" spans="3:13" ht="12.75" customHeight="1" x14ac:dyDescent="0.2">
      <c r="C64950"/>
      <c r="M64950"/>
    </row>
    <row r="64951" spans="3:13" ht="12.75" customHeight="1" x14ac:dyDescent="0.2">
      <c r="C64951"/>
      <c r="M64951"/>
    </row>
    <row r="64952" spans="3:13" ht="12.75" customHeight="1" x14ac:dyDescent="0.2">
      <c r="C64952"/>
      <c r="M64952"/>
    </row>
    <row r="64953" spans="3:13" ht="12.75" customHeight="1" x14ac:dyDescent="0.2">
      <c r="C64953"/>
      <c r="M64953"/>
    </row>
    <row r="64954" spans="3:13" ht="12.75" customHeight="1" x14ac:dyDescent="0.2">
      <c r="C64954"/>
      <c r="M64954"/>
    </row>
    <row r="64955" spans="3:13" ht="12.75" customHeight="1" x14ac:dyDescent="0.2">
      <c r="C64955"/>
      <c r="M64955"/>
    </row>
    <row r="64956" spans="3:13" ht="12.75" customHeight="1" x14ac:dyDescent="0.2">
      <c r="C64956"/>
      <c r="M64956"/>
    </row>
    <row r="64957" spans="3:13" ht="12.75" customHeight="1" x14ac:dyDescent="0.2">
      <c r="C64957"/>
      <c r="M64957"/>
    </row>
    <row r="64958" spans="3:13" ht="12.75" customHeight="1" x14ac:dyDescent="0.2">
      <c r="C64958"/>
      <c r="M64958"/>
    </row>
    <row r="64959" spans="3:13" ht="12.75" customHeight="1" x14ac:dyDescent="0.2">
      <c r="C64959"/>
      <c r="M64959"/>
    </row>
    <row r="64960" spans="3:13" ht="12.75" customHeight="1" x14ac:dyDescent="0.2">
      <c r="C64960"/>
      <c r="M64960"/>
    </row>
    <row r="64961" spans="3:13" ht="12.75" customHeight="1" x14ac:dyDescent="0.2">
      <c r="C64961"/>
      <c r="M64961"/>
    </row>
    <row r="64962" spans="3:13" ht="12.75" customHeight="1" x14ac:dyDescent="0.2">
      <c r="C64962"/>
      <c r="M64962"/>
    </row>
    <row r="64963" spans="3:13" ht="12.75" customHeight="1" x14ac:dyDescent="0.2">
      <c r="C64963"/>
      <c r="M64963"/>
    </row>
    <row r="64964" spans="3:13" ht="12.75" customHeight="1" x14ac:dyDescent="0.2">
      <c r="C64964"/>
      <c r="M64964"/>
    </row>
    <row r="64965" spans="3:13" ht="12.75" customHeight="1" x14ac:dyDescent="0.2">
      <c r="C64965"/>
      <c r="M64965"/>
    </row>
    <row r="64966" spans="3:13" ht="12.75" customHeight="1" x14ac:dyDescent="0.2">
      <c r="C64966"/>
      <c r="M64966"/>
    </row>
    <row r="64967" spans="3:13" ht="12.75" customHeight="1" x14ac:dyDescent="0.2">
      <c r="C64967"/>
      <c r="M64967"/>
    </row>
    <row r="64968" spans="3:13" ht="12.75" customHeight="1" x14ac:dyDescent="0.2">
      <c r="C64968"/>
      <c r="M64968"/>
    </row>
    <row r="64969" spans="3:13" ht="12.75" customHeight="1" x14ac:dyDescent="0.2">
      <c r="C64969"/>
      <c r="M64969"/>
    </row>
    <row r="64970" spans="3:13" ht="12.75" customHeight="1" x14ac:dyDescent="0.2">
      <c r="C64970"/>
      <c r="M64970"/>
    </row>
    <row r="64971" spans="3:13" ht="12.75" customHeight="1" x14ac:dyDescent="0.2">
      <c r="C64971"/>
      <c r="M64971"/>
    </row>
    <row r="64972" spans="3:13" ht="12.75" customHeight="1" x14ac:dyDescent="0.2">
      <c r="C64972"/>
      <c r="M64972"/>
    </row>
    <row r="64973" spans="3:13" ht="12.75" customHeight="1" x14ac:dyDescent="0.2">
      <c r="C64973"/>
      <c r="M64973"/>
    </row>
    <row r="64974" spans="3:13" ht="12.75" customHeight="1" x14ac:dyDescent="0.2">
      <c r="C64974"/>
      <c r="M64974"/>
    </row>
    <row r="64975" spans="3:13" ht="12.75" customHeight="1" x14ac:dyDescent="0.2">
      <c r="C64975"/>
      <c r="M64975"/>
    </row>
    <row r="64976" spans="3:13" ht="12.75" customHeight="1" x14ac:dyDescent="0.2">
      <c r="C64976"/>
      <c r="M64976"/>
    </row>
    <row r="64977" spans="3:13" ht="12.75" customHeight="1" x14ac:dyDescent="0.2">
      <c r="C64977"/>
      <c r="M64977"/>
    </row>
    <row r="64978" spans="3:13" ht="12.75" customHeight="1" x14ac:dyDescent="0.2">
      <c r="C64978"/>
      <c r="M64978"/>
    </row>
    <row r="64979" spans="3:13" ht="12.75" customHeight="1" x14ac:dyDescent="0.2">
      <c r="C64979"/>
      <c r="M64979"/>
    </row>
    <row r="64980" spans="3:13" ht="12.75" customHeight="1" x14ac:dyDescent="0.2">
      <c r="C64980"/>
      <c r="M64980"/>
    </row>
    <row r="64981" spans="3:13" ht="12.75" customHeight="1" x14ac:dyDescent="0.2">
      <c r="C64981"/>
      <c r="M64981"/>
    </row>
    <row r="64982" spans="3:13" ht="12.75" customHeight="1" x14ac:dyDescent="0.2">
      <c r="C64982"/>
      <c r="M64982"/>
    </row>
    <row r="64983" spans="3:13" ht="12.75" customHeight="1" x14ac:dyDescent="0.2">
      <c r="C64983"/>
      <c r="M64983"/>
    </row>
    <row r="64984" spans="3:13" ht="12.75" customHeight="1" x14ac:dyDescent="0.2">
      <c r="C64984"/>
      <c r="M64984"/>
    </row>
    <row r="64985" spans="3:13" ht="12.75" customHeight="1" x14ac:dyDescent="0.2">
      <c r="C64985"/>
      <c r="M64985"/>
    </row>
    <row r="64986" spans="3:13" ht="12.75" customHeight="1" x14ac:dyDescent="0.2">
      <c r="C64986"/>
      <c r="M64986"/>
    </row>
    <row r="64987" spans="3:13" ht="12.75" customHeight="1" x14ac:dyDescent="0.2">
      <c r="C64987"/>
      <c r="M64987"/>
    </row>
    <row r="64988" spans="3:13" ht="12.75" customHeight="1" x14ac:dyDescent="0.2">
      <c r="C64988"/>
      <c r="M64988"/>
    </row>
    <row r="64989" spans="3:13" ht="12.75" customHeight="1" x14ac:dyDescent="0.2">
      <c r="C64989"/>
      <c r="M64989"/>
    </row>
    <row r="64990" spans="3:13" ht="12.75" customHeight="1" x14ac:dyDescent="0.2">
      <c r="C64990"/>
      <c r="M64990"/>
    </row>
    <row r="64991" spans="3:13" ht="12.75" customHeight="1" x14ac:dyDescent="0.2">
      <c r="C64991"/>
      <c r="M64991"/>
    </row>
    <row r="64992" spans="3:13" ht="12.75" customHeight="1" x14ac:dyDescent="0.2">
      <c r="C64992"/>
      <c r="M64992"/>
    </row>
    <row r="64993" spans="3:13" ht="12.75" customHeight="1" x14ac:dyDescent="0.2">
      <c r="C64993"/>
      <c r="M64993"/>
    </row>
    <row r="64994" spans="3:13" ht="12.75" customHeight="1" x14ac:dyDescent="0.2">
      <c r="C64994"/>
      <c r="M64994"/>
    </row>
    <row r="64995" spans="3:13" ht="12.75" customHeight="1" x14ac:dyDescent="0.2">
      <c r="C64995"/>
      <c r="M64995"/>
    </row>
    <row r="64996" spans="3:13" ht="12.75" customHeight="1" x14ac:dyDescent="0.2">
      <c r="C64996"/>
      <c r="M64996"/>
    </row>
    <row r="64997" spans="3:13" ht="12.75" customHeight="1" x14ac:dyDescent="0.2">
      <c r="C64997"/>
      <c r="M64997"/>
    </row>
    <row r="64998" spans="3:13" ht="12.75" customHeight="1" x14ac:dyDescent="0.2">
      <c r="C64998"/>
      <c r="M64998"/>
    </row>
    <row r="64999" spans="3:13" ht="12.75" customHeight="1" x14ac:dyDescent="0.2">
      <c r="C64999"/>
      <c r="M64999"/>
    </row>
    <row r="65000" spans="3:13" ht="12.75" customHeight="1" x14ac:dyDescent="0.2">
      <c r="C65000"/>
      <c r="M65000"/>
    </row>
    <row r="65001" spans="3:13" ht="12.75" customHeight="1" x14ac:dyDescent="0.2">
      <c r="C65001"/>
      <c r="M65001"/>
    </row>
    <row r="65002" spans="3:13" ht="12.75" customHeight="1" x14ac:dyDescent="0.2">
      <c r="C65002"/>
      <c r="M65002"/>
    </row>
    <row r="65003" spans="3:13" ht="12.75" customHeight="1" x14ac:dyDescent="0.2">
      <c r="C65003"/>
      <c r="M65003"/>
    </row>
    <row r="65004" spans="3:13" ht="12.75" customHeight="1" x14ac:dyDescent="0.2">
      <c r="C65004"/>
      <c r="M65004"/>
    </row>
    <row r="65005" spans="3:13" ht="12.75" customHeight="1" x14ac:dyDescent="0.2">
      <c r="C65005"/>
      <c r="M65005"/>
    </row>
    <row r="65006" spans="3:13" ht="12.75" customHeight="1" x14ac:dyDescent="0.2">
      <c r="C65006"/>
      <c r="M65006"/>
    </row>
    <row r="65007" spans="3:13" ht="12.75" customHeight="1" x14ac:dyDescent="0.2">
      <c r="C65007"/>
      <c r="M65007"/>
    </row>
    <row r="65008" spans="3:13" ht="12.75" customHeight="1" x14ac:dyDescent="0.2">
      <c r="C65008"/>
      <c r="M65008"/>
    </row>
    <row r="65009" spans="3:13" ht="12.75" customHeight="1" x14ac:dyDescent="0.2">
      <c r="C65009"/>
      <c r="M65009"/>
    </row>
    <row r="65010" spans="3:13" ht="12.75" customHeight="1" x14ac:dyDescent="0.2">
      <c r="C65010"/>
      <c r="M65010"/>
    </row>
    <row r="65011" spans="3:13" ht="12.75" customHeight="1" x14ac:dyDescent="0.2">
      <c r="C65011"/>
      <c r="M65011"/>
    </row>
    <row r="65012" spans="3:13" ht="12.75" customHeight="1" x14ac:dyDescent="0.2">
      <c r="C65012"/>
      <c r="M65012"/>
    </row>
    <row r="65013" spans="3:13" ht="12.75" customHeight="1" x14ac:dyDescent="0.2">
      <c r="C65013"/>
      <c r="M65013"/>
    </row>
    <row r="65014" spans="3:13" ht="12.75" customHeight="1" x14ac:dyDescent="0.2">
      <c r="C65014"/>
      <c r="M65014"/>
    </row>
    <row r="65015" spans="3:13" ht="12.75" customHeight="1" x14ac:dyDescent="0.2">
      <c r="C65015"/>
      <c r="M65015"/>
    </row>
    <row r="65016" spans="3:13" ht="12.75" customHeight="1" x14ac:dyDescent="0.2">
      <c r="C65016"/>
      <c r="M65016"/>
    </row>
    <row r="65017" spans="3:13" ht="12.75" customHeight="1" x14ac:dyDescent="0.2">
      <c r="C65017"/>
      <c r="M65017"/>
    </row>
    <row r="65018" spans="3:13" ht="12.75" customHeight="1" x14ac:dyDescent="0.2">
      <c r="C65018"/>
      <c r="M65018"/>
    </row>
    <row r="65019" spans="3:13" ht="12.75" customHeight="1" x14ac:dyDescent="0.2">
      <c r="C65019"/>
      <c r="M65019"/>
    </row>
    <row r="65020" spans="3:13" ht="12.75" customHeight="1" x14ac:dyDescent="0.2">
      <c r="C65020"/>
      <c r="M65020"/>
    </row>
    <row r="65021" spans="3:13" ht="12.75" customHeight="1" x14ac:dyDescent="0.2">
      <c r="C65021"/>
      <c r="M65021"/>
    </row>
    <row r="65022" spans="3:13" ht="12.75" customHeight="1" x14ac:dyDescent="0.2">
      <c r="C65022"/>
      <c r="M65022"/>
    </row>
    <row r="65023" spans="3:13" ht="12.75" customHeight="1" x14ac:dyDescent="0.2">
      <c r="C65023"/>
      <c r="M65023"/>
    </row>
    <row r="65024" spans="3:13" ht="12.75" customHeight="1" x14ac:dyDescent="0.2">
      <c r="C65024"/>
      <c r="M65024"/>
    </row>
    <row r="65025" spans="3:13" ht="12.75" customHeight="1" x14ac:dyDescent="0.2">
      <c r="C65025"/>
      <c r="M65025"/>
    </row>
    <row r="65026" spans="3:13" ht="12.75" customHeight="1" x14ac:dyDescent="0.2">
      <c r="C65026"/>
      <c r="M65026"/>
    </row>
    <row r="65027" spans="3:13" ht="12.75" customHeight="1" x14ac:dyDescent="0.2">
      <c r="C65027"/>
      <c r="M65027"/>
    </row>
    <row r="65028" spans="3:13" ht="12.75" customHeight="1" x14ac:dyDescent="0.2">
      <c r="C65028"/>
      <c r="M65028"/>
    </row>
    <row r="65029" spans="3:13" ht="12.75" customHeight="1" x14ac:dyDescent="0.2">
      <c r="C65029"/>
      <c r="M65029"/>
    </row>
    <row r="65030" spans="3:13" ht="12.75" customHeight="1" x14ac:dyDescent="0.2">
      <c r="C65030"/>
      <c r="M65030"/>
    </row>
    <row r="65031" spans="3:13" ht="12.75" customHeight="1" x14ac:dyDescent="0.2">
      <c r="C65031"/>
      <c r="M65031"/>
    </row>
    <row r="65032" spans="3:13" ht="12.75" customHeight="1" x14ac:dyDescent="0.2">
      <c r="C65032"/>
      <c r="M65032"/>
    </row>
    <row r="65033" spans="3:13" ht="12.75" customHeight="1" x14ac:dyDescent="0.2">
      <c r="C65033"/>
      <c r="M65033"/>
    </row>
    <row r="65034" spans="3:13" ht="12.75" customHeight="1" x14ac:dyDescent="0.2">
      <c r="C65034"/>
      <c r="M65034"/>
    </row>
    <row r="65035" spans="3:13" ht="12.75" customHeight="1" x14ac:dyDescent="0.2">
      <c r="C65035"/>
      <c r="M65035"/>
    </row>
    <row r="65036" spans="3:13" ht="12.75" customHeight="1" x14ac:dyDescent="0.2">
      <c r="C65036"/>
      <c r="M65036"/>
    </row>
    <row r="65037" spans="3:13" ht="12.75" customHeight="1" x14ac:dyDescent="0.2">
      <c r="C65037"/>
      <c r="M65037"/>
    </row>
    <row r="65038" spans="3:13" ht="12.75" customHeight="1" x14ac:dyDescent="0.2">
      <c r="C65038"/>
      <c r="M65038"/>
    </row>
    <row r="65039" spans="3:13" ht="12.75" customHeight="1" x14ac:dyDescent="0.2">
      <c r="C65039"/>
      <c r="M65039"/>
    </row>
    <row r="65040" spans="3:13" ht="12.75" customHeight="1" x14ac:dyDescent="0.2">
      <c r="C65040"/>
      <c r="M65040"/>
    </row>
    <row r="65041" spans="3:13" ht="12.75" customHeight="1" x14ac:dyDescent="0.2">
      <c r="C65041"/>
      <c r="M65041"/>
    </row>
    <row r="65042" spans="3:13" ht="12.75" customHeight="1" x14ac:dyDescent="0.2">
      <c r="C65042"/>
      <c r="M65042"/>
    </row>
    <row r="65043" spans="3:13" ht="12.75" customHeight="1" x14ac:dyDescent="0.2">
      <c r="C65043"/>
      <c r="M65043"/>
    </row>
    <row r="65044" spans="3:13" ht="12.75" customHeight="1" x14ac:dyDescent="0.2">
      <c r="C65044"/>
      <c r="M65044"/>
    </row>
    <row r="65045" spans="3:13" ht="12.75" customHeight="1" x14ac:dyDescent="0.2">
      <c r="C65045"/>
      <c r="M65045"/>
    </row>
    <row r="65046" spans="3:13" ht="12.75" customHeight="1" x14ac:dyDescent="0.2">
      <c r="C65046"/>
      <c r="M65046"/>
    </row>
    <row r="65047" spans="3:13" ht="12.75" customHeight="1" x14ac:dyDescent="0.2">
      <c r="C65047"/>
      <c r="M65047"/>
    </row>
    <row r="65048" spans="3:13" ht="12.75" customHeight="1" x14ac:dyDescent="0.2">
      <c r="C65048"/>
      <c r="M65048"/>
    </row>
    <row r="65049" spans="3:13" ht="12.75" customHeight="1" x14ac:dyDescent="0.2">
      <c r="C65049"/>
      <c r="M65049"/>
    </row>
    <row r="65050" spans="3:13" ht="12.75" customHeight="1" x14ac:dyDescent="0.2">
      <c r="C65050"/>
      <c r="M65050"/>
    </row>
    <row r="65051" spans="3:13" ht="12.75" customHeight="1" x14ac:dyDescent="0.2">
      <c r="C65051"/>
      <c r="M65051"/>
    </row>
    <row r="65052" spans="3:13" ht="12.75" customHeight="1" x14ac:dyDescent="0.2">
      <c r="C65052"/>
      <c r="M65052"/>
    </row>
    <row r="65053" spans="3:13" ht="12.75" customHeight="1" x14ac:dyDescent="0.2">
      <c r="C65053"/>
      <c r="M65053"/>
    </row>
    <row r="65054" spans="3:13" ht="12.75" customHeight="1" x14ac:dyDescent="0.2">
      <c r="C65054"/>
      <c r="M65054"/>
    </row>
    <row r="65055" spans="3:13" ht="12.75" customHeight="1" x14ac:dyDescent="0.2">
      <c r="C65055"/>
      <c r="M65055"/>
    </row>
    <row r="65056" spans="3:13" ht="12.75" customHeight="1" x14ac:dyDescent="0.2">
      <c r="C65056"/>
      <c r="M65056"/>
    </row>
    <row r="65057" spans="3:13" ht="12.75" customHeight="1" x14ac:dyDescent="0.2">
      <c r="C65057"/>
      <c r="M65057"/>
    </row>
    <row r="65058" spans="3:13" ht="12.75" customHeight="1" x14ac:dyDescent="0.2">
      <c r="C65058"/>
      <c r="M65058"/>
    </row>
    <row r="65059" spans="3:13" ht="12.75" customHeight="1" x14ac:dyDescent="0.2">
      <c r="C65059"/>
      <c r="M65059"/>
    </row>
    <row r="65060" spans="3:13" ht="12.75" customHeight="1" x14ac:dyDescent="0.2">
      <c r="C65060"/>
      <c r="M65060"/>
    </row>
    <row r="65061" spans="3:13" ht="12.75" customHeight="1" x14ac:dyDescent="0.2">
      <c r="C65061"/>
      <c r="M65061"/>
    </row>
    <row r="65062" spans="3:13" ht="12.75" customHeight="1" x14ac:dyDescent="0.2">
      <c r="C65062"/>
      <c r="M65062"/>
    </row>
    <row r="65063" spans="3:13" ht="12.75" customHeight="1" x14ac:dyDescent="0.2">
      <c r="C65063"/>
      <c r="M65063"/>
    </row>
    <row r="65064" spans="3:13" ht="12.75" customHeight="1" x14ac:dyDescent="0.2">
      <c r="C65064"/>
      <c r="M65064"/>
    </row>
    <row r="65065" spans="3:13" ht="12.75" customHeight="1" x14ac:dyDescent="0.2">
      <c r="C65065"/>
      <c r="M65065"/>
    </row>
    <row r="65066" spans="3:13" ht="12.75" customHeight="1" x14ac:dyDescent="0.2">
      <c r="C65066"/>
      <c r="M65066"/>
    </row>
    <row r="65067" spans="3:13" ht="12.75" customHeight="1" x14ac:dyDescent="0.2">
      <c r="C65067"/>
      <c r="M65067"/>
    </row>
    <row r="65068" spans="3:13" ht="12.75" customHeight="1" x14ac:dyDescent="0.2">
      <c r="C65068"/>
      <c r="M65068"/>
    </row>
    <row r="65069" spans="3:13" ht="12.75" customHeight="1" x14ac:dyDescent="0.2">
      <c r="C65069"/>
      <c r="M65069"/>
    </row>
    <row r="65070" spans="3:13" ht="12.75" customHeight="1" x14ac:dyDescent="0.2">
      <c r="C65070"/>
      <c r="M65070"/>
    </row>
    <row r="65071" spans="3:13" ht="12.75" customHeight="1" x14ac:dyDescent="0.2">
      <c r="C65071"/>
      <c r="M65071"/>
    </row>
    <row r="65072" spans="3:13" ht="12.75" customHeight="1" x14ac:dyDescent="0.2">
      <c r="C65072"/>
      <c r="M65072"/>
    </row>
    <row r="65073" spans="3:13" ht="12.75" customHeight="1" x14ac:dyDescent="0.2">
      <c r="C65073"/>
      <c r="M65073"/>
    </row>
    <row r="65074" spans="3:13" ht="12.75" customHeight="1" x14ac:dyDescent="0.2">
      <c r="C65074"/>
      <c r="M65074"/>
    </row>
    <row r="65075" spans="3:13" ht="12.75" customHeight="1" x14ac:dyDescent="0.2">
      <c r="C65075"/>
      <c r="M65075"/>
    </row>
    <row r="65076" spans="3:13" ht="12.75" customHeight="1" x14ac:dyDescent="0.2">
      <c r="C65076"/>
      <c r="M65076"/>
    </row>
    <row r="65077" spans="3:13" ht="12.75" customHeight="1" x14ac:dyDescent="0.2">
      <c r="C65077"/>
      <c r="M65077"/>
    </row>
    <row r="65078" spans="3:13" ht="12.75" customHeight="1" x14ac:dyDescent="0.2">
      <c r="C65078"/>
      <c r="M65078"/>
    </row>
    <row r="65079" spans="3:13" ht="12.75" customHeight="1" x14ac:dyDescent="0.2">
      <c r="C65079"/>
      <c r="M65079"/>
    </row>
    <row r="65080" spans="3:13" ht="12.75" customHeight="1" x14ac:dyDescent="0.2">
      <c r="C65080"/>
      <c r="M65080"/>
    </row>
    <row r="65081" spans="3:13" ht="12.75" customHeight="1" x14ac:dyDescent="0.2">
      <c r="C65081"/>
      <c r="M65081"/>
    </row>
    <row r="65082" spans="3:13" ht="12.75" customHeight="1" x14ac:dyDescent="0.2">
      <c r="C65082"/>
      <c r="M65082"/>
    </row>
    <row r="65083" spans="3:13" ht="12.75" customHeight="1" x14ac:dyDescent="0.2">
      <c r="C65083"/>
      <c r="M65083"/>
    </row>
    <row r="65084" spans="3:13" ht="12.75" customHeight="1" x14ac:dyDescent="0.2">
      <c r="C65084"/>
      <c r="M65084"/>
    </row>
    <row r="65085" spans="3:13" ht="12.75" customHeight="1" x14ac:dyDescent="0.2">
      <c r="C65085"/>
      <c r="M65085"/>
    </row>
    <row r="65086" spans="3:13" ht="12.75" customHeight="1" x14ac:dyDescent="0.2">
      <c r="C65086"/>
      <c r="M65086"/>
    </row>
    <row r="65087" spans="3:13" ht="12.75" customHeight="1" x14ac:dyDescent="0.2">
      <c r="C65087"/>
      <c r="M65087"/>
    </row>
    <row r="65088" spans="3:13" ht="12.75" customHeight="1" x14ac:dyDescent="0.2">
      <c r="C65088"/>
      <c r="M65088"/>
    </row>
    <row r="65089" spans="3:13" ht="12.75" customHeight="1" x14ac:dyDescent="0.2">
      <c r="C65089"/>
      <c r="M65089"/>
    </row>
    <row r="65090" spans="3:13" ht="12.75" customHeight="1" x14ac:dyDescent="0.2">
      <c r="C65090"/>
      <c r="M65090"/>
    </row>
    <row r="65091" spans="3:13" ht="12.75" customHeight="1" x14ac:dyDescent="0.2">
      <c r="C65091"/>
      <c r="M65091"/>
    </row>
    <row r="65092" spans="3:13" ht="12.75" customHeight="1" x14ac:dyDescent="0.2">
      <c r="C65092"/>
      <c r="M65092"/>
    </row>
    <row r="65093" spans="3:13" ht="12.75" customHeight="1" x14ac:dyDescent="0.2">
      <c r="C65093"/>
      <c r="M65093"/>
    </row>
    <row r="65094" spans="3:13" ht="12.75" customHeight="1" x14ac:dyDescent="0.2">
      <c r="C65094"/>
      <c r="M65094"/>
    </row>
    <row r="65095" spans="3:13" ht="12.75" customHeight="1" x14ac:dyDescent="0.2">
      <c r="C65095"/>
      <c r="M65095"/>
    </row>
    <row r="65096" spans="3:13" ht="12.75" customHeight="1" x14ac:dyDescent="0.2">
      <c r="C65096"/>
      <c r="M65096"/>
    </row>
    <row r="65097" spans="3:13" ht="12.75" customHeight="1" x14ac:dyDescent="0.2">
      <c r="C65097"/>
      <c r="M65097"/>
    </row>
    <row r="65098" spans="3:13" ht="12.75" customHeight="1" x14ac:dyDescent="0.2">
      <c r="C65098"/>
      <c r="M65098"/>
    </row>
    <row r="65099" spans="3:13" ht="12.75" customHeight="1" x14ac:dyDescent="0.2">
      <c r="C65099"/>
      <c r="M65099"/>
    </row>
    <row r="65100" spans="3:13" ht="12.75" customHeight="1" x14ac:dyDescent="0.2">
      <c r="C65100"/>
      <c r="M65100"/>
    </row>
    <row r="65101" spans="3:13" ht="12.75" customHeight="1" x14ac:dyDescent="0.2">
      <c r="C65101"/>
      <c r="M65101"/>
    </row>
    <row r="65102" spans="3:13" ht="12.75" customHeight="1" x14ac:dyDescent="0.2">
      <c r="C65102"/>
      <c r="M65102"/>
    </row>
    <row r="65103" spans="3:13" ht="12.75" customHeight="1" x14ac:dyDescent="0.2">
      <c r="C65103"/>
      <c r="M65103"/>
    </row>
    <row r="65104" spans="3:13" ht="12.75" customHeight="1" x14ac:dyDescent="0.2">
      <c r="C65104"/>
      <c r="M65104"/>
    </row>
    <row r="65105" spans="3:13" ht="12.75" customHeight="1" x14ac:dyDescent="0.2">
      <c r="C65105"/>
      <c r="M65105"/>
    </row>
    <row r="65106" spans="3:13" ht="12.75" customHeight="1" x14ac:dyDescent="0.2">
      <c r="C65106"/>
      <c r="M65106"/>
    </row>
    <row r="65107" spans="3:13" ht="12.75" customHeight="1" x14ac:dyDescent="0.2">
      <c r="C65107"/>
      <c r="M65107"/>
    </row>
    <row r="65108" spans="3:13" ht="12.75" customHeight="1" x14ac:dyDescent="0.2">
      <c r="C65108"/>
      <c r="M65108"/>
    </row>
    <row r="65109" spans="3:13" ht="12.75" customHeight="1" x14ac:dyDescent="0.2">
      <c r="C65109"/>
      <c r="M65109"/>
    </row>
    <row r="65110" spans="3:13" ht="12.75" customHeight="1" x14ac:dyDescent="0.2">
      <c r="C65110"/>
      <c r="M65110"/>
    </row>
    <row r="65111" spans="3:13" ht="12.75" customHeight="1" x14ac:dyDescent="0.2">
      <c r="C65111"/>
      <c r="M65111"/>
    </row>
    <row r="65112" spans="3:13" ht="12.75" customHeight="1" x14ac:dyDescent="0.2">
      <c r="C65112"/>
      <c r="M65112"/>
    </row>
    <row r="65113" spans="3:13" ht="12.75" customHeight="1" x14ac:dyDescent="0.2">
      <c r="C65113"/>
      <c r="M65113"/>
    </row>
    <row r="65114" spans="3:13" ht="12.75" customHeight="1" x14ac:dyDescent="0.2">
      <c r="C65114"/>
      <c r="M65114"/>
    </row>
    <row r="65115" spans="3:13" ht="12.75" customHeight="1" x14ac:dyDescent="0.2">
      <c r="C65115"/>
      <c r="M65115"/>
    </row>
    <row r="65116" spans="3:13" ht="12.75" customHeight="1" x14ac:dyDescent="0.2">
      <c r="C65116"/>
      <c r="M65116"/>
    </row>
    <row r="65117" spans="3:13" ht="12.75" customHeight="1" x14ac:dyDescent="0.2">
      <c r="C65117"/>
      <c r="M65117"/>
    </row>
    <row r="65118" spans="3:13" ht="12.75" customHeight="1" x14ac:dyDescent="0.2">
      <c r="C65118"/>
      <c r="M65118"/>
    </row>
    <row r="65119" spans="3:13" ht="12.75" customHeight="1" x14ac:dyDescent="0.2">
      <c r="C65119"/>
      <c r="M65119"/>
    </row>
    <row r="65120" spans="3:13" ht="12.75" customHeight="1" x14ac:dyDescent="0.2">
      <c r="C65120"/>
      <c r="M65120"/>
    </row>
    <row r="65121" spans="3:13" ht="12.75" customHeight="1" x14ac:dyDescent="0.2">
      <c r="C65121"/>
      <c r="M65121"/>
    </row>
    <row r="65122" spans="3:13" ht="12.75" customHeight="1" x14ac:dyDescent="0.2">
      <c r="C65122"/>
      <c r="M65122"/>
    </row>
    <row r="65123" spans="3:13" ht="12.75" customHeight="1" x14ac:dyDescent="0.2">
      <c r="C65123"/>
      <c r="M65123"/>
    </row>
    <row r="65124" spans="3:13" ht="12.75" customHeight="1" x14ac:dyDescent="0.2">
      <c r="C65124"/>
      <c r="M65124"/>
    </row>
    <row r="65125" spans="3:13" ht="12.75" customHeight="1" x14ac:dyDescent="0.2">
      <c r="C65125"/>
      <c r="M65125"/>
    </row>
    <row r="65126" spans="3:13" ht="12.75" customHeight="1" x14ac:dyDescent="0.2">
      <c r="C65126"/>
      <c r="M65126"/>
    </row>
    <row r="65127" spans="3:13" ht="12.75" customHeight="1" x14ac:dyDescent="0.2">
      <c r="C65127"/>
      <c r="M65127"/>
    </row>
    <row r="65128" spans="3:13" ht="12.75" customHeight="1" x14ac:dyDescent="0.2">
      <c r="C65128"/>
      <c r="M65128"/>
    </row>
    <row r="65129" spans="3:13" ht="12.75" customHeight="1" x14ac:dyDescent="0.2">
      <c r="C65129"/>
      <c r="M65129"/>
    </row>
    <row r="65130" spans="3:13" ht="12.75" customHeight="1" x14ac:dyDescent="0.2">
      <c r="C65130"/>
      <c r="M65130"/>
    </row>
    <row r="65131" spans="3:13" ht="12.75" customHeight="1" x14ac:dyDescent="0.2">
      <c r="C65131"/>
      <c r="M65131"/>
    </row>
    <row r="65132" spans="3:13" ht="12.75" customHeight="1" x14ac:dyDescent="0.2">
      <c r="C65132"/>
      <c r="M65132"/>
    </row>
    <row r="65133" spans="3:13" ht="12.75" customHeight="1" x14ac:dyDescent="0.2">
      <c r="C65133"/>
      <c r="M65133"/>
    </row>
    <row r="65134" spans="3:13" ht="12.75" customHeight="1" x14ac:dyDescent="0.2">
      <c r="C65134"/>
      <c r="M65134"/>
    </row>
    <row r="65135" spans="3:13" ht="12.75" customHeight="1" x14ac:dyDescent="0.2">
      <c r="C65135"/>
      <c r="M65135"/>
    </row>
    <row r="65136" spans="3:13" ht="12.75" customHeight="1" x14ac:dyDescent="0.2">
      <c r="C65136"/>
      <c r="M65136"/>
    </row>
    <row r="65137" spans="3:13" ht="12.75" customHeight="1" x14ac:dyDescent="0.2">
      <c r="C65137"/>
      <c r="M65137"/>
    </row>
    <row r="65138" spans="3:13" ht="12.75" customHeight="1" x14ac:dyDescent="0.2">
      <c r="C65138"/>
      <c r="M65138"/>
    </row>
    <row r="65139" spans="3:13" ht="12.75" customHeight="1" x14ac:dyDescent="0.2">
      <c r="C65139"/>
      <c r="M65139"/>
    </row>
    <row r="65140" spans="3:13" ht="12.75" customHeight="1" x14ac:dyDescent="0.2">
      <c r="C65140"/>
      <c r="M65140"/>
    </row>
    <row r="65141" spans="3:13" ht="12.75" customHeight="1" x14ac:dyDescent="0.2">
      <c r="C65141"/>
      <c r="M65141"/>
    </row>
    <row r="65142" spans="3:13" ht="12.75" customHeight="1" x14ac:dyDescent="0.2">
      <c r="C65142"/>
      <c r="M65142"/>
    </row>
    <row r="65143" spans="3:13" ht="12.75" customHeight="1" x14ac:dyDescent="0.2">
      <c r="C65143"/>
      <c r="M65143"/>
    </row>
    <row r="65144" spans="3:13" ht="12.75" customHeight="1" x14ac:dyDescent="0.2">
      <c r="C65144"/>
      <c r="M65144"/>
    </row>
    <row r="65145" spans="3:13" ht="12.75" customHeight="1" x14ac:dyDescent="0.2">
      <c r="C65145"/>
      <c r="M65145"/>
    </row>
    <row r="65146" spans="3:13" ht="12.75" customHeight="1" x14ac:dyDescent="0.2">
      <c r="C65146"/>
      <c r="M65146"/>
    </row>
    <row r="65147" spans="3:13" ht="12.75" customHeight="1" x14ac:dyDescent="0.2">
      <c r="C65147"/>
      <c r="M65147"/>
    </row>
    <row r="65148" spans="3:13" ht="12.75" customHeight="1" x14ac:dyDescent="0.2">
      <c r="C65148"/>
      <c r="M65148"/>
    </row>
    <row r="65149" spans="3:13" ht="12.75" customHeight="1" x14ac:dyDescent="0.2">
      <c r="C65149"/>
      <c r="M65149"/>
    </row>
    <row r="65150" spans="3:13" ht="12.75" customHeight="1" x14ac:dyDescent="0.2">
      <c r="C65150"/>
      <c r="M65150"/>
    </row>
    <row r="65151" spans="3:13" ht="12.75" customHeight="1" x14ac:dyDescent="0.2">
      <c r="C65151"/>
      <c r="M65151"/>
    </row>
    <row r="65152" spans="3:13" ht="12.75" customHeight="1" x14ac:dyDescent="0.2">
      <c r="C65152"/>
      <c r="M65152"/>
    </row>
    <row r="65153" spans="3:13" ht="12.75" customHeight="1" x14ac:dyDescent="0.2">
      <c r="C65153"/>
      <c r="M65153"/>
    </row>
    <row r="65154" spans="3:13" ht="12.75" customHeight="1" x14ac:dyDescent="0.2">
      <c r="C65154"/>
      <c r="M65154"/>
    </row>
    <row r="65155" spans="3:13" ht="12.75" customHeight="1" x14ac:dyDescent="0.2">
      <c r="C65155"/>
      <c r="M65155"/>
    </row>
    <row r="65156" spans="3:13" ht="12.75" customHeight="1" x14ac:dyDescent="0.2">
      <c r="C65156"/>
      <c r="M65156"/>
    </row>
    <row r="65157" spans="3:13" ht="12.75" customHeight="1" x14ac:dyDescent="0.2">
      <c r="C65157"/>
      <c r="M65157"/>
    </row>
    <row r="65158" spans="3:13" ht="12.75" customHeight="1" x14ac:dyDescent="0.2">
      <c r="C65158"/>
      <c r="M65158"/>
    </row>
    <row r="65159" spans="3:13" ht="12.75" customHeight="1" x14ac:dyDescent="0.2">
      <c r="C65159"/>
      <c r="M65159"/>
    </row>
    <row r="65160" spans="3:13" ht="12.75" customHeight="1" x14ac:dyDescent="0.2">
      <c r="C65160"/>
      <c r="M65160"/>
    </row>
    <row r="65161" spans="3:13" ht="12.75" customHeight="1" x14ac:dyDescent="0.2">
      <c r="C65161"/>
      <c r="M65161"/>
    </row>
    <row r="65162" spans="3:13" ht="12.75" customHeight="1" x14ac:dyDescent="0.2">
      <c r="C65162"/>
      <c r="M65162"/>
    </row>
    <row r="65163" spans="3:13" ht="12.75" customHeight="1" x14ac:dyDescent="0.2">
      <c r="C65163"/>
      <c r="M65163"/>
    </row>
    <row r="65164" spans="3:13" ht="12.75" customHeight="1" x14ac:dyDescent="0.2">
      <c r="C65164"/>
      <c r="M65164"/>
    </row>
    <row r="65165" spans="3:13" ht="12.75" customHeight="1" x14ac:dyDescent="0.2">
      <c r="C65165"/>
      <c r="M65165"/>
    </row>
    <row r="65166" spans="3:13" ht="12.75" customHeight="1" x14ac:dyDescent="0.2">
      <c r="C65166"/>
      <c r="M65166"/>
    </row>
    <row r="65167" spans="3:13" ht="12.75" customHeight="1" x14ac:dyDescent="0.2">
      <c r="C65167"/>
      <c r="M65167"/>
    </row>
    <row r="65168" spans="3:13" ht="12.75" customHeight="1" x14ac:dyDescent="0.2">
      <c r="C65168"/>
      <c r="M65168"/>
    </row>
    <row r="65169" spans="3:13" ht="12.75" customHeight="1" x14ac:dyDescent="0.2">
      <c r="C65169"/>
      <c r="M65169"/>
    </row>
    <row r="65170" spans="3:13" ht="12.75" customHeight="1" x14ac:dyDescent="0.2">
      <c r="C65170"/>
      <c r="M65170"/>
    </row>
    <row r="65171" spans="3:13" ht="12.75" customHeight="1" x14ac:dyDescent="0.2">
      <c r="C65171"/>
      <c r="M65171"/>
    </row>
    <row r="65172" spans="3:13" ht="12.75" customHeight="1" x14ac:dyDescent="0.2">
      <c r="C65172"/>
      <c r="M65172"/>
    </row>
    <row r="65173" spans="3:13" ht="12.75" customHeight="1" x14ac:dyDescent="0.2">
      <c r="C65173"/>
      <c r="M65173"/>
    </row>
    <row r="65174" spans="3:13" ht="12.75" customHeight="1" x14ac:dyDescent="0.2">
      <c r="C65174"/>
      <c r="M65174"/>
    </row>
    <row r="65175" spans="3:13" ht="12.75" customHeight="1" x14ac:dyDescent="0.2">
      <c r="C65175"/>
      <c r="M65175"/>
    </row>
    <row r="65176" spans="3:13" ht="12.75" customHeight="1" x14ac:dyDescent="0.2">
      <c r="C65176"/>
      <c r="M65176"/>
    </row>
    <row r="65177" spans="3:13" ht="12.75" customHeight="1" x14ac:dyDescent="0.2">
      <c r="C65177"/>
      <c r="M65177"/>
    </row>
    <row r="65178" spans="3:13" ht="12.75" customHeight="1" x14ac:dyDescent="0.2">
      <c r="C65178"/>
      <c r="M65178"/>
    </row>
    <row r="65179" spans="3:13" ht="12.75" customHeight="1" x14ac:dyDescent="0.2">
      <c r="C65179"/>
      <c r="M65179"/>
    </row>
    <row r="65180" spans="3:13" ht="12.75" customHeight="1" x14ac:dyDescent="0.2">
      <c r="C65180"/>
      <c r="M65180"/>
    </row>
    <row r="65181" spans="3:13" ht="12.75" customHeight="1" x14ac:dyDescent="0.2">
      <c r="C65181"/>
      <c r="M65181"/>
    </row>
    <row r="65182" spans="3:13" ht="12.75" customHeight="1" x14ac:dyDescent="0.2">
      <c r="C65182"/>
      <c r="M65182"/>
    </row>
    <row r="65183" spans="3:13" ht="12.75" customHeight="1" x14ac:dyDescent="0.2">
      <c r="C65183"/>
      <c r="M65183"/>
    </row>
    <row r="65184" spans="3:13" ht="12.75" customHeight="1" x14ac:dyDescent="0.2">
      <c r="C65184"/>
      <c r="M65184"/>
    </row>
    <row r="65185" spans="3:13" ht="12.75" customHeight="1" x14ac:dyDescent="0.2">
      <c r="C65185"/>
      <c r="M65185"/>
    </row>
    <row r="65186" spans="3:13" ht="12.75" customHeight="1" x14ac:dyDescent="0.2">
      <c r="C65186"/>
      <c r="M65186"/>
    </row>
    <row r="65187" spans="3:13" ht="12.75" customHeight="1" x14ac:dyDescent="0.2">
      <c r="C65187"/>
      <c r="M65187"/>
    </row>
    <row r="65188" spans="3:13" ht="12.75" customHeight="1" x14ac:dyDescent="0.2">
      <c r="C65188"/>
      <c r="M65188"/>
    </row>
    <row r="65189" spans="3:13" ht="12.75" customHeight="1" x14ac:dyDescent="0.2">
      <c r="C65189"/>
      <c r="M65189"/>
    </row>
    <row r="65190" spans="3:13" ht="12.75" customHeight="1" x14ac:dyDescent="0.2">
      <c r="C65190"/>
      <c r="M65190"/>
    </row>
    <row r="65191" spans="3:13" ht="12.75" customHeight="1" x14ac:dyDescent="0.2">
      <c r="C65191"/>
      <c r="M65191"/>
    </row>
    <row r="65192" spans="3:13" ht="12.75" customHeight="1" x14ac:dyDescent="0.2">
      <c r="C65192"/>
      <c r="M65192"/>
    </row>
    <row r="65193" spans="3:13" ht="12.75" customHeight="1" x14ac:dyDescent="0.2">
      <c r="C65193"/>
      <c r="M65193"/>
    </row>
    <row r="65194" spans="3:13" ht="12.75" customHeight="1" x14ac:dyDescent="0.2">
      <c r="C65194"/>
      <c r="M65194"/>
    </row>
    <row r="65195" spans="3:13" ht="12.75" customHeight="1" x14ac:dyDescent="0.2">
      <c r="C65195"/>
      <c r="M65195"/>
    </row>
    <row r="65196" spans="3:13" ht="12.75" customHeight="1" x14ac:dyDescent="0.2">
      <c r="C65196"/>
      <c r="M65196"/>
    </row>
    <row r="65197" spans="3:13" ht="12.75" customHeight="1" x14ac:dyDescent="0.2">
      <c r="C65197"/>
      <c r="M65197"/>
    </row>
    <row r="65198" spans="3:13" ht="12.75" customHeight="1" x14ac:dyDescent="0.2">
      <c r="C65198"/>
      <c r="M65198"/>
    </row>
    <row r="65199" spans="3:13" ht="12.75" customHeight="1" x14ac:dyDescent="0.2">
      <c r="C65199"/>
      <c r="M65199"/>
    </row>
    <row r="65200" spans="3:13" ht="12.75" customHeight="1" x14ac:dyDescent="0.2">
      <c r="C65200"/>
      <c r="M65200"/>
    </row>
    <row r="65201" spans="3:13" ht="12.75" customHeight="1" x14ac:dyDescent="0.2">
      <c r="C65201"/>
      <c r="M65201"/>
    </row>
    <row r="65202" spans="3:13" ht="12.75" customHeight="1" x14ac:dyDescent="0.2">
      <c r="C65202"/>
      <c r="M65202"/>
    </row>
    <row r="65203" spans="3:13" ht="12.75" customHeight="1" x14ac:dyDescent="0.2">
      <c r="C65203"/>
      <c r="M65203"/>
    </row>
    <row r="65204" spans="3:13" ht="12.75" customHeight="1" x14ac:dyDescent="0.2">
      <c r="C65204"/>
      <c r="M65204"/>
    </row>
    <row r="65205" spans="3:13" ht="12.75" customHeight="1" x14ac:dyDescent="0.2">
      <c r="C65205"/>
      <c r="M65205"/>
    </row>
    <row r="65206" spans="3:13" ht="12.75" customHeight="1" x14ac:dyDescent="0.2">
      <c r="C65206"/>
      <c r="M65206"/>
    </row>
    <row r="65207" spans="3:13" ht="12.75" customHeight="1" x14ac:dyDescent="0.2">
      <c r="C65207"/>
      <c r="M65207"/>
    </row>
    <row r="65208" spans="3:13" ht="12.75" customHeight="1" x14ac:dyDescent="0.2">
      <c r="C65208"/>
      <c r="M65208"/>
    </row>
    <row r="65209" spans="3:13" ht="12.75" customHeight="1" x14ac:dyDescent="0.2">
      <c r="C65209"/>
      <c r="M65209"/>
    </row>
    <row r="65210" spans="3:13" ht="12.75" customHeight="1" x14ac:dyDescent="0.2">
      <c r="C65210"/>
      <c r="M65210"/>
    </row>
    <row r="65211" spans="3:13" ht="12.75" customHeight="1" x14ac:dyDescent="0.2">
      <c r="C65211"/>
      <c r="M65211"/>
    </row>
    <row r="65212" spans="3:13" ht="12.75" customHeight="1" x14ac:dyDescent="0.2">
      <c r="C65212"/>
      <c r="M65212"/>
    </row>
    <row r="65213" spans="3:13" ht="12.75" customHeight="1" x14ac:dyDescent="0.2">
      <c r="C65213"/>
      <c r="M65213"/>
    </row>
    <row r="65214" spans="3:13" ht="12.75" customHeight="1" x14ac:dyDescent="0.2">
      <c r="C65214"/>
      <c r="M65214"/>
    </row>
    <row r="65215" spans="3:13" ht="12.75" customHeight="1" x14ac:dyDescent="0.2">
      <c r="C65215"/>
      <c r="M65215"/>
    </row>
    <row r="65216" spans="3:13" ht="12.75" customHeight="1" x14ac:dyDescent="0.2">
      <c r="C65216"/>
      <c r="M65216"/>
    </row>
    <row r="65217" spans="3:13" ht="12.75" customHeight="1" x14ac:dyDescent="0.2">
      <c r="C65217"/>
      <c r="M65217"/>
    </row>
    <row r="65218" spans="3:13" ht="12.75" customHeight="1" x14ac:dyDescent="0.2">
      <c r="C65218"/>
      <c r="M65218"/>
    </row>
    <row r="65219" spans="3:13" ht="12.75" customHeight="1" x14ac:dyDescent="0.2">
      <c r="C65219"/>
      <c r="M65219"/>
    </row>
    <row r="65220" spans="3:13" ht="12.75" customHeight="1" x14ac:dyDescent="0.2">
      <c r="C65220"/>
      <c r="M65220"/>
    </row>
    <row r="65221" spans="3:13" ht="12.75" customHeight="1" x14ac:dyDescent="0.2">
      <c r="C65221"/>
      <c r="M65221"/>
    </row>
    <row r="65222" spans="3:13" ht="12.75" customHeight="1" x14ac:dyDescent="0.2">
      <c r="C65222"/>
      <c r="M65222"/>
    </row>
    <row r="65223" spans="3:13" ht="12.75" customHeight="1" x14ac:dyDescent="0.2">
      <c r="C65223"/>
      <c r="M65223"/>
    </row>
    <row r="65224" spans="3:13" ht="12.75" customHeight="1" x14ac:dyDescent="0.2">
      <c r="C65224"/>
      <c r="M65224"/>
    </row>
    <row r="65225" spans="3:13" ht="12.75" customHeight="1" x14ac:dyDescent="0.2">
      <c r="C65225"/>
      <c r="M65225"/>
    </row>
    <row r="65226" spans="3:13" ht="12.75" customHeight="1" x14ac:dyDescent="0.2">
      <c r="C65226"/>
      <c r="M65226"/>
    </row>
    <row r="65227" spans="3:13" ht="12.75" customHeight="1" x14ac:dyDescent="0.2">
      <c r="C65227"/>
      <c r="M65227"/>
    </row>
    <row r="65228" spans="3:13" ht="12.75" customHeight="1" x14ac:dyDescent="0.2">
      <c r="C65228"/>
      <c r="M65228"/>
    </row>
    <row r="65229" spans="3:13" ht="12.75" customHeight="1" x14ac:dyDescent="0.2">
      <c r="C65229"/>
      <c r="M65229"/>
    </row>
    <row r="65230" spans="3:13" ht="12.75" customHeight="1" x14ac:dyDescent="0.2">
      <c r="C65230"/>
      <c r="M65230"/>
    </row>
    <row r="65231" spans="3:13" ht="12.75" customHeight="1" x14ac:dyDescent="0.2">
      <c r="C65231"/>
      <c r="M65231"/>
    </row>
    <row r="65232" spans="3:13" ht="12.75" customHeight="1" x14ac:dyDescent="0.2">
      <c r="C65232"/>
      <c r="M65232"/>
    </row>
    <row r="65233" spans="3:13" ht="12.75" customHeight="1" x14ac:dyDescent="0.2">
      <c r="C65233"/>
      <c r="M65233"/>
    </row>
    <row r="65234" spans="3:13" ht="12.75" customHeight="1" x14ac:dyDescent="0.2">
      <c r="C65234"/>
      <c r="M65234"/>
    </row>
    <row r="65235" spans="3:13" ht="12.75" customHeight="1" x14ac:dyDescent="0.2">
      <c r="C65235"/>
      <c r="M65235"/>
    </row>
    <row r="65236" spans="3:13" ht="12.75" customHeight="1" x14ac:dyDescent="0.2">
      <c r="C65236"/>
      <c r="M65236"/>
    </row>
    <row r="65237" spans="3:13" ht="12.75" customHeight="1" x14ac:dyDescent="0.2">
      <c r="C65237"/>
      <c r="M65237"/>
    </row>
    <row r="65238" spans="3:13" ht="12.75" customHeight="1" x14ac:dyDescent="0.2">
      <c r="C65238"/>
      <c r="M65238"/>
    </row>
    <row r="65239" spans="3:13" ht="12.75" customHeight="1" x14ac:dyDescent="0.2">
      <c r="C65239"/>
      <c r="M65239"/>
    </row>
    <row r="65240" spans="3:13" ht="12.75" customHeight="1" x14ac:dyDescent="0.2">
      <c r="C65240"/>
      <c r="M65240"/>
    </row>
    <row r="65241" spans="3:13" ht="12.75" customHeight="1" x14ac:dyDescent="0.2">
      <c r="C65241"/>
      <c r="M65241"/>
    </row>
    <row r="65242" spans="3:13" ht="12.75" customHeight="1" x14ac:dyDescent="0.2">
      <c r="C65242"/>
      <c r="M65242"/>
    </row>
    <row r="65243" spans="3:13" ht="12.75" customHeight="1" x14ac:dyDescent="0.2">
      <c r="C65243"/>
      <c r="M65243"/>
    </row>
    <row r="65244" spans="3:13" ht="12.75" customHeight="1" x14ac:dyDescent="0.2">
      <c r="C65244"/>
      <c r="M65244"/>
    </row>
    <row r="65245" spans="3:13" ht="12.75" customHeight="1" x14ac:dyDescent="0.2">
      <c r="C65245"/>
      <c r="M65245"/>
    </row>
    <row r="65246" spans="3:13" ht="12.75" customHeight="1" x14ac:dyDescent="0.2">
      <c r="C65246"/>
      <c r="M65246"/>
    </row>
    <row r="65247" spans="3:13" ht="12.75" customHeight="1" x14ac:dyDescent="0.2">
      <c r="C65247"/>
      <c r="M65247"/>
    </row>
    <row r="65248" spans="3:13" ht="12.75" customHeight="1" x14ac:dyDescent="0.2">
      <c r="C65248"/>
      <c r="M65248"/>
    </row>
    <row r="65249" spans="3:13" ht="12.75" customHeight="1" x14ac:dyDescent="0.2">
      <c r="C65249"/>
      <c r="M65249"/>
    </row>
    <row r="65250" spans="3:13" ht="12.75" customHeight="1" x14ac:dyDescent="0.2">
      <c r="C65250"/>
      <c r="M65250"/>
    </row>
    <row r="65251" spans="3:13" ht="12.75" customHeight="1" x14ac:dyDescent="0.2">
      <c r="C65251"/>
      <c r="M65251"/>
    </row>
    <row r="65252" spans="3:13" ht="12.75" customHeight="1" x14ac:dyDescent="0.2">
      <c r="C65252"/>
      <c r="M65252"/>
    </row>
    <row r="65253" spans="3:13" ht="12.75" customHeight="1" x14ac:dyDescent="0.2">
      <c r="C65253"/>
      <c r="M65253"/>
    </row>
    <row r="65254" spans="3:13" ht="12.75" customHeight="1" x14ac:dyDescent="0.2">
      <c r="C65254"/>
      <c r="M65254"/>
    </row>
    <row r="65255" spans="3:13" ht="12.75" customHeight="1" x14ac:dyDescent="0.2">
      <c r="C65255"/>
      <c r="M65255"/>
    </row>
    <row r="65256" spans="3:13" ht="12.75" customHeight="1" x14ac:dyDescent="0.2">
      <c r="C65256"/>
      <c r="M65256"/>
    </row>
    <row r="65257" spans="3:13" ht="12.75" customHeight="1" x14ac:dyDescent="0.2">
      <c r="C65257"/>
      <c r="M65257"/>
    </row>
    <row r="65258" spans="3:13" ht="12.75" customHeight="1" x14ac:dyDescent="0.2">
      <c r="C65258"/>
      <c r="M65258"/>
    </row>
    <row r="65259" spans="3:13" ht="12.75" customHeight="1" x14ac:dyDescent="0.2">
      <c r="C65259"/>
      <c r="M65259"/>
    </row>
    <row r="65260" spans="3:13" ht="12.75" customHeight="1" x14ac:dyDescent="0.2">
      <c r="C65260"/>
      <c r="M65260"/>
    </row>
    <row r="65261" spans="3:13" ht="12.75" customHeight="1" x14ac:dyDescent="0.2">
      <c r="C65261"/>
      <c r="M65261"/>
    </row>
    <row r="65262" spans="3:13" ht="12.75" customHeight="1" x14ac:dyDescent="0.2">
      <c r="C65262"/>
      <c r="M65262"/>
    </row>
    <row r="65263" spans="3:13" ht="12.75" customHeight="1" x14ac:dyDescent="0.2">
      <c r="C65263"/>
      <c r="M65263"/>
    </row>
    <row r="65264" spans="3:13" ht="12.75" customHeight="1" x14ac:dyDescent="0.2">
      <c r="C65264"/>
      <c r="M65264"/>
    </row>
    <row r="65265" spans="3:13" ht="12.75" customHeight="1" x14ac:dyDescent="0.2">
      <c r="C65265"/>
      <c r="M65265"/>
    </row>
    <row r="65266" spans="3:13" ht="12.75" customHeight="1" x14ac:dyDescent="0.2">
      <c r="C65266"/>
      <c r="M65266"/>
    </row>
    <row r="65267" spans="3:13" ht="12.75" customHeight="1" x14ac:dyDescent="0.2">
      <c r="C65267"/>
      <c r="M65267"/>
    </row>
    <row r="65268" spans="3:13" ht="12.75" customHeight="1" x14ac:dyDescent="0.2">
      <c r="C65268"/>
      <c r="M65268"/>
    </row>
    <row r="65269" spans="3:13" ht="12.75" customHeight="1" x14ac:dyDescent="0.2">
      <c r="C65269"/>
      <c r="M65269"/>
    </row>
    <row r="65270" spans="3:13" ht="12.75" customHeight="1" x14ac:dyDescent="0.2">
      <c r="C65270"/>
      <c r="M65270"/>
    </row>
    <row r="65271" spans="3:13" ht="12.75" customHeight="1" x14ac:dyDescent="0.2">
      <c r="C65271"/>
      <c r="M65271"/>
    </row>
    <row r="65272" spans="3:13" ht="12.75" customHeight="1" x14ac:dyDescent="0.2">
      <c r="C65272"/>
      <c r="M65272"/>
    </row>
    <row r="65273" spans="3:13" ht="12.75" customHeight="1" x14ac:dyDescent="0.2">
      <c r="C65273"/>
      <c r="M65273"/>
    </row>
    <row r="65274" spans="3:13" ht="12.75" customHeight="1" x14ac:dyDescent="0.2">
      <c r="C65274"/>
      <c r="M65274"/>
    </row>
    <row r="65275" spans="3:13" ht="12.75" customHeight="1" x14ac:dyDescent="0.2">
      <c r="C65275"/>
      <c r="M65275"/>
    </row>
    <row r="65276" spans="3:13" ht="12.75" customHeight="1" x14ac:dyDescent="0.2">
      <c r="C65276"/>
      <c r="M65276"/>
    </row>
    <row r="65277" spans="3:13" ht="12.75" customHeight="1" x14ac:dyDescent="0.2">
      <c r="C65277"/>
      <c r="M65277"/>
    </row>
    <row r="65278" spans="3:13" ht="12.75" customHeight="1" x14ac:dyDescent="0.2">
      <c r="C65278"/>
      <c r="M65278"/>
    </row>
    <row r="65279" spans="3:13" ht="12.75" customHeight="1" x14ac:dyDescent="0.2">
      <c r="C65279"/>
      <c r="M65279"/>
    </row>
    <row r="65280" spans="3:13" ht="12.75" customHeight="1" x14ac:dyDescent="0.2">
      <c r="C65280"/>
      <c r="M65280"/>
    </row>
    <row r="65281" spans="3:13" ht="12.75" customHeight="1" x14ac:dyDescent="0.2">
      <c r="C65281"/>
      <c r="M65281"/>
    </row>
    <row r="65282" spans="3:13" ht="12.75" customHeight="1" x14ac:dyDescent="0.2">
      <c r="C65282"/>
      <c r="M65282"/>
    </row>
    <row r="65283" spans="3:13" ht="12.75" customHeight="1" x14ac:dyDescent="0.2">
      <c r="C65283"/>
      <c r="M65283"/>
    </row>
    <row r="65284" spans="3:13" ht="12.75" customHeight="1" x14ac:dyDescent="0.2">
      <c r="C65284"/>
      <c r="M65284"/>
    </row>
    <row r="65285" spans="3:13" ht="12.75" customHeight="1" x14ac:dyDescent="0.2">
      <c r="C65285"/>
      <c r="M65285"/>
    </row>
    <row r="65286" spans="3:13" ht="12.75" customHeight="1" x14ac:dyDescent="0.2">
      <c r="C65286"/>
      <c r="M65286"/>
    </row>
    <row r="65287" spans="3:13" ht="12.75" customHeight="1" x14ac:dyDescent="0.2">
      <c r="C65287"/>
      <c r="M65287"/>
    </row>
    <row r="65288" spans="3:13" ht="12.75" customHeight="1" x14ac:dyDescent="0.2">
      <c r="C65288"/>
      <c r="M65288"/>
    </row>
    <row r="65289" spans="3:13" ht="12.75" customHeight="1" x14ac:dyDescent="0.2">
      <c r="C65289"/>
      <c r="M65289"/>
    </row>
    <row r="65290" spans="3:13" ht="12.75" customHeight="1" x14ac:dyDescent="0.2">
      <c r="C65290"/>
      <c r="M65290"/>
    </row>
    <row r="65291" spans="3:13" ht="12.75" customHeight="1" x14ac:dyDescent="0.2">
      <c r="C65291"/>
      <c r="M65291"/>
    </row>
    <row r="65292" spans="3:13" ht="12.75" customHeight="1" x14ac:dyDescent="0.2">
      <c r="C65292"/>
      <c r="M65292"/>
    </row>
    <row r="65293" spans="3:13" ht="12.75" customHeight="1" x14ac:dyDescent="0.2">
      <c r="C65293"/>
      <c r="M65293"/>
    </row>
    <row r="65294" spans="3:13" ht="12.75" customHeight="1" x14ac:dyDescent="0.2">
      <c r="C65294"/>
      <c r="M65294"/>
    </row>
    <row r="65295" spans="3:13" ht="12.75" customHeight="1" x14ac:dyDescent="0.2">
      <c r="C65295"/>
      <c r="M65295"/>
    </row>
    <row r="65296" spans="3:13" ht="12.75" customHeight="1" x14ac:dyDescent="0.2">
      <c r="C65296"/>
      <c r="M65296"/>
    </row>
    <row r="65297" spans="3:13" ht="12.75" customHeight="1" x14ac:dyDescent="0.2">
      <c r="C65297"/>
      <c r="M65297"/>
    </row>
    <row r="65298" spans="3:13" ht="12.75" customHeight="1" x14ac:dyDescent="0.2">
      <c r="C65298"/>
      <c r="M65298"/>
    </row>
    <row r="65299" spans="3:13" ht="12.75" customHeight="1" x14ac:dyDescent="0.2">
      <c r="C65299"/>
      <c r="M65299"/>
    </row>
    <row r="65300" spans="3:13" ht="12.75" customHeight="1" x14ac:dyDescent="0.2">
      <c r="C65300"/>
      <c r="M65300"/>
    </row>
    <row r="65301" spans="3:13" ht="12.75" customHeight="1" x14ac:dyDescent="0.2">
      <c r="C65301"/>
      <c r="M65301"/>
    </row>
    <row r="65302" spans="3:13" ht="12.75" customHeight="1" x14ac:dyDescent="0.2">
      <c r="C65302"/>
      <c r="M65302"/>
    </row>
    <row r="65303" spans="3:13" ht="12.75" customHeight="1" x14ac:dyDescent="0.2">
      <c r="C65303"/>
      <c r="M65303"/>
    </row>
    <row r="65304" spans="3:13" ht="12.75" customHeight="1" x14ac:dyDescent="0.2">
      <c r="C65304"/>
      <c r="M65304"/>
    </row>
    <row r="65305" spans="3:13" ht="12.75" customHeight="1" x14ac:dyDescent="0.2">
      <c r="C65305"/>
      <c r="M65305"/>
    </row>
    <row r="65306" spans="3:13" ht="12.75" customHeight="1" x14ac:dyDescent="0.2">
      <c r="C65306"/>
      <c r="M65306"/>
    </row>
    <row r="65307" spans="3:13" ht="12.75" customHeight="1" x14ac:dyDescent="0.2">
      <c r="C65307"/>
      <c r="M65307"/>
    </row>
    <row r="65308" spans="3:13" ht="12.75" customHeight="1" x14ac:dyDescent="0.2">
      <c r="C65308"/>
      <c r="M65308"/>
    </row>
    <row r="65309" spans="3:13" ht="12.75" customHeight="1" x14ac:dyDescent="0.2">
      <c r="C65309"/>
      <c r="M65309"/>
    </row>
    <row r="65310" spans="3:13" ht="12.75" customHeight="1" x14ac:dyDescent="0.2">
      <c r="C65310"/>
      <c r="M65310"/>
    </row>
    <row r="65311" spans="3:13" ht="12.75" customHeight="1" x14ac:dyDescent="0.2">
      <c r="C65311"/>
      <c r="M65311"/>
    </row>
    <row r="65312" spans="3:13" ht="12.75" customHeight="1" x14ac:dyDescent="0.2">
      <c r="C65312"/>
      <c r="M65312"/>
    </row>
    <row r="65313" spans="3:13" ht="12.75" customHeight="1" x14ac:dyDescent="0.2">
      <c r="C65313"/>
      <c r="M65313"/>
    </row>
    <row r="65314" spans="3:13" ht="12.75" customHeight="1" x14ac:dyDescent="0.2">
      <c r="C65314"/>
      <c r="M65314"/>
    </row>
    <row r="65315" spans="3:13" ht="12.75" customHeight="1" x14ac:dyDescent="0.2">
      <c r="C65315"/>
      <c r="M65315"/>
    </row>
    <row r="65316" spans="3:13" ht="12.75" customHeight="1" x14ac:dyDescent="0.2">
      <c r="C65316"/>
      <c r="M65316"/>
    </row>
    <row r="65317" spans="3:13" ht="12.75" customHeight="1" x14ac:dyDescent="0.2">
      <c r="C65317"/>
      <c r="M65317"/>
    </row>
    <row r="65318" spans="3:13" ht="12.75" customHeight="1" x14ac:dyDescent="0.2">
      <c r="C65318"/>
      <c r="M65318"/>
    </row>
    <row r="65319" spans="3:13" ht="12.75" customHeight="1" x14ac:dyDescent="0.2">
      <c r="C65319"/>
      <c r="M65319"/>
    </row>
    <row r="65320" spans="3:13" ht="12.75" customHeight="1" x14ac:dyDescent="0.2">
      <c r="C65320"/>
      <c r="M65320"/>
    </row>
    <row r="65321" spans="3:13" ht="12.75" customHeight="1" x14ac:dyDescent="0.2">
      <c r="C65321"/>
      <c r="M65321"/>
    </row>
    <row r="65322" spans="3:13" ht="12.75" customHeight="1" x14ac:dyDescent="0.2">
      <c r="C65322"/>
      <c r="M65322"/>
    </row>
    <row r="65323" spans="3:13" ht="12.75" customHeight="1" x14ac:dyDescent="0.2">
      <c r="C65323"/>
      <c r="M65323"/>
    </row>
  </sheetData>
  <sheetProtection algorithmName="SHA-512" hashValue="S3L1fhcPjp/infN507HunNJ9XMAyYYieicglEdgOZjbwhdjYCoKnpVcaF5EEhFh9Soy788nuEDAnurcIVoLJsw==" saltValue="nSHeA5TFgN1qYxPJCnpH+A==" spinCount="100000" sheet="1" objects="1" scenarios="1" autoFilter="0"/>
  <autoFilter ref="C15:C55"/>
  <mergeCells count="15">
    <mergeCell ref="F6:H6"/>
    <mergeCell ref="Q6:R6"/>
    <mergeCell ref="Y6:Z6"/>
    <mergeCell ref="F7:H7"/>
    <mergeCell ref="Q7:R7"/>
    <mergeCell ref="Y7:Z7"/>
    <mergeCell ref="E15:H15"/>
    <mergeCell ref="E9:F9"/>
    <mergeCell ref="G9:H9"/>
    <mergeCell ref="S9:T9"/>
    <mergeCell ref="U9:Z9"/>
    <mergeCell ref="E10:F10"/>
    <mergeCell ref="G10:H10"/>
    <mergeCell ref="S10:T10"/>
    <mergeCell ref="U10:Z10"/>
  </mergeCells>
  <phoneticPr fontId="38" type="noConversion"/>
  <conditionalFormatting sqref="D14:G14 I14 D16:I18 D20:I24 D27:I42 D48:I54">
    <cfRule type="expression" dxfId="277" priority="14367" stopIfTrue="1">
      <formula>$B14=1</formula>
    </cfRule>
    <cfRule type="expression" dxfId="276" priority="14368" stopIfTrue="1">
      <formula>OR($B14=0,$B14=2,$B14=3,$B14=4)</formula>
    </cfRule>
  </conditionalFormatting>
  <conditionalFormatting sqref="M12:N18 M20:N24 M27:N45 M48:N55">
    <cfRule type="expression" dxfId="275" priority="14369" stopIfTrue="1">
      <formula>ACOMPANHAMENTO="BM"</formula>
    </cfRule>
    <cfRule type="expression" dxfId="274" priority="14370" stopIfTrue="1">
      <formula>OR($B12=0,$B12=2,$B12=3,$B12=4)</formula>
    </cfRule>
    <cfRule type="expression" dxfId="273" priority="14371" stopIfTrue="1">
      <formula>$B12=1</formula>
    </cfRule>
  </conditionalFormatting>
  <conditionalFormatting sqref="K12:K18 K20:K46 K48:K55">
    <cfRule type="expression" dxfId="272" priority="14372" stopIfTrue="1">
      <formula>OR(ACOMPANHAMENTO="BM",$A$12&lt;&gt;"Manual")</formula>
    </cfRule>
    <cfRule type="expression" dxfId="271" priority="14373" stopIfTrue="1">
      <formula>$B12=1</formula>
    </cfRule>
    <cfRule type="expression" dxfId="270" priority="14374" stopIfTrue="1">
      <formula>OR($B12=2,$B12=3,$B12=4,$B12=0)</formula>
    </cfRule>
  </conditionalFormatting>
  <conditionalFormatting sqref="O12:Z18 O20:Z25 AA12:AA25 O26:AA46 O48:AA55">
    <cfRule type="expression" dxfId="269" priority="7958" stopIfTrue="1">
      <formula>ACOMPANHAMENTO="BM"</formula>
    </cfRule>
    <cfRule type="expression" dxfId="268" priority="14376" stopIfTrue="1">
      <formula>AND(O$12&lt;&gt;".",OR($B12=0,$B12=2,$B12=3,$B12=4,AND(O$12="",$B12&lt;&gt;"Empty"),OFFSET(O$1,0,-1)=0))</formula>
    </cfRule>
    <cfRule type="expression" dxfId="267" priority="14377" stopIfTrue="1">
      <formula>AND($B12=1,O$1=1)</formula>
    </cfRule>
  </conditionalFormatting>
  <conditionalFormatting sqref="Q15:Z15">
    <cfRule type="expression" dxfId="266" priority="14375">
      <formula>Q$11="▼"</formula>
    </cfRule>
  </conditionalFormatting>
  <conditionalFormatting sqref="O15">
    <cfRule type="expression" dxfId="265" priority="7957">
      <formula>O$11="▼"</formula>
    </cfRule>
  </conditionalFormatting>
  <conditionalFormatting sqref="N14 N16:N18 N20:N24 N27:N42 N48:N54">
    <cfRule type="expression" dxfId="264" priority="4992">
      <formula>$J14="►"</formula>
    </cfRule>
  </conditionalFormatting>
  <conditionalFormatting sqref="N12">
    <cfRule type="cellIs" dxfId="263" priority="4990" operator="notEqual">
      <formula>"FRENTES DE OBRA:"</formula>
    </cfRule>
  </conditionalFormatting>
  <conditionalFormatting sqref="Q27:AA42 Q20:AA24 Q16:AA18 Q14:AA14">
    <cfRule type="expression" dxfId="262" priority="2775">
      <formula>Q14&lt;&gt;ROUND(Q14,2)</formula>
    </cfRule>
  </conditionalFormatting>
  <conditionalFormatting sqref="H14">
    <cfRule type="expression" dxfId="261" priority="2335" stopIfTrue="1">
      <formula>$B14=1</formula>
    </cfRule>
    <cfRule type="expression" dxfId="260" priority="2336" stopIfTrue="1">
      <formula>OR($B14=0,$B14=2,$B14=3,$B14=4)</formula>
    </cfRule>
  </conditionalFormatting>
  <conditionalFormatting sqref="H14 H16:H18 H20:H24 H27:H42 H48:H54">
    <cfRule type="expression" dxfId="259" priority="2334">
      <formula>$J14="►S"</formula>
    </cfRule>
  </conditionalFormatting>
  <conditionalFormatting sqref="D43:G45 I43:I45">
    <cfRule type="expression" dxfId="258" priority="323" stopIfTrue="1">
      <formula>$B43=1</formula>
    </cfRule>
    <cfRule type="expression" dxfId="257" priority="324" stopIfTrue="1">
      <formula>OR($B43=0,$B43=2,$B43=3,$B43=4)</formula>
    </cfRule>
  </conditionalFormatting>
  <conditionalFormatting sqref="N43:N45">
    <cfRule type="expression" dxfId="256" priority="322">
      <formula>$J43="►"</formula>
    </cfRule>
  </conditionalFormatting>
  <conditionalFormatting sqref="Q48:AA52 Q43:AA45">
    <cfRule type="expression" dxfId="255" priority="321">
      <formula>Q43&lt;&gt;ROUND(Q43,2)</formula>
    </cfRule>
  </conditionalFormatting>
  <conditionalFormatting sqref="H43:H45">
    <cfRule type="expression" dxfId="254" priority="319" stopIfTrue="1">
      <formula>$B43=1</formula>
    </cfRule>
    <cfRule type="expression" dxfId="253" priority="320" stopIfTrue="1">
      <formula>OR($B43=0,$B43=2,$B43=3,$B43=4)</formula>
    </cfRule>
  </conditionalFormatting>
  <conditionalFormatting sqref="H43:H45">
    <cfRule type="expression" dxfId="252" priority="318">
      <formula>$J43="►S"</formula>
    </cfRule>
  </conditionalFormatting>
  <conditionalFormatting sqref="Q53:AA54">
    <cfRule type="expression" dxfId="251" priority="314">
      <formula>Q53&lt;&gt;ROUND(Q53,2)</formula>
    </cfRule>
  </conditionalFormatting>
  <conditionalFormatting sqref="D46:G46 I46">
    <cfRule type="expression" dxfId="250" priority="140" stopIfTrue="1">
      <formula>$B46=1</formula>
    </cfRule>
    <cfRule type="expression" dxfId="249" priority="141" stopIfTrue="1">
      <formula>OR($B46=0,$B46=2,$B46=3,$B46=4)</formula>
    </cfRule>
  </conditionalFormatting>
  <conditionalFormatting sqref="M46:N46">
    <cfRule type="expression" dxfId="248" priority="142" stopIfTrue="1">
      <formula>ACOMPANHAMENTO="BM"</formula>
    </cfRule>
    <cfRule type="expression" dxfId="247" priority="143" stopIfTrue="1">
      <formula>OR($B46=0,$B46=2,$B46=3,$B46=4)</formula>
    </cfRule>
    <cfRule type="expression" dxfId="246" priority="144" stopIfTrue="1">
      <formula>$B46=1</formula>
    </cfRule>
  </conditionalFormatting>
  <conditionalFormatting sqref="N46">
    <cfRule type="expression" dxfId="245" priority="138">
      <formula>$J46="►"</formula>
    </cfRule>
  </conditionalFormatting>
  <conditionalFormatting sqref="Q46:AA46">
    <cfRule type="expression" dxfId="244" priority="137">
      <formula>Q46&lt;&gt;ROUND(Q46,2)</formula>
    </cfRule>
  </conditionalFormatting>
  <conditionalFormatting sqref="H46">
    <cfRule type="expression" dxfId="243" priority="135" stopIfTrue="1">
      <formula>$B46=1</formula>
    </cfRule>
    <cfRule type="expression" dxfId="242" priority="136" stopIfTrue="1">
      <formula>OR($B46=0,$B46=2,$B46=3,$B46=4)</formula>
    </cfRule>
  </conditionalFormatting>
  <conditionalFormatting sqref="H46">
    <cfRule type="expression" dxfId="241" priority="134">
      <formula>$J46="►S"</formula>
    </cfRule>
  </conditionalFormatting>
  <conditionalFormatting sqref="D25:G25 I25">
    <cfRule type="expression" dxfId="240" priority="124" stopIfTrue="1">
      <formula>$B25=1</formula>
    </cfRule>
    <cfRule type="expression" dxfId="239" priority="125" stopIfTrue="1">
      <formula>OR($B25=0,$B25=2,$B25=3,$B25=4)</formula>
    </cfRule>
  </conditionalFormatting>
  <conditionalFormatting sqref="M25:N25">
    <cfRule type="expression" dxfId="238" priority="126" stopIfTrue="1">
      <formula>ACOMPANHAMENTO="BM"</formula>
    </cfRule>
    <cfRule type="expression" dxfId="237" priority="127" stopIfTrue="1">
      <formula>OR($B25=0,$B25=2,$B25=3,$B25=4)</formula>
    </cfRule>
    <cfRule type="expression" dxfId="236" priority="128" stopIfTrue="1">
      <formula>$B25=1</formula>
    </cfRule>
  </conditionalFormatting>
  <conditionalFormatting sqref="N25">
    <cfRule type="expression" dxfId="235" priority="122">
      <formula>$J25="►"</formula>
    </cfRule>
  </conditionalFormatting>
  <conditionalFormatting sqref="Q25:AA25">
    <cfRule type="expression" dxfId="234" priority="121">
      <formula>Q25&lt;&gt;ROUND(Q25,2)</formula>
    </cfRule>
  </conditionalFormatting>
  <conditionalFormatting sqref="H25">
    <cfRule type="expression" dxfId="233" priority="119" stopIfTrue="1">
      <formula>$B25=1</formula>
    </cfRule>
    <cfRule type="expression" dxfId="232" priority="120" stopIfTrue="1">
      <formula>OR($B25=0,$B25=2,$B25=3,$B25=4)</formula>
    </cfRule>
  </conditionalFormatting>
  <conditionalFormatting sqref="H25">
    <cfRule type="expression" dxfId="231" priority="118">
      <formula>$J25="►S"</formula>
    </cfRule>
  </conditionalFormatting>
  <conditionalFormatting sqref="D19:G19 I19">
    <cfRule type="expression" dxfId="230" priority="76" stopIfTrue="1">
      <formula>$B19=1</formula>
    </cfRule>
    <cfRule type="expression" dxfId="229" priority="77" stopIfTrue="1">
      <formula>OR($B19=0,$B19=2,$B19=3,$B19=4)</formula>
    </cfRule>
  </conditionalFormatting>
  <conditionalFormatting sqref="M19:N19">
    <cfRule type="expression" dxfId="228" priority="78" stopIfTrue="1">
      <formula>ACOMPANHAMENTO="BM"</formula>
    </cfRule>
    <cfRule type="expression" dxfId="227" priority="79" stopIfTrue="1">
      <formula>OR($B19=0,$B19=2,$B19=3,$B19=4)</formula>
    </cfRule>
    <cfRule type="expression" dxfId="226" priority="80" stopIfTrue="1">
      <formula>$B19=1</formula>
    </cfRule>
  </conditionalFormatting>
  <conditionalFormatting sqref="K19">
    <cfRule type="expression" dxfId="225" priority="81" stopIfTrue="1">
      <formula>OR(ACOMPANHAMENTO="BM",$A$12&lt;&gt;"Manual")</formula>
    </cfRule>
    <cfRule type="expression" dxfId="224" priority="82" stopIfTrue="1">
      <formula>$B19=1</formula>
    </cfRule>
    <cfRule type="expression" dxfId="223" priority="83" stopIfTrue="1">
      <formula>OR($B19=2,$B19=3,$B19=4,$B19=0)</formula>
    </cfRule>
  </conditionalFormatting>
  <conditionalFormatting sqref="O19:Z19">
    <cfRule type="expression" dxfId="222" priority="75" stopIfTrue="1">
      <formula>ACOMPANHAMENTO="BM"</formula>
    </cfRule>
    <cfRule type="expression" dxfId="221" priority="84" stopIfTrue="1">
      <formula>AND(O$12&lt;&gt;".",OR($B19=0,$B19=2,$B19=3,$B19=4,AND(O$12="",$B19&lt;&gt;"Empty"),OFFSET(O$1,0,-1)=0))</formula>
    </cfRule>
    <cfRule type="expression" dxfId="220" priority="85" stopIfTrue="1">
      <formula>AND($B19=1,O$1=1)</formula>
    </cfRule>
  </conditionalFormatting>
  <conditionalFormatting sqref="N19">
    <cfRule type="expression" dxfId="219" priority="74">
      <formula>$J19="►"</formula>
    </cfRule>
  </conditionalFormatting>
  <conditionalFormatting sqref="Q19:AA19">
    <cfRule type="expression" dxfId="218" priority="73">
      <formula>Q19&lt;&gt;ROUND(Q19,2)</formula>
    </cfRule>
  </conditionalFormatting>
  <conditionalFormatting sqref="H19">
    <cfRule type="expression" dxfId="217" priority="71" stopIfTrue="1">
      <formula>$B19=1</formula>
    </cfRule>
    <cfRule type="expression" dxfId="216" priority="72" stopIfTrue="1">
      <formula>OR($B19=0,$B19=2,$B19=3,$B19=4)</formula>
    </cfRule>
  </conditionalFormatting>
  <conditionalFormatting sqref="H19">
    <cfRule type="expression" dxfId="215" priority="70">
      <formula>$J19="►S"</formula>
    </cfRule>
  </conditionalFormatting>
  <conditionalFormatting sqref="D26:G26 I26">
    <cfRule type="expression" dxfId="214" priority="44" stopIfTrue="1">
      <formula>$B26=1</formula>
    </cfRule>
    <cfRule type="expression" dxfId="213" priority="45" stopIfTrue="1">
      <formula>OR($B26=0,$B26=2,$B26=3,$B26=4)</formula>
    </cfRule>
  </conditionalFormatting>
  <conditionalFormatting sqref="M26:N26">
    <cfRule type="expression" dxfId="212" priority="46" stopIfTrue="1">
      <formula>ACOMPANHAMENTO="BM"</formula>
    </cfRule>
    <cfRule type="expression" dxfId="211" priority="47" stopIfTrue="1">
      <formula>OR($B26=0,$B26=2,$B26=3,$B26=4)</formula>
    </cfRule>
    <cfRule type="expression" dxfId="210" priority="48" stopIfTrue="1">
      <formula>$B26=1</formula>
    </cfRule>
  </conditionalFormatting>
  <conditionalFormatting sqref="N26">
    <cfRule type="expression" dxfId="209" priority="42">
      <formula>$J26="►"</formula>
    </cfRule>
  </conditionalFormatting>
  <conditionalFormatting sqref="Q26:AA26">
    <cfRule type="expression" dxfId="208" priority="41">
      <formula>Q26&lt;&gt;ROUND(Q26,2)</formula>
    </cfRule>
  </conditionalFormatting>
  <conditionalFormatting sqref="H26">
    <cfRule type="expression" dxfId="207" priority="39" stopIfTrue="1">
      <formula>$B26=1</formula>
    </cfRule>
    <cfRule type="expression" dxfId="206" priority="40" stopIfTrue="1">
      <formula>OR($B26=0,$B26=2,$B26=3,$B26=4)</formula>
    </cfRule>
  </conditionalFormatting>
  <conditionalFormatting sqref="H26">
    <cfRule type="expression" dxfId="205" priority="38">
      <formula>$J26="►S"</formula>
    </cfRule>
  </conditionalFormatting>
  <conditionalFormatting sqref="D47:G47 I47">
    <cfRule type="expression" dxfId="204" priority="7" stopIfTrue="1">
      <formula>$B47=1</formula>
    </cfRule>
    <cfRule type="expression" dxfId="203" priority="8" stopIfTrue="1">
      <formula>OR($B47=0,$B47=2,$B47=3,$B47=4)</formula>
    </cfRule>
  </conditionalFormatting>
  <conditionalFormatting sqref="M47:N47">
    <cfRule type="expression" dxfId="202" priority="9" stopIfTrue="1">
      <formula>ACOMPANHAMENTO="BM"</formula>
    </cfRule>
    <cfRule type="expression" dxfId="201" priority="10" stopIfTrue="1">
      <formula>OR($B47=0,$B47=2,$B47=3,$B47=4)</formula>
    </cfRule>
    <cfRule type="expression" dxfId="200" priority="11" stopIfTrue="1">
      <formula>$B47=1</formula>
    </cfRule>
  </conditionalFormatting>
  <conditionalFormatting sqref="K47">
    <cfRule type="expression" dxfId="199" priority="12" stopIfTrue="1">
      <formula>OR(ACOMPANHAMENTO="BM",$A$12&lt;&gt;"Manual")</formula>
    </cfRule>
    <cfRule type="expression" dxfId="198" priority="13" stopIfTrue="1">
      <formula>$B47=1</formula>
    </cfRule>
    <cfRule type="expression" dxfId="197" priority="14" stopIfTrue="1">
      <formula>OR($B47=2,$B47=3,$B47=4,$B47=0)</formula>
    </cfRule>
  </conditionalFormatting>
  <conditionalFormatting sqref="O47:AA47">
    <cfRule type="expression" dxfId="196" priority="6" stopIfTrue="1">
      <formula>ACOMPANHAMENTO="BM"</formula>
    </cfRule>
    <cfRule type="expression" dxfId="195" priority="15" stopIfTrue="1">
      <formula>AND(O$12&lt;&gt;".",OR($B47=0,$B47=2,$B47=3,$B47=4,AND(O$12="",$B47&lt;&gt;"Empty"),OFFSET(O$1,0,-1)=0))</formula>
    </cfRule>
    <cfRule type="expression" dxfId="194" priority="16" stopIfTrue="1">
      <formula>AND($B47=1,O$1=1)</formula>
    </cfRule>
  </conditionalFormatting>
  <conditionalFormatting sqref="N47">
    <cfRule type="expression" dxfId="193" priority="5">
      <formula>$J47="►"</formula>
    </cfRule>
  </conditionalFormatting>
  <conditionalFormatting sqref="Q47:AA47">
    <cfRule type="expression" dxfId="192" priority="4">
      <formula>Q47&lt;&gt;ROUND(Q47,2)</formula>
    </cfRule>
  </conditionalFormatting>
  <conditionalFormatting sqref="H47">
    <cfRule type="expression" dxfId="191" priority="2" stopIfTrue="1">
      <formula>$B47=1</formula>
    </cfRule>
    <cfRule type="expression" dxfId="190" priority="3" stopIfTrue="1">
      <formula>OR($B47=0,$B47=2,$B47=3,$B47=4)</formula>
    </cfRule>
  </conditionalFormatting>
  <conditionalFormatting sqref="H47">
    <cfRule type="expression" dxfId="189" priority="1">
      <formula>$J47="►S"</formula>
    </cfRule>
  </conditionalFormatting>
  <dataValidations count="4">
    <dataValidation type="decimal" operator="greaterThan" allowBlank="1" showErrorMessage="1" error="Apenas números decimais maiores que zero." sqref="O14 Q14:Z14 O16:O54 Q16:Z54">
      <formula1>0</formula1>
      <formula2>0</formula2>
    </dataValidation>
    <dataValidation allowBlank="1" showInputMessage="1" showErrorMessage="1" prompt="A quantidade é digitada nas colunas Q em diante, após preencher o nome das frentes de obra na célula Q12 em diante" sqref="H14 H16:H54"/>
    <dataValidation allowBlank="1" showInputMessage="1" showErrorMessage="1" prompt="A frente de obra é uma porção física da obra. Exemplos: Única; Rua A; Rua B; Trecho 01; Trecho 02; 1º Andar; 2º Andar; Copa; Banheiro" sqref="Q12"/>
    <dataValidation type="list" allowBlank="1" showInputMessage="1" showErrorMessage="1" errorTitle="Erro:" error="Selecione um dos eventos da lista suspensa." prompt="Selecione um dos eventos da lista suspensa._x000a_" sqref="K14 K16:K54">
      <formula1>EVENTOS.ListaValidacao</formula1>
    </dataValidation>
  </dataValidations>
  <pageMargins left="0.78740157480314998" right="0.78740157480314998" top="0.78740157480314998" bottom="0.78740157480314998" header="0.59055118110236204" footer="0.59055118110236204"/>
  <pageSetup paperSize="9" scale="65" firstPageNumber="0" orientation="landscape" r:id="rId1"/>
  <headerFooter alignWithMargins="0">
    <oddHeader>&amp;C&amp;14I</oddHeader>
    <oddFooter>&amp;LPMv3.14&amp;R&amp;P / &amp;N</oddFooter>
  </headerFooter>
  <colBreaks count="1" manualBreakCount="1">
    <brk id="27"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0">
    <pageSetUpPr fitToPage="1"/>
  </sheetPr>
  <dimension ref="A1:AF38"/>
  <sheetViews>
    <sheetView showGridLines="0" zoomScaleNormal="100" zoomScaleSheetLayoutView="100" workbookViewId="0">
      <pane xSplit="3" ySplit="13" topLeftCell="D14" activePane="bottomRight" state="frozen"/>
      <selection pane="topRight" activeCell="D3" sqref="D3"/>
      <selection pane="bottomLeft" activeCell="A13" sqref="A13"/>
      <selection pane="bottomRight" activeCell="O17" sqref="O17"/>
    </sheetView>
  </sheetViews>
  <sheetFormatPr defaultRowHeight="12.75" x14ac:dyDescent="0.2"/>
  <cols>
    <col min="1" max="1" width="3.5703125" customWidth="1"/>
    <col min="2" max="2" width="8.140625" customWidth="1"/>
    <col min="3" max="3" width="36.85546875" customWidth="1"/>
    <col min="4" max="4" width="0.85546875" customWidth="1"/>
    <col min="5" max="6" width="9.140625" hidden="1" customWidth="1"/>
    <col min="7" max="31" width="5.5703125" customWidth="1"/>
    <col min="32" max="32" width="5.5703125" hidden="1" customWidth="1"/>
  </cols>
  <sheetData>
    <row r="1" spans="1:31" hidden="1" x14ac:dyDescent="0.2">
      <c r="A1" s="7" t="e">
        <f ca="1">IF(AUTOEVENTO="Manual",IF(EVENTOS!$F1&gt;0,"F",""),IF(AND(B1&gt;0,B1&lt;=MAX(CÁLCULO!$M$15:$M$55)),"F",""))</f>
        <v>#REF!</v>
      </c>
      <c r="B1" s="246" t="e">
        <f ca="1">OFFSET(B1,-1,0)+1</f>
        <v>#REF!</v>
      </c>
      <c r="C1" s="513" t="e">
        <f ca="1">IF(AUTOEVENTO="Manual",IF($B1&gt;0,OFFSET(EVENTOS!$D$15,$B1-$B$15,0),0),IF(B1&lt;=MAX(CÁLCULO!$M$15:$M$55),VLOOKUP($B1,CÁLCULO!$M$15:$N$55,2,FALSE),0))</f>
        <v>#REF!</v>
      </c>
      <c r="D1" s="553"/>
      <c r="E1" s="247"/>
      <c r="F1" t="e">
        <f ca="1">IF($C1=0,"",CONCATENATE($B1,". ",$C1))</f>
        <v>#REF!</v>
      </c>
      <c r="G1" s="552"/>
      <c r="H1" s="552"/>
      <c r="I1" s="552"/>
      <c r="J1" s="552"/>
      <c r="K1" s="552"/>
      <c r="L1" s="552"/>
      <c r="M1" s="552"/>
      <c r="N1" s="552"/>
      <c r="O1" s="552"/>
      <c r="P1" s="552"/>
      <c r="Q1" s="552"/>
      <c r="R1" s="552"/>
      <c r="S1" s="552"/>
      <c r="T1" s="552"/>
      <c r="U1" s="552"/>
      <c r="V1" s="552"/>
      <c r="W1" s="552"/>
      <c r="X1" s="552"/>
      <c r="Y1" s="552"/>
      <c r="Z1" s="552"/>
      <c r="AA1" s="552"/>
      <c r="AB1" s="552"/>
      <c r="AC1" s="552"/>
      <c r="AD1" s="552"/>
      <c r="AE1" s="552"/>
    </row>
    <row r="2" spans="1:31" ht="30" customHeight="1" x14ac:dyDescent="0.2">
      <c r="G2" s="81" t="s">
        <v>777</v>
      </c>
      <c r="AC2" s="758" t="s">
        <v>757</v>
      </c>
      <c r="AD2" s="759"/>
      <c r="AE2" s="760"/>
    </row>
    <row r="3" spans="1:31" ht="12.75" customHeight="1" x14ac:dyDescent="0.2">
      <c r="G3" s="81"/>
      <c r="AD3" s="482"/>
      <c r="AE3" s="482"/>
    </row>
    <row r="4" spans="1:31" ht="12.75" customHeight="1" x14ac:dyDescent="0.2">
      <c r="B4" s="699" t="s">
        <v>652</v>
      </c>
      <c r="C4" s="699"/>
      <c r="D4" s="699"/>
      <c r="G4" s="710" t="s">
        <v>650</v>
      </c>
      <c r="H4" s="710"/>
      <c r="I4" s="710"/>
      <c r="J4" s="710" t="s">
        <v>707</v>
      </c>
      <c r="K4" s="710"/>
      <c r="L4" s="710"/>
      <c r="M4" s="207" t="s">
        <v>758</v>
      </c>
      <c r="N4" s="211"/>
      <c r="P4" s="185"/>
      <c r="Q4" s="185"/>
      <c r="R4" s="185"/>
      <c r="U4" s="483"/>
      <c r="V4" s="185"/>
      <c r="W4" s="185"/>
      <c r="X4" s="185"/>
      <c r="Y4" s="185"/>
      <c r="AD4" s="482"/>
      <c r="AE4" s="484"/>
    </row>
    <row r="5" spans="1:31" ht="12.75" customHeight="1" x14ac:dyDescent="0.2">
      <c r="B5" s="702" t="str">
        <f>Import.Proponente</f>
        <v>18.029.165/0001-51</v>
      </c>
      <c r="C5" s="702"/>
      <c r="D5" s="702"/>
      <c r="G5" s="715">
        <f>Import.CR</f>
        <v>0</v>
      </c>
      <c r="H5" s="715"/>
      <c r="I5" s="715"/>
      <c r="J5" s="715" t="str">
        <f>Import.SICONV</f>
        <v>948148</v>
      </c>
      <c r="K5" s="715"/>
      <c r="L5" s="715"/>
      <c r="M5" s="724" t="str">
        <f>Import.Apelido</f>
        <v>Construção de ponte e pavimentação de estrada vicinal</v>
      </c>
      <c r="N5" s="725"/>
      <c r="O5" s="725"/>
      <c r="P5" s="725"/>
      <c r="Q5" s="725"/>
      <c r="R5" s="725"/>
      <c r="S5" s="725"/>
      <c r="T5" s="725"/>
      <c r="U5" s="725"/>
      <c r="V5" s="725"/>
      <c r="W5" s="725"/>
      <c r="X5" s="725"/>
      <c r="Y5" s="725"/>
      <c r="Z5" s="725"/>
      <c r="AA5" s="725"/>
      <c r="AB5" s="725"/>
      <c r="AC5" s="725"/>
      <c r="AD5" s="725"/>
      <c r="AE5" s="761"/>
    </row>
    <row r="6" spans="1:31" ht="14.25" customHeight="1" x14ac:dyDescent="0.25">
      <c r="B6" s="248" t="str" cm="1">
        <f t="array" aca="1" ref="B6" ca="1">IF(ACOMPANHAMENTO="BM","NO ACOMPANHAMENTO POR BM, UTILIZE A ABA CRONO",
  IF(MAX($B$14:$B$24)&lt;MAX(CÁLCULO!$M$15:$M$55),"ERRO: NÚMERO DE EVENTOS INSUFICIENTE, CLIQUE EM ATUALIZAR LINHAS",
  IF(ROUND(OFFSET(CRONO!$AG$51,0,-1),2)&lt;&gt;CRONO!$R$42,"ERRO: CRONOGRAMA NÃO FECHA 100%","")))</f>
        <v/>
      </c>
    </row>
    <row r="7" spans="1:31" ht="15" customHeight="1" thickBot="1" x14ac:dyDescent="0.25">
      <c r="B7" s="521" t="str" cm="1">
        <f t="array" ref="B7">IF(AdmLocal="Automática","","1. Selecione o Título do Evento da Administração Local:")</f>
        <v>1. Selecione o Título do Evento da Administração Local:</v>
      </c>
    </row>
    <row r="8" spans="1:31" ht="13.5" thickBot="1" x14ac:dyDescent="0.25">
      <c r="A8" s="547" t="str">
        <f>MID(Import.EventoAdmLocal,1,SEARCH(".",Import.EventoAdmLocal)-1)</f>
        <v>1</v>
      </c>
      <c r="B8" s="731" t="s">
        <v>1074</v>
      </c>
      <c r="C8" s="732"/>
      <c r="D8" s="570" t="str">
        <f ca="1">IF($B$7="","",IF(AND($B$15=0,$B$8=""),"◄ Não foi indicado o Evento de Administração Local",IF(ISERROR(MATCH(Import.EventoAdmLocal,$F$15:$F$24,0)),"◄ Selecione um Título de Evento válido para a Administração Local","")))</f>
        <v/>
      </c>
    </row>
    <row r="9" spans="1:31" ht="3.95" customHeight="1" x14ac:dyDescent="0.2">
      <c r="A9" s="547"/>
    </row>
    <row r="10" spans="1:31" ht="15" customHeight="1" x14ac:dyDescent="0.2">
      <c r="A10" s="547">
        <f ca="1">MATCH(VALUE(A8),CÁLCULO!$M$15:$M$55,0)-2</f>
        <v>2</v>
      </c>
      <c r="B10" s="521" t="str">
        <f>CONCATENATE(IF(AdmLocal="Automática",1,2),". Digite nas células em amarelo o número do período em que os eventos serão concluídos:")</f>
        <v>2. Digite nas células em amarelo o número do período em que os eventos serão concluídos:</v>
      </c>
    </row>
    <row r="11" spans="1:31" ht="65.25" customHeight="1" x14ac:dyDescent="0.2">
      <c r="A11" s="488" t="s">
        <v>655</v>
      </c>
      <c r="C11" s="250"/>
      <c r="E11" s="251">
        <f ca="1">IF(E$12&gt;CÁLCULO.FrentesPreenchidas,"",OFFSET(CÁLCULO!$P$12,0,E$12))</f>
        <v>1</v>
      </c>
      <c r="G11" s="251">
        <f ca="1">IF(G$12&gt;CÁLCULO.FrentesPreenchidas,"",OFFSET(CÁLCULO!$P$12,0,G$12))</f>
        <v>1</v>
      </c>
      <c r="H11" s="251">
        <f ca="1">IF(H$12&gt;CÁLCULO.FrentesPreenchidas,"",OFFSET(CÁLCULO!$P$12,0,H$12))</f>
        <v>2</v>
      </c>
      <c r="I11" s="251">
        <f ca="1">IF(I$12&gt;CÁLCULO.FrentesPreenchidas,"",OFFSET(CÁLCULO!$P$12,0,I$12))</f>
        <v>3</v>
      </c>
      <c r="J11" s="251">
        <f ca="1">IF(J$12&gt;CÁLCULO.FrentesPreenchidas,"",OFFSET(CÁLCULO!$P$12,0,J$12))</f>
        <v>4</v>
      </c>
      <c r="K11" s="251" t="str">
        <f ca="1">IF(K$12&gt;CÁLCULO.FrentesPreenchidas,"",OFFSET(CÁLCULO!$P$12,0,K$12))</f>
        <v/>
      </c>
      <c r="L11" s="251" t="str">
        <f ca="1">IF(L$12&gt;CÁLCULO.FrentesPreenchidas,"",OFFSET(CÁLCULO!$P$12,0,L$12))</f>
        <v/>
      </c>
      <c r="M11" s="251" t="str">
        <f ca="1">IF(M$12&gt;CÁLCULO.FrentesPreenchidas,"",OFFSET(CÁLCULO!$P$12,0,M$12))</f>
        <v/>
      </c>
      <c r="N11" s="251" t="str">
        <f ca="1">IF(N$12&gt;CÁLCULO.FrentesPreenchidas,"",OFFSET(CÁLCULO!$P$12,0,N$12))</f>
        <v/>
      </c>
      <c r="O11" s="251" t="str">
        <f ca="1">IF(O$12&gt;CÁLCULO.FrentesPreenchidas,"",OFFSET(CÁLCULO!$P$12,0,O$12))</f>
        <v/>
      </c>
      <c r="P11" s="251" t="str">
        <f ca="1">IF(P$12&gt;CÁLCULO.FrentesPreenchidas,"",OFFSET(CÁLCULO!$P$12,0,P$12))</f>
        <v/>
      </c>
      <c r="Q11" s="251" t="str">
        <f ca="1">IF(Q$12&gt;CÁLCULO.FrentesPreenchidas,"",OFFSET(CÁLCULO!$P$12,0,Q$12))</f>
        <v/>
      </c>
      <c r="R11" s="251" t="str">
        <f ca="1">IF(R$12&gt;CÁLCULO.FrentesPreenchidas,"",OFFSET(CÁLCULO!$P$12,0,R$12))</f>
        <v/>
      </c>
      <c r="S11" s="251" t="str">
        <f ca="1">IF(S$12&gt;CÁLCULO.FrentesPreenchidas,"",OFFSET(CÁLCULO!$P$12,0,S$12))</f>
        <v/>
      </c>
      <c r="T11" s="251" t="str">
        <f ca="1">IF(T$12&gt;CÁLCULO.FrentesPreenchidas,"",OFFSET(CÁLCULO!$P$12,0,T$12))</f>
        <v/>
      </c>
      <c r="U11" s="251" t="str">
        <f ca="1">IF(U$12&gt;CÁLCULO.FrentesPreenchidas,"",OFFSET(CÁLCULO!$P$12,0,U$12))</f>
        <v/>
      </c>
      <c r="V11" s="251" t="str">
        <f ca="1">IF(V$12&gt;CÁLCULO.FrentesPreenchidas,"",OFFSET(CÁLCULO!$P$12,0,V$12))</f>
        <v/>
      </c>
      <c r="W11" s="251" t="str">
        <f ca="1">IF(W$12&gt;CÁLCULO.FrentesPreenchidas,"",OFFSET(CÁLCULO!$P$12,0,W$12))</f>
        <v/>
      </c>
      <c r="X11" s="251" t="str">
        <f ca="1">IF(X$12&gt;CÁLCULO.FrentesPreenchidas,"",OFFSET(CÁLCULO!$P$12,0,X$12))</f>
        <v/>
      </c>
      <c r="Y11" s="251" t="str">
        <f ca="1">IF(Y$12&gt;CÁLCULO.FrentesPreenchidas,"",OFFSET(CÁLCULO!$P$12,0,Y$12))</f>
        <v/>
      </c>
      <c r="Z11" s="251" t="str">
        <f ca="1">IF(Z$12&gt;CÁLCULO.FrentesPreenchidas,"",OFFSET(CÁLCULO!$P$12,0,Z$12))</f>
        <v/>
      </c>
      <c r="AA11" s="251" t="str">
        <f ca="1">IF(AA$12&gt;CÁLCULO.FrentesPreenchidas,"",OFFSET(CÁLCULO!$P$12,0,AA$12))</f>
        <v/>
      </c>
      <c r="AB11" s="251" t="str">
        <f ca="1">IF(AB$12&gt;CÁLCULO.FrentesPreenchidas,"",OFFSET(CÁLCULO!$P$12,0,AB$12))</f>
        <v/>
      </c>
      <c r="AC11" s="251" t="str">
        <f ca="1">IF(AC$12&gt;CÁLCULO.FrentesPreenchidas,"",OFFSET(CÁLCULO!$P$12,0,AC$12))</f>
        <v/>
      </c>
      <c r="AD11" s="251" t="str">
        <f ca="1">IF(AD$12&gt;CÁLCULO.FrentesPreenchidas,"",OFFSET(CÁLCULO!$P$12,0,AD$12))</f>
        <v/>
      </c>
      <c r="AE11" s="251" t="str">
        <f ca="1">IF(AE$12&gt;CÁLCULO.FrentesPreenchidas,"",OFFSET(CÁLCULO!$P$12,0,AE$12))</f>
        <v/>
      </c>
    </row>
    <row r="12" spans="1:31" ht="12.75" customHeight="1" x14ac:dyDescent="0.2">
      <c r="A12" s="489" t="s">
        <v>660</v>
      </c>
      <c r="B12" s="755" t="s">
        <v>760</v>
      </c>
      <c r="C12" s="755" t="s">
        <v>778</v>
      </c>
      <c r="E12" s="252">
        <f ca="1">OFFSET(E12,0,-1)+1</f>
        <v>1</v>
      </c>
      <c r="G12" s="252">
        <f ca="1">OFFSET(G12,0,-1)+1</f>
        <v>1</v>
      </c>
      <c r="H12" s="252">
        <f ca="1">OFFSET(H12,0,-1)+1</f>
        <v>2</v>
      </c>
      <c r="I12" s="252">
        <f t="shared" ref="I12:AE12" ca="1" si="0">OFFSET(I12,0,-1)+1</f>
        <v>3</v>
      </c>
      <c r="J12" s="252">
        <f t="shared" ca="1" si="0"/>
        <v>4</v>
      </c>
      <c r="K12" s="252">
        <f t="shared" ca="1" si="0"/>
        <v>5</v>
      </c>
      <c r="L12" s="252">
        <f t="shared" ca="1" si="0"/>
        <v>6</v>
      </c>
      <c r="M12" s="252">
        <f t="shared" ca="1" si="0"/>
        <v>7</v>
      </c>
      <c r="N12" s="252">
        <f t="shared" ca="1" si="0"/>
        <v>8</v>
      </c>
      <c r="O12" s="252">
        <f t="shared" ca="1" si="0"/>
        <v>9</v>
      </c>
      <c r="P12" s="252">
        <f t="shared" ca="1" si="0"/>
        <v>10</v>
      </c>
      <c r="Q12" s="252">
        <f t="shared" ca="1" si="0"/>
        <v>11</v>
      </c>
      <c r="R12" s="252">
        <f t="shared" ca="1" si="0"/>
        <v>12</v>
      </c>
      <c r="S12" s="252">
        <f t="shared" ca="1" si="0"/>
        <v>13</v>
      </c>
      <c r="T12" s="252">
        <f t="shared" ca="1" si="0"/>
        <v>14</v>
      </c>
      <c r="U12" s="252">
        <f t="shared" ca="1" si="0"/>
        <v>15</v>
      </c>
      <c r="V12" s="252">
        <f t="shared" ca="1" si="0"/>
        <v>16</v>
      </c>
      <c r="W12" s="252">
        <f t="shared" ca="1" si="0"/>
        <v>17</v>
      </c>
      <c r="X12" s="252">
        <f t="shared" ca="1" si="0"/>
        <v>18</v>
      </c>
      <c r="Y12" s="252">
        <f t="shared" ca="1" si="0"/>
        <v>19</v>
      </c>
      <c r="Z12" s="252">
        <f t="shared" ca="1" si="0"/>
        <v>20</v>
      </c>
      <c r="AA12" s="252">
        <f t="shared" ca="1" si="0"/>
        <v>21</v>
      </c>
      <c r="AB12" s="252">
        <f t="shared" ca="1" si="0"/>
        <v>22</v>
      </c>
      <c r="AC12" s="252">
        <f t="shared" ca="1" si="0"/>
        <v>23</v>
      </c>
      <c r="AD12" s="252">
        <f t="shared" ca="1" si="0"/>
        <v>24</v>
      </c>
      <c r="AE12" s="252">
        <f t="shared" ca="1" si="0"/>
        <v>25</v>
      </c>
    </row>
    <row r="13" spans="1:31" x14ac:dyDescent="0.2">
      <c r="A13" t="s">
        <v>655</v>
      </c>
      <c r="B13" s="755"/>
      <c r="C13" s="755"/>
      <c r="E13" s="253"/>
      <c r="G13" s="254"/>
      <c r="H13" s="253"/>
      <c r="I13" s="253"/>
      <c r="J13" s="253"/>
      <c r="K13" s="253"/>
      <c r="L13" s="253"/>
      <c r="M13" s="575" t="str">
        <f ca="1">IF(CRONOPLE.Erro="ERRO: CRONOGRAMA NÃO FECHA 100%","Informe abaixo o NÚMERO DO PERÍODO em que os eventos serão concluídos","")</f>
        <v/>
      </c>
      <c r="N13" s="253"/>
      <c r="O13" s="253"/>
      <c r="P13" s="253"/>
      <c r="Q13" s="253"/>
      <c r="R13" s="253"/>
      <c r="S13" s="253"/>
      <c r="T13" s="253"/>
      <c r="U13" s="253"/>
      <c r="V13" s="253"/>
      <c r="W13" s="253"/>
      <c r="X13" s="253"/>
      <c r="Y13" s="253"/>
      <c r="Z13" s="253"/>
      <c r="AA13" s="253"/>
      <c r="AB13" s="253"/>
      <c r="AC13" s="253"/>
      <c r="AD13" s="253"/>
      <c r="AE13" s="255"/>
    </row>
    <row r="14" spans="1:31" ht="5.0999999999999996" customHeight="1" x14ac:dyDescent="0.2">
      <c r="A14" s="7" t="s">
        <v>536</v>
      </c>
    </row>
    <row r="15" spans="1:31" x14ac:dyDescent="0.2">
      <c r="A15" s="7" t="str">
        <f ca="1">IF(AUTOEVENTO="Manual",IF(EVENTOS!$F15&gt;0,"F",""),IF(AND(B15&gt;0,B15&lt;=MAX(CÁLCULO!$M$15:$M$55)),"F",""))</f>
        <v/>
      </c>
      <c r="B15" s="256">
        <f>EVENTOS!$C$15</f>
        <v>0</v>
      </c>
      <c r="C15" s="257" t="str">
        <f>EVENTOS!$D$15</f>
        <v/>
      </c>
      <c r="D15" s="553"/>
      <c r="E15" s="258"/>
      <c r="F15" t="str">
        <f>IF($C15="","",CONCATENATE($B15,". ",$C15))</f>
        <v/>
      </c>
      <c r="G15" s="259" t="str">
        <f>IF(AUTOEVENTO="MANUAL","A administração local será proporcional a execução dos demais eventos, independente de frentes de obra.","Para aplicação de Adm. Local é necessário definir os eventos manualmente.")</f>
        <v>Para aplicação de Adm. Local é necessário definir os eventos manualmente.</v>
      </c>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60"/>
    </row>
    <row r="16" spans="1:31" x14ac:dyDescent="0.2">
      <c r="A16" s="7" t="str">
        <f ca="1">IF(AUTOEVENTO="Manual",IF(EVENTOS!$F16&gt;0,"F",""),IF(AND(B16&gt;0,B16&lt;=MAX(CÁLCULO!$M$15:$M$55)),"F",""))</f>
        <v>F</v>
      </c>
      <c r="B16" s="246">
        <f t="shared" ref="B16:B23" ca="1" si="1">OFFSET(B16,-1,0)+1</f>
        <v>1</v>
      </c>
      <c r="C16" s="513" t="str">
        <f ca="1">IF(AUTOEVENTO="Manual",IF($B16&gt;0,OFFSET(EVENTOS!$D$15,$B16-$B$15,0),0),IF(B16&lt;=MAX(CÁLCULO!$M$15:$M$55),VLOOKUP($B16,CÁLCULO!$M$15:$N$55,2,FALSE),0))</f>
        <v>ADMINISTRAÇÃO LOCAL</v>
      </c>
      <c r="D16" s="553"/>
      <c r="E16" s="247"/>
      <c r="F16" t="str">
        <f t="shared" ref="F16:F23" ca="1" si="2">IF($C16=0,"",CONCATENATE($B16,". ",$C16))</f>
        <v>1. ADMINISTRAÇÃO LOCAL</v>
      </c>
      <c r="G16" s="552">
        <v>1</v>
      </c>
      <c r="H16" s="552">
        <v>2</v>
      </c>
      <c r="I16" s="552">
        <v>3</v>
      </c>
      <c r="J16" s="552">
        <v>4</v>
      </c>
      <c r="K16" s="552"/>
      <c r="L16" s="552"/>
      <c r="M16" s="552"/>
      <c r="N16" s="552"/>
      <c r="O16" s="552"/>
      <c r="P16" s="552"/>
      <c r="Q16" s="552"/>
      <c r="R16" s="552"/>
      <c r="S16" s="552"/>
      <c r="T16" s="552"/>
      <c r="U16" s="552"/>
      <c r="V16" s="552"/>
      <c r="W16" s="552"/>
      <c r="X16" s="552"/>
      <c r="Y16" s="552"/>
      <c r="Z16" s="552"/>
      <c r="AA16" s="552"/>
      <c r="AB16" s="552"/>
      <c r="AC16" s="552"/>
      <c r="AD16" s="552"/>
      <c r="AE16" s="552"/>
    </row>
    <row r="17" spans="1:31" x14ac:dyDescent="0.2">
      <c r="A17" s="7" t="str">
        <f ca="1">IF(AUTOEVENTO="Manual",IF(EVENTOS!$F17&gt;0,"F",""),IF(AND(B17&gt;0,B17&lt;=MAX(CÁLCULO!$M$15:$M$55)),"F",""))</f>
        <v>F</v>
      </c>
      <c r="B17" s="246">
        <f t="shared" ca="1" si="1"/>
        <v>2</v>
      </c>
      <c r="C17" s="513" t="str">
        <f ca="1">IF(AUTOEVENTO="Manual",IF($B17&gt;0,OFFSET(EVENTOS!$D$15,$B17-$B$15,0),0),IF(B17&lt;=MAX(CÁLCULO!$M$15:$M$55),VLOOKUP($B17,CÁLCULO!$M$15:$N$55,2,FALSE),0))</f>
        <v>SERVIÇOS PLELIMINARES</v>
      </c>
      <c r="D17" s="553"/>
      <c r="E17" s="247"/>
      <c r="F17" t="str">
        <f t="shared" ca="1" si="2"/>
        <v>2. SERVIÇOS PLELIMINARES</v>
      </c>
      <c r="G17" s="552">
        <v>1</v>
      </c>
      <c r="H17" s="552">
        <v>2</v>
      </c>
      <c r="I17" s="552">
        <v>3</v>
      </c>
      <c r="J17" s="552">
        <v>4</v>
      </c>
      <c r="K17" s="552"/>
      <c r="L17" s="552"/>
      <c r="M17" s="552"/>
      <c r="N17" s="552"/>
      <c r="O17" s="552"/>
      <c r="P17" s="552"/>
      <c r="Q17" s="552"/>
      <c r="R17" s="552"/>
      <c r="S17" s="552"/>
      <c r="T17" s="552"/>
      <c r="U17" s="552"/>
      <c r="V17" s="552"/>
      <c r="W17" s="552"/>
      <c r="X17" s="552"/>
      <c r="Y17" s="552"/>
      <c r="Z17" s="552"/>
      <c r="AA17" s="552"/>
      <c r="AB17" s="552"/>
      <c r="AC17" s="552"/>
      <c r="AD17" s="552"/>
      <c r="AE17" s="552"/>
    </row>
    <row r="18" spans="1:31" x14ac:dyDescent="0.2">
      <c r="A18" s="7" t="str">
        <f ca="1">IF(AUTOEVENTO="Manual",IF(EVENTOS!$F18&gt;0,"F",""),IF(AND(B18&gt;0,B18&lt;=MAX(CÁLCULO!$M$15:$M$55)),"F",""))</f>
        <v>F</v>
      </c>
      <c r="B18" s="246">
        <f t="shared" ca="1" si="1"/>
        <v>3</v>
      </c>
      <c r="C18" s="513" t="str">
        <f ca="1">IF(AUTOEVENTO="Manual",IF($B18&gt;0,OFFSET(EVENTOS!$D$15,$B18-$B$15,0),0),IF(B18&lt;=MAX(CÁLCULO!$M$15:$M$55),VLOOKUP($B18,CÁLCULO!$M$15:$N$55,2,FALSE),0))</f>
        <v>TERRAPLENAGEM</v>
      </c>
      <c r="D18" s="553"/>
      <c r="E18" s="247"/>
      <c r="F18" t="str">
        <f t="shared" ca="1" si="2"/>
        <v>3. TERRAPLENAGEM</v>
      </c>
      <c r="G18" s="552">
        <v>1</v>
      </c>
      <c r="H18" s="552"/>
      <c r="I18" s="552">
        <v>3</v>
      </c>
      <c r="J18" s="552"/>
      <c r="K18" s="552"/>
      <c r="L18" s="552"/>
      <c r="M18" s="552"/>
      <c r="N18" s="552"/>
      <c r="O18" s="552"/>
      <c r="P18" s="552"/>
      <c r="Q18" s="552"/>
      <c r="R18" s="552"/>
      <c r="S18" s="552"/>
      <c r="T18" s="552"/>
      <c r="U18" s="552"/>
      <c r="V18" s="552"/>
      <c r="W18" s="552"/>
      <c r="X18" s="552"/>
      <c r="Y18" s="552"/>
      <c r="Z18" s="552"/>
      <c r="AA18" s="552"/>
      <c r="AB18" s="552"/>
      <c r="AC18" s="552"/>
      <c r="AD18" s="552"/>
      <c r="AE18" s="552"/>
    </row>
    <row r="19" spans="1:31" x14ac:dyDescent="0.2">
      <c r="A19" s="7" t="str">
        <f ca="1">IF(AUTOEVENTO="Manual",IF(EVENTOS!$F19&gt;0,"F",""),IF(AND(B19&gt;0,B19&lt;=MAX(CÁLCULO!$M$15:$M$55)),"F",""))</f>
        <v>F</v>
      </c>
      <c r="B19" s="246">
        <f t="shared" ca="1" si="1"/>
        <v>4</v>
      </c>
      <c r="C19" s="513" t="str">
        <f ca="1">IF(AUTOEVENTO="Manual",IF($B19&gt;0,OFFSET(EVENTOS!$D$15,$B19-$B$15,0),0),IF(B19&lt;=MAX(CÁLCULO!$M$15:$M$55),VLOOKUP($B19,CÁLCULO!$M$15:$N$55,2,FALSE),0))</f>
        <v>INFRAESTRUTURA</v>
      </c>
      <c r="D19" s="553"/>
      <c r="E19" s="247"/>
      <c r="F19" t="str">
        <f t="shared" ca="1" si="2"/>
        <v>4. INFRAESTRUTURA</v>
      </c>
      <c r="G19" s="552">
        <v>1</v>
      </c>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row>
    <row r="20" spans="1:31" x14ac:dyDescent="0.2">
      <c r="A20" s="7" t="str">
        <f ca="1">IF(AUTOEVENTO="Manual",IF(EVENTOS!$F20&gt;0,"F",""),IF(AND(B20&gt;0,B20&lt;=MAX(CÁLCULO!$M$15:$M$55)),"F",""))</f>
        <v>F</v>
      </c>
      <c r="B20" s="246">
        <f t="shared" ca="1" si="1"/>
        <v>5</v>
      </c>
      <c r="C20" s="513" t="str">
        <f ca="1">IF(AUTOEVENTO="Manual",IF($B20&gt;0,OFFSET(EVENTOS!$D$15,$B20-$B$15,0),0),IF(B20&lt;=MAX(CÁLCULO!$M$15:$M$55),VLOOKUP($B20,CÁLCULO!$M$15:$N$55,2,FALSE),0))</f>
        <v>MESOESTRUTURA</v>
      </c>
      <c r="D20" s="553"/>
      <c r="E20" s="247"/>
      <c r="F20" t="str">
        <f t="shared" ca="1" si="2"/>
        <v>5. MESOESTRUTURA</v>
      </c>
      <c r="G20" s="552">
        <v>1</v>
      </c>
      <c r="H20" s="552">
        <v>2</v>
      </c>
      <c r="I20" s="552"/>
      <c r="J20" s="552"/>
      <c r="K20" s="552"/>
      <c r="L20" s="552"/>
      <c r="M20" s="552"/>
      <c r="N20" s="552"/>
      <c r="O20" s="552"/>
      <c r="P20" s="552"/>
      <c r="Q20" s="552"/>
      <c r="R20" s="552"/>
      <c r="S20" s="552"/>
      <c r="T20" s="552"/>
      <c r="U20" s="552"/>
      <c r="V20" s="552"/>
      <c r="W20" s="552"/>
      <c r="X20" s="552"/>
      <c r="Y20" s="552"/>
      <c r="Z20" s="552"/>
      <c r="AA20" s="552"/>
      <c r="AB20" s="552"/>
      <c r="AC20" s="552"/>
      <c r="AD20" s="552"/>
      <c r="AE20" s="552"/>
    </row>
    <row r="21" spans="1:31" x14ac:dyDescent="0.2">
      <c r="A21" s="7" t="str">
        <f ca="1">IF(AUTOEVENTO="Manual",IF(EVENTOS!$F21&gt;0,"F",""),IF(AND(B21&gt;0,B21&lt;=MAX(CÁLCULO!$M$15:$M$55)),"F",""))</f>
        <v>F</v>
      </c>
      <c r="B21" s="246">
        <f t="shared" ca="1" si="1"/>
        <v>6</v>
      </c>
      <c r="C21" s="513" t="str">
        <f ca="1">IF(AUTOEVENTO="Manual",IF($B21&gt;0,OFFSET(EVENTOS!$D$15,$B21-$B$15,0),0),IF(B21&lt;=MAX(CÁLCULO!$M$15:$M$55),VLOOKUP($B21,CÁLCULO!$M$15:$N$55,2,FALSE),0))</f>
        <v>SUPERESTRUTURA</v>
      </c>
      <c r="D21" s="553"/>
      <c r="E21" s="247"/>
      <c r="F21" t="str">
        <f t="shared" ca="1" si="2"/>
        <v>6. SUPERESTRUTURA</v>
      </c>
      <c r="G21" s="552"/>
      <c r="H21" s="552">
        <v>2</v>
      </c>
      <c r="I21" s="552">
        <v>3</v>
      </c>
      <c r="J21" s="552">
        <v>4</v>
      </c>
      <c r="K21" s="552"/>
      <c r="L21" s="552"/>
      <c r="M21" s="552"/>
      <c r="N21" s="552"/>
      <c r="O21" s="552"/>
      <c r="P21" s="552"/>
      <c r="Q21" s="552"/>
      <c r="R21" s="552"/>
      <c r="S21" s="552"/>
      <c r="T21" s="552"/>
      <c r="U21" s="552"/>
      <c r="V21" s="552"/>
      <c r="W21" s="552"/>
      <c r="X21" s="552"/>
      <c r="Y21" s="552"/>
      <c r="Z21" s="552"/>
      <c r="AA21" s="552"/>
      <c r="AB21" s="552"/>
      <c r="AC21" s="552"/>
      <c r="AD21" s="552"/>
      <c r="AE21" s="552"/>
    </row>
    <row r="22" spans="1:31" x14ac:dyDescent="0.2">
      <c r="A22" s="7" t="str">
        <f ca="1">IF(AUTOEVENTO="Manual",IF(EVENTOS!$F22&gt;0,"F",""),IF(AND(B22&gt;0,B22&lt;=MAX(CÁLCULO!$M$15:$M$55)),"F",""))</f>
        <v>F</v>
      </c>
      <c r="B22" s="246">
        <f t="shared" ca="1" si="1"/>
        <v>7</v>
      </c>
      <c r="C22" s="513" t="str">
        <f ca="1">IF(AUTOEVENTO="Manual",IF($B22&gt;0,OFFSET(EVENTOS!$D$15,$B22-$B$15,0),0),IF(B22&lt;=MAX(CÁLCULO!$M$15:$M$55),VLOOKUP($B22,CÁLCULO!$M$15:$N$55,2,FALSE),0))</f>
        <v>CALÇAMENTO</v>
      </c>
      <c r="D22" s="553"/>
      <c r="E22" s="247"/>
      <c r="F22" t="str">
        <f t="shared" ca="1" si="2"/>
        <v>7. CALÇAMENTO</v>
      </c>
      <c r="G22" s="552">
        <v>1</v>
      </c>
      <c r="H22" s="552">
        <v>2</v>
      </c>
      <c r="I22" s="552">
        <v>3</v>
      </c>
      <c r="J22" s="552">
        <v>4</v>
      </c>
      <c r="K22" s="552"/>
      <c r="L22" s="552"/>
      <c r="M22" s="552"/>
      <c r="N22" s="552"/>
      <c r="O22" s="552"/>
      <c r="P22" s="552"/>
      <c r="Q22" s="552"/>
      <c r="R22" s="552"/>
      <c r="S22" s="552"/>
      <c r="T22" s="552"/>
      <c r="U22" s="552"/>
      <c r="V22" s="552"/>
      <c r="W22" s="552"/>
      <c r="X22" s="552"/>
      <c r="Y22" s="552"/>
      <c r="Z22" s="552"/>
      <c r="AA22" s="552"/>
      <c r="AB22" s="552"/>
      <c r="AC22" s="552"/>
      <c r="AD22" s="552"/>
      <c r="AE22" s="552"/>
    </row>
    <row r="23" spans="1:31" x14ac:dyDescent="0.2">
      <c r="A23" s="7" t="str">
        <f ca="1">IF(AUTOEVENTO="Manual",IF(EVENTOS!$F23&gt;0,"F",""),IF(AND(B23&gt;0,B23&lt;=MAX(CÁLCULO!$M$15:$M$55)),"F",""))</f>
        <v>F</v>
      </c>
      <c r="B23" s="246">
        <f t="shared" ca="1" si="1"/>
        <v>8</v>
      </c>
      <c r="C23" s="513" t="str">
        <f ca="1">IF(AUTOEVENTO="Manual",IF($B23&gt;0,OFFSET(EVENTOS!$D$15,$B23-$B$15,0),0),IF(B23&lt;=MAX(CÁLCULO!$M$15:$M$55),VLOOKUP($B23,CÁLCULO!$M$15:$N$55,2,FALSE),0))</f>
        <v>SERVIÇOS COMPLEMENTARES</v>
      </c>
      <c r="D23" s="553"/>
      <c r="E23" s="247"/>
      <c r="F23" t="str">
        <f t="shared" ca="1" si="2"/>
        <v>8. SERVIÇOS COMPLEMENTARES</v>
      </c>
      <c r="G23" s="552"/>
      <c r="H23" s="552"/>
      <c r="I23" s="552"/>
      <c r="J23" s="552">
        <v>4</v>
      </c>
      <c r="K23" s="552"/>
      <c r="L23" s="552"/>
      <c r="M23" s="552"/>
      <c r="N23" s="552"/>
      <c r="O23" s="552"/>
      <c r="P23" s="552"/>
      <c r="Q23" s="552"/>
      <c r="R23" s="552"/>
      <c r="S23" s="552"/>
      <c r="T23" s="552"/>
      <c r="U23" s="552"/>
      <c r="V23" s="552"/>
      <c r="W23" s="552"/>
      <c r="X23" s="552"/>
      <c r="Y23" s="552"/>
      <c r="Z23" s="552"/>
      <c r="AA23" s="552"/>
      <c r="AB23" s="552"/>
      <c r="AC23" s="552"/>
      <c r="AD23" s="552"/>
      <c r="AE23" s="552"/>
    </row>
    <row r="24" spans="1:31" ht="5.0999999999999996" customHeight="1" x14ac:dyDescent="0.2">
      <c r="A24" t="s">
        <v>536</v>
      </c>
      <c r="B24" s="637"/>
      <c r="C24" s="432"/>
      <c r="D24" s="554"/>
      <c r="E24" s="261"/>
      <c r="F24" s="261"/>
      <c r="G24" s="637"/>
      <c r="H24" s="638"/>
      <c r="I24" s="638"/>
      <c r="J24" s="638"/>
      <c r="K24" s="638"/>
      <c r="L24" s="638"/>
      <c r="M24" s="638"/>
      <c r="N24" s="638"/>
      <c r="O24" s="638"/>
      <c r="P24" s="638"/>
      <c r="Q24" s="638"/>
      <c r="R24" s="638"/>
      <c r="S24" s="638"/>
      <c r="T24" s="638"/>
      <c r="U24" s="638"/>
      <c r="V24" s="638"/>
      <c r="W24" s="638"/>
      <c r="X24" s="638"/>
      <c r="Y24" s="638"/>
      <c r="Z24" s="638"/>
      <c r="AA24" s="638"/>
      <c r="AB24" s="638"/>
      <c r="AC24" s="638"/>
      <c r="AD24" s="638"/>
      <c r="AE24" s="432"/>
    </row>
    <row r="25" spans="1:31" ht="6" customHeight="1" x14ac:dyDescent="0.2">
      <c r="A25" s="7" t="s">
        <v>536</v>
      </c>
    </row>
    <row r="26" spans="1:31" ht="15" x14ac:dyDescent="0.2">
      <c r="A26" s="7" t="s">
        <v>536</v>
      </c>
      <c r="C26" s="485" t="s">
        <v>779</v>
      </c>
      <c r="H26" s="754">
        <f>(ROW($G26)-ROW($G$26))/8*12+1</f>
        <v>1</v>
      </c>
      <c r="I26" s="754"/>
      <c r="J26" s="754">
        <f>H26+1</f>
        <v>2</v>
      </c>
      <c r="K26" s="754"/>
      <c r="L26" s="754">
        <f>J26+1</f>
        <v>3</v>
      </c>
      <c r="M26" s="754"/>
      <c r="N26" s="754">
        <f>L26+1</f>
        <v>4</v>
      </c>
      <c r="O26" s="754"/>
      <c r="P26" s="754">
        <f>N26+1</f>
        <v>5</v>
      </c>
      <c r="Q26" s="754"/>
      <c r="R26" s="754">
        <f>P26+1</f>
        <v>6</v>
      </c>
      <c r="S26" s="754"/>
      <c r="T26" s="754">
        <f>R26+1</f>
        <v>7</v>
      </c>
      <c r="U26" s="754"/>
      <c r="V26" s="754">
        <f>T26+1</f>
        <v>8</v>
      </c>
      <c r="W26" s="754"/>
      <c r="X26" s="754">
        <f>V26+1</f>
        <v>9</v>
      </c>
      <c r="Y26" s="754"/>
      <c r="Z26" s="754">
        <f>X26+1</f>
        <v>10</v>
      </c>
      <c r="AA26" s="754"/>
      <c r="AB26" s="754">
        <f>Z26+1</f>
        <v>11</v>
      </c>
      <c r="AC26" s="754"/>
      <c r="AD26" s="754">
        <f>AB26+1</f>
        <v>12</v>
      </c>
      <c r="AE26" s="754"/>
    </row>
    <row r="27" spans="1:31" ht="12.75" customHeight="1" x14ac:dyDescent="0.2">
      <c r="A27" s="7" t="s">
        <v>536</v>
      </c>
      <c r="C27" s="741" t="s">
        <v>780</v>
      </c>
      <c r="G27" s="550" t="s">
        <v>781</v>
      </c>
      <c r="H27" s="743">
        <f ca="1">OFFSET(CRONO!$T$42,0,CRONOPLE!H26)</f>
        <v>0.18000851259896217</v>
      </c>
      <c r="I27" s="743"/>
      <c r="J27" s="743">
        <f ca="1">OFFSET(CRONO!$T$42,0,CRONOPLE!J26)</f>
        <v>0.22573613288720654</v>
      </c>
      <c r="K27" s="743"/>
      <c r="L27" s="743">
        <f ca="1">OFFSET(CRONO!$T$42,0,CRONOPLE!L26)</f>
        <v>0.32935526168602008</v>
      </c>
      <c r="M27" s="743"/>
      <c r="N27" s="743">
        <f ca="1">OFFSET(CRONO!$T$42,0,CRONOPLE!N26)</f>
        <v>0.26490009282781113</v>
      </c>
      <c r="O27" s="743"/>
      <c r="P27" s="743">
        <f ca="1">OFFSET(CRONO!$T$42,0,CRONOPLE!P26)</f>
        <v>0</v>
      </c>
      <c r="Q27" s="743"/>
      <c r="R27" s="743">
        <f ca="1">OFFSET(CRONO!$T$42,0,CRONOPLE!R26)</f>
        <v>0</v>
      </c>
      <c r="S27" s="743"/>
      <c r="T27" s="743">
        <f ca="1">OFFSET(CRONO!$T$42,0,CRONOPLE!T26)</f>
        <v>0</v>
      </c>
      <c r="U27" s="743"/>
      <c r="V27" s="743">
        <f ca="1">OFFSET(CRONO!$T$42,0,CRONOPLE!V26)</f>
        <v>0</v>
      </c>
      <c r="W27" s="743"/>
      <c r="X27" s="743">
        <f ca="1">OFFSET(CRONO!$T$42,0,CRONOPLE!X26)</f>
        <v>0</v>
      </c>
      <c r="Y27" s="743"/>
      <c r="Z27" s="743">
        <f ca="1">OFFSET(CRONO!$T$42,0,CRONOPLE!Z26)</f>
        <v>0</v>
      </c>
      <c r="AA27" s="743"/>
      <c r="AB27" s="743">
        <f ca="1">OFFSET(CRONO!$T$42,0,CRONOPLE!AB26)</f>
        <v>0</v>
      </c>
      <c r="AC27" s="743"/>
      <c r="AD27" s="743">
        <f ca="1">OFFSET(CRONO!$T$42,0,CRONOPLE!AD26)</f>
        <v>0</v>
      </c>
      <c r="AE27" s="743"/>
    </row>
    <row r="28" spans="1:31" ht="12.75" customHeight="1" x14ac:dyDescent="0.2">
      <c r="A28" s="7" t="s">
        <v>536</v>
      </c>
      <c r="C28" s="756"/>
      <c r="G28" s="486" t="s">
        <v>782</v>
      </c>
      <c r="H28" s="757">
        <f ca="1">OFFSET(CRONO!$T$46,0,CRONOPLE!H26)</f>
        <v>191558.55</v>
      </c>
      <c r="I28" s="757"/>
      <c r="J28" s="752">
        <f ca="1">OFFSET(CRONO!$T$46,0,CRONOPLE!J26)</f>
        <v>240220.23000000004</v>
      </c>
      <c r="K28" s="753"/>
      <c r="L28" s="752">
        <f ca="1">OFFSET(CRONO!$T$46,0,CRONOPLE!L26)</f>
        <v>350487.95999999996</v>
      </c>
      <c r="M28" s="753"/>
      <c r="N28" s="752">
        <f ca="1">OFFSET(CRONO!$T$46,0,CRONOPLE!N26)</f>
        <v>281897.10000000009</v>
      </c>
      <c r="O28" s="753"/>
      <c r="P28" s="752">
        <f ca="1">OFFSET(CRONO!$T$46,0,CRONOPLE!P26)</f>
        <v>0</v>
      </c>
      <c r="Q28" s="753"/>
      <c r="R28" s="752">
        <f ca="1">OFFSET(CRONO!$T$46,0,CRONOPLE!R26)</f>
        <v>0</v>
      </c>
      <c r="S28" s="753"/>
      <c r="T28" s="752">
        <f ca="1">OFFSET(CRONO!$T$46,0,CRONOPLE!T26)</f>
        <v>0</v>
      </c>
      <c r="U28" s="753"/>
      <c r="V28" s="752">
        <f ca="1">OFFSET(CRONO!$T$46,0,CRONOPLE!V26)</f>
        <v>0</v>
      </c>
      <c r="W28" s="753"/>
      <c r="X28" s="752">
        <f ca="1">OFFSET(CRONO!$T$46,0,CRONOPLE!X26)</f>
        <v>0</v>
      </c>
      <c r="Y28" s="753"/>
      <c r="Z28" s="752">
        <f ca="1">OFFSET(CRONO!$T$46,0,CRONOPLE!Z26)</f>
        <v>0</v>
      </c>
      <c r="AA28" s="753"/>
      <c r="AB28" s="752">
        <f ca="1">OFFSET(CRONO!$T$46,0,CRONOPLE!AB26)</f>
        <v>0</v>
      </c>
      <c r="AC28" s="753"/>
      <c r="AD28" s="752">
        <f ca="1">OFFSET(CRONO!$T$46,0,CRONOPLE!AD26)</f>
        <v>0</v>
      </c>
      <c r="AE28" s="753"/>
    </row>
    <row r="29" spans="1:31" ht="12.75" customHeight="1" x14ac:dyDescent="0.2">
      <c r="A29" s="7" t="s">
        <v>536</v>
      </c>
      <c r="C29" s="741" t="s">
        <v>783</v>
      </c>
      <c r="G29" s="550" t="s">
        <v>781</v>
      </c>
      <c r="H29" s="743">
        <f ca="1">OFFSET(CRONO!$T$47,0,CRONOPLE!H26)</f>
        <v>0.18</v>
      </c>
      <c r="I29" s="743"/>
      <c r="J29" s="746">
        <f ca="1">OFFSET(CRONO!$T$47,0,CRONOPLE!J26)</f>
        <v>0.40570000000000001</v>
      </c>
      <c r="K29" s="747"/>
      <c r="L29" s="746">
        <f ca="1">OFFSET(CRONO!$T$47,0,CRONOPLE!L26)</f>
        <v>0.73509999999999998</v>
      </c>
      <c r="M29" s="747"/>
      <c r="N29" s="746">
        <f ca="1">OFFSET(CRONO!$T$47,0,CRONOPLE!N26)</f>
        <v>1</v>
      </c>
      <c r="O29" s="747"/>
      <c r="P29" s="746">
        <f ca="1">OFFSET(CRONO!$T$47,0,CRONOPLE!P26)</f>
        <v>1</v>
      </c>
      <c r="Q29" s="747"/>
      <c r="R29" s="746">
        <f ca="1">OFFSET(CRONO!$T$47,0,CRONOPLE!R26)</f>
        <v>1</v>
      </c>
      <c r="S29" s="747"/>
      <c r="T29" s="746">
        <f ca="1">OFFSET(CRONO!$T$47,0,CRONOPLE!T26)</f>
        <v>1</v>
      </c>
      <c r="U29" s="747"/>
      <c r="V29" s="746">
        <f ca="1">OFFSET(CRONO!$T$47,0,CRONOPLE!V26)</f>
        <v>1</v>
      </c>
      <c r="W29" s="747"/>
      <c r="X29" s="746">
        <f ca="1">OFFSET(CRONO!$T$47,0,CRONOPLE!X26)</f>
        <v>1</v>
      </c>
      <c r="Y29" s="747"/>
      <c r="Z29" s="746">
        <f ca="1">OFFSET(CRONO!$T$47,0,CRONOPLE!Z26)</f>
        <v>1</v>
      </c>
      <c r="AA29" s="747"/>
      <c r="AB29" s="746">
        <f ca="1">OFFSET(CRONO!$T$47,0,CRONOPLE!AB26)</f>
        <v>1</v>
      </c>
      <c r="AC29" s="747"/>
      <c r="AD29" s="746">
        <f ca="1">OFFSET(CRONO!$T$47,0,CRONOPLE!AD26)</f>
        <v>1</v>
      </c>
      <c r="AE29" s="747"/>
    </row>
    <row r="30" spans="1:31" ht="12.75" customHeight="1" x14ac:dyDescent="0.2">
      <c r="A30" s="7" t="s">
        <v>536</v>
      </c>
      <c r="C30" s="742"/>
      <c r="G30" s="486" t="s">
        <v>782</v>
      </c>
      <c r="H30" s="751">
        <f ca="1">OFFSET(CRONO!$T$51,0,CRONOPLE!H26)</f>
        <v>191558.55</v>
      </c>
      <c r="I30" s="751"/>
      <c r="J30" s="749">
        <f ca="1">OFFSET(CRONO!$T$51,0,CRONOPLE!J26)</f>
        <v>431778.77999999997</v>
      </c>
      <c r="K30" s="750"/>
      <c r="L30" s="749">
        <f ca="1">OFFSET(CRONO!$T$51,0,CRONOPLE!L26)</f>
        <v>782266.74</v>
      </c>
      <c r="M30" s="750"/>
      <c r="N30" s="749">
        <f ca="1">OFFSET(CRONO!$T$51,0,CRONOPLE!N26)</f>
        <v>1064163.8399999999</v>
      </c>
      <c r="O30" s="750"/>
      <c r="P30" s="749">
        <f ca="1">OFFSET(CRONO!$T$51,0,CRONOPLE!P26)</f>
        <v>1064163.8399999999</v>
      </c>
      <c r="Q30" s="750"/>
      <c r="R30" s="749">
        <f ca="1">OFFSET(CRONO!$T$51,0,CRONOPLE!R26)</f>
        <v>1064163.8399999999</v>
      </c>
      <c r="S30" s="750"/>
      <c r="T30" s="749">
        <f ca="1">OFFSET(CRONO!$T$51,0,CRONOPLE!T26)</f>
        <v>1064163.8399999999</v>
      </c>
      <c r="U30" s="750"/>
      <c r="V30" s="749">
        <f ca="1">OFFSET(CRONO!$T$51,0,CRONOPLE!V26)</f>
        <v>1064163.8399999999</v>
      </c>
      <c r="W30" s="750"/>
      <c r="X30" s="749">
        <f ca="1">OFFSET(CRONO!$T$51,0,CRONOPLE!X26)</f>
        <v>1064163.8399999999</v>
      </c>
      <c r="Y30" s="750"/>
      <c r="Z30" s="749">
        <f ca="1">OFFSET(CRONO!$T$51,0,CRONOPLE!Z26)</f>
        <v>1064163.8399999999</v>
      </c>
      <c r="AA30" s="750"/>
      <c r="AB30" s="749">
        <f ca="1">OFFSET(CRONO!$T$51,0,CRONOPLE!AB26)</f>
        <v>1064163.8399999999</v>
      </c>
      <c r="AC30" s="750"/>
      <c r="AD30" s="749">
        <f ca="1">OFFSET(CRONO!$T$51,0,CRONOPLE!AD26)</f>
        <v>1064163.8399999999</v>
      </c>
      <c r="AE30" s="750"/>
    </row>
    <row r="31" spans="1:31" ht="12.75" customHeight="1" x14ac:dyDescent="0.2">
      <c r="A31" s="7" t="s">
        <v>536</v>
      </c>
      <c r="C31" s="551" t="s">
        <v>784</v>
      </c>
      <c r="D31" s="549"/>
      <c r="G31" s="550" t="s">
        <v>781</v>
      </c>
      <c r="H31" s="743">
        <f ca="1">OFFSET(CRONO!$T$52,0,CRONOPLE!H26)</f>
        <v>0.24999999999999997</v>
      </c>
      <c r="I31" s="743"/>
      <c r="J31" s="744">
        <f ca="1">OFFSET(CRONO!$T$52,0,CRONOPLE!J26)</f>
        <v>0.5</v>
      </c>
      <c r="K31" s="745"/>
      <c r="L31" s="744">
        <f ca="1">OFFSET(CRONO!$T$52,0,CRONOPLE!L26)</f>
        <v>0.74999999999999989</v>
      </c>
      <c r="M31" s="745"/>
      <c r="N31" s="744">
        <f ca="1">OFFSET(CRONO!$T$52,0,CRONOPLE!N26)</f>
        <v>0.99999999999999989</v>
      </c>
      <c r="O31" s="745"/>
      <c r="P31" s="744">
        <f ca="1">OFFSET(CRONO!$T$52,0,CRONOPLE!P26)</f>
        <v>0.99999999999999989</v>
      </c>
      <c r="Q31" s="745"/>
      <c r="R31" s="744">
        <f ca="1">OFFSET(CRONO!$T$52,0,CRONOPLE!R26)</f>
        <v>0.99999999999999989</v>
      </c>
      <c r="S31" s="745"/>
      <c r="T31" s="744">
        <f ca="1">OFFSET(CRONO!$T$52,0,CRONOPLE!T26)</f>
        <v>0.99999999999999989</v>
      </c>
      <c r="U31" s="745"/>
      <c r="V31" s="744">
        <f ca="1">OFFSET(CRONO!$T$52,0,CRONOPLE!V26)</f>
        <v>0.99999999999999989</v>
      </c>
      <c r="W31" s="745"/>
      <c r="X31" s="744">
        <f ca="1">OFFSET(CRONO!$T$52,0,CRONOPLE!X26)</f>
        <v>0.99999999999999989</v>
      </c>
      <c r="Y31" s="745"/>
      <c r="Z31" s="744">
        <f ca="1">OFFSET(CRONO!$T$52,0,CRONOPLE!Z26)</f>
        <v>0.99999999999999989</v>
      </c>
      <c r="AA31" s="745"/>
      <c r="AB31" s="744">
        <f ca="1">OFFSET(CRONO!$T$52,0,CRONOPLE!AB26)</f>
        <v>0.99999999999999989</v>
      </c>
      <c r="AC31" s="745"/>
      <c r="AD31" s="744">
        <f ca="1">OFFSET(CRONO!$T$52,0,CRONOPLE!AD26)</f>
        <v>0.99999999999999989</v>
      </c>
      <c r="AE31" s="745"/>
    </row>
    <row r="32" spans="1:31" ht="15" customHeight="1" x14ac:dyDescent="0.25">
      <c r="A32" s="7" t="s">
        <v>536</v>
      </c>
      <c r="C32" s="548"/>
      <c r="G32" s="582" t="str">
        <f ca="1">IF(COUNTIF(H32:AF32,"%Adm&gt;%Global")&gt;0,"Verificar proporcionalidade da Administração Local","")</f>
        <v>Verificar proporcionalidade da Administração Local</v>
      </c>
      <c r="H32" s="534" t="str">
        <f ca="1">IF(H31="","",IF(ROUND(H31,4)&gt;ROUND(H29,4),"%Adm&gt;%Global",""))</f>
        <v>%Adm&gt;%Global</v>
      </c>
      <c r="J32" s="534" t="str">
        <f t="shared" ref="J32" ca="1" si="3">IF(J31="","",IF(ROUND(J31,4)&gt;ROUND(J29,4),"%Adm&gt;%Global",""))</f>
        <v>%Adm&gt;%Global</v>
      </c>
      <c r="L32" s="534" t="str">
        <f t="shared" ref="L32" ca="1" si="4">IF(L31="","",IF(ROUND(L31,4)&gt;ROUND(L29,4),"%Adm&gt;%Global",""))</f>
        <v>%Adm&gt;%Global</v>
      </c>
      <c r="N32" s="534" t="str">
        <f t="shared" ref="N32" ca="1" si="5">IF(N31="","",IF(ROUND(N31,4)&gt;ROUND(N29,4),"%Adm&gt;%Global",""))</f>
        <v/>
      </c>
      <c r="P32" s="534" t="str">
        <f t="shared" ref="P32" ca="1" si="6">IF(P31="","",IF(ROUND(P31,4)&gt;ROUND(P29,4),"%Adm&gt;%Global",""))</f>
        <v/>
      </c>
      <c r="R32" s="534" t="str">
        <f t="shared" ref="R32" ca="1" si="7">IF(R31="","",IF(ROUND(R31,4)&gt;ROUND(R29,4),"%Adm&gt;%Global",""))</f>
        <v/>
      </c>
      <c r="T32" s="534" t="str">
        <f t="shared" ref="T32" ca="1" si="8">IF(T31="","",IF(ROUND(T31,4)&gt;ROUND(T29,4),"%Adm&gt;%Global",""))</f>
        <v/>
      </c>
      <c r="V32" s="534" t="str">
        <f t="shared" ref="V32" ca="1" si="9">IF(V31="","",IF(ROUND(V31,4)&gt;ROUND(V29,4),"%Adm&gt;%Global",""))</f>
        <v/>
      </c>
      <c r="X32" s="534" t="str">
        <f t="shared" ref="X32" ca="1" si="10">IF(X31="","",IF(ROUND(X31,4)&gt;ROUND(X29,4),"%Adm&gt;%Global",""))</f>
        <v/>
      </c>
      <c r="Z32" s="534" t="str">
        <f t="shared" ref="Z32" ca="1" si="11">IF(Z31="","",IF(ROUND(Z31,4)&gt;ROUND(Z29,4),"%Adm&gt;%Global",""))</f>
        <v/>
      </c>
      <c r="AB32" s="534" t="str">
        <f t="shared" ref="AB32" ca="1" si="12">IF(AB31="","",IF(ROUND(AB31,4)&gt;ROUND(AB29,4),"%Adm&gt;%Global",""))</f>
        <v/>
      </c>
      <c r="AD32" s="534" t="str">
        <f t="shared" ref="AD32" ca="1" si="13">IF(AD31="","",IF(ROUND(AD31,4)&gt;ROUND(AD29,4),"%Adm&gt;%Global",""))</f>
        <v/>
      </c>
    </row>
    <row r="33" spans="1:31" x14ac:dyDescent="0.2">
      <c r="A33" s="7" t="s">
        <v>536</v>
      </c>
    </row>
    <row r="34" spans="1:31" ht="15" x14ac:dyDescent="0.2">
      <c r="A34" s="7" t="s">
        <v>536</v>
      </c>
      <c r="B34" s="137" t="str">
        <f>Import.Município</f>
        <v>Liberdade - MG</v>
      </c>
      <c r="C34" s="137"/>
      <c r="E34" s="487"/>
      <c r="F34" s="487"/>
      <c r="G34" s="487"/>
      <c r="H34" s="487"/>
      <c r="I34" s="487"/>
      <c r="J34" s="487"/>
      <c r="K34" s="487"/>
      <c r="L34" s="487"/>
      <c r="V34" s="459"/>
      <c r="W34" s="416"/>
      <c r="X34" s="416"/>
      <c r="Y34" s="416"/>
      <c r="Z34" s="416"/>
      <c r="AA34" s="416"/>
      <c r="AB34" s="416"/>
      <c r="AC34" s="416"/>
      <c r="AD34" s="416"/>
      <c r="AE34" s="416"/>
    </row>
    <row r="35" spans="1:31" x14ac:dyDescent="0.2">
      <c r="A35" s="7" t="s">
        <v>536</v>
      </c>
      <c r="B35" s="9" t="s">
        <v>693</v>
      </c>
      <c r="F35" s="184"/>
      <c r="G35" s="184"/>
      <c r="H35" s="184"/>
      <c r="I35" s="184"/>
      <c r="J35" s="184"/>
      <c r="K35" s="184"/>
      <c r="L35" s="186"/>
      <c r="V35" s="180" t="s">
        <v>696</v>
      </c>
    </row>
    <row r="36" spans="1:31" x14ac:dyDescent="0.2">
      <c r="A36" s="7" t="s">
        <v>536</v>
      </c>
      <c r="F36" s="184"/>
      <c r="G36" s="184"/>
      <c r="H36" s="184"/>
      <c r="I36" s="184"/>
      <c r="J36" s="184"/>
      <c r="K36" s="184"/>
      <c r="L36" s="186"/>
      <c r="V36" s="397" t="str">
        <f t="array" aca="1" ref="V36:V38" ca="1">OFFSET(Import.RespOrçamento,0,-1) &amp; " " &amp; Import.RespOrçamento</f>
        <v>Nome: Antônio Carlos Sampaio Alves</v>
      </c>
    </row>
    <row r="37" spans="1:31" ht="16.5" x14ac:dyDescent="0.3">
      <c r="A37" s="7" t="s">
        <v>536</v>
      </c>
      <c r="B37" s="748">
        <f>DADOS!$C$25</f>
        <v>45880</v>
      </c>
      <c r="C37" s="748"/>
      <c r="F37" s="184"/>
      <c r="G37" s="184"/>
      <c r="H37" s="184"/>
      <c r="I37" s="184"/>
      <c r="J37" s="184"/>
      <c r="K37" s="184"/>
      <c r="L37" s="186"/>
      <c r="V37" s="397" t="str">
        <f ca="1"/>
        <v>CREA/CAU: 214010-D</v>
      </c>
    </row>
    <row r="38" spans="1:31" x14ac:dyDescent="0.2">
      <c r="A38" s="7" t="s">
        <v>536</v>
      </c>
      <c r="B38" s="9" t="s">
        <v>694</v>
      </c>
      <c r="F38" s="184"/>
      <c r="G38" s="184"/>
      <c r="H38" s="184"/>
      <c r="I38" s="184"/>
      <c r="J38" s="184"/>
      <c r="K38" s="184"/>
      <c r="L38" s="186"/>
      <c r="V38" s="397" t="str">
        <f ca="1"/>
        <v>ART/RRT: MG 20254192207</v>
      </c>
    </row>
  </sheetData>
  <sheetProtection algorithmName="SHA-512" hashValue="vevqNidREPkUcmWIMcUVBbVlxEMRRCwkIeLmGQu/ylLidROEcdudxQteDPmXWFsUF0wF5VkN3HUkso1lK+HdUg==" saltValue="xP06u1qYuvaVo7Y0bDzZ9A==" spinCount="100000" sheet="1" objects="1" scenarios="1" autoFilter="0"/>
  <autoFilter ref="A13:A38"/>
  <mergeCells count="86">
    <mergeCell ref="AB28:AC28"/>
    <mergeCell ref="AB27:AC27"/>
    <mergeCell ref="AD27:AE27"/>
    <mergeCell ref="AD28:AE28"/>
    <mergeCell ref="Z28:AA28"/>
    <mergeCell ref="AB31:AC31"/>
    <mergeCell ref="R28:S28"/>
    <mergeCell ref="X28:Y28"/>
    <mergeCell ref="P28:Q28"/>
    <mergeCell ref="AD29:AE29"/>
    <mergeCell ref="P31:Q31"/>
    <mergeCell ref="AD30:AE30"/>
    <mergeCell ref="AD31:AE31"/>
    <mergeCell ref="R31:S31"/>
    <mergeCell ref="T31:U31"/>
    <mergeCell ref="V31:W31"/>
    <mergeCell ref="X31:Y31"/>
    <mergeCell ref="Z31:AA31"/>
    <mergeCell ref="AB30:AC30"/>
    <mergeCell ref="Z29:AA29"/>
    <mergeCell ref="AB29:AC29"/>
    <mergeCell ref="AC2:AE2"/>
    <mergeCell ref="B4:D4"/>
    <mergeCell ref="G4:I4"/>
    <mergeCell ref="J4:L4"/>
    <mergeCell ref="B5:D5"/>
    <mergeCell ref="G5:I5"/>
    <mergeCell ref="J5:L5"/>
    <mergeCell ref="M5:AE5"/>
    <mergeCell ref="C27:C28"/>
    <mergeCell ref="H27:I27"/>
    <mergeCell ref="J27:K27"/>
    <mergeCell ref="H28:I28"/>
    <mergeCell ref="J28:K28"/>
    <mergeCell ref="AD26:AE26"/>
    <mergeCell ref="X27:Y27"/>
    <mergeCell ref="Z27:AA27"/>
    <mergeCell ref="V27:W27"/>
    <mergeCell ref="AB26:AC26"/>
    <mergeCell ref="X26:Y26"/>
    <mergeCell ref="Z26:AA26"/>
    <mergeCell ref="V26:W26"/>
    <mergeCell ref="H26:I26"/>
    <mergeCell ref="J26:K26"/>
    <mergeCell ref="L26:M26"/>
    <mergeCell ref="T26:U26"/>
    <mergeCell ref="B8:C8"/>
    <mergeCell ref="B12:B13"/>
    <mergeCell ref="C12:C13"/>
    <mergeCell ref="N26:O26"/>
    <mergeCell ref="P26:Q26"/>
    <mergeCell ref="R26:S26"/>
    <mergeCell ref="T28:U28"/>
    <mergeCell ref="V28:W28"/>
    <mergeCell ref="L27:M27"/>
    <mergeCell ref="N27:O27"/>
    <mergeCell ref="L28:M28"/>
    <mergeCell ref="N28:O28"/>
    <mergeCell ref="P27:Q27"/>
    <mergeCell ref="R27:S27"/>
    <mergeCell ref="T27:U27"/>
    <mergeCell ref="Z30:AA30"/>
    <mergeCell ref="H29:I29"/>
    <mergeCell ref="J29:K29"/>
    <mergeCell ref="L29:M29"/>
    <mergeCell ref="N29:O29"/>
    <mergeCell ref="H30:I30"/>
    <mergeCell ref="J30:K30"/>
    <mergeCell ref="N30:O30"/>
    <mergeCell ref="P30:Q30"/>
    <mergeCell ref="R30:S30"/>
    <mergeCell ref="T30:U30"/>
    <mergeCell ref="P29:Q29"/>
    <mergeCell ref="R29:S29"/>
    <mergeCell ref="V29:W29"/>
    <mergeCell ref="L30:M30"/>
    <mergeCell ref="T29:U29"/>
    <mergeCell ref="C29:C30"/>
    <mergeCell ref="H31:I31"/>
    <mergeCell ref="J31:K31"/>
    <mergeCell ref="X29:Y29"/>
    <mergeCell ref="B37:C37"/>
    <mergeCell ref="V30:W30"/>
    <mergeCell ref="X30:Y30"/>
    <mergeCell ref="L31:M31"/>
    <mergeCell ref="N31:O31"/>
  </mergeCells>
  <phoneticPr fontId="38" type="noConversion"/>
  <conditionalFormatting sqref="E1 G1:AE1">
    <cfRule type="expression" dxfId="188" priority="789" stopIfTrue="1">
      <formula>IF(OR(E$12&gt;CÁLCULO.NúmeroDeFrentes,ACOMPANHAMENTO="BM"),TRUE,CRONOPLE.ValorDoEvento=0)</formula>
    </cfRule>
  </conditionalFormatting>
  <conditionalFormatting sqref="U4:Y4">
    <cfRule type="expression" dxfId="187" priority="679" stopIfTrue="1">
      <formula>QCI.ExisteManual</formula>
    </cfRule>
  </conditionalFormatting>
  <conditionalFormatting sqref="J26:AE26">
    <cfRule type="expression" dxfId="186" priority="678" stopIfTrue="1">
      <formula>OFFSET(J26,3,-2)=1</formula>
    </cfRule>
  </conditionalFormatting>
  <conditionalFormatting sqref="J27:AE27">
    <cfRule type="expression" dxfId="185" priority="673" stopIfTrue="1">
      <formula>OFFSET(J27,2,-2)=1</formula>
    </cfRule>
  </conditionalFormatting>
  <conditionalFormatting sqref="J28:AE28">
    <cfRule type="expression" dxfId="184" priority="672" stopIfTrue="1">
      <formula>OFFSET(J28,1,-2)=1</formula>
    </cfRule>
  </conditionalFormatting>
  <conditionalFormatting sqref="J29:AE29">
    <cfRule type="expression" dxfId="183" priority="671" stopIfTrue="1">
      <formula>OFFSET(J29,0,-2)=1</formula>
    </cfRule>
  </conditionalFormatting>
  <conditionalFormatting sqref="J30:AE30">
    <cfRule type="expression" dxfId="182" priority="670" stopIfTrue="1">
      <formula>OFFSET(J30,-1,-2)=1</formula>
    </cfRule>
  </conditionalFormatting>
  <conditionalFormatting sqref="B15:C15 E15 G15:AF15">
    <cfRule type="expression" dxfId="181" priority="494">
      <formula>$B$15=0</formula>
    </cfRule>
  </conditionalFormatting>
  <conditionalFormatting sqref="B8:C8">
    <cfRule type="expression" dxfId="180" priority="493">
      <formula>$B$7=""</formula>
    </cfRule>
  </conditionalFormatting>
  <conditionalFormatting sqref="J31:AE31">
    <cfRule type="expression" dxfId="179" priority="492">
      <formula>OFFSET(J31,-2,-2)=1</formula>
    </cfRule>
  </conditionalFormatting>
  <conditionalFormatting sqref="H31:AE31">
    <cfRule type="expression" dxfId="178" priority="491">
      <formula>ROUND(H31,4)&gt;ROUND(H29,4)</formula>
    </cfRule>
  </conditionalFormatting>
  <conditionalFormatting sqref="E16:E23 G16:AE23">
    <cfRule type="expression" dxfId="177" priority="6" stopIfTrue="1">
      <formula>IF(OR(E$12&gt;CÁLCULO.NúmeroDeFrentes,ACOMPANHAMENTO="BM"),TRUE,CRONOPLE.ValorDoEvento=0)</formula>
    </cfRule>
  </conditionalFormatting>
  <dataValidations count="2">
    <dataValidation type="whole" operator="greaterThan" allowBlank="1" showErrorMessage="1" sqref="U2:AA3 AC3:AC4 JY3:JY4 TU3:TU4 ADQ3:ADQ4 ANM3:ANM4 AXI3:AXI4 BHE3:BHE4 BRA3:BRA4 CAW3:CAW4 CKS3:CKS4 CUO3:CUO4 DEK3:DEK4 DOG3:DOG4 DYC3:DYC4 EHY3:EHY4 ERU3:ERU4 FBQ3:FBQ4 FLM3:FLM4 FVI3:FVI4 GFE3:GFE4 GPA3:GPA4 GYW3:GYW4 HIS3:HIS4 HSO3:HSO4 ICK3:ICK4 IMG3:IMG4 IWC3:IWC4 JFY3:JFY4 JPU3:JPU4 JZQ3:JZQ4 KJM3:KJM4 KTI3:KTI4 LDE3:LDE4 LNA3:LNA4 LWW3:LWW4 MGS3:MGS4 MQO3:MQO4 NAK3:NAK4 NKG3:NKG4 NUC3:NUC4 ODY3:ODY4 ONU3:ONU4 OXQ3:OXQ4 PHM3:PHM4 PRI3:PRI4 QBE3:QBE4 QLA3:QLA4 QUW3:QUW4 RES3:RES4 ROO3:ROO4 RYK3:RYK4 SIG3:SIG4 SSC3:SSC4 TBY3:TBY4 TLU3:TLU4 TVQ3:TVQ4 UFM3:UFM4 UPI3:UPI4 UZE3:UZE4 VJA3:VJA4 VSW3:VSW4 WCS3:WCS4 WMO3:WMO4 WWK3:WWK4 G3 JC3 SY3 ACU3 AMQ3 AWM3 BGI3 BQE3 CAA3 CJW3 CTS3 DDO3 DNK3 DXG3 EHC3 EQY3 FAU3 FKQ3 FUM3 GEI3 GOE3 GYA3 HHW3 HRS3 IBO3 ILK3 IVG3 JFC3 JOY3 JYU3 KIQ3 KSM3 LCI3 LME3 LWA3 MFW3 MPS3 MZO3 NJK3 NTG3 ODC3 OMY3 OWU3 PGQ3 PQM3 QAI3 QKE3 QUA3 RDW3 RNS3 RXO3 SHK3 SRG3 TBC3 TKY3 TUU3 UEQ3 UOM3 UYI3 VIE3 VSA3 WBW3 WLS3 WVO3 Z4:AA4 WVP2:WVZ3 WLT2:WMD3 WBX2:WCH3 VSB2:VSL3 VIF2:VIP3 UYJ2:UYT3 UON2:UOX3 UER2:UFB3 TUV2:TVF3 TKZ2:TLJ3 TBD2:TBN3 SRH2:SRR3 SHL2:SHV3 RXP2:RXZ3 RNT2:ROD3 RDX2:REH3 QUB2:QUL3 QKF2:QKP3 QAJ2:QAT3 PQN2:PQX3 PGR2:PHB3 OWV2:OXF3 OMZ2:ONJ3 ODD2:ODN3 NTH2:NTR3 NJL2:NJV3 MZP2:MZZ3 MPT2:MQD3 MFX2:MGH3 LWB2:LWL3 LMF2:LMP3 LCJ2:LCT3 KSN2:KSX3 KIR2:KJB3 JYV2:JZF3 JOZ2:JPJ3 JFD2:JFN3 IVH2:IVR3 ILL2:ILV3 IBP2:IBZ3 HRT2:HSD3 HHX2:HIH3 GYB2:GYL3 GOF2:GOP3 GEJ2:GET3 FUN2:FUX3 FKR2:FLB3 FAV2:FBF3 EQZ2:ERJ3 EHD2:EHN3 DXH2:DXR3 DNL2:DNV3 DDP2:DDZ3 CTT2:CUD3 CJX2:CKH3 CAB2:CAL3 BQF2:BQP3 BGJ2:BGT3 AWN2:AWX3 AMR2:ANB3 ACV2:ADF3 SZ2:TJ3 JD2:JN3 H2:R3 WWJ2:WWJ4 WMN2:WMN4 WCR2:WCR4 VSV2:VSV4 VIZ2:VIZ4 UZD2:UZD4 UPH2:UPH4 UFL2:UFL4 TVP2:TVP4 TLT2:TLT4 TBX2:TBX4 SSB2:SSB4 SIF2:SIF4 RYJ2:RYJ4 RON2:RON4 RER2:RER4 QUV2:QUV4 QKZ2:QKZ4 QBD2:QBD4 PRH2:PRH4 PHL2:PHL4 OXP2:OXP4 ONT2:ONT4 ODX2:ODX4 NUB2:NUB4 NKF2:NKF4 NAJ2:NAJ4 MQN2:MQN4 MGR2:MGR4 LWV2:LWV4 LMZ2:LMZ4 LDD2:LDD4 KTH2:KTH4 KJL2:KJL4 JZP2:JZP4 JPT2:JPT4 JFX2:JFX4 IWB2:IWB4 IMF2:IMF4 ICJ2:ICJ4 HSN2:HSN4 HIR2:HIR4 GYV2:GYV4 GOZ2:GOZ4 GFD2:GFD4 FVH2:FVH4 FLL2:FLL4 FBP2:FBP4 ERT2:ERT4 EHX2:EHX4 DYB2:DYB4 DOF2:DOF4 DEJ2:DEJ4 CUN2:CUN4 CKR2:CKR4 CAV2:CAV4 BQZ2:BQZ4 BHD2:BHD4 AXH2:AXH4 ANL2:ANL4 ADP2:ADP4 TT2:TT4 JX2:JX4 AB2:AB4 WVM2:WVM6 WLQ2:WLQ6 WBU2:WBU6 VRY2:VRY6 VIC2:VIC6 UYG2:UYG6 UOK2:UOK6 UEO2:UEO6 TUS2:TUS6 TKW2:TKW6 TBA2:TBA6 SRE2:SRE6 SHI2:SHI6 RXM2:RXM6 RNQ2:RNQ6 RDU2:RDU6 QTY2:QTY6 QKC2:QKC6 QAG2:QAG6 PQK2:PQK6 PGO2:PGO6 OWS2:OWS6 OMW2:OMW6 ODA2:ODA6 NTE2:NTE6 NJI2:NJI6 MZM2:MZM6 MPQ2:MPQ6 MFU2:MFU6 LVY2:LVY6 LMC2:LMC6 LCG2:LCG6 KSK2:KSK6 KIO2:KIO6 JYS2:JYS6 JOW2:JOW6 JFA2:JFA6 IVE2:IVE6 ILI2:ILI6 IBM2:IBM6 HRQ2:HRQ6 HHU2:HHU6 GXY2:GXY6 GOC2:GOC6 GEG2:GEG6 FUK2:FUK6 FKO2:FKO6 FAS2:FAS6 EQW2:EQW6 EHA2:EHA6 DXE2:DXE6 DNI2:DNI6 DDM2:DDM6 CTQ2:CTQ6 CJU2:CJU6 BZY2:BZY6 BQC2:BQC6 BGG2:BGG6 AWK2:AWK6 AMO2:AMO6 ACS2:ACS6 SW2:SW6 JA2:JA6 WWA2:WWB4 WME2:WMF4 WCI2:WCJ4 VSM2:VSN4 VIQ2:VIR4 UYU2:UYV4 UOY2:UOZ4 UFC2:UFD4 TVG2:TVH4 TLK2:TLL4 TBO2:TBP4 SRS2:SRT4 SHW2:SHX4 RYA2:RYB4 ROE2:ROF4 REI2:REJ4 QUM2:QUN4 QKQ2:QKR4 QAU2:QAV4 PQY2:PQZ4 PHC2:PHD4 OXG2:OXH4 ONK2:ONL4 ODO2:ODP4 NTS2:NTT4 NJW2:NJX4 NAA2:NAB4 MQE2:MQF4 MGI2:MGJ4 LWM2:LWN4 LMQ2:LMR4 LCU2:LCV4 KSY2:KSZ4 KJC2:KJD4 JZG2:JZH4 JPK2:JPL4 JFO2:JFP4 IVS2:IVT4 ILW2:ILX4 ICA2:ICB4 HSE2:HSF4 HII2:HIJ4 GYM2:GYN4 GOQ2:GOR4 GEU2:GEV4 FUY2:FUZ4 FLC2:FLD4 FBG2:FBH4 ERK2:ERL4 EHO2:EHP4 DXS2:DXT4 DNW2:DNX4 DEA2:DEB4 CUE2:CUF4 CKI2:CKJ4 CAM2:CAN4 BQQ2:BQR4 BGU2:BGV4 AWY2:AWZ4 ANC2:AND4 ADG2:ADH4 TK2:TL4 JO2:JP4 S2:T4 WWC2:WWI3 WMG2:WMM3 WCK2:WCQ3 VSO2:VSU3 VIS2:VIY3 UYW2:UZC3 UPA2:UPG3 UFE2:UFK3 TVI2:TVO3 TLM2:TLS3 TBQ2:TBW3 SRU2:SSA3 SHY2:SIE3 RYC2:RYI3 ROG2:ROM3 REK2:REQ3 QUO2:QUU3 QKS2:QKY3 QAW2:QBC3 PRA2:PRG3 PHE2:PHK3 OXI2:OXO3 ONM2:ONS3 ODQ2:ODW3 NTU2:NUA3 NJY2:NKE3 NAC2:NAI3 MQG2:MQM3 MGK2:MGQ3 LWO2:LWU3 LMS2:LMY3 LCW2:LDC3 KTA2:KTG3 KJE2:KJK3 JZI2:JZO3 JPM2:JPS3 JFQ2:JFW3 IVU2:IWA3 ILY2:IME3 ICC2:ICI3 HSG2:HSM3 HIK2:HIQ3 GYO2:GYU3 GOS2:GOY3 GEW2:GFC3 FVA2:FVG3 FLE2:FLK3 FBI2:FBO3 ERM2:ERS3 EHQ2:EHW3 DXU2:DYA3 DNY2:DOE3 DEC2:DEI3 CUG2:CUM3 CKK2:CKQ3 CAO2:CAU3 BQS2:BQY3 BGW2:BHC3 AXA2:AXG3 ANE2:ANK3 ADI2:ADO3 TM2:TS3 JQ2:JW3 G1:AE1 E1:E8 G6:AE8 E16:E23 G16:AE23">
      <formula1>0</formula1>
      <formula2>0</formula2>
    </dataValidation>
    <dataValidation type="list" allowBlank="1" showInputMessage="1" showErrorMessage="1" errorTitle="Atenção" error="Selecione uma opção da lista." prompt="Selecione uma opção da lista." sqref="B8:C8">
      <formula1>CRONOPLE.Lista.AdmLocal</formula1>
    </dataValidation>
  </dataValidations>
  <pageMargins left="0.78740157480314998" right="0.78740157480314998" top="0.78740157480314998" bottom="0.78740157480314998" header="0.59055118110236204" footer="0.59055118110236204"/>
  <pageSetup paperSize="9" scale="47" firstPageNumber="0" orientation="landscape" horizontalDpi="300" verticalDpi="300" r:id="rId1"/>
  <headerFooter alignWithMargins="0">
    <oddHeader>&amp;L_&amp;C&amp;14I</oddHeader>
    <oddFooter>&amp;LPMv3.14&amp;R&amp;P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9" filterMode="1"/>
  <dimension ref="A1:AG58"/>
  <sheetViews>
    <sheetView showGridLines="0" zoomScaleNormal="100" zoomScaleSheetLayoutView="90" workbookViewId="0">
      <pane xSplit="20" ySplit="13" topLeftCell="U14" activePane="bottomRight" state="frozen"/>
      <selection pane="topRight" activeCell="T4" sqref="T4"/>
      <selection pane="bottomLeft" activeCell="F14" sqref="F14"/>
      <selection pane="bottomRight"/>
    </sheetView>
  </sheetViews>
  <sheetFormatPr defaultColWidth="9.140625" defaultRowHeight="12.75" x14ac:dyDescent="0.2"/>
  <cols>
    <col min="1" max="1" width="9.140625" style="185" hidden="1" customWidth="1"/>
    <col min="2" max="4" width="9.140625" style="184" hidden="1" customWidth="1"/>
    <col min="5" max="5" width="11" style="185" hidden="1" customWidth="1"/>
    <col min="6" max="6" width="19" style="184" hidden="1" customWidth="1"/>
    <col min="7" max="7" width="3.5703125" style="185" customWidth="1"/>
    <col min="8" max="8" width="12.5703125" style="184" customWidth="1"/>
    <col min="9" max="9" width="7.140625" style="185" customWidth="1"/>
    <col min="10" max="10" width="11.5703125" style="185" customWidth="1"/>
    <col min="11" max="11" width="12" style="185" customWidth="1"/>
    <col min="12" max="12" width="11" style="185" customWidth="1"/>
    <col min="13" max="18" width="9.140625" style="184" hidden="1" customWidth="1"/>
    <col min="19" max="19" width="11.42578125" style="186" customWidth="1"/>
    <col min="20" max="20" width="9.5703125" style="186" customWidth="1"/>
    <col min="21" max="32" width="11" style="185" customWidth="1"/>
    <col min="33" max="33" width="5.5703125" style="185" hidden="1" customWidth="1"/>
    <col min="34" max="16384" width="9.140625" style="185"/>
  </cols>
  <sheetData>
    <row r="1" spans="1:33" hidden="1" x14ac:dyDescent="0.2">
      <c r="A1" s="185" t="e">
        <f ca="1">IF($M1&gt;1,_xlfn.CONCAT($I1," ",$J1),"")</f>
        <v>#REF!</v>
      </c>
      <c r="B1" s="184" t="e">
        <f ca="1">OFFSET(B1,-3,0)+1</f>
        <v>#REF!</v>
      </c>
      <c r="C1" s="184" t="e">
        <f ca="1">IF($R1&lt;&gt;2,0,IF($S1=0,1,IF(F2&gt;0,OFFSET(QCI!$M$13,SUBSTITUTE(F2,".",""),0),OFFSET(ORÇAMENTO!$AA$15,CRONO!$F1,0))/$S1))</f>
        <v>#REF!</v>
      </c>
      <c r="D1" s="184" t="e">
        <f ca="1">IF($R1&lt;&gt;2,0,IF($S1=0,1,IF(F2&gt;0,OFFSET(QCI!$N$13,SUBSTITUTE(F2,".",""),0),OFFSET(ORÇAMENTO!$AB$15,CRONO!$F1,0))/$S1))</f>
        <v>#REF!</v>
      </c>
      <c r="E1" s="187" t="e" cm="1">
        <f t="array" aca="1" ref="E1" ca="1">IF(AND($R1=2,ACOMPANHAMENTO="BM"),ROUND(E2,4),E3/$S1)</f>
        <v>#REF!</v>
      </c>
      <c r="F1" s="184" t="e" cm="1">
        <f t="array" aca="1" ref="F1" ca="1">IF(B1&lt;=ORÇAMENTO.MáximoListaCrono,MATCH(B1,ORÇAMENTO.ListaCrono,0),NA())</f>
        <v>#REF!</v>
      </c>
      <c r="G1" s="184" t="e">
        <f ca="1">IF(AND($F2&lt;&gt;-1,$S1&gt;0),"F","")</f>
        <v>#REF!</v>
      </c>
      <c r="H1" s="188" t="e" cm="1">
        <f t="array" aca="1" ref="H1" ca="1">IF(OR(S1=0,S1=""),"Linha",IF(AND(OR(ACOMPANHAMENTO="PLE",$R1&lt;&gt;2),$F2=0),"Linha",ROUND(1-SUM(U1:AG1),4)))</f>
        <v>#REF!</v>
      </c>
      <c r="I1" s="189" t="e">
        <f ca="1">IF($F2=0,OFFSET(ORÇAMENTO!O$15,$F1,0),IF($F2&lt;&gt;-1,OFFSET(QCI!$D$13,$F2,0),""))</f>
        <v>#REF!</v>
      </c>
      <c r="J1" s="190" t="e">
        <f ca="1">IF($F2=0,OFFSET(ORÇAMENTO!R$15,$F1,0),IF($F2&lt;&gt;-1,OFFSET(QCI!$G$13,$F2,0),""))</f>
        <v>#REF!</v>
      </c>
      <c r="K1" s="190"/>
      <c r="L1" s="190"/>
      <c r="M1" s="191" t="e">
        <f ca="1">IF($F2=0,OFFSET(ORÇAMENTO!C$15,$F1,0),1)</f>
        <v>#REF!</v>
      </c>
      <c r="N1" s="192" t="e">
        <f ca="1">IF($F2=-1,0,IF(N$13&lt;=$M1,IF(ISERROR(MATCH(N$13,OFFSET($M1,1,0,ROW($M$41)-ROW($M1)-1),0)),ROW($M$41)-ROW($M1)-1,MATCH(N$13,OFFSET($M1,1,0,ROW($M$41)-ROW($M1)-1),0)-1),0))</f>
        <v>#REF!</v>
      </c>
      <c r="O1" s="192" t="e">
        <f ca="1">IF($F2=-1,0,IF(O$13&lt;=$M1,IF(ISERROR(MATCH(O$13,OFFSET($M1,1,0,ROW($M$41)-ROW($M1)-1),0)),ROW($M$41)-ROW($M1)-1,MATCH(O$13,OFFSET($M1,1,0,ROW($M$41)-ROW($M1)-1),0)-1),0))</f>
        <v>#REF!</v>
      </c>
      <c r="P1" s="192" t="e">
        <f ca="1">IF($F2=-1,0,IF(P$13&lt;=$M1,IF(ISERROR(MATCH(P$13,OFFSET($M1,1,0,ROW($M$41)-ROW($M1)-1),0)),ROW($M$41)-ROW($M1)-1,MATCH(P$13,OFFSET($M1,1,0,ROW($M$41)-ROW($M1)-1),0)-1),0))</f>
        <v>#REF!</v>
      </c>
      <c r="Q1" s="192" t="e">
        <f ca="1">IF($F2=-1,0,IF(Q$13&lt;=$M1,IF(ISERROR(MATCH(Q$13,OFFSET($M1,1,0,ROW($M$41)-ROW($M1)-1),0)),ROW($M$41)-ROW($M1)-1,MATCH(Q$13,OFFSET($M1,1,0,ROW($M$41)-ROW($M1)-1),0)-1),0))</f>
        <v>#REF!</v>
      </c>
      <c r="R1" s="192" t="e">
        <f ca="1">MIN(OFFSET(M1,0,1,,M1))</f>
        <v>#REF!</v>
      </c>
      <c r="S1" s="193" t="e">
        <f ca="1">IF($F2=0,OFFSET(ORÇAMENTO!X$15,$F1,0),IF($F2&lt;&gt;-1,OFFSET(QCI!$O$13,$F2,0),""))</f>
        <v>#REF!</v>
      </c>
      <c r="T1" s="194" t="s">
        <v>785</v>
      </c>
      <c r="U1" s="187" t="e" cm="1">
        <f t="array" aca="1" ref="U1" ca="1">IF(AND($R1=2,ACOMPANHAMENTO="BM"),ROUND(U2,4),U3/$S1)</f>
        <v>#REF!</v>
      </c>
      <c r="V1" s="187" t="e" cm="1">
        <f t="array" aca="1" ref="V1" ca="1">IF(AND($R1=2,ACOMPANHAMENTO="BM"),ROUND(V2,4),V3/$S1)</f>
        <v>#REF!</v>
      </c>
      <c r="W1" s="187" t="e" cm="1">
        <f t="array" aca="1" ref="W1" ca="1">IF(AND($R1=2,ACOMPANHAMENTO="BM"),ROUND(W2,4),W3/$S1)</f>
        <v>#REF!</v>
      </c>
      <c r="X1" s="187" t="e" cm="1">
        <f t="array" aca="1" ref="X1" ca="1">IF(AND($R1=2,ACOMPANHAMENTO="BM"),ROUND(X2,4),X3/$S1)</f>
        <v>#REF!</v>
      </c>
      <c r="Y1" s="187" t="e" cm="1">
        <f t="array" aca="1" ref="Y1" ca="1">IF(AND($R1=2,ACOMPANHAMENTO="BM"),ROUND(Y2,4),Y3/$S1)</f>
        <v>#REF!</v>
      </c>
      <c r="Z1" s="187" t="e" cm="1">
        <f t="array" aca="1" ref="Z1" ca="1">IF(AND($R1=2,ACOMPANHAMENTO="BM"),ROUND(Z2,4),Z3/$S1)</f>
        <v>#REF!</v>
      </c>
      <c r="AA1" s="187" t="e" cm="1">
        <f t="array" aca="1" ref="AA1" ca="1">IF(AND($R1=2,ACOMPANHAMENTO="BM"),ROUND(AA2,4),AA3/$S1)</f>
        <v>#REF!</v>
      </c>
      <c r="AB1" s="187" t="e" cm="1">
        <f t="array" aca="1" ref="AB1" ca="1">IF(AND($R1=2,ACOMPANHAMENTO="BM"),ROUND(AB2,4),AB3/$S1)</f>
        <v>#REF!</v>
      </c>
      <c r="AC1" s="187" t="e" cm="1">
        <f t="array" aca="1" ref="AC1" ca="1">IF(AND($R1=2,ACOMPANHAMENTO="BM"),ROUND(AC2,4),AC3/$S1)</f>
        <v>#REF!</v>
      </c>
      <c r="AD1" s="187" t="e" cm="1">
        <f t="array" aca="1" ref="AD1" ca="1">IF(AND($R1=2,ACOMPANHAMENTO="BM"),ROUND(AD2,4),AD3/$S1)</f>
        <v>#REF!</v>
      </c>
      <c r="AE1" s="187" t="e" cm="1">
        <f t="array" aca="1" ref="AE1" ca="1">IF(AND($R1=2,ACOMPANHAMENTO="BM"),ROUND(AE2,4),AE3/$S1)</f>
        <v>#REF!</v>
      </c>
      <c r="AF1" s="187" t="e" cm="1">
        <f t="array" aca="1" ref="AF1" ca="1">IF(AND($R1=2,ACOMPANHAMENTO="BM"),ROUND(AF2,4),AF3/$S1)</f>
        <v>#REF!</v>
      </c>
      <c r="AG1" s="533"/>
    </row>
    <row r="2" spans="1:33" ht="12.75" hidden="1" customHeight="1" x14ac:dyDescent="0.2">
      <c r="E2" s="586"/>
      <c r="F2" s="184" t="e">
        <f ca="1">IF(ISERROR(F1),IF(1+COUNTIF($M$13:OFFSET(M1,-1,0),1)&lt;=MAX(QCI!$D$13:$D$24),1+COUNTIF($M$13:OFFSET(M1,-1,0),1),-1),0)</f>
        <v>#REF!</v>
      </c>
      <c r="G2" s="184" t="str" cm="1">
        <f t="array" aca="1" ref="G2" ca="1">IF(ACOMPANHAMENTO="BM",OFFSET(G2,-1,0),"")</f>
        <v/>
      </c>
      <c r="H2" s="195" t="e" cm="1">
        <f t="array" aca="1" ref="H2" ca="1">IF(OR(S1=0,S1=""),"vazia",IF(AND(OR(ACOMPANHAMENTO="PLE",$R1&lt;&gt;2),$F2=0),"calculada","--&gt;"))</f>
        <v>#REF!</v>
      </c>
      <c r="I2" s="196"/>
      <c r="J2" s="197" t="e">
        <f ca="1">IF(AND(H1&lt;&gt;0,ISNUMBER(H1)),"PREENCHA ESTA LINHA --&gt;","")</f>
        <v>#REF!</v>
      </c>
      <c r="K2" s="197"/>
      <c r="L2" s="197"/>
      <c r="M2" s="198"/>
      <c r="N2" s="198"/>
      <c r="O2" s="198"/>
      <c r="P2" s="198"/>
      <c r="Q2" s="198"/>
      <c r="R2" s="198"/>
      <c r="S2" s="199"/>
      <c r="T2" s="200"/>
      <c r="U2" s="586"/>
      <c r="V2" s="586"/>
      <c r="W2" s="586"/>
      <c r="X2" s="586"/>
      <c r="Y2" s="586"/>
      <c r="Z2" s="586"/>
      <c r="AA2" s="586"/>
      <c r="AB2" s="586"/>
      <c r="AC2" s="586"/>
      <c r="AD2" s="586"/>
      <c r="AE2" s="586"/>
      <c r="AF2" s="586"/>
      <c r="AG2" s="533"/>
    </row>
    <row r="3" spans="1:33" ht="12.75" hidden="1" customHeight="1" x14ac:dyDescent="0.2">
      <c r="D3" s="532"/>
      <c r="E3" s="201" t="e" cm="1">
        <f t="array" aca="1" ref="E3" ca="1">IF($R1=2,
         IF(AND(ACOMPANHAMENTO="PLE",ISNUMBER($F1)),
                SUMIF((OFFSET(CÁLCULO!$AM$15:$AW$15,$F1,0,OFFSET(ORÇAMENTO!$D$15,CRONO!$F1,0))),CRONO!E$12,OFFSET(CÁLCULO!$AB$15:$AL$15,$F1,0,OFFSET(ORÇAMENTO!$D$15,CRONO!$F1,0)))
                +IF(AND($F3&lt;&gt;"",$F3&lt;&gt;0),
                        SUMIF(CÁLCULO!$AM$15:$AW$55,CRONO!E$12,CÁLCULO!$AB$15:$AL$55)/(ORÇAMENTO!$X$15-CÁLCULO.TotalAdmLocal)*CRONO!$F3,
                        0),
                 E2*$S1),
          SUMIF(OFFSET($S3,1,0,$R1-2),($M1+1)&amp;"$",OFFSET(E3,1,0,$R1-2)))</f>
        <v>#REF!</v>
      </c>
      <c r="F3" s="184" t="e">
        <f ca="1">IF(OR($R1&lt;&gt;2,AUTOEVENTO&lt;&gt;"manual",$F2&gt;0),"",
        IF(Import.TipoArredondamento="Tradicional",
              SUMIF(OFFSET(CÁLCULO!$M$15,CRONO!$F1,0,OFFSET(ORÇAMENTO!$D$15,CRONO!$F1,0)),1,OFFSET(ORÇAMENTO!$X$15,CRONO!$F1,0,OFFSET(ORÇAMENTO!$D$15,CRONO!$F1,0))),
              0))</f>
        <v>#REF!</v>
      </c>
      <c r="H3" s="202"/>
      <c r="S3" s="203" t="e">
        <f ca="1">M1&amp;"$"</f>
        <v>#REF!</v>
      </c>
      <c r="T3" s="204"/>
      <c r="U3" s="201" t="e" cm="1">
        <f t="array" aca="1" ref="U3" ca="1">IF($R1=2,
         IF(AND(ACOMPANHAMENTO="PLE",ISNUMBER($F1)),
                SUMIF((OFFSET(CÁLCULO!$AM$15:$AW$15,$F1,0,OFFSET(ORÇAMENTO!$D$15,CRONO!$F1,0))),CRONO!U$12,OFFSET(CÁLCULO!$AB$15:$AL$15,$F1,0,OFFSET(ORÇAMENTO!$D$15,CRONO!$F1,0)))
                +IF(AND($F3&lt;&gt;"",$F3&lt;&gt;0),
                        SUMIF(CÁLCULO!$AM$15:$AW$55,CRONO!U$12,CÁLCULO!$AB$15:$AL$55)/(ORÇAMENTO!$X$15-CÁLCULO.TotalAdmLocal)*CRONO!$F3,
                        0),
                 U2*$S1),
          SUMIF(OFFSET($S3,1,0,$R1-2),($M1+1)&amp;"$",OFFSET(U3,1,0,$R1-2)))</f>
        <v>#REF!</v>
      </c>
      <c r="V3" s="201" t="e" cm="1">
        <f t="array" aca="1" ref="V3" ca="1">IF($R1=2,
         IF(AND(ACOMPANHAMENTO="PLE",ISNUMBER($F1)),
                SUMIF((OFFSET(CÁLCULO!$AM$15:$AW$15,$F1,0,OFFSET(ORÇAMENTO!$D$15,CRONO!$F1,0))),CRONO!V$12,OFFSET(CÁLCULO!$AB$15:$AL$15,$F1,0,OFFSET(ORÇAMENTO!$D$15,CRONO!$F1,0)))
                +IF(AND($F3&lt;&gt;"",$F3&lt;&gt;0),
                        SUMIF(CÁLCULO!$AM$15:$AW$55,CRONO!V$12,CÁLCULO!$AB$15:$AL$55)/(ORÇAMENTO!$X$15-CÁLCULO.TotalAdmLocal)*CRONO!$F3,
                        0),
                 V2*$S1),
          SUMIF(OFFSET($S3,1,0,$R1-2),($M1+1)&amp;"$",OFFSET(V3,1,0,$R1-2)))</f>
        <v>#REF!</v>
      </c>
      <c r="W3" s="201" t="e" cm="1">
        <f t="array" aca="1" ref="W3" ca="1">IF($R1=2,
         IF(AND(ACOMPANHAMENTO="PLE",ISNUMBER($F1)),
                SUMIF((OFFSET(CÁLCULO!$AM$15:$AW$15,$F1,0,OFFSET(ORÇAMENTO!$D$15,CRONO!$F1,0))),CRONO!W$12,OFFSET(CÁLCULO!$AB$15:$AL$15,$F1,0,OFFSET(ORÇAMENTO!$D$15,CRONO!$F1,0)))
                +IF(AND($F3&lt;&gt;"",$F3&lt;&gt;0),
                        SUMIF(CÁLCULO!$AM$15:$AW$55,CRONO!W$12,CÁLCULO!$AB$15:$AL$55)/(ORÇAMENTO!$X$15-CÁLCULO.TotalAdmLocal)*CRONO!$F3,
                        0),
                 W2*$S1),
          SUMIF(OFFSET($S3,1,0,$R1-2),($M1+1)&amp;"$",OFFSET(W3,1,0,$R1-2)))</f>
        <v>#REF!</v>
      </c>
      <c r="X3" s="201" t="e" cm="1">
        <f t="array" aca="1" ref="X3" ca="1">IF($R1=2,
         IF(AND(ACOMPANHAMENTO="PLE",ISNUMBER($F1)),
                SUMIF((OFFSET(CÁLCULO!$AM$15:$AW$15,$F1,0,OFFSET(ORÇAMENTO!$D$15,CRONO!$F1,0))),CRONO!X$12,OFFSET(CÁLCULO!$AB$15:$AL$15,$F1,0,OFFSET(ORÇAMENTO!$D$15,CRONO!$F1,0)))
                +IF(AND($F3&lt;&gt;"",$F3&lt;&gt;0),
                        SUMIF(CÁLCULO!$AM$15:$AW$55,CRONO!X$12,CÁLCULO!$AB$15:$AL$55)/(ORÇAMENTO!$X$15-CÁLCULO.TotalAdmLocal)*CRONO!$F3,
                        0),
                 X2*$S1),
          SUMIF(OFFSET($S3,1,0,$R1-2),($M1+1)&amp;"$",OFFSET(X3,1,0,$R1-2)))</f>
        <v>#REF!</v>
      </c>
      <c r="Y3" s="201" t="e" cm="1">
        <f t="array" aca="1" ref="Y3" ca="1">IF($R1=2,
         IF(AND(ACOMPANHAMENTO="PLE",ISNUMBER($F1)),
                SUMIF((OFFSET(CÁLCULO!$AM$15:$AW$15,$F1,0,OFFSET(ORÇAMENTO!$D$15,CRONO!$F1,0))),CRONO!Y$12,OFFSET(CÁLCULO!$AB$15:$AL$15,$F1,0,OFFSET(ORÇAMENTO!$D$15,CRONO!$F1,0)))
                +IF(AND($F3&lt;&gt;"",$F3&lt;&gt;0),
                        SUMIF(CÁLCULO!$AM$15:$AW$55,CRONO!Y$12,CÁLCULO!$AB$15:$AL$55)/(ORÇAMENTO!$X$15-CÁLCULO.TotalAdmLocal)*CRONO!$F3,
                        0),
                 Y2*$S1),
          SUMIF(OFFSET($S3,1,0,$R1-2),($M1+1)&amp;"$",OFFSET(Y3,1,0,$R1-2)))</f>
        <v>#REF!</v>
      </c>
      <c r="Z3" s="201" t="e" cm="1">
        <f t="array" aca="1" ref="Z3" ca="1">IF($R1=2,
         IF(AND(ACOMPANHAMENTO="PLE",ISNUMBER($F1)),
                SUMIF((OFFSET(CÁLCULO!$AM$15:$AW$15,$F1,0,OFFSET(ORÇAMENTO!$D$15,CRONO!$F1,0))),CRONO!Z$12,OFFSET(CÁLCULO!$AB$15:$AL$15,$F1,0,OFFSET(ORÇAMENTO!$D$15,CRONO!$F1,0)))
                +IF(AND($F3&lt;&gt;"",$F3&lt;&gt;0),
                        SUMIF(CÁLCULO!$AM$15:$AW$55,CRONO!Z$12,CÁLCULO!$AB$15:$AL$55)/(ORÇAMENTO!$X$15-CÁLCULO.TotalAdmLocal)*CRONO!$F3,
                        0),
                 Z2*$S1),
          SUMIF(OFFSET($S3,1,0,$R1-2),($M1+1)&amp;"$",OFFSET(Z3,1,0,$R1-2)))</f>
        <v>#REF!</v>
      </c>
      <c r="AA3" s="201" t="e" cm="1">
        <f t="array" aca="1" ref="AA3" ca="1">IF($R1=2,
         IF(AND(ACOMPANHAMENTO="PLE",ISNUMBER($F1)),
                SUMIF((OFFSET(CÁLCULO!$AM$15:$AW$15,$F1,0,OFFSET(ORÇAMENTO!$D$15,CRONO!$F1,0))),CRONO!AA$12,OFFSET(CÁLCULO!$AB$15:$AL$15,$F1,0,OFFSET(ORÇAMENTO!$D$15,CRONO!$F1,0)))
                +IF(AND($F3&lt;&gt;"",$F3&lt;&gt;0),
                        SUMIF(CÁLCULO!$AM$15:$AW$55,CRONO!AA$12,CÁLCULO!$AB$15:$AL$55)/(ORÇAMENTO!$X$15-CÁLCULO.TotalAdmLocal)*CRONO!$F3,
                        0),
                 AA2*$S1),
          SUMIF(OFFSET($S3,1,0,$R1-2),($M1+1)&amp;"$",OFFSET(AA3,1,0,$R1-2)))</f>
        <v>#REF!</v>
      </c>
      <c r="AB3" s="201" t="e" cm="1">
        <f t="array" aca="1" ref="AB3" ca="1">IF($R1=2,
         IF(AND(ACOMPANHAMENTO="PLE",ISNUMBER($F1)),
                SUMIF((OFFSET(CÁLCULO!$AM$15:$AW$15,$F1,0,OFFSET(ORÇAMENTO!$D$15,CRONO!$F1,0))),CRONO!AB$12,OFFSET(CÁLCULO!$AB$15:$AL$15,$F1,0,OFFSET(ORÇAMENTO!$D$15,CRONO!$F1,0)))
                +IF(AND($F3&lt;&gt;"",$F3&lt;&gt;0),
                        SUMIF(CÁLCULO!$AM$15:$AW$55,CRONO!AB$12,CÁLCULO!$AB$15:$AL$55)/(ORÇAMENTO!$X$15-CÁLCULO.TotalAdmLocal)*CRONO!$F3,
                        0),
                 AB2*$S1),
          SUMIF(OFFSET($S3,1,0,$R1-2),($M1+1)&amp;"$",OFFSET(AB3,1,0,$R1-2)))</f>
        <v>#REF!</v>
      </c>
      <c r="AC3" s="201" t="e" cm="1">
        <f t="array" aca="1" ref="AC3" ca="1">IF($R1=2,
         IF(AND(ACOMPANHAMENTO="PLE",ISNUMBER($F1)),
                SUMIF((OFFSET(CÁLCULO!$AM$15:$AW$15,$F1,0,OFFSET(ORÇAMENTO!$D$15,CRONO!$F1,0))),CRONO!AC$12,OFFSET(CÁLCULO!$AB$15:$AL$15,$F1,0,OFFSET(ORÇAMENTO!$D$15,CRONO!$F1,0)))
                +IF(AND($F3&lt;&gt;"",$F3&lt;&gt;0),
                        SUMIF(CÁLCULO!$AM$15:$AW$55,CRONO!AC$12,CÁLCULO!$AB$15:$AL$55)/(ORÇAMENTO!$X$15-CÁLCULO.TotalAdmLocal)*CRONO!$F3,
                        0),
                 AC2*$S1),
          SUMIF(OFFSET($S3,1,0,$R1-2),($M1+1)&amp;"$",OFFSET(AC3,1,0,$R1-2)))</f>
        <v>#REF!</v>
      </c>
      <c r="AD3" s="201" t="e" cm="1">
        <f t="array" aca="1" ref="AD3" ca="1">IF($R1=2,
         IF(AND(ACOMPANHAMENTO="PLE",ISNUMBER($F1)),
                SUMIF((OFFSET(CÁLCULO!$AM$15:$AW$15,$F1,0,OFFSET(ORÇAMENTO!$D$15,CRONO!$F1,0))),CRONO!AD$12,OFFSET(CÁLCULO!$AB$15:$AL$15,$F1,0,OFFSET(ORÇAMENTO!$D$15,CRONO!$F1,0)))
                +IF(AND($F3&lt;&gt;"",$F3&lt;&gt;0),
                        SUMIF(CÁLCULO!$AM$15:$AW$55,CRONO!AD$12,CÁLCULO!$AB$15:$AL$55)/(ORÇAMENTO!$X$15-CÁLCULO.TotalAdmLocal)*CRONO!$F3,
                        0),
                 AD2*$S1),
          SUMIF(OFFSET($S3,1,0,$R1-2),($M1+1)&amp;"$",OFFSET(AD3,1,0,$R1-2)))</f>
        <v>#REF!</v>
      </c>
      <c r="AE3" s="201" t="e" cm="1">
        <f t="array" aca="1" ref="AE3" ca="1">IF($R1=2,
         IF(AND(ACOMPANHAMENTO="PLE",ISNUMBER($F1)),
                SUMIF((OFFSET(CÁLCULO!$AM$15:$AW$15,$F1,0,OFFSET(ORÇAMENTO!$D$15,CRONO!$F1,0))),CRONO!AE$12,OFFSET(CÁLCULO!$AB$15:$AL$15,$F1,0,OFFSET(ORÇAMENTO!$D$15,CRONO!$F1,0)))
                +IF(AND($F3&lt;&gt;"",$F3&lt;&gt;0),
                        SUMIF(CÁLCULO!$AM$15:$AW$55,CRONO!AE$12,CÁLCULO!$AB$15:$AL$55)/(ORÇAMENTO!$X$15-CÁLCULO.TotalAdmLocal)*CRONO!$F3,
                        0),
                 AE2*$S1),
          SUMIF(OFFSET($S3,1,0,$R1-2),($M1+1)&amp;"$",OFFSET(AE3,1,0,$R1-2)))</f>
        <v>#REF!</v>
      </c>
      <c r="AF3" s="201" t="e" cm="1">
        <f t="array" aca="1" ref="AF3" ca="1">IF($R1=2,
         IF(AND(ACOMPANHAMENTO="PLE",ISNUMBER($F1)),
                SUMIF((OFFSET(CÁLCULO!$AM$15:$AW$15,$F1,0,OFFSET(ORÇAMENTO!$D$15,CRONO!$F1,0))),CRONO!AF$12,OFFSET(CÁLCULO!$AB$15:$AL$15,$F1,0,OFFSET(ORÇAMENTO!$D$15,CRONO!$F1,0)))
                +IF(AND($F3&lt;&gt;"",$F3&lt;&gt;0),
                        SUMIF(CÁLCULO!$AM$15:$AW$55,CRONO!AF$12,CÁLCULO!$AB$15:$AL$55)/(ORÇAMENTO!$X$15-CÁLCULO.TotalAdmLocal)*CRONO!$F3,
                        0),
                 AF2*$S1),
          SUMIF(OFFSET($S3,1,0,$R1-2),($M1+1)&amp;"$",OFFSET(AF3,1,0,$R1-2)))</f>
        <v>#REF!</v>
      </c>
      <c r="AG3" s="533"/>
    </row>
    <row r="4" spans="1:33" ht="15" customHeight="1" x14ac:dyDescent="0.25">
      <c r="S4" s="205" t="str" cm="1">
        <f t="array" ref="S4">IF(TIPOORCAMENTO="licitado","CFF - CRONOGRAMA FÍSICO-FINANCEIRO LICITADO","CFF - CRONOGRAMA FÍSICO-FINANCEIRO")</f>
        <v>CFF - CRONOGRAMA FÍSICO-FINANCEIRO</v>
      </c>
      <c r="AE4" s="703" t="s">
        <v>644</v>
      </c>
      <c r="AF4" s="703"/>
    </row>
    <row r="5" spans="1:33" ht="15" x14ac:dyDescent="0.2">
      <c r="S5" s="82" t="str">
        <f>import.recurso</f>
        <v>OGU</v>
      </c>
      <c r="AE5" s="704" t="s">
        <v>647</v>
      </c>
      <c r="AF5" s="704"/>
    </row>
    <row r="6" spans="1:33" ht="12.75" customHeight="1" x14ac:dyDescent="0.2"/>
    <row r="7" spans="1:33" ht="12.75" customHeight="1" x14ac:dyDescent="0.2">
      <c r="F7" s="206"/>
      <c r="H7" s="773" t="s">
        <v>786</v>
      </c>
      <c r="I7" s="207" t="s">
        <v>650</v>
      </c>
      <c r="J7" s="208"/>
      <c r="K7" s="209" t="s">
        <v>787</v>
      </c>
      <c r="L7" s="210" t="s">
        <v>788</v>
      </c>
      <c r="M7" s="185"/>
      <c r="N7" s="185"/>
      <c r="O7" s="185"/>
      <c r="T7" s="211"/>
      <c r="U7" s="207" t="s">
        <v>758</v>
      </c>
      <c r="Y7" s="208"/>
      <c r="Z7" s="207" t="str" cm="1">
        <f t="array" ref="Z7">IF(TIPOORCAMENTO="Licitado","NOME DA EMPRESA","DESCRIÇÃO DO LOTE")</f>
        <v>DESCRIÇÃO DO LOTE</v>
      </c>
      <c r="AF7" s="212" t="str" cm="1">
        <f t="array" ref="AF7">IF(TIPOORCAMENTO="Licitado","Nº CTEF","")</f>
        <v/>
      </c>
    </row>
    <row r="8" spans="1:33" x14ac:dyDescent="0.2">
      <c r="A8" s="185" t="s">
        <v>974</v>
      </c>
      <c r="E8" s="184"/>
      <c r="F8" s="113"/>
      <c r="G8" s="692" t="s">
        <v>655</v>
      </c>
      <c r="H8" s="773"/>
      <c r="I8" s="764">
        <f>Import.CR</f>
        <v>0</v>
      </c>
      <c r="J8" s="764"/>
      <c r="K8" s="213" t="str">
        <f>Import.TransfereGOV</f>
        <v>948148</v>
      </c>
      <c r="L8" s="763" t="str">
        <f>Import.Proponente</f>
        <v>18.029.165/0001-51</v>
      </c>
      <c r="M8" s="763"/>
      <c r="N8" s="763"/>
      <c r="O8" s="763"/>
      <c r="P8" s="763"/>
      <c r="Q8" s="763"/>
      <c r="R8" s="763"/>
      <c r="S8" s="763"/>
      <c r="T8" s="763"/>
      <c r="U8" s="764" t="str">
        <f>Import.Apelido</f>
        <v>Construção de ponte e pavimentação de estrada vicinal</v>
      </c>
      <c r="V8" s="764"/>
      <c r="W8" s="764"/>
      <c r="X8" s="764"/>
      <c r="Y8" s="764"/>
      <c r="Z8" s="774" t="str" cm="1">
        <f t="array" ref="Z8">IF(TIPOORCAMENTO="Licitado",Import.empresa,Import.DescLote)</f>
        <v>Infraestrutura</v>
      </c>
      <c r="AA8" s="774"/>
      <c r="AB8" s="774"/>
      <c r="AC8" s="774"/>
      <c r="AD8" s="774"/>
      <c r="AE8" s="774"/>
      <c r="AF8" s="202" t="str" cm="1">
        <f t="array" ref="AF8">IF(TIPOORCAMENTO="Licitado",Import.CTEF,"")</f>
        <v/>
      </c>
    </row>
    <row r="9" spans="1:33" x14ac:dyDescent="0.2">
      <c r="A9" s="654">
        <v>2</v>
      </c>
      <c r="F9" s="113"/>
      <c r="G9" s="692"/>
      <c r="H9" s="773"/>
    </row>
    <row r="10" spans="1:33" x14ac:dyDescent="0.2">
      <c r="A10" s="655">
        <v>3</v>
      </c>
      <c r="F10" s="184" cm="1">
        <f t="array" aca="1" ref="F10" ca="1">CRONO.LinhasNecessarias</f>
        <v>9</v>
      </c>
      <c r="G10" s="692"/>
      <c r="H10" s="214">
        <v>2</v>
      </c>
      <c r="K10" s="765" t="str" cm="1">
        <f t="array" aca="1" ref="K10" ca="1">IF(MAX($B$13:$B$41)&lt;CRONO.LinhasNecessarias,"ERRO: NÚMERO DE LINHAS DO CRONOGRAMA INSUFICIENTE. CLIQUE EM ATUALIZAR LINHAS.",IF(AND(ACOMPANHAMENTO="PLE",ROUND(OFFSET($AG$51,0,-1),2)=0),"CRONOGRAMA DEVE SER PREENCHIDO POR EVENTOS",IF(ROUND(OFFSET($AG$51,0,-1),2)&lt;&gt;$R$42,"ERRO: CRONOGRAMA NÃO FECHA 100%","")))</f>
        <v/>
      </c>
      <c r="L10" s="765"/>
      <c r="M10" s="765"/>
      <c r="N10" s="765"/>
      <c r="O10" s="765"/>
      <c r="P10" s="765"/>
      <c r="Q10" s="765"/>
      <c r="R10" s="765"/>
      <c r="S10" s="765"/>
      <c r="T10" s="765"/>
    </row>
    <row r="11" spans="1:33" ht="12.75" customHeight="1" x14ac:dyDescent="0.2">
      <c r="A11" s="656">
        <v>4</v>
      </c>
      <c r="F11" s="184" cm="1">
        <f t="array" aca="1" ref="F11" ca="1">CRONO.ParcelaFinal</f>
        <v>4</v>
      </c>
      <c r="G11" s="692"/>
      <c r="I11" s="215"/>
      <c r="J11" s="215"/>
      <c r="K11" s="765"/>
      <c r="L11" s="765"/>
      <c r="M11" s="765"/>
      <c r="N11" s="765"/>
      <c r="O11" s="765"/>
      <c r="P11" s="765"/>
      <c r="Q11" s="765"/>
      <c r="R11" s="765"/>
      <c r="S11" s="765"/>
      <c r="T11" s="765"/>
    </row>
    <row r="12" spans="1:33" ht="12.75" customHeight="1" x14ac:dyDescent="0.2">
      <c r="A12" s="185" t="s">
        <v>789</v>
      </c>
      <c r="E12" s="216">
        <f ca="1">OFFSET(E12,0,-1)+1</f>
        <v>1</v>
      </c>
      <c r="G12" s="105" t="s">
        <v>660</v>
      </c>
      <c r="H12" s="767" t="s">
        <v>790</v>
      </c>
      <c r="I12" s="768" t="s">
        <v>735</v>
      </c>
      <c r="J12" s="769" t="s">
        <v>118</v>
      </c>
      <c r="K12" s="217"/>
      <c r="L12" s="217"/>
      <c r="M12" s="218"/>
      <c r="N12" s="218"/>
      <c r="O12" s="218"/>
      <c r="P12" s="218"/>
      <c r="Q12" s="218"/>
      <c r="R12" s="218"/>
      <c r="S12" s="772" t="s">
        <v>791</v>
      </c>
      <c r="T12" s="762" t="s">
        <v>792</v>
      </c>
      <c r="U12" s="219">
        <v>1</v>
      </c>
      <c r="V12" s="216">
        <f ca="1">OFFSET(V12,0,-1)+1</f>
        <v>2</v>
      </c>
      <c r="W12" s="216">
        <f t="shared" ref="W12:AF12" ca="1" si="0">OFFSET(W12,0,-1)+1</f>
        <v>3</v>
      </c>
      <c r="X12" s="216">
        <f t="shared" ca="1" si="0"/>
        <v>4</v>
      </c>
      <c r="Y12" s="216">
        <f t="shared" ca="1" si="0"/>
        <v>5</v>
      </c>
      <c r="Z12" s="216">
        <f t="shared" ca="1" si="0"/>
        <v>6</v>
      </c>
      <c r="AA12" s="216">
        <f t="shared" ca="1" si="0"/>
        <v>7</v>
      </c>
      <c r="AB12" s="216">
        <f t="shared" ca="1" si="0"/>
        <v>8</v>
      </c>
      <c r="AC12" s="216">
        <f t="shared" ca="1" si="0"/>
        <v>9</v>
      </c>
      <c r="AD12" s="216">
        <f t="shared" ca="1" si="0"/>
        <v>10</v>
      </c>
      <c r="AE12" s="216">
        <f t="shared" ca="1" si="0"/>
        <v>11</v>
      </c>
      <c r="AF12" s="536">
        <f t="shared" ca="1" si="0"/>
        <v>12</v>
      </c>
      <c r="AG12" s="533"/>
    </row>
    <row r="13" spans="1:33" ht="24.95" customHeight="1" x14ac:dyDescent="0.2">
      <c r="B13" s="220" t="s">
        <v>793</v>
      </c>
      <c r="C13" s="220" t="s">
        <v>456</v>
      </c>
      <c r="D13" s="220" t="s">
        <v>794</v>
      </c>
      <c r="E13" s="221" t="e">
        <f ca="1">OFFSET(E13,0,-1)+41-DAY(OFFSET(E13,0,-1)+40)</f>
        <v>#VALUE!</v>
      </c>
      <c r="F13" s="220" t="s">
        <v>795</v>
      </c>
      <c r="H13" s="767"/>
      <c r="I13" s="768"/>
      <c r="J13" s="769"/>
      <c r="K13" s="222"/>
      <c r="L13" s="222"/>
      <c r="M13" s="223" t="s">
        <v>733</v>
      </c>
      <c r="N13" s="223">
        <v>1</v>
      </c>
      <c r="O13" s="223">
        <v>2</v>
      </c>
      <c r="P13" s="223">
        <v>3</v>
      </c>
      <c r="Q13" s="223">
        <v>4</v>
      </c>
      <c r="R13" s="224" t="s">
        <v>796</v>
      </c>
      <c r="S13" s="772"/>
      <c r="T13" s="762"/>
      <c r="U13" s="225">
        <v>45870</v>
      </c>
      <c r="V13" s="221">
        <f ca="1">OFFSET(V13,0,-1)+41-DAY(OFFSET(V13,0,-1)+40)</f>
        <v>45901</v>
      </c>
      <c r="W13" s="221">
        <f ca="1">OFFSET(W13,0,-1)+41-DAY(OFFSET(W13,0,-1)+40)</f>
        <v>45931</v>
      </c>
      <c r="X13" s="221">
        <f t="shared" ref="X13:AF13" ca="1" si="1">OFFSET(X13,0,-1)+41-DAY(OFFSET(X13,0,-1)+40)</f>
        <v>45962</v>
      </c>
      <c r="Y13" s="221">
        <f t="shared" ca="1" si="1"/>
        <v>45992</v>
      </c>
      <c r="Z13" s="221">
        <f t="shared" ca="1" si="1"/>
        <v>46023</v>
      </c>
      <c r="AA13" s="221">
        <f t="shared" ca="1" si="1"/>
        <v>46054</v>
      </c>
      <c r="AB13" s="221">
        <f t="shared" ca="1" si="1"/>
        <v>46082</v>
      </c>
      <c r="AC13" s="221">
        <f t="shared" ca="1" si="1"/>
        <v>46113</v>
      </c>
      <c r="AD13" s="221">
        <f t="shared" ca="1" si="1"/>
        <v>46143</v>
      </c>
      <c r="AE13" s="221">
        <f t="shared" ca="1" si="1"/>
        <v>46174</v>
      </c>
      <c r="AF13" s="537">
        <f t="shared" ca="1" si="1"/>
        <v>46204</v>
      </c>
      <c r="AG13" s="533"/>
    </row>
    <row r="14" spans="1:33" x14ac:dyDescent="0.2">
      <c r="A14" s="185" t="str">
        <f t="shared" ref="A14" ca="1" si="2">IF($M14&gt;1,_xlfn.CONCAT($I14," ",$J14),"")</f>
        <v/>
      </c>
      <c r="B14" s="184">
        <f t="shared" ref="B14" ca="1" si="3">OFFSET(B14,-3,0)+1</f>
        <v>1</v>
      </c>
      <c r="C14" s="184">
        <f ca="1">IF($R14&lt;&gt;2,0,IF($S14=0,1,IF(F15&gt;0,OFFSET(QCI!$M$13,SUBSTITUTE(F15,".",""),0),OFFSET(ORÇAMENTO!$AA$15,CRONO!$F14,0))/$S14))</f>
        <v>0</v>
      </c>
      <c r="D14" s="184">
        <f ca="1">IF($R14&lt;&gt;2,0,IF($S14=0,1,IF(F15&gt;0,OFFSET(QCI!$N$13,SUBSTITUTE(F15,".",""),0),OFFSET(ORÇAMENTO!$AB$15,CRONO!$F14,0))/$S14))</f>
        <v>0</v>
      </c>
      <c r="E14" s="187" cm="1">
        <f t="array" aca="1" ref="E14" ca="1">IF(AND($R14=2,ACOMPANHAMENTO="BM"),ROUND(E15,4),E16/$S14)</f>
        <v>0.18000851259896217</v>
      </c>
      <c r="F14" s="184" cm="1">
        <f t="array" aca="1" ref="F14" ca="1">IF(B14&lt;=ORÇAMENTO.MáximoListaCrono,MATCH(B14,ORÇAMENTO.ListaCrono,0),NA())</f>
        <v>1</v>
      </c>
      <c r="G14" s="184" t="str">
        <f t="shared" ref="G14" ca="1" si="4">IF(AND($F15&lt;&gt;-1,$S14&gt;0),"F","")</f>
        <v>F</v>
      </c>
      <c r="H14" s="188" t="str" cm="1">
        <f t="array" aca="1" ref="H14" ca="1">IF(OR(S14=0,S14=""),"Linha",IF(AND(OR(ACOMPANHAMENTO="PLE",$R14&lt;&gt;2),$F15=0),"Linha",ROUND(1-SUM(U14:AG14),4)))</f>
        <v>Linha</v>
      </c>
      <c r="I14" s="189" t="str">
        <f ca="1">IF($F15=0,OFFSET(ORÇAMENTO!O$15,$F14,0),IF($F15&lt;&gt;-1,OFFSET(QCI!$D$13,$F15,0),""))</f>
        <v>1.</v>
      </c>
      <c r="J14" s="190" t="str">
        <f ca="1">IF($F15=0,OFFSET(ORÇAMENTO!R$15,$F14,0),IF($F15&lt;&gt;-1,OFFSET(QCI!$G$13,$F15,0),""))</f>
        <v>CONSTRUÇÃO DE PONTE E PAVIMENTAÇÃO DE ESTRADA VICINAL</v>
      </c>
      <c r="K14" s="190"/>
      <c r="L14" s="190"/>
      <c r="M14" s="191">
        <f ca="1">IF($F15=0,OFFSET(ORÇAMENTO!C$15,$F14,0),1)</f>
        <v>1</v>
      </c>
      <c r="N14" s="192">
        <f ca="1">IF($F15=-1,0,IF(N$13&lt;=$M14,IF(ISERROR(MATCH(N$13,OFFSET($M14,1,0,ROW($M$41)-ROW($M14)-1),0)),ROW($M$41)-ROW($M14)-1,MATCH(N$13,OFFSET($M14,1,0,ROW($M$41)-ROW($M14)-1),0)-1),0))</f>
        <v>26</v>
      </c>
      <c r="O14" s="192">
        <f ca="1">IF($F15=-1,0,IF(O$13&lt;=$M14,IF(ISERROR(MATCH(O$13,OFFSET($M14,1,0,ROW($M$41)-ROW($M14)-1),0)),ROW($M$41)-ROW($M14)-1,MATCH(O$13,OFFSET($M14,1,0,ROW($M$41)-ROW($M14)-1),0)-1),0))</f>
        <v>0</v>
      </c>
      <c r="P14" s="192">
        <f ca="1">IF($F15=-1,0,IF(P$13&lt;=$M14,IF(ISERROR(MATCH(P$13,OFFSET($M14,1,0,ROW($M$41)-ROW($M14)-1),0)),ROW($M$41)-ROW($M14)-1,MATCH(P$13,OFFSET($M14,1,0,ROW($M$41)-ROW($M14)-1),0)-1),0))</f>
        <v>0</v>
      </c>
      <c r="Q14" s="192">
        <f ca="1">IF($F15=-1,0,IF(Q$13&lt;=$M14,IF(ISERROR(MATCH(Q$13,OFFSET($M14,1,0,ROW($M$41)-ROW($M14)-1),0)),ROW($M$41)-ROW($M14)-1,MATCH(Q$13,OFFSET($M14,1,0,ROW($M$41)-ROW($M14)-1),0)-1),0))</f>
        <v>0</v>
      </c>
      <c r="R14" s="192">
        <f t="shared" ref="R14" ca="1" si="5">MIN(OFFSET(M14,0,1,,M14))</f>
        <v>26</v>
      </c>
      <c r="S14" s="193">
        <f ca="1">IF($F15=0,OFFSET(ORÇAMENTO!X$15,$F14,0),IF($F15&lt;&gt;-1,OFFSET(QCI!$O$13,$F15,0),""))</f>
        <v>1064163.8400000001</v>
      </c>
      <c r="T14" s="194" t="s">
        <v>785</v>
      </c>
      <c r="U14" s="187" cm="1">
        <f t="array" aca="1" ref="U14" ca="1">IF(AND($R14=2,ACOMPANHAMENTO="BM"),ROUND(U15,4),U16/$S14)</f>
        <v>0.18000851259896217</v>
      </c>
      <c r="V14" s="187" cm="1">
        <f t="array" aca="1" ref="V14" ca="1">IF(AND($R14=2,ACOMPANHAMENTO="BM"),ROUND(V15,4),V16/$S14)</f>
        <v>0.22573613288720651</v>
      </c>
      <c r="W14" s="187" cm="1">
        <f t="array" aca="1" ref="W14" ca="1">IF(AND($R14=2,ACOMPANHAMENTO="BM"),ROUND(W15,4),W16/$S14)</f>
        <v>0.32935526168602008</v>
      </c>
      <c r="X14" s="187" cm="1">
        <f t="array" aca="1" ref="X14" ca="1">IF(AND($R14=2,ACOMPANHAMENTO="BM"),ROUND(X15,4),X16/$S14)</f>
        <v>0.26490009282781113</v>
      </c>
      <c r="Y14" s="187" cm="1">
        <f t="array" aca="1" ref="Y14" ca="1">IF(AND($R14=2,ACOMPANHAMENTO="BM"),ROUND(Y15,4),Y16/$S14)</f>
        <v>0</v>
      </c>
      <c r="Z14" s="187" cm="1">
        <f t="array" aca="1" ref="Z14" ca="1">IF(AND($R14=2,ACOMPANHAMENTO="BM"),ROUND(Z15,4),Z16/$S14)</f>
        <v>0</v>
      </c>
      <c r="AA14" s="187" cm="1">
        <f t="array" aca="1" ref="AA14" ca="1">IF(AND($R14=2,ACOMPANHAMENTO="BM"),ROUND(AA15,4),AA16/$S14)</f>
        <v>0</v>
      </c>
      <c r="AB14" s="187" cm="1">
        <f t="array" aca="1" ref="AB14" ca="1">IF(AND($R14=2,ACOMPANHAMENTO="BM"),ROUND(AB15,4),AB16/$S14)</f>
        <v>0</v>
      </c>
      <c r="AC14" s="187" cm="1">
        <f t="array" aca="1" ref="AC14" ca="1">IF(AND($R14=2,ACOMPANHAMENTO="BM"),ROUND(AC15,4),AC16/$S14)</f>
        <v>0</v>
      </c>
      <c r="AD14" s="187" cm="1">
        <f t="array" aca="1" ref="AD14" ca="1">IF(AND($R14=2,ACOMPANHAMENTO="BM"),ROUND(AD15,4),AD16/$S14)</f>
        <v>0</v>
      </c>
      <c r="AE14" s="187" cm="1">
        <f t="array" aca="1" ref="AE14" ca="1">IF(AND($R14=2,ACOMPANHAMENTO="BM"),ROUND(AE15,4),AE16/$S14)</f>
        <v>0</v>
      </c>
      <c r="AF14" s="187" cm="1">
        <f t="array" aca="1" ref="AF14" ca="1">IF(AND($R14=2,ACOMPANHAMENTO="BM"),ROUND(AF15,4),AF16/$S14)</f>
        <v>0</v>
      </c>
      <c r="AG14" s="533"/>
    </row>
    <row r="15" spans="1:33" ht="12.75" hidden="1" customHeight="1" x14ac:dyDescent="0.2">
      <c r="E15" s="586"/>
      <c r="F15" s="184">
        <f ca="1">IF(ISERROR(F14),IF(1+COUNTIF($M$13:OFFSET(M14,-1,0),1)&lt;=MAX(QCI!$D$13:$D$24),1+COUNTIF($M$13:OFFSET(M14,-1,0),1),-1),0)</f>
        <v>0</v>
      </c>
      <c r="G15" s="184" t="str" cm="1">
        <f t="array" aca="1" ref="G15" ca="1">IF(ACOMPANHAMENTO="BM",OFFSET(G15,-1,0),"")</f>
        <v/>
      </c>
      <c r="H15" s="195" t="str" cm="1">
        <f t="array" aca="1" ref="H15" ca="1">IF(OR(S14=0,S14=""),"vazia",IF(AND(OR(ACOMPANHAMENTO="PLE",$R14&lt;&gt;2),$F15=0),"calculada","--&gt;"))</f>
        <v>calculada</v>
      </c>
      <c r="I15" s="196"/>
      <c r="J15" s="197" t="str">
        <f t="shared" ref="J15" ca="1" si="6">IF(AND(H14&lt;&gt;0,ISNUMBER(H14)),"PREENCHA ESTA LINHA --&gt;","")</f>
        <v/>
      </c>
      <c r="K15" s="197"/>
      <c r="L15" s="197"/>
      <c r="M15" s="198"/>
      <c r="N15" s="198"/>
      <c r="O15" s="198"/>
      <c r="P15" s="198"/>
      <c r="Q15" s="198"/>
      <c r="R15" s="198"/>
      <c r="S15" s="199"/>
      <c r="T15" s="200"/>
      <c r="U15" s="586"/>
      <c r="V15" s="586"/>
      <c r="W15" s="586"/>
      <c r="X15" s="586"/>
      <c r="Y15" s="586"/>
      <c r="Z15" s="586"/>
      <c r="AA15" s="586"/>
      <c r="AB15" s="586"/>
      <c r="AC15" s="586"/>
      <c r="AD15" s="586"/>
      <c r="AE15" s="586"/>
      <c r="AF15" s="586"/>
      <c r="AG15" s="533"/>
    </row>
    <row r="16" spans="1:33" ht="12.75" hidden="1" customHeight="1" x14ac:dyDescent="0.2">
      <c r="D16" s="532"/>
      <c r="E16" s="201" cm="1">
        <f t="array" aca="1" ref="E16" ca="1">IF($R14=2,
         IF(AND(ACOMPANHAMENTO="PLE",ISNUMBER($F14)),
                SUMIF((OFFSET(CÁLCULO!$AM$15:$AW$15,$F14,0,OFFSET(ORÇAMENTO!$D$15,CRONO!$F14,0))),CRONO!E$12,OFFSET(CÁLCULO!$AB$15:$AL$15,$F14,0,OFFSET(ORÇAMENTO!$D$15,CRONO!$F14,0)))
                +IF(AND($F16&lt;&gt;"",$F16&lt;&gt;0),
                        SUMIF(CÁLCULO!$AM$15:$AW$55,CRONO!E$12,CÁLCULO!$AB$15:$AL$55)/(ORÇAMENTO!$X$15-CÁLCULO.TotalAdmLocal)*CRONO!$F16,
                        0),
                 E15*$S14),
          SUMIF(OFFSET($S16,1,0,$R14-2),($M14+1)&amp;"$",OFFSET(E16,1,0,$R14-2)))</f>
        <v>191558.55</v>
      </c>
      <c r="F16" s="184" t="str">
        <f ca="1">IF(OR($R14&lt;&gt;2,AUTOEVENTO&lt;&gt;"manual",$F15&gt;0),"",
        IF(Import.TipoArredondamento="Tradicional",
              SUMIF(OFFSET(CÁLCULO!$M$15,CRONO!$F14,0,OFFSET(ORÇAMENTO!$D$15,CRONO!$F14,0)),1,OFFSET(ORÇAMENTO!$X$15,CRONO!$F14,0,OFFSET(ORÇAMENTO!$D$15,CRONO!$F14,0))),
              0))</f>
        <v/>
      </c>
      <c r="H16" s="202"/>
      <c r="S16" s="203" t="str">
        <f t="shared" ref="S16" ca="1" si="7">M14&amp;"$"</f>
        <v>1$</v>
      </c>
      <c r="T16" s="204"/>
      <c r="U16" s="201" cm="1">
        <f t="array" aca="1" ref="U16" ca="1">IF($R14=2,
         IF(AND(ACOMPANHAMENTO="PLE",ISNUMBER($F14)),
                SUMIF((OFFSET(CÁLCULO!$AM$15:$AW$15,$F14,0,OFFSET(ORÇAMENTO!$D$15,CRONO!$F14,0))),CRONO!U$12,OFFSET(CÁLCULO!$AB$15:$AL$15,$F14,0,OFFSET(ORÇAMENTO!$D$15,CRONO!$F14,0)))
                +IF(AND($F16&lt;&gt;"",$F16&lt;&gt;0),
                        SUMIF(CÁLCULO!$AM$15:$AW$55,CRONO!U$12,CÁLCULO!$AB$15:$AL$55)/(ORÇAMENTO!$X$15-CÁLCULO.TotalAdmLocal)*CRONO!$F16,
                        0),
                 U15*$S14),
          SUMIF(OFFSET($S16,1,0,$R14-2),($M14+1)&amp;"$",OFFSET(U16,1,0,$R14-2)))</f>
        <v>191558.55</v>
      </c>
      <c r="V16" s="201" cm="1">
        <f t="array" aca="1" ref="V16" ca="1">IF($R14=2,
         IF(AND(ACOMPANHAMENTO="PLE",ISNUMBER($F14)),
                SUMIF((OFFSET(CÁLCULO!$AM$15:$AW$15,$F14,0,OFFSET(ORÇAMENTO!$D$15,CRONO!$F14,0))),CRONO!V$12,OFFSET(CÁLCULO!$AB$15:$AL$15,$F14,0,OFFSET(ORÇAMENTO!$D$15,CRONO!$F14,0)))
                +IF(AND($F16&lt;&gt;"",$F16&lt;&gt;0),
                        SUMIF(CÁLCULO!$AM$15:$AW$55,CRONO!V$12,CÁLCULO!$AB$15:$AL$55)/(ORÇAMENTO!$X$15-CÁLCULO.TotalAdmLocal)*CRONO!$F16,
                        0),
                 V15*$S14),
          SUMIF(OFFSET($S16,1,0,$R14-2),($M14+1)&amp;"$",OFFSET(V16,1,0,$R14-2)))</f>
        <v>240220.22999999998</v>
      </c>
      <c r="W16" s="201" cm="1">
        <f t="array" aca="1" ref="W16" ca="1">IF($R14=2,
         IF(AND(ACOMPANHAMENTO="PLE",ISNUMBER($F14)),
                SUMIF((OFFSET(CÁLCULO!$AM$15:$AW$15,$F14,0,OFFSET(ORÇAMENTO!$D$15,CRONO!$F14,0))),CRONO!W$12,OFFSET(CÁLCULO!$AB$15:$AL$15,$F14,0,OFFSET(ORÇAMENTO!$D$15,CRONO!$F14,0)))
                +IF(AND($F16&lt;&gt;"",$F16&lt;&gt;0),
                        SUMIF(CÁLCULO!$AM$15:$AW$55,CRONO!W$12,CÁLCULO!$AB$15:$AL$55)/(ORÇAMENTO!$X$15-CÁLCULO.TotalAdmLocal)*CRONO!$F16,
                        0),
                 W15*$S14),
          SUMIF(OFFSET($S16,1,0,$R14-2),($M14+1)&amp;"$",OFFSET(W16,1,0,$R14-2)))</f>
        <v>350487.96</v>
      </c>
      <c r="X16" s="201" cm="1">
        <f t="array" aca="1" ref="X16" ca="1">IF($R14=2,
         IF(AND(ACOMPANHAMENTO="PLE",ISNUMBER($F14)),
                SUMIF((OFFSET(CÁLCULO!$AM$15:$AW$15,$F14,0,OFFSET(ORÇAMENTO!$D$15,CRONO!$F14,0))),CRONO!X$12,OFFSET(CÁLCULO!$AB$15:$AL$15,$F14,0,OFFSET(ORÇAMENTO!$D$15,CRONO!$F14,0)))
                +IF(AND($F16&lt;&gt;"",$F16&lt;&gt;0),
                        SUMIF(CÁLCULO!$AM$15:$AW$55,CRONO!X$12,CÁLCULO!$AB$15:$AL$55)/(ORÇAMENTO!$X$15-CÁLCULO.TotalAdmLocal)*CRONO!$F16,
                        0),
                 X15*$S14),
          SUMIF(OFFSET($S16,1,0,$R14-2),($M14+1)&amp;"$",OFFSET(X16,1,0,$R14-2)))</f>
        <v>281897.09999999998</v>
      </c>
      <c r="Y16" s="201" cm="1">
        <f t="array" aca="1" ref="Y16" ca="1">IF($R14=2,
         IF(AND(ACOMPANHAMENTO="PLE",ISNUMBER($F14)),
                SUMIF((OFFSET(CÁLCULO!$AM$15:$AW$15,$F14,0,OFFSET(ORÇAMENTO!$D$15,CRONO!$F14,0))),CRONO!Y$12,OFFSET(CÁLCULO!$AB$15:$AL$15,$F14,0,OFFSET(ORÇAMENTO!$D$15,CRONO!$F14,0)))
                +IF(AND($F16&lt;&gt;"",$F16&lt;&gt;0),
                        SUMIF(CÁLCULO!$AM$15:$AW$55,CRONO!Y$12,CÁLCULO!$AB$15:$AL$55)/(ORÇAMENTO!$X$15-CÁLCULO.TotalAdmLocal)*CRONO!$F16,
                        0),
                 Y15*$S14),
          SUMIF(OFFSET($S16,1,0,$R14-2),($M14+1)&amp;"$",OFFSET(Y16,1,0,$R14-2)))</f>
        <v>0</v>
      </c>
      <c r="Z16" s="201" cm="1">
        <f t="array" aca="1" ref="Z16" ca="1">IF($R14=2,
         IF(AND(ACOMPANHAMENTO="PLE",ISNUMBER($F14)),
                SUMIF((OFFSET(CÁLCULO!$AM$15:$AW$15,$F14,0,OFFSET(ORÇAMENTO!$D$15,CRONO!$F14,0))),CRONO!Z$12,OFFSET(CÁLCULO!$AB$15:$AL$15,$F14,0,OFFSET(ORÇAMENTO!$D$15,CRONO!$F14,0)))
                +IF(AND($F16&lt;&gt;"",$F16&lt;&gt;0),
                        SUMIF(CÁLCULO!$AM$15:$AW$55,CRONO!Z$12,CÁLCULO!$AB$15:$AL$55)/(ORÇAMENTO!$X$15-CÁLCULO.TotalAdmLocal)*CRONO!$F16,
                        0),
                 Z15*$S14),
          SUMIF(OFFSET($S16,1,0,$R14-2),($M14+1)&amp;"$",OFFSET(Z16,1,0,$R14-2)))</f>
        <v>0</v>
      </c>
      <c r="AA16" s="201" cm="1">
        <f t="array" aca="1" ref="AA16" ca="1">IF($R14=2,
         IF(AND(ACOMPANHAMENTO="PLE",ISNUMBER($F14)),
                SUMIF((OFFSET(CÁLCULO!$AM$15:$AW$15,$F14,0,OFFSET(ORÇAMENTO!$D$15,CRONO!$F14,0))),CRONO!AA$12,OFFSET(CÁLCULO!$AB$15:$AL$15,$F14,0,OFFSET(ORÇAMENTO!$D$15,CRONO!$F14,0)))
                +IF(AND($F16&lt;&gt;"",$F16&lt;&gt;0),
                        SUMIF(CÁLCULO!$AM$15:$AW$55,CRONO!AA$12,CÁLCULO!$AB$15:$AL$55)/(ORÇAMENTO!$X$15-CÁLCULO.TotalAdmLocal)*CRONO!$F16,
                        0),
                 AA15*$S14),
          SUMIF(OFFSET($S16,1,0,$R14-2),($M14+1)&amp;"$",OFFSET(AA16,1,0,$R14-2)))</f>
        <v>0</v>
      </c>
      <c r="AB16" s="201" cm="1">
        <f t="array" aca="1" ref="AB16" ca="1">IF($R14=2,
         IF(AND(ACOMPANHAMENTO="PLE",ISNUMBER($F14)),
                SUMIF((OFFSET(CÁLCULO!$AM$15:$AW$15,$F14,0,OFFSET(ORÇAMENTO!$D$15,CRONO!$F14,0))),CRONO!AB$12,OFFSET(CÁLCULO!$AB$15:$AL$15,$F14,0,OFFSET(ORÇAMENTO!$D$15,CRONO!$F14,0)))
                +IF(AND($F16&lt;&gt;"",$F16&lt;&gt;0),
                        SUMIF(CÁLCULO!$AM$15:$AW$55,CRONO!AB$12,CÁLCULO!$AB$15:$AL$55)/(ORÇAMENTO!$X$15-CÁLCULO.TotalAdmLocal)*CRONO!$F16,
                        0),
                 AB15*$S14),
          SUMIF(OFFSET($S16,1,0,$R14-2),($M14+1)&amp;"$",OFFSET(AB16,1,0,$R14-2)))</f>
        <v>0</v>
      </c>
      <c r="AC16" s="201" cm="1">
        <f t="array" aca="1" ref="AC16" ca="1">IF($R14=2,
         IF(AND(ACOMPANHAMENTO="PLE",ISNUMBER($F14)),
                SUMIF((OFFSET(CÁLCULO!$AM$15:$AW$15,$F14,0,OFFSET(ORÇAMENTO!$D$15,CRONO!$F14,0))),CRONO!AC$12,OFFSET(CÁLCULO!$AB$15:$AL$15,$F14,0,OFFSET(ORÇAMENTO!$D$15,CRONO!$F14,0)))
                +IF(AND($F16&lt;&gt;"",$F16&lt;&gt;0),
                        SUMIF(CÁLCULO!$AM$15:$AW$55,CRONO!AC$12,CÁLCULO!$AB$15:$AL$55)/(ORÇAMENTO!$X$15-CÁLCULO.TotalAdmLocal)*CRONO!$F16,
                        0),
                 AC15*$S14),
          SUMIF(OFFSET($S16,1,0,$R14-2),($M14+1)&amp;"$",OFFSET(AC16,1,0,$R14-2)))</f>
        <v>0</v>
      </c>
      <c r="AD16" s="201" cm="1">
        <f t="array" aca="1" ref="AD16" ca="1">IF($R14=2,
         IF(AND(ACOMPANHAMENTO="PLE",ISNUMBER($F14)),
                SUMIF((OFFSET(CÁLCULO!$AM$15:$AW$15,$F14,0,OFFSET(ORÇAMENTO!$D$15,CRONO!$F14,0))),CRONO!AD$12,OFFSET(CÁLCULO!$AB$15:$AL$15,$F14,0,OFFSET(ORÇAMENTO!$D$15,CRONO!$F14,0)))
                +IF(AND($F16&lt;&gt;"",$F16&lt;&gt;0),
                        SUMIF(CÁLCULO!$AM$15:$AW$55,CRONO!AD$12,CÁLCULO!$AB$15:$AL$55)/(ORÇAMENTO!$X$15-CÁLCULO.TotalAdmLocal)*CRONO!$F16,
                        0),
                 AD15*$S14),
          SUMIF(OFFSET($S16,1,0,$R14-2),($M14+1)&amp;"$",OFFSET(AD16,1,0,$R14-2)))</f>
        <v>0</v>
      </c>
      <c r="AE16" s="201" cm="1">
        <f t="array" aca="1" ref="AE16" ca="1">IF($R14=2,
         IF(AND(ACOMPANHAMENTO="PLE",ISNUMBER($F14)),
                SUMIF((OFFSET(CÁLCULO!$AM$15:$AW$15,$F14,0,OFFSET(ORÇAMENTO!$D$15,CRONO!$F14,0))),CRONO!AE$12,OFFSET(CÁLCULO!$AB$15:$AL$15,$F14,0,OFFSET(ORÇAMENTO!$D$15,CRONO!$F14,0)))
                +IF(AND($F16&lt;&gt;"",$F16&lt;&gt;0),
                        SUMIF(CÁLCULO!$AM$15:$AW$55,CRONO!AE$12,CÁLCULO!$AB$15:$AL$55)/(ORÇAMENTO!$X$15-CÁLCULO.TotalAdmLocal)*CRONO!$F16,
                        0),
                 AE15*$S14),
          SUMIF(OFFSET($S16,1,0,$R14-2),($M14+1)&amp;"$",OFFSET(AE16,1,0,$R14-2)))</f>
        <v>0</v>
      </c>
      <c r="AF16" s="201" cm="1">
        <f t="array" aca="1" ref="AF16" ca="1">IF($R14=2,
         IF(AND(ACOMPANHAMENTO="PLE",ISNUMBER($F14)),
                SUMIF((OFFSET(CÁLCULO!$AM$15:$AW$15,$F14,0,OFFSET(ORÇAMENTO!$D$15,CRONO!$F14,0))),CRONO!AF$12,OFFSET(CÁLCULO!$AB$15:$AL$15,$F14,0,OFFSET(ORÇAMENTO!$D$15,CRONO!$F14,0)))
                +IF(AND($F16&lt;&gt;"",$F16&lt;&gt;0),
                        SUMIF(CÁLCULO!$AM$15:$AW$55,CRONO!AF$12,CÁLCULO!$AB$15:$AL$55)/(ORÇAMENTO!$X$15-CÁLCULO.TotalAdmLocal)*CRONO!$F16,
                        0),
                 AF15*$S14),
          SUMIF(OFFSET($S16,1,0,$R14-2),($M14+1)&amp;"$",OFFSET(AF16,1,0,$R14-2)))</f>
        <v>0</v>
      </c>
      <c r="AG16" s="533"/>
    </row>
    <row r="17" spans="1:33" x14ac:dyDescent="0.2">
      <c r="A17" s="185" t="e">
        <f t="shared" ref="A17" ca="1" si="8">IF($M17&gt;1,_xlfn.CONCAT($I17," ",$J17),"")</f>
        <v>#NAME?</v>
      </c>
      <c r="B17" s="184">
        <f t="shared" ref="B17" ca="1" si="9">OFFSET(B17,-3,0)+1</f>
        <v>2</v>
      </c>
      <c r="C17" s="184">
        <f ca="1">IF($R17&lt;&gt;2,0,IF($S17=0,1,IF(F18&gt;0,OFFSET(QCI!$M$13,SUBSTITUTE(F18,".",""),0),OFFSET(ORÇAMENTO!$AA$15,CRONO!$F17,0))/$S17))</f>
        <v>2.8191147708984355E-3</v>
      </c>
      <c r="D17" s="184">
        <f ca="1">IF($R17&lt;&gt;2,0,IF($S17=0,1,IF(F18&gt;0,OFFSET(QCI!$N$13,SUBSTITUTE(F18,".",""),0),OFFSET(ORÇAMENTO!$AB$15,CRONO!$F17,0))/$S17))</f>
        <v>0</v>
      </c>
      <c r="E17" s="187" cm="1">
        <f t="array" aca="1" ref="E17" ca="1">IF(AND($R17=2,ACOMPANHAMENTO="BM"),ROUND(E18,4),E19/$S17)</f>
        <v>0.24999999999999997</v>
      </c>
      <c r="F17" s="184" cm="1">
        <f t="array" aca="1" ref="F17" ca="1">IF(B17&lt;=ORÇAMENTO.MáximoListaCrono,MATCH(B17,ORÇAMENTO.ListaCrono,0),NA())</f>
        <v>2</v>
      </c>
      <c r="G17" s="184" t="str">
        <f t="shared" ref="G17" ca="1" si="10">IF(AND($F18&lt;&gt;-1,$S17&gt;0),"F","")</f>
        <v>F</v>
      </c>
      <c r="H17" s="188" t="str" cm="1">
        <f t="array" aca="1" ref="H17" ca="1">IF(OR(S17=0,S17=""),"Linha",IF(AND(OR(ACOMPANHAMENTO="PLE",$R17&lt;&gt;2),$F18=0),"Linha",ROUND(1-SUM(U17:AG17),4)))</f>
        <v>Linha</v>
      </c>
      <c r="I17" s="189" t="str">
        <f ca="1">IF($F18=0,OFFSET(ORÇAMENTO!O$15,$F17,0),IF($F18&lt;&gt;-1,OFFSET(QCI!$D$13,$F18,0),""))</f>
        <v>1.1.</v>
      </c>
      <c r="J17" s="190" t="str">
        <f ca="1">IF($F18=0,OFFSET(ORÇAMENTO!R$15,$F17,0),IF($F18&lt;&gt;-1,OFFSET(QCI!$G$13,$F18,0),""))</f>
        <v>ADMINISTRAÇÃO LOCAL</v>
      </c>
      <c r="K17" s="190"/>
      <c r="L17" s="190"/>
      <c r="M17" s="191">
        <f ca="1">IF($F18=0,OFFSET(ORÇAMENTO!C$15,$F17,0),1)</f>
        <v>2</v>
      </c>
      <c r="N17" s="192">
        <f ca="1">IF($F18=-1,0,IF(N$13&lt;=$M17,IF(ISERROR(MATCH(N$13,OFFSET($M17,1,0,ROW($M$41)-ROW($M17)-1),0)),ROW($M$41)-ROW($M17)-1,MATCH(N$13,OFFSET($M17,1,0,ROW($M$41)-ROW($M17)-1),0)-1),0))</f>
        <v>23</v>
      </c>
      <c r="O17" s="192">
        <f ca="1">IF($F18=-1,0,IF(O$13&lt;=$M17,IF(ISERROR(MATCH(O$13,OFFSET($M17,1,0,ROW($M$41)-ROW($M17)-1),0)),ROW($M$41)-ROW($M17)-1,MATCH(O$13,OFFSET($M17,1,0,ROW($M$41)-ROW($M17)-1),0)-1),0))</f>
        <v>2</v>
      </c>
      <c r="P17" s="192">
        <f ca="1">IF($F18=-1,0,IF(P$13&lt;=$M17,IF(ISERROR(MATCH(P$13,OFFSET($M17,1,0,ROW($M$41)-ROW($M17)-1),0)),ROW($M$41)-ROW($M17)-1,MATCH(P$13,OFFSET($M17,1,0,ROW($M$41)-ROW($M17)-1),0)-1),0))</f>
        <v>0</v>
      </c>
      <c r="Q17" s="192">
        <f ca="1">IF($F18=-1,0,IF(Q$13&lt;=$M17,IF(ISERROR(MATCH(Q$13,OFFSET($M17,1,0,ROW($M$41)-ROW($M17)-1),0)),ROW($M$41)-ROW($M17)-1,MATCH(Q$13,OFFSET($M17,1,0,ROW($M$41)-ROW($M17)-1),0)-1),0))</f>
        <v>0</v>
      </c>
      <c r="R17" s="192">
        <f t="shared" ref="R17" ca="1" si="11">MIN(OFFSET(M17,0,1,,M17))</f>
        <v>2</v>
      </c>
      <c r="S17" s="193">
        <f ca="1">IF($F18=0,OFFSET(ORÇAMENTO!X$15,$F17,0),IF($F18&lt;&gt;-1,OFFSET(QCI!$O$13,$F18,0),""))</f>
        <v>129474.24000000001</v>
      </c>
      <c r="T17" s="194" t="s">
        <v>785</v>
      </c>
      <c r="U17" s="187" cm="1">
        <f t="array" aca="1" ref="U17" ca="1">IF(AND($R17=2,ACOMPANHAMENTO="BM"),ROUND(U18,4),U19/$S17)</f>
        <v>0.24999999999999997</v>
      </c>
      <c r="V17" s="187" cm="1">
        <f t="array" aca="1" ref="V17" ca="1">IF(AND($R17=2,ACOMPANHAMENTO="BM"),ROUND(V18,4),V19/$S17)</f>
        <v>0.24999999999999997</v>
      </c>
      <c r="W17" s="187" cm="1">
        <f t="array" aca="1" ref="W17" ca="1">IF(AND($R17=2,ACOMPANHAMENTO="BM"),ROUND(W18,4),W19/$S17)</f>
        <v>0.24999999999999997</v>
      </c>
      <c r="X17" s="187" cm="1">
        <f t="array" aca="1" ref="X17" ca="1">IF(AND($R17=2,ACOMPANHAMENTO="BM"),ROUND(X18,4),X19/$S17)</f>
        <v>0.24999999999999997</v>
      </c>
      <c r="Y17" s="187" cm="1">
        <f t="array" aca="1" ref="Y17" ca="1">IF(AND($R17=2,ACOMPANHAMENTO="BM"),ROUND(Y18,4),Y19/$S17)</f>
        <v>0</v>
      </c>
      <c r="Z17" s="187" cm="1">
        <f t="array" aca="1" ref="Z17" ca="1">IF(AND($R17=2,ACOMPANHAMENTO="BM"),ROUND(Z18,4),Z19/$S17)</f>
        <v>0</v>
      </c>
      <c r="AA17" s="187" cm="1">
        <f t="array" aca="1" ref="AA17" ca="1">IF(AND($R17=2,ACOMPANHAMENTO="BM"),ROUND(AA18,4),AA19/$S17)</f>
        <v>0</v>
      </c>
      <c r="AB17" s="187" cm="1">
        <f t="array" aca="1" ref="AB17" ca="1">IF(AND($R17=2,ACOMPANHAMENTO="BM"),ROUND(AB18,4),AB19/$S17)</f>
        <v>0</v>
      </c>
      <c r="AC17" s="187" cm="1">
        <f t="array" aca="1" ref="AC17" ca="1">IF(AND($R17=2,ACOMPANHAMENTO="BM"),ROUND(AC18,4),AC19/$S17)</f>
        <v>0</v>
      </c>
      <c r="AD17" s="187" cm="1">
        <f t="array" aca="1" ref="AD17" ca="1">IF(AND($R17=2,ACOMPANHAMENTO="BM"),ROUND(AD18,4),AD19/$S17)</f>
        <v>0</v>
      </c>
      <c r="AE17" s="187" cm="1">
        <f t="array" aca="1" ref="AE17" ca="1">IF(AND($R17=2,ACOMPANHAMENTO="BM"),ROUND(AE18,4),AE19/$S17)</f>
        <v>0</v>
      </c>
      <c r="AF17" s="187" cm="1">
        <f t="array" aca="1" ref="AF17" ca="1">IF(AND($R17=2,ACOMPANHAMENTO="BM"),ROUND(AF18,4),AF19/$S17)</f>
        <v>0</v>
      </c>
      <c r="AG17" s="533"/>
    </row>
    <row r="18" spans="1:33" ht="12.75" hidden="1" customHeight="1" x14ac:dyDescent="0.2">
      <c r="E18" s="586"/>
      <c r="F18" s="184">
        <f ca="1">IF(ISERROR(F17),IF(1+COUNTIF($M$13:OFFSET(M17,-1,0),1)&lt;=MAX(QCI!$D$13:$D$24),1+COUNTIF($M$13:OFFSET(M17,-1,0),1),-1),0)</f>
        <v>0</v>
      </c>
      <c r="G18" s="184" t="str" cm="1">
        <f t="array" aca="1" ref="G18" ca="1">IF(ACOMPANHAMENTO="BM",OFFSET(G18,-1,0),"")</f>
        <v/>
      </c>
      <c r="H18" s="195" t="str" cm="1">
        <f t="array" aca="1" ref="H18" ca="1">IF(OR(S17=0,S17=""),"vazia",IF(AND(OR(ACOMPANHAMENTO="PLE",$R17&lt;&gt;2),$F18=0),"calculada","--&gt;"))</f>
        <v>calculada</v>
      </c>
      <c r="I18" s="196"/>
      <c r="J18" s="197" t="str">
        <f t="shared" ref="J18" ca="1" si="12">IF(AND(H17&lt;&gt;0,ISNUMBER(H17)),"PREENCHA ESTA LINHA --&gt;","")</f>
        <v/>
      </c>
      <c r="K18" s="197"/>
      <c r="L18" s="197"/>
      <c r="M18" s="198"/>
      <c r="N18" s="198"/>
      <c r="O18" s="198"/>
      <c r="P18" s="198"/>
      <c r="Q18" s="198"/>
      <c r="R18" s="198"/>
      <c r="S18" s="199"/>
      <c r="T18" s="200"/>
      <c r="U18" s="586"/>
      <c r="V18" s="586"/>
      <c r="W18" s="586"/>
      <c r="X18" s="586"/>
      <c r="Y18" s="586"/>
      <c r="Z18" s="586"/>
      <c r="AA18" s="586"/>
      <c r="AB18" s="586"/>
      <c r="AC18" s="586"/>
      <c r="AD18" s="586"/>
      <c r="AE18" s="586"/>
      <c r="AF18" s="586"/>
      <c r="AG18" s="533"/>
    </row>
    <row r="19" spans="1:33" ht="12.75" hidden="1" customHeight="1" x14ac:dyDescent="0.2">
      <c r="D19" s="532"/>
      <c r="E19" s="201" cm="1">
        <f t="array" aca="1" ref="E19" ca="1">IF($R17=2,
         IF(AND(ACOMPANHAMENTO="PLE",ISNUMBER($F17)),
                SUMIF((OFFSET(CÁLCULO!$AM$15:$AW$15,$F17,0,OFFSET(ORÇAMENTO!$D$15,CRONO!$F17,0))),CRONO!E$12,OFFSET(CÁLCULO!$AB$15:$AL$15,$F17,0,OFFSET(ORÇAMENTO!$D$15,CRONO!$F17,0)))
                +IF(AND($F19&lt;&gt;"",$F19&lt;&gt;0),
                        SUMIF(CÁLCULO!$AM$15:$AW$55,CRONO!E$12,CÁLCULO!$AB$15:$AL$55)/(ORÇAMENTO!$X$15-CÁLCULO.TotalAdmLocal)*CRONO!$F19,
                        0),
                 E18*$S17),
          SUMIF(OFFSET($S19,1,0,$R17-2),($M17+1)&amp;"$",OFFSET(E19,1,0,$R17-2)))</f>
        <v>32368.559999999998</v>
      </c>
      <c r="F19" s="184" t="str">
        <f ca="1">IF(OR($R17&lt;&gt;2,AUTOEVENTO&lt;&gt;"manual",$F18&gt;0),"",
        IF(Import.TipoArredondamento="Tradicional",
              SUMIF(OFFSET(CÁLCULO!$M$15,CRONO!$F17,0,OFFSET(ORÇAMENTO!$D$15,CRONO!$F17,0)),1,OFFSET(ORÇAMENTO!$X$15,CRONO!$F17,0,OFFSET(ORÇAMENTO!$D$15,CRONO!$F17,0))),
              0))</f>
        <v/>
      </c>
      <c r="H19" s="202"/>
      <c r="S19" s="203" t="str">
        <f t="shared" ref="S19" ca="1" si="13">M17&amp;"$"</f>
        <v>2$</v>
      </c>
      <c r="T19" s="204"/>
      <c r="U19" s="201" cm="1">
        <f t="array" aca="1" ref="U19" ca="1">IF($R17=2,
         IF(AND(ACOMPANHAMENTO="PLE",ISNUMBER($F17)),
                SUMIF((OFFSET(CÁLCULO!$AM$15:$AW$15,$F17,0,OFFSET(ORÇAMENTO!$D$15,CRONO!$F17,0))),CRONO!U$12,OFFSET(CÁLCULO!$AB$15:$AL$15,$F17,0,OFFSET(ORÇAMENTO!$D$15,CRONO!$F17,0)))
                +IF(AND($F19&lt;&gt;"",$F19&lt;&gt;0),
                        SUMIF(CÁLCULO!$AM$15:$AW$55,CRONO!U$12,CÁLCULO!$AB$15:$AL$55)/(ORÇAMENTO!$X$15-CÁLCULO.TotalAdmLocal)*CRONO!$F19,
                        0),
                 U18*$S17),
          SUMIF(OFFSET($S19,1,0,$R17-2),($M17+1)&amp;"$",OFFSET(U19,1,0,$R17-2)))</f>
        <v>32368.559999999998</v>
      </c>
      <c r="V19" s="201" cm="1">
        <f t="array" aca="1" ref="V19" ca="1">IF($R17=2,
         IF(AND(ACOMPANHAMENTO="PLE",ISNUMBER($F17)),
                SUMIF((OFFSET(CÁLCULO!$AM$15:$AW$15,$F17,0,OFFSET(ORÇAMENTO!$D$15,CRONO!$F17,0))),CRONO!V$12,OFFSET(CÁLCULO!$AB$15:$AL$15,$F17,0,OFFSET(ORÇAMENTO!$D$15,CRONO!$F17,0)))
                +IF(AND($F19&lt;&gt;"",$F19&lt;&gt;0),
                        SUMIF(CÁLCULO!$AM$15:$AW$55,CRONO!V$12,CÁLCULO!$AB$15:$AL$55)/(ORÇAMENTO!$X$15-CÁLCULO.TotalAdmLocal)*CRONO!$F19,
                        0),
                 V18*$S17),
          SUMIF(OFFSET($S19,1,0,$R17-2),($M17+1)&amp;"$",OFFSET(V19,1,0,$R17-2)))</f>
        <v>32368.559999999998</v>
      </c>
      <c r="W19" s="201" cm="1">
        <f t="array" aca="1" ref="W19" ca="1">IF($R17=2,
         IF(AND(ACOMPANHAMENTO="PLE",ISNUMBER($F17)),
                SUMIF((OFFSET(CÁLCULO!$AM$15:$AW$15,$F17,0,OFFSET(ORÇAMENTO!$D$15,CRONO!$F17,0))),CRONO!W$12,OFFSET(CÁLCULO!$AB$15:$AL$15,$F17,0,OFFSET(ORÇAMENTO!$D$15,CRONO!$F17,0)))
                +IF(AND($F19&lt;&gt;"",$F19&lt;&gt;0),
                        SUMIF(CÁLCULO!$AM$15:$AW$55,CRONO!W$12,CÁLCULO!$AB$15:$AL$55)/(ORÇAMENTO!$X$15-CÁLCULO.TotalAdmLocal)*CRONO!$F19,
                        0),
                 W18*$S17),
          SUMIF(OFFSET($S19,1,0,$R17-2),($M17+1)&amp;"$",OFFSET(W19,1,0,$R17-2)))</f>
        <v>32368.559999999998</v>
      </c>
      <c r="X19" s="201" cm="1">
        <f t="array" aca="1" ref="X19" ca="1">IF($R17=2,
         IF(AND(ACOMPANHAMENTO="PLE",ISNUMBER($F17)),
                SUMIF((OFFSET(CÁLCULO!$AM$15:$AW$15,$F17,0,OFFSET(ORÇAMENTO!$D$15,CRONO!$F17,0))),CRONO!X$12,OFFSET(CÁLCULO!$AB$15:$AL$15,$F17,0,OFFSET(ORÇAMENTO!$D$15,CRONO!$F17,0)))
                +IF(AND($F19&lt;&gt;"",$F19&lt;&gt;0),
                        SUMIF(CÁLCULO!$AM$15:$AW$55,CRONO!X$12,CÁLCULO!$AB$15:$AL$55)/(ORÇAMENTO!$X$15-CÁLCULO.TotalAdmLocal)*CRONO!$F19,
                        0),
                 X18*$S17),
          SUMIF(OFFSET($S19,1,0,$R17-2),($M17+1)&amp;"$",OFFSET(X19,1,0,$R17-2)))</f>
        <v>32368.559999999998</v>
      </c>
      <c r="Y19" s="201" cm="1">
        <f t="array" aca="1" ref="Y19" ca="1">IF($R17=2,
         IF(AND(ACOMPANHAMENTO="PLE",ISNUMBER($F17)),
                SUMIF((OFFSET(CÁLCULO!$AM$15:$AW$15,$F17,0,OFFSET(ORÇAMENTO!$D$15,CRONO!$F17,0))),CRONO!Y$12,OFFSET(CÁLCULO!$AB$15:$AL$15,$F17,0,OFFSET(ORÇAMENTO!$D$15,CRONO!$F17,0)))
                +IF(AND($F19&lt;&gt;"",$F19&lt;&gt;0),
                        SUMIF(CÁLCULO!$AM$15:$AW$55,CRONO!Y$12,CÁLCULO!$AB$15:$AL$55)/(ORÇAMENTO!$X$15-CÁLCULO.TotalAdmLocal)*CRONO!$F19,
                        0),
                 Y18*$S17),
          SUMIF(OFFSET($S19,1,0,$R17-2),($M17+1)&amp;"$",OFFSET(Y19,1,0,$R17-2)))</f>
        <v>0</v>
      </c>
      <c r="Z19" s="201" cm="1">
        <f t="array" aca="1" ref="Z19" ca="1">IF($R17=2,
         IF(AND(ACOMPANHAMENTO="PLE",ISNUMBER($F17)),
                SUMIF((OFFSET(CÁLCULO!$AM$15:$AW$15,$F17,0,OFFSET(ORÇAMENTO!$D$15,CRONO!$F17,0))),CRONO!Z$12,OFFSET(CÁLCULO!$AB$15:$AL$15,$F17,0,OFFSET(ORÇAMENTO!$D$15,CRONO!$F17,0)))
                +IF(AND($F19&lt;&gt;"",$F19&lt;&gt;0),
                        SUMIF(CÁLCULO!$AM$15:$AW$55,CRONO!Z$12,CÁLCULO!$AB$15:$AL$55)/(ORÇAMENTO!$X$15-CÁLCULO.TotalAdmLocal)*CRONO!$F19,
                        0),
                 Z18*$S17),
          SUMIF(OFFSET($S19,1,0,$R17-2),($M17+1)&amp;"$",OFFSET(Z19,1,0,$R17-2)))</f>
        <v>0</v>
      </c>
      <c r="AA19" s="201" cm="1">
        <f t="array" aca="1" ref="AA19" ca="1">IF($R17=2,
         IF(AND(ACOMPANHAMENTO="PLE",ISNUMBER($F17)),
                SUMIF((OFFSET(CÁLCULO!$AM$15:$AW$15,$F17,0,OFFSET(ORÇAMENTO!$D$15,CRONO!$F17,0))),CRONO!AA$12,OFFSET(CÁLCULO!$AB$15:$AL$15,$F17,0,OFFSET(ORÇAMENTO!$D$15,CRONO!$F17,0)))
                +IF(AND($F19&lt;&gt;"",$F19&lt;&gt;0),
                        SUMIF(CÁLCULO!$AM$15:$AW$55,CRONO!AA$12,CÁLCULO!$AB$15:$AL$55)/(ORÇAMENTO!$X$15-CÁLCULO.TotalAdmLocal)*CRONO!$F19,
                        0),
                 AA18*$S17),
          SUMIF(OFFSET($S19,1,0,$R17-2),($M17+1)&amp;"$",OFFSET(AA19,1,0,$R17-2)))</f>
        <v>0</v>
      </c>
      <c r="AB19" s="201" cm="1">
        <f t="array" aca="1" ref="AB19" ca="1">IF($R17=2,
         IF(AND(ACOMPANHAMENTO="PLE",ISNUMBER($F17)),
                SUMIF((OFFSET(CÁLCULO!$AM$15:$AW$15,$F17,0,OFFSET(ORÇAMENTO!$D$15,CRONO!$F17,0))),CRONO!AB$12,OFFSET(CÁLCULO!$AB$15:$AL$15,$F17,0,OFFSET(ORÇAMENTO!$D$15,CRONO!$F17,0)))
                +IF(AND($F19&lt;&gt;"",$F19&lt;&gt;0),
                        SUMIF(CÁLCULO!$AM$15:$AW$55,CRONO!AB$12,CÁLCULO!$AB$15:$AL$55)/(ORÇAMENTO!$X$15-CÁLCULO.TotalAdmLocal)*CRONO!$F19,
                        0),
                 AB18*$S17),
          SUMIF(OFFSET($S19,1,0,$R17-2),($M17+1)&amp;"$",OFFSET(AB19,1,0,$R17-2)))</f>
        <v>0</v>
      </c>
      <c r="AC19" s="201" cm="1">
        <f t="array" aca="1" ref="AC19" ca="1">IF($R17=2,
         IF(AND(ACOMPANHAMENTO="PLE",ISNUMBER($F17)),
                SUMIF((OFFSET(CÁLCULO!$AM$15:$AW$15,$F17,0,OFFSET(ORÇAMENTO!$D$15,CRONO!$F17,0))),CRONO!AC$12,OFFSET(CÁLCULO!$AB$15:$AL$15,$F17,0,OFFSET(ORÇAMENTO!$D$15,CRONO!$F17,0)))
                +IF(AND($F19&lt;&gt;"",$F19&lt;&gt;0),
                        SUMIF(CÁLCULO!$AM$15:$AW$55,CRONO!AC$12,CÁLCULO!$AB$15:$AL$55)/(ORÇAMENTO!$X$15-CÁLCULO.TotalAdmLocal)*CRONO!$F19,
                        0),
                 AC18*$S17),
          SUMIF(OFFSET($S19,1,0,$R17-2),($M17+1)&amp;"$",OFFSET(AC19,1,0,$R17-2)))</f>
        <v>0</v>
      </c>
      <c r="AD19" s="201" cm="1">
        <f t="array" aca="1" ref="AD19" ca="1">IF($R17=2,
         IF(AND(ACOMPANHAMENTO="PLE",ISNUMBER($F17)),
                SUMIF((OFFSET(CÁLCULO!$AM$15:$AW$15,$F17,0,OFFSET(ORÇAMENTO!$D$15,CRONO!$F17,0))),CRONO!AD$12,OFFSET(CÁLCULO!$AB$15:$AL$15,$F17,0,OFFSET(ORÇAMENTO!$D$15,CRONO!$F17,0)))
                +IF(AND($F19&lt;&gt;"",$F19&lt;&gt;0),
                        SUMIF(CÁLCULO!$AM$15:$AW$55,CRONO!AD$12,CÁLCULO!$AB$15:$AL$55)/(ORÇAMENTO!$X$15-CÁLCULO.TotalAdmLocal)*CRONO!$F19,
                        0),
                 AD18*$S17),
          SUMIF(OFFSET($S19,1,0,$R17-2),($M17+1)&amp;"$",OFFSET(AD19,1,0,$R17-2)))</f>
        <v>0</v>
      </c>
      <c r="AE19" s="201" cm="1">
        <f t="array" aca="1" ref="AE19" ca="1">IF($R17=2,
         IF(AND(ACOMPANHAMENTO="PLE",ISNUMBER($F17)),
                SUMIF((OFFSET(CÁLCULO!$AM$15:$AW$15,$F17,0,OFFSET(ORÇAMENTO!$D$15,CRONO!$F17,0))),CRONO!AE$12,OFFSET(CÁLCULO!$AB$15:$AL$15,$F17,0,OFFSET(ORÇAMENTO!$D$15,CRONO!$F17,0)))
                +IF(AND($F19&lt;&gt;"",$F19&lt;&gt;0),
                        SUMIF(CÁLCULO!$AM$15:$AW$55,CRONO!AE$12,CÁLCULO!$AB$15:$AL$55)/(ORÇAMENTO!$X$15-CÁLCULO.TotalAdmLocal)*CRONO!$F19,
                        0),
                 AE18*$S17),
          SUMIF(OFFSET($S19,1,0,$R17-2),($M17+1)&amp;"$",OFFSET(AE19,1,0,$R17-2)))</f>
        <v>0</v>
      </c>
      <c r="AF19" s="201" cm="1">
        <f t="array" aca="1" ref="AF19" ca="1">IF($R17=2,
         IF(AND(ACOMPANHAMENTO="PLE",ISNUMBER($F17)),
                SUMIF((OFFSET(CÁLCULO!$AM$15:$AW$15,$F17,0,OFFSET(ORÇAMENTO!$D$15,CRONO!$F17,0))),CRONO!AF$12,OFFSET(CÁLCULO!$AB$15:$AL$15,$F17,0,OFFSET(ORÇAMENTO!$D$15,CRONO!$F17,0)))
                +IF(AND($F19&lt;&gt;"",$F19&lt;&gt;0),
                        SUMIF(CÁLCULO!$AM$15:$AW$55,CRONO!AF$12,CÁLCULO!$AB$15:$AL$55)/(ORÇAMENTO!$X$15-CÁLCULO.TotalAdmLocal)*CRONO!$F19,
                        0),
                 AF18*$S17),
          SUMIF(OFFSET($S19,1,0,$R17-2),($M17+1)&amp;"$",OFFSET(AF19,1,0,$R17-2)))</f>
        <v>0</v>
      </c>
      <c r="AG19" s="533"/>
    </row>
    <row r="20" spans="1:33" x14ac:dyDescent="0.2">
      <c r="A20" s="185" t="e">
        <f t="shared" ref="A20" ca="1" si="14">IF($M20&gt;1,_xlfn.CONCAT($I20," ",$J20),"")</f>
        <v>#NAME?</v>
      </c>
      <c r="B20" s="184">
        <f t="shared" ref="B20" ca="1" si="15">OFFSET(B20,-3,0)+1</f>
        <v>3</v>
      </c>
      <c r="C20" s="184">
        <f ca="1">IF($R20&lt;&gt;2,0,IF($S20=0,1,IF(F21&gt;0,OFFSET(QCI!$M$13,SUBSTITUTE(F21,".",""),0),OFFSET(ORÇAMENTO!$AA$15,CRONO!$F20,0))/$S20))</f>
        <v>2.8191147708984355E-3</v>
      </c>
      <c r="D20" s="184">
        <f ca="1">IF($R20&lt;&gt;2,0,IF($S20=0,1,IF(F21&gt;0,OFFSET(QCI!$N$13,SUBSTITUTE(F21,".",""),0),OFFSET(ORÇAMENTO!$AB$15,CRONO!$F20,0))/$S20))</f>
        <v>0</v>
      </c>
      <c r="E20" s="187" cm="1">
        <f t="array" aca="1" ref="E20" ca="1">IF(AND($R20=2,ACOMPANHAMENTO="BM"),ROUND(E21,4),E22/$S20)</f>
        <v>0.48110440925952047</v>
      </c>
      <c r="F20" s="184" cm="1">
        <f t="array" aca="1" ref="F20" ca="1">IF(B20&lt;=ORÇAMENTO.MáximoListaCrono,MATCH(B20,ORÇAMENTO.ListaCrono,0),NA())</f>
        <v>5</v>
      </c>
      <c r="G20" s="184" t="str">
        <f t="shared" ref="G20" ca="1" si="16">IF(AND($F21&lt;&gt;-1,$S20&gt;0),"F","")</f>
        <v>F</v>
      </c>
      <c r="H20" s="188" t="str" cm="1">
        <f t="array" aca="1" ref="H20" ca="1">IF(OR(S20=0,S20=""),"Linha",IF(AND(OR(ACOMPANHAMENTO="PLE",$R20&lt;&gt;2),$F21=0),"Linha",ROUND(1-SUM(U20:AG20),4)))</f>
        <v>Linha</v>
      </c>
      <c r="I20" s="189" t="str">
        <f ca="1">IF($F21=0,OFFSET(ORÇAMENTO!O$15,$F20,0),IF($F21&lt;&gt;-1,OFFSET(QCI!$D$13,$F21,0),""))</f>
        <v>1.2.</v>
      </c>
      <c r="J20" s="190" t="str">
        <f ca="1">IF($F21=0,OFFSET(ORÇAMENTO!R$15,$F20,0),IF($F21&lt;&gt;-1,OFFSET(QCI!$G$13,$F21,0),""))</f>
        <v>SERVIÇOS PLELIMINARES</v>
      </c>
      <c r="K20" s="190"/>
      <c r="L20" s="190"/>
      <c r="M20" s="191">
        <f ca="1">IF($F21=0,OFFSET(ORÇAMENTO!C$15,$F20,0),1)</f>
        <v>2</v>
      </c>
      <c r="N20" s="192">
        <f ca="1">IF($F21=-1,0,IF(N$13&lt;=$M20,IF(ISERROR(MATCH(N$13,OFFSET($M20,1,0,ROW($M$41)-ROW($M20)-1),0)),ROW($M$41)-ROW($M20)-1,MATCH(N$13,OFFSET($M20,1,0,ROW($M$41)-ROW($M20)-1),0)-1),0))</f>
        <v>20</v>
      </c>
      <c r="O20" s="192">
        <f ca="1">IF($F21=-1,0,IF(O$13&lt;=$M20,IF(ISERROR(MATCH(O$13,OFFSET($M20,1,0,ROW($M$41)-ROW($M20)-1),0)),ROW($M$41)-ROW($M20)-1,MATCH(O$13,OFFSET($M20,1,0,ROW($M$41)-ROW($M20)-1),0)-1),0))</f>
        <v>2</v>
      </c>
      <c r="P20" s="192">
        <f ca="1">IF($F21=-1,0,IF(P$13&lt;=$M20,IF(ISERROR(MATCH(P$13,OFFSET($M20,1,0,ROW($M$41)-ROW($M20)-1),0)),ROW($M$41)-ROW($M20)-1,MATCH(P$13,OFFSET($M20,1,0,ROW($M$41)-ROW($M20)-1),0)-1),0))</f>
        <v>0</v>
      </c>
      <c r="Q20" s="192">
        <f ca="1">IF($F21=-1,0,IF(Q$13&lt;=$M20,IF(ISERROR(MATCH(Q$13,OFFSET($M20,1,0,ROW($M$41)-ROW($M20)-1),0)),ROW($M$41)-ROW($M20)-1,MATCH(Q$13,OFFSET($M20,1,0,ROW($M$41)-ROW($M20)-1),0)-1),0))</f>
        <v>0</v>
      </c>
      <c r="R20" s="192">
        <f t="shared" ref="R20" ca="1" si="17">MIN(OFFSET(M20,0,1,,M20))</f>
        <v>2</v>
      </c>
      <c r="S20" s="193">
        <f ca="1">IF($F21=0,OFFSET(ORÇAMENTO!X$15,$F20,0),IF($F21&lt;&gt;-1,OFFSET(QCI!$O$13,$F21,0),""))</f>
        <v>41038.410000000003</v>
      </c>
      <c r="T20" s="194" t="s">
        <v>785</v>
      </c>
      <c r="U20" s="187" cm="1">
        <f t="array" aca="1" ref="U20" ca="1">IF(AND($R20=2,ACOMPANHAMENTO="BM"),ROUND(U21,4),U22/$S20)</f>
        <v>0.48110440925952047</v>
      </c>
      <c r="V20" s="187" cm="1">
        <f t="array" aca="1" ref="V20" ca="1">IF(AND($R20=2,ACOMPANHAMENTO="BM"),ROUND(V21,4),V22/$S20)</f>
        <v>4.1160220388655404E-2</v>
      </c>
      <c r="W20" s="187" cm="1">
        <f t="array" aca="1" ref="W20" ca="1">IF(AND($R20=2,ACOMPANHAMENTO="BM"),ROUND(W21,4),W22/$S20)</f>
        <v>0.238867685175912</v>
      </c>
      <c r="X20" s="187" cm="1">
        <f t="array" aca="1" ref="X20" ca="1">IF(AND($R20=2,ACOMPANHAMENTO="BM"),ROUND(X21,4),X22/$S20)</f>
        <v>0.238867685175912</v>
      </c>
      <c r="Y20" s="187" cm="1">
        <f t="array" aca="1" ref="Y20" ca="1">IF(AND($R20=2,ACOMPANHAMENTO="BM"),ROUND(Y21,4),Y22/$S20)</f>
        <v>0</v>
      </c>
      <c r="Z20" s="187" cm="1">
        <f t="array" aca="1" ref="Z20" ca="1">IF(AND($R20=2,ACOMPANHAMENTO="BM"),ROUND(Z21,4),Z22/$S20)</f>
        <v>0</v>
      </c>
      <c r="AA20" s="187" cm="1">
        <f t="array" aca="1" ref="AA20" ca="1">IF(AND($R20=2,ACOMPANHAMENTO="BM"),ROUND(AA21,4),AA22/$S20)</f>
        <v>0</v>
      </c>
      <c r="AB20" s="187" cm="1">
        <f t="array" aca="1" ref="AB20" ca="1">IF(AND($R20=2,ACOMPANHAMENTO="BM"),ROUND(AB21,4),AB22/$S20)</f>
        <v>0</v>
      </c>
      <c r="AC20" s="187" cm="1">
        <f t="array" aca="1" ref="AC20" ca="1">IF(AND($R20=2,ACOMPANHAMENTO="BM"),ROUND(AC21,4),AC22/$S20)</f>
        <v>0</v>
      </c>
      <c r="AD20" s="187" cm="1">
        <f t="array" aca="1" ref="AD20" ca="1">IF(AND($R20=2,ACOMPANHAMENTO="BM"),ROUND(AD21,4),AD22/$S20)</f>
        <v>0</v>
      </c>
      <c r="AE20" s="187" cm="1">
        <f t="array" aca="1" ref="AE20" ca="1">IF(AND($R20=2,ACOMPANHAMENTO="BM"),ROUND(AE21,4),AE22/$S20)</f>
        <v>0</v>
      </c>
      <c r="AF20" s="187" cm="1">
        <f t="array" aca="1" ref="AF20" ca="1">IF(AND($R20=2,ACOMPANHAMENTO="BM"),ROUND(AF21,4),AF22/$S20)</f>
        <v>0</v>
      </c>
      <c r="AG20" s="533"/>
    </row>
    <row r="21" spans="1:33" ht="12.75" hidden="1" customHeight="1" x14ac:dyDescent="0.2">
      <c r="E21" s="586"/>
      <c r="F21" s="184">
        <f ca="1">IF(ISERROR(F20),IF(1+COUNTIF($M$13:OFFSET(M20,-1,0),1)&lt;=MAX(QCI!$D$13:$D$24),1+COUNTIF($M$13:OFFSET(M20,-1,0),1),-1),0)</f>
        <v>0</v>
      </c>
      <c r="G21" s="184" t="str" cm="1">
        <f t="array" aca="1" ref="G21" ca="1">IF(ACOMPANHAMENTO="BM",OFFSET(G21,-1,0),"")</f>
        <v/>
      </c>
      <c r="H21" s="195" t="str" cm="1">
        <f t="array" aca="1" ref="H21" ca="1">IF(OR(S20=0,S20=""),"vazia",IF(AND(OR(ACOMPANHAMENTO="PLE",$R20&lt;&gt;2),$F21=0),"calculada","--&gt;"))</f>
        <v>calculada</v>
      </c>
      <c r="I21" s="196"/>
      <c r="J21" s="197" t="str">
        <f t="shared" ref="J21" ca="1" si="18">IF(AND(H20&lt;&gt;0,ISNUMBER(H20)),"PREENCHA ESTA LINHA --&gt;","")</f>
        <v/>
      </c>
      <c r="K21" s="197"/>
      <c r="L21" s="197"/>
      <c r="M21" s="198"/>
      <c r="N21" s="198"/>
      <c r="O21" s="198"/>
      <c r="P21" s="198"/>
      <c r="Q21" s="198"/>
      <c r="R21" s="198"/>
      <c r="S21" s="199"/>
      <c r="T21" s="200"/>
      <c r="U21" s="586"/>
      <c r="V21" s="586"/>
      <c r="W21" s="586"/>
      <c r="X21" s="586"/>
      <c r="Y21" s="586"/>
      <c r="Z21" s="586"/>
      <c r="AA21" s="586"/>
      <c r="AB21" s="586"/>
      <c r="AC21" s="586"/>
      <c r="AD21" s="586"/>
      <c r="AE21" s="586"/>
      <c r="AF21" s="586"/>
      <c r="AG21" s="533"/>
    </row>
    <row r="22" spans="1:33" ht="12.75" hidden="1" customHeight="1" x14ac:dyDescent="0.2">
      <c r="D22" s="532"/>
      <c r="E22" s="201" cm="1">
        <f t="array" aca="1" ref="E22" ca="1">IF($R20=2,
         IF(AND(ACOMPANHAMENTO="PLE",ISNUMBER($F20)),
                SUMIF((OFFSET(CÁLCULO!$AM$15:$AW$15,$F20,0,OFFSET(ORÇAMENTO!$D$15,CRONO!$F20,0))),CRONO!E$12,OFFSET(CÁLCULO!$AB$15:$AL$15,$F20,0,OFFSET(ORÇAMENTO!$D$15,CRONO!$F20,0)))
                +IF(AND($F22&lt;&gt;"",$F22&lt;&gt;0),
                        SUMIF(CÁLCULO!$AM$15:$AW$55,CRONO!E$12,CÁLCULO!$AB$15:$AL$55)/(ORÇAMENTO!$X$15-CÁLCULO.TotalAdmLocal)*CRONO!$F22,
                        0),
                 E21*$S20),
          SUMIF(OFFSET($S22,1,0,$R20-2),($M20+1)&amp;"$",OFFSET(E22,1,0,$R20-2)))</f>
        <v>19743.759999999998</v>
      </c>
      <c r="F22" s="184" t="str">
        <f ca="1">IF(OR($R20&lt;&gt;2,AUTOEVENTO&lt;&gt;"manual",$F21&gt;0),"",
        IF(Import.TipoArredondamento="Tradicional",
              SUMIF(OFFSET(CÁLCULO!$M$15,CRONO!$F20,0,OFFSET(ORÇAMENTO!$D$15,CRONO!$F20,0)),1,OFFSET(ORÇAMENTO!$X$15,CRONO!$F20,0,OFFSET(ORÇAMENTO!$D$15,CRONO!$F20,0))),
              0))</f>
        <v/>
      </c>
      <c r="H22" s="202"/>
      <c r="S22" s="203" t="str">
        <f t="shared" ref="S22" ca="1" si="19">M20&amp;"$"</f>
        <v>2$</v>
      </c>
      <c r="T22" s="204"/>
      <c r="U22" s="201" cm="1">
        <f t="array" aca="1" ref="U22" ca="1">IF($R20=2,
         IF(AND(ACOMPANHAMENTO="PLE",ISNUMBER($F20)),
                SUMIF((OFFSET(CÁLCULO!$AM$15:$AW$15,$F20,0,OFFSET(ORÇAMENTO!$D$15,CRONO!$F20,0))),CRONO!U$12,OFFSET(CÁLCULO!$AB$15:$AL$15,$F20,0,OFFSET(ORÇAMENTO!$D$15,CRONO!$F20,0)))
                +IF(AND($F22&lt;&gt;"",$F22&lt;&gt;0),
                        SUMIF(CÁLCULO!$AM$15:$AW$55,CRONO!U$12,CÁLCULO!$AB$15:$AL$55)/(ORÇAMENTO!$X$15-CÁLCULO.TotalAdmLocal)*CRONO!$F22,
                        0),
                 U21*$S20),
          SUMIF(OFFSET($S22,1,0,$R20-2),($M20+1)&amp;"$",OFFSET(U22,1,0,$R20-2)))</f>
        <v>19743.759999999998</v>
      </c>
      <c r="V22" s="201" cm="1">
        <f t="array" aca="1" ref="V22" ca="1">IF($R20=2,
         IF(AND(ACOMPANHAMENTO="PLE",ISNUMBER($F20)),
                SUMIF((OFFSET(CÁLCULO!$AM$15:$AW$15,$F20,0,OFFSET(ORÇAMENTO!$D$15,CRONO!$F20,0))),CRONO!V$12,OFFSET(CÁLCULO!$AB$15:$AL$15,$F20,0,OFFSET(ORÇAMENTO!$D$15,CRONO!$F20,0)))
                +IF(AND($F22&lt;&gt;"",$F22&lt;&gt;0),
                        SUMIF(CÁLCULO!$AM$15:$AW$55,CRONO!V$12,CÁLCULO!$AB$15:$AL$55)/(ORÇAMENTO!$X$15-CÁLCULO.TotalAdmLocal)*CRONO!$F22,
                        0),
                 V21*$S20),
          SUMIF(OFFSET($S22,1,0,$R20-2),($M20+1)&amp;"$",OFFSET(V22,1,0,$R20-2)))</f>
        <v>1689.15</v>
      </c>
      <c r="W22" s="201" cm="1">
        <f t="array" aca="1" ref="W22" ca="1">IF($R20=2,
         IF(AND(ACOMPANHAMENTO="PLE",ISNUMBER($F20)),
                SUMIF((OFFSET(CÁLCULO!$AM$15:$AW$15,$F20,0,OFFSET(ORÇAMENTO!$D$15,CRONO!$F20,0))),CRONO!W$12,OFFSET(CÁLCULO!$AB$15:$AL$15,$F20,0,OFFSET(ORÇAMENTO!$D$15,CRONO!$F20,0)))
                +IF(AND($F22&lt;&gt;"",$F22&lt;&gt;0),
                        SUMIF(CÁLCULO!$AM$15:$AW$55,CRONO!W$12,CÁLCULO!$AB$15:$AL$55)/(ORÇAMENTO!$X$15-CÁLCULO.TotalAdmLocal)*CRONO!$F22,
                        0),
                 W21*$S20),
          SUMIF(OFFSET($S22,1,0,$R20-2),($M20+1)&amp;"$",OFFSET(W22,1,0,$R20-2)))</f>
        <v>9802.75</v>
      </c>
      <c r="X22" s="201" cm="1">
        <f t="array" aca="1" ref="X22" ca="1">IF($R20=2,
         IF(AND(ACOMPANHAMENTO="PLE",ISNUMBER($F20)),
                SUMIF((OFFSET(CÁLCULO!$AM$15:$AW$15,$F20,0,OFFSET(ORÇAMENTO!$D$15,CRONO!$F20,0))),CRONO!X$12,OFFSET(CÁLCULO!$AB$15:$AL$15,$F20,0,OFFSET(ORÇAMENTO!$D$15,CRONO!$F20,0)))
                +IF(AND($F22&lt;&gt;"",$F22&lt;&gt;0),
                        SUMIF(CÁLCULO!$AM$15:$AW$55,CRONO!X$12,CÁLCULO!$AB$15:$AL$55)/(ORÇAMENTO!$X$15-CÁLCULO.TotalAdmLocal)*CRONO!$F22,
                        0),
                 X21*$S20),
          SUMIF(OFFSET($S22,1,0,$R20-2),($M20+1)&amp;"$",OFFSET(X22,1,0,$R20-2)))</f>
        <v>9802.75</v>
      </c>
      <c r="Y22" s="201" cm="1">
        <f t="array" aca="1" ref="Y22" ca="1">IF($R20=2,
         IF(AND(ACOMPANHAMENTO="PLE",ISNUMBER($F20)),
                SUMIF((OFFSET(CÁLCULO!$AM$15:$AW$15,$F20,0,OFFSET(ORÇAMENTO!$D$15,CRONO!$F20,0))),CRONO!Y$12,OFFSET(CÁLCULO!$AB$15:$AL$15,$F20,0,OFFSET(ORÇAMENTO!$D$15,CRONO!$F20,0)))
                +IF(AND($F22&lt;&gt;"",$F22&lt;&gt;0),
                        SUMIF(CÁLCULO!$AM$15:$AW$55,CRONO!Y$12,CÁLCULO!$AB$15:$AL$55)/(ORÇAMENTO!$X$15-CÁLCULO.TotalAdmLocal)*CRONO!$F22,
                        0),
                 Y21*$S20),
          SUMIF(OFFSET($S22,1,0,$R20-2),($M20+1)&amp;"$",OFFSET(Y22,1,0,$R20-2)))</f>
        <v>0</v>
      </c>
      <c r="Z22" s="201" cm="1">
        <f t="array" aca="1" ref="Z22" ca="1">IF($R20=2,
         IF(AND(ACOMPANHAMENTO="PLE",ISNUMBER($F20)),
                SUMIF((OFFSET(CÁLCULO!$AM$15:$AW$15,$F20,0,OFFSET(ORÇAMENTO!$D$15,CRONO!$F20,0))),CRONO!Z$12,OFFSET(CÁLCULO!$AB$15:$AL$15,$F20,0,OFFSET(ORÇAMENTO!$D$15,CRONO!$F20,0)))
                +IF(AND($F22&lt;&gt;"",$F22&lt;&gt;0),
                        SUMIF(CÁLCULO!$AM$15:$AW$55,CRONO!Z$12,CÁLCULO!$AB$15:$AL$55)/(ORÇAMENTO!$X$15-CÁLCULO.TotalAdmLocal)*CRONO!$F22,
                        0),
                 Z21*$S20),
          SUMIF(OFFSET($S22,1,0,$R20-2),($M20+1)&amp;"$",OFFSET(Z22,1,0,$R20-2)))</f>
        <v>0</v>
      </c>
      <c r="AA22" s="201" cm="1">
        <f t="array" aca="1" ref="AA22" ca="1">IF($R20=2,
         IF(AND(ACOMPANHAMENTO="PLE",ISNUMBER($F20)),
                SUMIF((OFFSET(CÁLCULO!$AM$15:$AW$15,$F20,0,OFFSET(ORÇAMENTO!$D$15,CRONO!$F20,0))),CRONO!AA$12,OFFSET(CÁLCULO!$AB$15:$AL$15,$F20,0,OFFSET(ORÇAMENTO!$D$15,CRONO!$F20,0)))
                +IF(AND($F22&lt;&gt;"",$F22&lt;&gt;0),
                        SUMIF(CÁLCULO!$AM$15:$AW$55,CRONO!AA$12,CÁLCULO!$AB$15:$AL$55)/(ORÇAMENTO!$X$15-CÁLCULO.TotalAdmLocal)*CRONO!$F22,
                        0),
                 AA21*$S20),
          SUMIF(OFFSET($S22,1,0,$R20-2),($M20+1)&amp;"$",OFFSET(AA22,1,0,$R20-2)))</f>
        <v>0</v>
      </c>
      <c r="AB22" s="201" cm="1">
        <f t="array" aca="1" ref="AB22" ca="1">IF($R20=2,
         IF(AND(ACOMPANHAMENTO="PLE",ISNUMBER($F20)),
                SUMIF((OFFSET(CÁLCULO!$AM$15:$AW$15,$F20,0,OFFSET(ORÇAMENTO!$D$15,CRONO!$F20,0))),CRONO!AB$12,OFFSET(CÁLCULO!$AB$15:$AL$15,$F20,0,OFFSET(ORÇAMENTO!$D$15,CRONO!$F20,0)))
                +IF(AND($F22&lt;&gt;"",$F22&lt;&gt;0),
                        SUMIF(CÁLCULO!$AM$15:$AW$55,CRONO!AB$12,CÁLCULO!$AB$15:$AL$55)/(ORÇAMENTO!$X$15-CÁLCULO.TotalAdmLocal)*CRONO!$F22,
                        0),
                 AB21*$S20),
          SUMIF(OFFSET($S22,1,0,$R20-2),($M20+1)&amp;"$",OFFSET(AB22,1,0,$R20-2)))</f>
        <v>0</v>
      </c>
      <c r="AC22" s="201" cm="1">
        <f t="array" aca="1" ref="AC22" ca="1">IF($R20=2,
         IF(AND(ACOMPANHAMENTO="PLE",ISNUMBER($F20)),
                SUMIF((OFFSET(CÁLCULO!$AM$15:$AW$15,$F20,0,OFFSET(ORÇAMENTO!$D$15,CRONO!$F20,0))),CRONO!AC$12,OFFSET(CÁLCULO!$AB$15:$AL$15,$F20,0,OFFSET(ORÇAMENTO!$D$15,CRONO!$F20,0)))
                +IF(AND($F22&lt;&gt;"",$F22&lt;&gt;0),
                        SUMIF(CÁLCULO!$AM$15:$AW$55,CRONO!AC$12,CÁLCULO!$AB$15:$AL$55)/(ORÇAMENTO!$X$15-CÁLCULO.TotalAdmLocal)*CRONO!$F22,
                        0),
                 AC21*$S20),
          SUMIF(OFFSET($S22,1,0,$R20-2),($M20+1)&amp;"$",OFFSET(AC22,1,0,$R20-2)))</f>
        <v>0</v>
      </c>
      <c r="AD22" s="201" cm="1">
        <f t="array" aca="1" ref="AD22" ca="1">IF($R20=2,
         IF(AND(ACOMPANHAMENTO="PLE",ISNUMBER($F20)),
                SUMIF((OFFSET(CÁLCULO!$AM$15:$AW$15,$F20,0,OFFSET(ORÇAMENTO!$D$15,CRONO!$F20,0))),CRONO!AD$12,OFFSET(CÁLCULO!$AB$15:$AL$15,$F20,0,OFFSET(ORÇAMENTO!$D$15,CRONO!$F20,0)))
                +IF(AND($F22&lt;&gt;"",$F22&lt;&gt;0),
                        SUMIF(CÁLCULO!$AM$15:$AW$55,CRONO!AD$12,CÁLCULO!$AB$15:$AL$55)/(ORÇAMENTO!$X$15-CÁLCULO.TotalAdmLocal)*CRONO!$F22,
                        0),
                 AD21*$S20),
          SUMIF(OFFSET($S22,1,0,$R20-2),($M20+1)&amp;"$",OFFSET(AD22,1,0,$R20-2)))</f>
        <v>0</v>
      </c>
      <c r="AE22" s="201" cm="1">
        <f t="array" aca="1" ref="AE22" ca="1">IF($R20=2,
         IF(AND(ACOMPANHAMENTO="PLE",ISNUMBER($F20)),
                SUMIF((OFFSET(CÁLCULO!$AM$15:$AW$15,$F20,0,OFFSET(ORÇAMENTO!$D$15,CRONO!$F20,0))),CRONO!AE$12,OFFSET(CÁLCULO!$AB$15:$AL$15,$F20,0,OFFSET(ORÇAMENTO!$D$15,CRONO!$F20,0)))
                +IF(AND($F22&lt;&gt;"",$F22&lt;&gt;0),
                        SUMIF(CÁLCULO!$AM$15:$AW$55,CRONO!AE$12,CÁLCULO!$AB$15:$AL$55)/(ORÇAMENTO!$X$15-CÁLCULO.TotalAdmLocal)*CRONO!$F22,
                        0),
                 AE21*$S20),
          SUMIF(OFFSET($S22,1,0,$R20-2),($M20+1)&amp;"$",OFFSET(AE22,1,0,$R20-2)))</f>
        <v>0</v>
      </c>
      <c r="AF22" s="201" cm="1">
        <f t="array" aca="1" ref="AF22" ca="1">IF($R20=2,
         IF(AND(ACOMPANHAMENTO="PLE",ISNUMBER($F20)),
                SUMIF((OFFSET(CÁLCULO!$AM$15:$AW$15,$F20,0,OFFSET(ORÇAMENTO!$D$15,CRONO!$F20,0))),CRONO!AF$12,OFFSET(CÁLCULO!$AB$15:$AL$15,$F20,0,OFFSET(ORÇAMENTO!$D$15,CRONO!$F20,0)))
                +IF(AND($F22&lt;&gt;"",$F22&lt;&gt;0),
                        SUMIF(CÁLCULO!$AM$15:$AW$55,CRONO!AF$12,CÁLCULO!$AB$15:$AL$55)/(ORÇAMENTO!$X$15-CÁLCULO.TotalAdmLocal)*CRONO!$F22,
                        0),
                 AF21*$S20),
          SUMIF(OFFSET($S22,1,0,$R20-2),($M20+1)&amp;"$",OFFSET(AF22,1,0,$R20-2)))</f>
        <v>0</v>
      </c>
      <c r="AG22" s="533"/>
    </row>
    <row r="23" spans="1:33" x14ac:dyDescent="0.2">
      <c r="A23" s="185" t="e">
        <f t="shared" ref="A23" ca="1" si="20">IF($M23&gt;1,_xlfn.CONCAT($I23," ",$J23),"")</f>
        <v>#NAME?</v>
      </c>
      <c r="B23" s="184">
        <f t="shared" ref="B23" ca="1" si="21">OFFSET(B23,-3,0)+1</f>
        <v>4</v>
      </c>
      <c r="C23" s="184">
        <f ca="1">IF($R23&lt;&gt;2,0,IF($S23=0,1,IF(F24&gt;0,OFFSET(QCI!$M$13,SUBSTITUTE(F24,".",""),0),OFFSET(ORÇAMENTO!$AA$15,CRONO!$F23,0))/$S23))</f>
        <v>2.8191147708984355E-3</v>
      </c>
      <c r="D23" s="184">
        <f ca="1">IF($R23&lt;&gt;2,0,IF($S23=0,1,IF(F24&gt;0,OFFSET(QCI!$N$13,SUBSTITUTE(F24,".",""),0),OFFSET(ORÇAMENTO!$AB$15,CRONO!$F23,0))/$S23))</f>
        <v>0</v>
      </c>
      <c r="E23" s="187" cm="1">
        <f t="array" aca="1" ref="E23" ca="1">IF(AND($R23=2,ACOMPANHAMENTO="BM"),ROUND(E24,4),E25/$S23)</f>
        <v>0.47364366162964577</v>
      </c>
      <c r="F23" s="184" cm="1">
        <f t="array" aca="1" ref="F23" ca="1">IF(B23&lt;=ORÇAMENTO.MáximoListaCrono,MATCH(B23,ORÇAMENTO.ListaCrono,0),NA())</f>
        <v>12</v>
      </c>
      <c r="G23" s="184" t="str">
        <f t="shared" ref="G23" ca="1" si="22">IF(AND($F24&lt;&gt;-1,$S23&gt;0),"F","")</f>
        <v>F</v>
      </c>
      <c r="H23" s="188" t="str" cm="1">
        <f t="array" aca="1" ref="H23" ca="1">IF(OR(S23=0,S23=""),"Linha",IF(AND(OR(ACOMPANHAMENTO="PLE",$R23&lt;&gt;2),$F24=0),"Linha",ROUND(1-SUM(U23:AG23),4)))</f>
        <v>Linha</v>
      </c>
      <c r="I23" s="189" t="str">
        <f ca="1">IF($F24=0,OFFSET(ORÇAMENTO!O$15,$F23,0),IF($F24&lt;&gt;-1,OFFSET(QCI!$D$13,$F24,0),""))</f>
        <v>1.3.</v>
      </c>
      <c r="J23" s="190" t="str">
        <f ca="1">IF($F24=0,OFFSET(ORÇAMENTO!R$15,$F23,0),IF($F24&lt;&gt;-1,OFFSET(QCI!$G$13,$F24,0),""))</f>
        <v>TERRAPLENAGEM</v>
      </c>
      <c r="K23" s="190"/>
      <c r="L23" s="190"/>
      <c r="M23" s="191">
        <f ca="1">IF($F24=0,OFFSET(ORÇAMENTO!C$15,$F23,0),1)</f>
        <v>2</v>
      </c>
      <c r="N23" s="192">
        <f ca="1">IF($F24=-1,0,IF(N$13&lt;=$M23,IF(ISERROR(MATCH(N$13,OFFSET($M23,1,0,ROW($M$41)-ROW($M23)-1),0)),ROW($M$41)-ROW($M23)-1,MATCH(N$13,OFFSET($M23,1,0,ROW($M$41)-ROW($M23)-1),0)-1),0))</f>
        <v>17</v>
      </c>
      <c r="O23" s="192">
        <f ca="1">IF($F24=-1,0,IF(O$13&lt;=$M23,IF(ISERROR(MATCH(O$13,OFFSET($M23,1,0,ROW($M$41)-ROW($M23)-1),0)),ROW($M$41)-ROW($M23)-1,MATCH(O$13,OFFSET($M23,1,0,ROW($M$41)-ROW($M23)-1),0)-1),0))</f>
        <v>2</v>
      </c>
      <c r="P23" s="192">
        <f ca="1">IF($F24=-1,0,IF(P$13&lt;=$M23,IF(ISERROR(MATCH(P$13,OFFSET($M23,1,0,ROW($M$41)-ROW($M23)-1),0)),ROW($M$41)-ROW($M23)-1,MATCH(P$13,OFFSET($M23,1,0,ROW($M$41)-ROW($M23)-1),0)-1),0))</f>
        <v>0</v>
      </c>
      <c r="Q23" s="192">
        <f ca="1">IF($F24=-1,0,IF(Q$13&lt;=$M23,IF(ISERROR(MATCH(Q$13,OFFSET($M23,1,0,ROW($M$41)-ROW($M23)-1),0)),ROW($M$41)-ROW($M23)-1,MATCH(Q$13,OFFSET($M23,1,0,ROW($M$41)-ROW($M23)-1),0)-1),0))</f>
        <v>0</v>
      </c>
      <c r="R23" s="192">
        <f t="shared" ref="R23" ca="1" si="23">MIN(OFFSET(M23,0,1,,M23))</f>
        <v>2</v>
      </c>
      <c r="S23" s="193">
        <f ca="1">IF($F24=0,OFFSET(ORÇAMENTO!X$15,$F23,0),IF($F24&lt;&gt;-1,OFFSET(QCI!$O$13,$F24,0),""))</f>
        <v>7697.01</v>
      </c>
      <c r="T23" s="194" t="s">
        <v>785</v>
      </c>
      <c r="U23" s="187" cm="1">
        <f t="array" aca="1" ref="U23" ca="1">IF(AND($R23=2,ACOMPANHAMENTO="BM"),ROUND(U24,4),U25/$S23)</f>
        <v>0.47364366162964577</v>
      </c>
      <c r="V23" s="187" cm="1">
        <f t="array" aca="1" ref="V23" ca="1">IF(AND($R23=2,ACOMPANHAMENTO="BM"),ROUND(V24,4),V25/$S23)</f>
        <v>0</v>
      </c>
      <c r="W23" s="187" cm="1">
        <f t="array" aca="1" ref="W23" ca="1">IF(AND($R23=2,ACOMPANHAMENTO="BM"),ROUND(W24,4),W25/$S23)</f>
        <v>0.52635633837035423</v>
      </c>
      <c r="X23" s="187" cm="1">
        <f t="array" aca="1" ref="X23" ca="1">IF(AND($R23=2,ACOMPANHAMENTO="BM"),ROUND(X24,4),X25/$S23)</f>
        <v>0</v>
      </c>
      <c r="Y23" s="187" cm="1">
        <f t="array" aca="1" ref="Y23" ca="1">IF(AND($R23=2,ACOMPANHAMENTO="BM"),ROUND(Y24,4),Y25/$S23)</f>
        <v>0</v>
      </c>
      <c r="Z23" s="187" cm="1">
        <f t="array" aca="1" ref="Z23" ca="1">IF(AND($R23=2,ACOMPANHAMENTO="BM"),ROUND(Z24,4),Z25/$S23)</f>
        <v>0</v>
      </c>
      <c r="AA23" s="187" cm="1">
        <f t="array" aca="1" ref="AA23" ca="1">IF(AND($R23=2,ACOMPANHAMENTO="BM"),ROUND(AA24,4),AA25/$S23)</f>
        <v>0</v>
      </c>
      <c r="AB23" s="187" cm="1">
        <f t="array" aca="1" ref="AB23" ca="1">IF(AND($R23=2,ACOMPANHAMENTO="BM"),ROUND(AB24,4),AB25/$S23)</f>
        <v>0</v>
      </c>
      <c r="AC23" s="187" cm="1">
        <f t="array" aca="1" ref="AC23" ca="1">IF(AND($R23=2,ACOMPANHAMENTO="BM"),ROUND(AC24,4),AC25/$S23)</f>
        <v>0</v>
      </c>
      <c r="AD23" s="187" cm="1">
        <f t="array" aca="1" ref="AD23" ca="1">IF(AND($R23=2,ACOMPANHAMENTO="BM"),ROUND(AD24,4),AD25/$S23)</f>
        <v>0</v>
      </c>
      <c r="AE23" s="187" cm="1">
        <f t="array" aca="1" ref="AE23" ca="1">IF(AND($R23=2,ACOMPANHAMENTO="BM"),ROUND(AE24,4),AE25/$S23)</f>
        <v>0</v>
      </c>
      <c r="AF23" s="187" cm="1">
        <f t="array" aca="1" ref="AF23" ca="1">IF(AND($R23=2,ACOMPANHAMENTO="BM"),ROUND(AF24,4),AF25/$S23)</f>
        <v>0</v>
      </c>
      <c r="AG23" s="533"/>
    </row>
    <row r="24" spans="1:33" ht="12.75" hidden="1" customHeight="1" x14ac:dyDescent="0.2">
      <c r="E24" s="586"/>
      <c r="F24" s="184">
        <f ca="1">IF(ISERROR(F23),IF(1+COUNTIF($M$13:OFFSET(M23,-1,0),1)&lt;=MAX(QCI!$D$13:$D$24),1+COUNTIF($M$13:OFFSET(M23,-1,0),1),-1),0)</f>
        <v>0</v>
      </c>
      <c r="G24" s="184" t="str" cm="1">
        <f t="array" aca="1" ref="G24" ca="1">IF(ACOMPANHAMENTO="BM",OFFSET(G24,-1,0),"")</f>
        <v/>
      </c>
      <c r="H24" s="195" t="str" cm="1">
        <f t="array" aca="1" ref="H24" ca="1">IF(OR(S23=0,S23=""),"vazia",IF(AND(OR(ACOMPANHAMENTO="PLE",$R23&lt;&gt;2),$F24=0),"calculada","--&gt;"))</f>
        <v>calculada</v>
      </c>
      <c r="I24" s="196"/>
      <c r="J24" s="197" t="str">
        <f t="shared" ref="J24" ca="1" si="24">IF(AND(H23&lt;&gt;0,ISNUMBER(H23)),"PREENCHA ESTA LINHA --&gt;","")</f>
        <v/>
      </c>
      <c r="K24" s="197"/>
      <c r="L24" s="197"/>
      <c r="M24" s="198"/>
      <c r="N24" s="198"/>
      <c r="O24" s="198"/>
      <c r="P24" s="198"/>
      <c r="Q24" s="198"/>
      <c r="R24" s="198"/>
      <c r="S24" s="199"/>
      <c r="T24" s="200"/>
      <c r="U24" s="586"/>
      <c r="V24" s="586"/>
      <c r="W24" s="586"/>
      <c r="X24" s="586"/>
      <c r="Y24" s="586"/>
      <c r="Z24" s="586"/>
      <c r="AA24" s="586"/>
      <c r="AB24" s="586"/>
      <c r="AC24" s="586"/>
      <c r="AD24" s="586"/>
      <c r="AE24" s="586"/>
      <c r="AF24" s="586"/>
      <c r="AG24" s="533"/>
    </row>
    <row r="25" spans="1:33" ht="12.75" hidden="1" customHeight="1" x14ac:dyDescent="0.2">
      <c r="D25" s="532"/>
      <c r="E25" s="201" cm="1">
        <f t="array" aca="1" ref="E25" ca="1">IF($R23=2,
         IF(AND(ACOMPANHAMENTO="PLE",ISNUMBER($F23)),
                SUMIF((OFFSET(CÁLCULO!$AM$15:$AW$15,$F23,0,OFFSET(ORÇAMENTO!$D$15,CRONO!$F23,0))),CRONO!E$12,OFFSET(CÁLCULO!$AB$15:$AL$15,$F23,0,OFFSET(ORÇAMENTO!$D$15,CRONO!$F23,0)))
                +IF(AND($F25&lt;&gt;"",$F25&lt;&gt;0),
                        SUMIF(CÁLCULO!$AM$15:$AW$55,CRONO!E$12,CÁLCULO!$AB$15:$AL$55)/(ORÇAMENTO!$X$15-CÁLCULO.TotalAdmLocal)*CRONO!$F25,
                        0),
                 E24*$S23),
          SUMIF(OFFSET($S25,1,0,$R23-2),($M23+1)&amp;"$",OFFSET(E25,1,0,$R23-2)))</f>
        <v>3645.64</v>
      </c>
      <c r="F25" s="184" t="str">
        <f ca="1">IF(OR($R23&lt;&gt;2,AUTOEVENTO&lt;&gt;"manual",$F24&gt;0),"",
        IF(Import.TipoArredondamento="Tradicional",
              SUMIF(OFFSET(CÁLCULO!$M$15,CRONO!$F23,0,OFFSET(ORÇAMENTO!$D$15,CRONO!$F23,0)),1,OFFSET(ORÇAMENTO!$X$15,CRONO!$F23,0,OFFSET(ORÇAMENTO!$D$15,CRONO!$F23,0))),
              0))</f>
        <v/>
      </c>
      <c r="H25" s="202"/>
      <c r="S25" s="203" t="str">
        <f t="shared" ref="S25" ca="1" si="25">M23&amp;"$"</f>
        <v>2$</v>
      </c>
      <c r="T25" s="204"/>
      <c r="U25" s="201" cm="1">
        <f t="array" aca="1" ref="U25" ca="1">IF($R23=2,
         IF(AND(ACOMPANHAMENTO="PLE",ISNUMBER($F23)),
                SUMIF((OFFSET(CÁLCULO!$AM$15:$AW$15,$F23,0,OFFSET(ORÇAMENTO!$D$15,CRONO!$F23,0))),CRONO!U$12,OFFSET(CÁLCULO!$AB$15:$AL$15,$F23,0,OFFSET(ORÇAMENTO!$D$15,CRONO!$F23,0)))
                +IF(AND($F25&lt;&gt;"",$F25&lt;&gt;0),
                        SUMIF(CÁLCULO!$AM$15:$AW$55,CRONO!U$12,CÁLCULO!$AB$15:$AL$55)/(ORÇAMENTO!$X$15-CÁLCULO.TotalAdmLocal)*CRONO!$F25,
                        0),
                 U24*$S23),
          SUMIF(OFFSET($S25,1,0,$R23-2),($M23+1)&amp;"$",OFFSET(U25,1,0,$R23-2)))</f>
        <v>3645.64</v>
      </c>
      <c r="V25" s="201" cm="1">
        <f t="array" aca="1" ref="V25" ca="1">IF($R23=2,
         IF(AND(ACOMPANHAMENTO="PLE",ISNUMBER($F23)),
                SUMIF((OFFSET(CÁLCULO!$AM$15:$AW$15,$F23,0,OFFSET(ORÇAMENTO!$D$15,CRONO!$F23,0))),CRONO!V$12,OFFSET(CÁLCULO!$AB$15:$AL$15,$F23,0,OFFSET(ORÇAMENTO!$D$15,CRONO!$F23,0)))
                +IF(AND($F25&lt;&gt;"",$F25&lt;&gt;0),
                        SUMIF(CÁLCULO!$AM$15:$AW$55,CRONO!V$12,CÁLCULO!$AB$15:$AL$55)/(ORÇAMENTO!$X$15-CÁLCULO.TotalAdmLocal)*CRONO!$F25,
                        0),
                 V24*$S23),
          SUMIF(OFFSET($S25,1,0,$R23-2),($M23+1)&amp;"$",OFFSET(V25,1,0,$R23-2)))</f>
        <v>0</v>
      </c>
      <c r="W25" s="201" cm="1">
        <f t="array" aca="1" ref="W25" ca="1">IF($R23=2,
         IF(AND(ACOMPANHAMENTO="PLE",ISNUMBER($F23)),
                SUMIF((OFFSET(CÁLCULO!$AM$15:$AW$15,$F23,0,OFFSET(ORÇAMENTO!$D$15,CRONO!$F23,0))),CRONO!W$12,OFFSET(CÁLCULO!$AB$15:$AL$15,$F23,0,OFFSET(ORÇAMENTO!$D$15,CRONO!$F23,0)))
                +IF(AND($F25&lt;&gt;"",$F25&lt;&gt;0),
                        SUMIF(CÁLCULO!$AM$15:$AW$55,CRONO!W$12,CÁLCULO!$AB$15:$AL$55)/(ORÇAMENTO!$X$15-CÁLCULO.TotalAdmLocal)*CRONO!$F25,
                        0),
                 W24*$S23),
          SUMIF(OFFSET($S25,1,0,$R23-2),($M23+1)&amp;"$",OFFSET(W25,1,0,$R23-2)))</f>
        <v>4051.37</v>
      </c>
      <c r="X25" s="201" cm="1">
        <f t="array" aca="1" ref="X25" ca="1">IF($R23=2,
         IF(AND(ACOMPANHAMENTO="PLE",ISNUMBER($F23)),
                SUMIF((OFFSET(CÁLCULO!$AM$15:$AW$15,$F23,0,OFFSET(ORÇAMENTO!$D$15,CRONO!$F23,0))),CRONO!X$12,OFFSET(CÁLCULO!$AB$15:$AL$15,$F23,0,OFFSET(ORÇAMENTO!$D$15,CRONO!$F23,0)))
                +IF(AND($F25&lt;&gt;"",$F25&lt;&gt;0),
                        SUMIF(CÁLCULO!$AM$15:$AW$55,CRONO!X$12,CÁLCULO!$AB$15:$AL$55)/(ORÇAMENTO!$X$15-CÁLCULO.TotalAdmLocal)*CRONO!$F25,
                        0),
                 X24*$S23),
          SUMIF(OFFSET($S25,1,0,$R23-2),($M23+1)&amp;"$",OFFSET(X25,1,0,$R23-2)))</f>
        <v>0</v>
      </c>
      <c r="Y25" s="201" cm="1">
        <f t="array" aca="1" ref="Y25" ca="1">IF($R23=2,
         IF(AND(ACOMPANHAMENTO="PLE",ISNUMBER($F23)),
                SUMIF((OFFSET(CÁLCULO!$AM$15:$AW$15,$F23,0,OFFSET(ORÇAMENTO!$D$15,CRONO!$F23,0))),CRONO!Y$12,OFFSET(CÁLCULO!$AB$15:$AL$15,$F23,0,OFFSET(ORÇAMENTO!$D$15,CRONO!$F23,0)))
                +IF(AND($F25&lt;&gt;"",$F25&lt;&gt;0),
                        SUMIF(CÁLCULO!$AM$15:$AW$55,CRONO!Y$12,CÁLCULO!$AB$15:$AL$55)/(ORÇAMENTO!$X$15-CÁLCULO.TotalAdmLocal)*CRONO!$F25,
                        0),
                 Y24*$S23),
          SUMIF(OFFSET($S25,1,0,$R23-2),($M23+1)&amp;"$",OFFSET(Y25,1,0,$R23-2)))</f>
        <v>0</v>
      </c>
      <c r="Z25" s="201" cm="1">
        <f t="array" aca="1" ref="Z25" ca="1">IF($R23=2,
         IF(AND(ACOMPANHAMENTO="PLE",ISNUMBER($F23)),
                SUMIF((OFFSET(CÁLCULO!$AM$15:$AW$15,$F23,0,OFFSET(ORÇAMENTO!$D$15,CRONO!$F23,0))),CRONO!Z$12,OFFSET(CÁLCULO!$AB$15:$AL$15,$F23,0,OFFSET(ORÇAMENTO!$D$15,CRONO!$F23,0)))
                +IF(AND($F25&lt;&gt;"",$F25&lt;&gt;0),
                        SUMIF(CÁLCULO!$AM$15:$AW$55,CRONO!Z$12,CÁLCULO!$AB$15:$AL$55)/(ORÇAMENTO!$X$15-CÁLCULO.TotalAdmLocal)*CRONO!$F25,
                        0),
                 Z24*$S23),
          SUMIF(OFFSET($S25,1,0,$R23-2),($M23+1)&amp;"$",OFFSET(Z25,1,0,$R23-2)))</f>
        <v>0</v>
      </c>
      <c r="AA25" s="201" cm="1">
        <f t="array" aca="1" ref="AA25" ca="1">IF($R23=2,
         IF(AND(ACOMPANHAMENTO="PLE",ISNUMBER($F23)),
                SUMIF((OFFSET(CÁLCULO!$AM$15:$AW$15,$F23,0,OFFSET(ORÇAMENTO!$D$15,CRONO!$F23,0))),CRONO!AA$12,OFFSET(CÁLCULO!$AB$15:$AL$15,$F23,0,OFFSET(ORÇAMENTO!$D$15,CRONO!$F23,0)))
                +IF(AND($F25&lt;&gt;"",$F25&lt;&gt;0),
                        SUMIF(CÁLCULO!$AM$15:$AW$55,CRONO!AA$12,CÁLCULO!$AB$15:$AL$55)/(ORÇAMENTO!$X$15-CÁLCULO.TotalAdmLocal)*CRONO!$F25,
                        0),
                 AA24*$S23),
          SUMIF(OFFSET($S25,1,0,$R23-2),($M23+1)&amp;"$",OFFSET(AA25,1,0,$R23-2)))</f>
        <v>0</v>
      </c>
      <c r="AB25" s="201" cm="1">
        <f t="array" aca="1" ref="AB25" ca="1">IF($R23=2,
         IF(AND(ACOMPANHAMENTO="PLE",ISNUMBER($F23)),
                SUMIF((OFFSET(CÁLCULO!$AM$15:$AW$15,$F23,0,OFFSET(ORÇAMENTO!$D$15,CRONO!$F23,0))),CRONO!AB$12,OFFSET(CÁLCULO!$AB$15:$AL$15,$F23,0,OFFSET(ORÇAMENTO!$D$15,CRONO!$F23,0)))
                +IF(AND($F25&lt;&gt;"",$F25&lt;&gt;0),
                        SUMIF(CÁLCULO!$AM$15:$AW$55,CRONO!AB$12,CÁLCULO!$AB$15:$AL$55)/(ORÇAMENTO!$X$15-CÁLCULO.TotalAdmLocal)*CRONO!$F25,
                        0),
                 AB24*$S23),
          SUMIF(OFFSET($S25,1,0,$R23-2),($M23+1)&amp;"$",OFFSET(AB25,1,0,$R23-2)))</f>
        <v>0</v>
      </c>
      <c r="AC25" s="201" cm="1">
        <f t="array" aca="1" ref="AC25" ca="1">IF($R23=2,
         IF(AND(ACOMPANHAMENTO="PLE",ISNUMBER($F23)),
                SUMIF((OFFSET(CÁLCULO!$AM$15:$AW$15,$F23,0,OFFSET(ORÇAMENTO!$D$15,CRONO!$F23,0))),CRONO!AC$12,OFFSET(CÁLCULO!$AB$15:$AL$15,$F23,0,OFFSET(ORÇAMENTO!$D$15,CRONO!$F23,0)))
                +IF(AND($F25&lt;&gt;"",$F25&lt;&gt;0),
                        SUMIF(CÁLCULO!$AM$15:$AW$55,CRONO!AC$12,CÁLCULO!$AB$15:$AL$55)/(ORÇAMENTO!$X$15-CÁLCULO.TotalAdmLocal)*CRONO!$F25,
                        0),
                 AC24*$S23),
          SUMIF(OFFSET($S25,1,0,$R23-2),($M23+1)&amp;"$",OFFSET(AC25,1,0,$R23-2)))</f>
        <v>0</v>
      </c>
      <c r="AD25" s="201" cm="1">
        <f t="array" aca="1" ref="AD25" ca="1">IF($R23=2,
         IF(AND(ACOMPANHAMENTO="PLE",ISNUMBER($F23)),
                SUMIF((OFFSET(CÁLCULO!$AM$15:$AW$15,$F23,0,OFFSET(ORÇAMENTO!$D$15,CRONO!$F23,0))),CRONO!AD$12,OFFSET(CÁLCULO!$AB$15:$AL$15,$F23,0,OFFSET(ORÇAMENTO!$D$15,CRONO!$F23,0)))
                +IF(AND($F25&lt;&gt;"",$F25&lt;&gt;0),
                        SUMIF(CÁLCULO!$AM$15:$AW$55,CRONO!AD$12,CÁLCULO!$AB$15:$AL$55)/(ORÇAMENTO!$X$15-CÁLCULO.TotalAdmLocal)*CRONO!$F25,
                        0),
                 AD24*$S23),
          SUMIF(OFFSET($S25,1,0,$R23-2),($M23+1)&amp;"$",OFFSET(AD25,1,0,$R23-2)))</f>
        <v>0</v>
      </c>
      <c r="AE25" s="201" cm="1">
        <f t="array" aca="1" ref="AE25" ca="1">IF($R23=2,
         IF(AND(ACOMPANHAMENTO="PLE",ISNUMBER($F23)),
                SUMIF((OFFSET(CÁLCULO!$AM$15:$AW$15,$F23,0,OFFSET(ORÇAMENTO!$D$15,CRONO!$F23,0))),CRONO!AE$12,OFFSET(CÁLCULO!$AB$15:$AL$15,$F23,0,OFFSET(ORÇAMENTO!$D$15,CRONO!$F23,0)))
                +IF(AND($F25&lt;&gt;"",$F25&lt;&gt;0),
                        SUMIF(CÁLCULO!$AM$15:$AW$55,CRONO!AE$12,CÁLCULO!$AB$15:$AL$55)/(ORÇAMENTO!$X$15-CÁLCULO.TotalAdmLocal)*CRONO!$F25,
                        0),
                 AE24*$S23),
          SUMIF(OFFSET($S25,1,0,$R23-2),($M23+1)&amp;"$",OFFSET(AE25,1,0,$R23-2)))</f>
        <v>0</v>
      </c>
      <c r="AF25" s="201" cm="1">
        <f t="array" aca="1" ref="AF25" ca="1">IF($R23=2,
         IF(AND(ACOMPANHAMENTO="PLE",ISNUMBER($F23)),
                SUMIF((OFFSET(CÁLCULO!$AM$15:$AW$15,$F23,0,OFFSET(ORÇAMENTO!$D$15,CRONO!$F23,0))),CRONO!AF$12,OFFSET(CÁLCULO!$AB$15:$AL$15,$F23,0,OFFSET(ORÇAMENTO!$D$15,CRONO!$F23,0)))
                +IF(AND($F25&lt;&gt;"",$F25&lt;&gt;0),
                        SUMIF(CÁLCULO!$AM$15:$AW$55,CRONO!AF$12,CÁLCULO!$AB$15:$AL$55)/(ORÇAMENTO!$X$15-CÁLCULO.TotalAdmLocal)*CRONO!$F25,
                        0),
                 AF24*$S23),
          SUMIF(OFFSET($S25,1,0,$R23-2),($M23+1)&amp;"$",OFFSET(AF25,1,0,$R23-2)))</f>
        <v>0</v>
      </c>
      <c r="AG25" s="533"/>
    </row>
    <row r="26" spans="1:33" x14ac:dyDescent="0.2">
      <c r="A26" s="185" t="e">
        <f t="shared" ref="A26" ca="1" si="26">IF($M26&gt;1,_xlfn.CONCAT($I26," ",$J26),"")</f>
        <v>#NAME?</v>
      </c>
      <c r="B26" s="184">
        <f t="shared" ref="B26" ca="1" si="27">OFFSET(B26,-3,0)+1</f>
        <v>5</v>
      </c>
      <c r="C26" s="184">
        <f ca="1">IF($R26&lt;&gt;2,0,IF($S26=0,1,IF(F27&gt;0,OFFSET(QCI!$M$13,SUBSTITUTE(F27,".",""),0),OFFSET(ORÇAMENTO!$AA$15,CRONO!$F26,0))/$S26))</f>
        <v>2.8191147708984355E-3</v>
      </c>
      <c r="D26" s="184">
        <f ca="1">IF($R26&lt;&gt;2,0,IF($S26=0,1,IF(F27&gt;0,OFFSET(QCI!$N$13,SUBSTITUTE(F27,".",""),0),OFFSET(ORÇAMENTO!$AB$15,CRONO!$F26,0))/$S26))</f>
        <v>0</v>
      </c>
      <c r="E26" s="187" cm="1">
        <f t="array" aca="1" ref="E26" ca="1">IF(AND($R26=2,ACOMPANHAMENTO="BM"),ROUND(E27,4),E28/$S26)</f>
        <v>1</v>
      </c>
      <c r="F26" s="184" cm="1">
        <f t="array" aca="1" ref="F26" ca="1">IF(B26&lt;=ORÇAMENTO.MáximoListaCrono,MATCH(B26,ORÇAMENTO.ListaCrono,0),NA())</f>
        <v>15</v>
      </c>
      <c r="G26" s="184" t="str">
        <f t="shared" ref="G26" ca="1" si="28">IF(AND($F27&lt;&gt;-1,$S26&gt;0),"F","")</f>
        <v>F</v>
      </c>
      <c r="H26" s="188" t="str" cm="1">
        <f t="array" aca="1" ref="H26" ca="1">IF(OR(S26=0,S26=""),"Linha",IF(AND(OR(ACOMPANHAMENTO="PLE",$R26&lt;&gt;2),$F27=0),"Linha",ROUND(1-SUM(U26:AG26),4)))</f>
        <v>Linha</v>
      </c>
      <c r="I26" s="189" t="str">
        <f ca="1">IF($F27=0,OFFSET(ORÇAMENTO!O$15,$F26,0),IF($F27&lt;&gt;-1,OFFSET(QCI!$D$13,$F27,0),""))</f>
        <v>1.4.</v>
      </c>
      <c r="J26" s="190" t="str">
        <f ca="1">IF($F27=0,OFFSET(ORÇAMENTO!R$15,$F26,0),IF($F27&lt;&gt;-1,OFFSET(QCI!$G$13,$F27,0),""))</f>
        <v>INFRAESTRUTURA</v>
      </c>
      <c r="K26" s="190"/>
      <c r="L26" s="190"/>
      <c r="M26" s="191">
        <f ca="1">IF($F27=0,OFFSET(ORÇAMENTO!C$15,$F26,0),1)</f>
        <v>2</v>
      </c>
      <c r="N26" s="192">
        <f ca="1">IF($F27=-1,0,IF(N$13&lt;=$M26,IF(ISERROR(MATCH(N$13,OFFSET($M26,1,0,ROW($M$41)-ROW($M26)-1),0)),ROW($M$41)-ROW($M26)-1,MATCH(N$13,OFFSET($M26,1,0,ROW($M$41)-ROW($M26)-1),0)-1),0))</f>
        <v>14</v>
      </c>
      <c r="O26" s="192">
        <f ca="1">IF($F27=-1,0,IF(O$13&lt;=$M26,IF(ISERROR(MATCH(O$13,OFFSET($M26,1,0,ROW($M$41)-ROW($M26)-1),0)),ROW($M$41)-ROW($M26)-1,MATCH(O$13,OFFSET($M26,1,0,ROW($M$41)-ROW($M26)-1),0)-1),0))</f>
        <v>2</v>
      </c>
      <c r="P26" s="192">
        <f ca="1">IF($F27=-1,0,IF(P$13&lt;=$M26,IF(ISERROR(MATCH(P$13,OFFSET($M26,1,0,ROW($M$41)-ROW($M26)-1),0)),ROW($M$41)-ROW($M26)-1,MATCH(P$13,OFFSET($M26,1,0,ROW($M$41)-ROW($M26)-1),0)-1),0))</f>
        <v>0</v>
      </c>
      <c r="Q26" s="192">
        <f ca="1">IF($F27=-1,0,IF(Q$13&lt;=$M26,IF(ISERROR(MATCH(Q$13,OFFSET($M26,1,0,ROW($M$41)-ROW($M26)-1),0)),ROW($M$41)-ROW($M26)-1,MATCH(Q$13,OFFSET($M26,1,0,ROW($M$41)-ROW($M26)-1),0)-1),0))</f>
        <v>0</v>
      </c>
      <c r="R26" s="192">
        <f t="shared" ref="R26" ca="1" si="29">MIN(OFFSET(M26,0,1,,M26))</f>
        <v>2</v>
      </c>
      <c r="S26" s="193">
        <f ca="1">IF($F27=0,OFFSET(ORÇAMENTO!X$15,$F26,0),IF($F27&lt;&gt;-1,OFFSET(QCI!$O$13,$F27,0),""))</f>
        <v>54577.58</v>
      </c>
      <c r="T26" s="194" t="s">
        <v>785</v>
      </c>
      <c r="U26" s="187" cm="1">
        <f t="array" aca="1" ref="U26" ca="1">IF(AND($R26=2,ACOMPANHAMENTO="BM"),ROUND(U27,4),U28/$S26)</f>
        <v>1</v>
      </c>
      <c r="V26" s="187" cm="1">
        <f t="array" aca="1" ref="V26" ca="1">IF(AND($R26=2,ACOMPANHAMENTO="BM"),ROUND(V27,4),V28/$S26)</f>
        <v>0</v>
      </c>
      <c r="W26" s="187" cm="1">
        <f t="array" aca="1" ref="W26" ca="1">IF(AND($R26=2,ACOMPANHAMENTO="BM"),ROUND(W27,4),W28/$S26)</f>
        <v>0</v>
      </c>
      <c r="X26" s="187" cm="1">
        <f t="array" aca="1" ref="X26" ca="1">IF(AND($R26=2,ACOMPANHAMENTO="BM"),ROUND(X27,4),X28/$S26)</f>
        <v>0</v>
      </c>
      <c r="Y26" s="187" cm="1">
        <f t="array" aca="1" ref="Y26" ca="1">IF(AND($R26=2,ACOMPANHAMENTO="BM"),ROUND(Y27,4),Y28/$S26)</f>
        <v>0</v>
      </c>
      <c r="Z26" s="187" cm="1">
        <f t="array" aca="1" ref="Z26" ca="1">IF(AND($R26=2,ACOMPANHAMENTO="BM"),ROUND(Z27,4),Z28/$S26)</f>
        <v>0</v>
      </c>
      <c r="AA26" s="187" cm="1">
        <f t="array" aca="1" ref="AA26" ca="1">IF(AND($R26=2,ACOMPANHAMENTO="BM"),ROUND(AA27,4),AA28/$S26)</f>
        <v>0</v>
      </c>
      <c r="AB26" s="187" cm="1">
        <f t="array" aca="1" ref="AB26" ca="1">IF(AND($R26=2,ACOMPANHAMENTO="BM"),ROUND(AB27,4),AB28/$S26)</f>
        <v>0</v>
      </c>
      <c r="AC26" s="187" cm="1">
        <f t="array" aca="1" ref="AC26" ca="1">IF(AND($R26=2,ACOMPANHAMENTO="BM"),ROUND(AC27,4),AC28/$S26)</f>
        <v>0</v>
      </c>
      <c r="AD26" s="187" cm="1">
        <f t="array" aca="1" ref="AD26" ca="1">IF(AND($R26=2,ACOMPANHAMENTO="BM"),ROUND(AD27,4),AD28/$S26)</f>
        <v>0</v>
      </c>
      <c r="AE26" s="187" cm="1">
        <f t="array" aca="1" ref="AE26" ca="1">IF(AND($R26=2,ACOMPANHAMENTO="BM"),ROUND(AE27,4),AE28/$S26)</f>
        <v>0</v>
      </c>
      <c r="AF26" s="187" cm="1">
        <f t="array" aca="1" ref="AF26" ca="1">IF(AND($R26=2,ACOMPANHAMENTO="BM"),ROUND(AF27,4),AF28/$S26)</f>
        <v>0</v>
      </c>
      <c r="AG26" s="533"/>
    </row>
    <row r="27" spans="1:33" ht="12.75" hidden="1" customHeight="1" x14ac:dyDescent="0.2">
      <c r="E27" s="586"/>
      <c r="F27" s="184">
        <f ca="1">IF(ISERROR(F26),IF(1+COUNTIF($M$13:OFFSET(M26,-1,0),1)&lt;=MAX(QCI!$D$13:$D$24),1+COUNTIF($M$13:OFFSET(M26,-1,0),1),-1),0)</f>
        <v>0</v>
      </c>
      <c r="G27" s="184" t="str" cm="1">
        <f t="array" aca="1" ref="G27" ca="1">IF(ACOMPANHAMENTO="BM",OFFSET(G27,-1,0),"")</f>
        <v/>
      </c>
      <c r="H27" s="195" t="str" cm="1">
        <f t="array" aca="1" ref="H27" ca="1">IF(OR(S26=0,S26=""),"vazia",IF(AND(OR(ACOMPANHAMENTO="PLE",$R26&lt;&gt;2),$F27=0),"calculada","--&gt;"))</f>
        <v>calculada</v>
      </c>
      <c r="I27" s="196"/>
      <c r="J27" s="197" t="str">
        <f t="shared" ref="J27" ca="1" si="30">IF(AND(H26&lt;&gt;0,ISNUMBER(H26)),"PREENCHA ESTA LINHA --&gt;","")</f>
        <v/>
      </c>
      <c r="K27" s="197"/>
      <c r="L27" s="197"/>
      <c r="M27" s="198"/>
      <c r="N27" s="198"/>
      <c r="O27" s="198"/>
      <c r="P27" s="198"/>
      <c r="Q27" s="198"/>
      <c r="R27" s="198"/>
      <c r="S27" s="199"/>
      <c r="T27" s="200"/>
      <c r="U27" s="586"/>
      <c r="V27" s="586"/>
      <c r="W27" s="586"/>
      <c r="X27" s="586"/>
      <c r="Y27" s="586"/>
      <c r="Z27" s="586"/>
      <c r="AA27" s="586"/>
      <c r="AB27" s="586"/>
      <c r="AC27" s="586"/>
      <c r="AD27" s="586"/>
      <c r="AE27" s="586"/>
      <c r="AF27" s="586"/>
      <c r="AG27" s="533"/>
    </row>
    <row r="28" spans="1:33" ht="12.75" hidden="1" customHeight="1" x14ac:dyDescent="0.2">
      <c r="D28" s="532"/>
      <c r="E28" s="201" cm="1">
        <f t="array" aca="1" ref="E28" ca="1">IF($R26=2,
         IF(AND(ACOMPANHAMENTO="PLE",ISNUMBER($F26)),
                SUMIF((OFFSET(CÁLCULO!$AM$15:$AW$15,$F26,0,OFFSET(ORÇAMENTO!$D$15,CRONO!$F26,0))),CRONO!E$12,OFFSET(CÁLCULO!$AB$15:$AL$15,$F26,0,OFFSET(ORÇAMENTO!$D$15,CRONO!$F26,0)))
                +IF(AND($F28&lt;&gt;"",$F28&lt;&gt;0),
                        SUMIF(CÁLCULO!$AM$15:$AW$55,CRONO!E$12,CÁLCULO!$AB$15:$AL$55)/(ORÇAMENTO!$X$15-CÁLCULO.TotalAdmLocal)*CRONO!$F28,
                        0),
                 E27*$S26),
          SUMIF(OFFSET($S28,1,0,$R26-2),($M26+1)&amp;"$",OFFSET(E28,1,0,$R26-2)))</f>
        <v>54577.58</v>
      </c>
      <c r="F28" s="184" t="str">
        <f ca="1">IF(OR($R26&lt;&gt;2,AUTOEVENTO&lt;&gt;"manual",$F27&gt;0),"",
        IF(Import.TipoArredondamento="Tradicional",
              SUMIF(OFFSET(CÁLCULO!$M$15,CRONO!$F26,0,OFFSET(ORÇAMENTO!$D$15,CRONO!$F26,0)),1,OFFSET(ORÇAMENTO!$X$15,CRONO!$F26,0,OFFSET(ORÇAMENTO!$D$15,CRONO!$F26,0))),
              0))</f>
        <v/>
      </c>
      <c r="H28" s="202"/>
      <c r="S28" s="203" t="str">
        <f t="shared" ref="S28" ca="1" si="31">M26&amp;"$"</f>
        <v>2$</v>
      </c>
      <c r="T28" s="204"/>
      <c r="U28" s="201" cm="1">
        <f t="array" aca="1" ref="U28" ca="1">IF($R26=2,
         IF(AND(ACOMPANHAMENTO="PLE",ISNUMBER($F26)),
                SUMIF((OFFSET(CÁLCULO!$AM$15:$AW$15,$F26,0,OFFSET(ORÇAMENTO!$D$15,CRONO!$F26,0))),CRONO!U$12,OFFSET(CÁLCULO!$AB$15:$AL$15,$F26,0,OFFSET(ORÇAMENTO!$D$15,CRONO!$F26,0)))
                +IF(AND($F28&lt;&gt;"",$F28&lt;&gt;0),
                        SUMIF(CÁLCULO!$AM$15:$AW$55,CRONO!U$12,CÁLCULO!$AB$15:$AL$55)/(ORÇAMENTO!$X$15-CÁLCULO.TotalAdmLocal)*CRONO!$F28,
                        0),
                 U27*$S26),
          SUMIF(OFFSET($S28,1,0,$R26-2),($M26+1)&amp;"$",OFFSET(U28,1,0,$R26-2)))</f>
        <v>54577.58</v>
      </c>
      <c r="V28" s="201" cm="1">
        <f t="array" aca="1" ref="V28" ca="1">IF($R26=2,
         IF(AND(ACOMPANHAMENTO="PLE",ISNUMBER($F26)),
                SUMIF((OFFSET(CÁLCULO!$AM$15:$AW$15,$F26,0,OFFSET(ORÇAMENTO!$D$15,CRONO!$F26,0))),CRONO!V$12,OFFSET(CÁLCULO!$AB$15:$AL$15,$F26,0,OFFSET(ORÇAMENTO!$D$15,CRONO!$F26,0)))
                +IF(AND($F28&lt;&gt;"",$F28&lt;&gt;0),
                        SUMIF(CÁLCULO!$AM$15:$AW$55,CRONO!V$12,CÁLCULO!$AB$15:$AL$55)/(ORÇAMENTO!$X$15-CÁLCULO.TotalAdmLocal)*CRONO!$F28,
                        0),
                 V27*$S26),
          SUMIF(OFFSET($S28,1,0,$R26-2),($M26+1)&amp;"$",OFFSET(V28,1,0,$R26-2)))</f>
        <v>0</v>
      </c>
      <c r="W28" s="201" cm="1">
        <f t="array" aca="1" ref="W28" ca="1">IF($R26=2,
         IF(AND(ACOMPANHAMENTO="PLE",ISNUMBER($F26)),
                SUMIF((OFFSET(CÁLCULO!$AM$15:$AW$15,$F26,0,OFFSET(ORÇAMENTO!$D$15,CRONO!$F26,0))),CRONO!W$12,OFFSET(CÁLCULO!$AB$15:$AL$15,$F26,0,OFFSET(ORÇAMENTO!$D$15,CRONO!$F26,0)))
                +IF(AND($F28&lt;&gt;"",$F28&lt;&gt;0),
                        SUMIF(CÁLCULO!$AM$15:$AW$55,CRONO!W$12,CÁLCULO!$AB$15:$AL$55)/(ORÇAMENTO!$X$15-CÁLCULO.TotalAdmLocal)*CRONO!$F28,
                        0),
                 W27*$S26),
          SUMIF(OFFSET($S28,1,0,$R26-2),($M26+1)&amp;"$",OFFSET(W28,1,0,$R26-2)))</f>
        <v>0</v>
      </c>
      <c r="X28" s="201" cm="1">
        <f t="array" aca="1" ref="X28" ca="1">IF($R26=2,
         IF(AND(ACOMPANHAMENTO="PLE",ISNUMBER($F26)),
                SUMIF((OFFSET(CÁLCULO!$AM$15:$AW$15,$F26,0,OFFSET(ORÇAMENTO!$D$15,CRONO!$F26,0))),CRONO!X$12,OFFSET(CÁLCULO!$AB$15:$AL$15,$F26,0,OFFSET(ORÇAMENTO!$D$15,CRONO!$F26,0)))
                +IF(AND($F28&lt;&gt;"",$F28&lt;&gt;0),
                        SUMIF(CÁLCULO!$AM$15:$AW$55,CRONO!X$12,CÁLCULO!$AB$15:$AL$55)/(ORÇAMENTO!$X$15-CÁLCULO.TotalAdmLocal)*CRONO!$F28,
                        0),
                 X27*$S26),
          SUMIF(OFFSET($S28,1,0,$R26-2),($M26+1)&amp;"$",OFFSET(X28,1,0,$R26-2)))</f>
        <v>0</v>
      </c>
      <c r="Y28" s="201" cm="1">
        <f t="array" aca="1" ref="Y28" ca="1">IF($R26=2,
         IF(AND(ACOMPANHAMENTO="PLE",ISNUMBER($F26)),
                SUMIF((OFFSET(CÁLCULO!$AM$15:$AW$15,$F26,0,OFFSET(ORÇAMENTO!$D$15,CRONO!$F26,0))),CRONO!Y$12,OFFSET(CÁLCULO!$AB$15:$AL$15,$F26,0,OFFSET(ORÇAMENTO!$D$15,CRONO!$F26,0)))
                +IF(AND($F28&lt;&gt;"",$F28&lt;&gt;0),
                        SUMIF(CÁLCULO!$AM$15:$AW$55,CRONO!Y$12,CÁLCULO!$AB$15:$AL$55)/(ORÇAMENTO!$X$15-CÁLCULO.TotalAdmLocal)*CRONO!$F28,
                        0),
                 Y27*$S26),
          SUMIF(OFFSET($S28,1,0,$R26-2),($M26+1)&amp;"$",OFFSET(Y28,1,0,$R26-2)))</f>
        <v>0</v>
      </c>
      <c r="Z28" s="201" cm="1">
        <f t="array" aca="1" ref="Z28" ca="1">IF($R26=2,
         IF(AND(ACOMPANHAMENTO="PLE",ISNUMBER($F26)),
                SUMIF((OFFSET(CÁLCULO!$AM$15:$AW$15,$F26,0,OFFSET(ORÇAMENTO!$D$15,CRONO!$F26,0))),CRONO!Z$12,OFFSET(CÁLCULO!$AB$15:$AL$15,$F26,0,OFFSET(ORÇAMENTO!$D$15,CRONO!$F26,0)))
                +IF(AND($F28&lt;&gt;"",$F28&lt;&gt;0),
                        SUMIF(CÁLCULO!$AM$15:$AW$55,CRONO!Z$12,CÁLCULO!$AB$15:$AL$55)/(ORÇAMENTO!$X$15-CÁLCULO.TotalAdmLocal)*CRONO!$F28,
                        0),
                 Z27*$S26),
          SUMIF(OFFSET($S28,1,0,$R26-2),($M26+1)&amp;"$",OFFSET(Z28,1,0,$R26-2)))</f>
        <v>0</v>
      </c>
      <c r="AA28" s="201" cm="1">
        <f t="array" aca="1" ref="AA28" ca="1">IF($R26=2,
         IF(AND(ACOMPANHAMENTO="PLE",ISNUMBER($F26)),
                SUMIF((OFFSET(CÁLCULO!$AM$15:$AW$15,$F26,0,OFFSET(ORÇAMENTO!$D$15,CRONO!$F26,0))),CRONO!AA$12,OFFSET(CÁLCULO!$AB$15:$AL$15,$F26,0,OFFSET(ORÇAMENTO!$D$15,CRONO!$F26,0)))
                +IF(AND($F28&lt;&gt;"",$F28&lt;&gt;0),
                        SUMIF(CÁLCULO!$AM$15:$AW$55,CRONO!AA$12,CÁLCULO!$AB$15:$AL$55)/(ORÇAMENTO!$X$15-CÁLCULO.TotalAdmLocal)*CRONO!$F28,
                        0),
                 AA27*$S26),
          SUMIF(OFFSET($S28,1,0,$R26-2),($M26+1)&amp;"$",OFFSET(AA28,1,0,$R26-2)))</f>
        <v>0</v>
      </c>
      <c r="AB28" s="201" cm="1">
        <f t="array" aca="1" ref="AB28" ca="1">IF($R26=2,
         IF(AND(ACOMPANHAMENTO="PLE",ISNUMBER($F26)),
                SUMIF((OFFSET(CÁLCULO!$AM$15:$AW$15,$F26,0,OFFSET(ORÇAMENTO!$D$15,CRONO!$F26,0))),CRONO!AB$12,OFFSET(CÁLCULO!$AB$15:$AL$15,$F26,0,OFFSET(ORÇAMENTO!$D$15,CRONO!$F26,0)))
                +IF(AND($F28&lt;&gt;"",$F28&lt;&gt;0),
                        SUMIF(CÁLCULO!$AM$15:$AW$55,CRONO!AB$12,CÁLCULO!$AB$15:$AL$55)/(ORÇAMENTO!$X$15-CÁLCULO.TotalAdmLocal)*CRONO!$F28,
                        0),
                 AB27*$S26),
          SUMIF(OFFSET($S28,1,0,$R26-2),($M26+1)&amp;"$",OFFSET(AB28,1,0,$R26-2)))</f>
        <v>0</v>
      </c>
      <c r="AC28" s="201" cm="1">
        <f t="array" aca="1" ref="AC28" ca="1">IF($R26=2,
         IF(AND(ACOMPANHAMENTO="PLE",ISNUMBER($F26)),
                SUMIF((OFFSET(CÁLCULO!$AM$15:$AW$15,$F26,0,OFFSET(ORÇAMENTO!$D$15,CRONO!$F26,0))),CRONO!AC$12,OFFSET(CÁLCULO!$AB$15:$AL$15,$F26,0,OFFSET(ORÇAMENTO!$D$15,CRONO!$F26,0)))
                +IF(AND($F28&lt;&gt;"",$F28&lt;&gt;0),
                        SUMIF(CÁLCULO!$AM$15:$AW$55,CRONO!AC$12,CÁLCULO!$AB$15:$AL$55)/(ORÇAMENTO!$X$15-CÁLCULO.TotalAdmLocal)*CRONO!$F28,
                        0),
                 AC27*$S26),
          SUMIF(OFFSET($S28,1,0,$R26-2),($M26+1)&amp;"$",OFFSET(AC28,1,0,$R26-2)))</f>
        <v>0</v>
      </c>
      <c r="AD28" s="201" cm="1">
        <f t="array" aca="1" ref="AD28" ca="1">IF($R26=2,
         IF(AND(ACOMPANHAMENTO="PLE",ISNUMBER($F26)),
                SUMIF((OFFSET(CÁLCULO!$AM$15:$AW$15,$F26,0,OFFSET(ORÇAMENTO!$D$15,CRONO!$F26,0))),CRONO!AD$12,OFFSET(CÁLCULO!$AB$15:$AL$15,$F26,0,OFFSET(ORÇAMENTO!$D$15,CRONO!$F26,0)))
                +IF(AND($F28&lt;&gt;"",$F28&lt;&gt;0),
                        SUMIF(CÁLCULO!$AM$15:$AW$55,CRONO!AD$12,CÁLCULO!$AB$15:$AL$55)/(ORÇAMENTO!$X$15-CÁLCULO.TotalAdmLocal)*CRONO!$F28,
                        0),
                 AD27*$S26),
          SUMIF(OFFSET($S28,1,0,$R26-2),($M26+1)&amp;"$",OFFSET(AD28,1,0,$R26-2)))</f>
        <v>0</v>
      </c>
      <c r="AE28" s="201" cm="1">
        <f t="array" aca="1" ref="AE28" ca="1">IF($R26=2,
         IF(AND(ACOMPANHAMENTO="PLE",ISNUMBER($F26)),
                SUMIF((OFFSET(CÁLCULO!$AM$15:$AW$15,$F26,0,OFFSET(ORÇAMENTO!$D$15,CRONO!$F26,0))),CRONO!AE$12,OFFSET(CÁLCULO!$AB$15:$AL$15,$F26,0,OFFSET(ORÇAMENTO!$D$15,CRONO!$F26,0)))
                +IF(AND($F28&lt;&gt;"",$F28&lt;&gt;0),
                        SUMIF(CÁLCULO!$AM$15:$AW$55,CRONO!AE$12,CÁLCULO!$AB$15:$AL$55)/(ORÇAMENTO!$X$15-CÁLCULO.TotalAdmLocal)*CRONO!$F28,
                        0),
                 AE27*$S26),
          SUMIF(OFFSET($S28,1,0,$R26-2),($M26+1)&amp;"$",OFFSET(AE28,1,0,$R26-2)))</f>
        <v>0</v>
      </c>
      <c r="AF28" s="201" cm="1">
        <f t="array" aca="1" ref="AF28" ca="1">IF($R26=2,
         IF(AND(ACOMPANHAMENTO="PLE",ISNUMBER($F26)),
                SUMIF((OFFSET(CÁLCULO!$AM$15:$AW$15,$F26,0,OFFSET(ORÇAMENTO!$D$15,CRONO!$F26,0))),CRONO!AF$12,OFFSET(CÁLCULO!$AB$15:$AL$15,$F26,0,OFFSET(ORÇAMENTO!$D$15,CRONO!$F26,0)))
                +IF(AND($F28&lt;&gt;"",$F28&lt;&gt;0),
                        SUMIF(CÁLCULO!$AM$15:$AW$55,CRONO!AF$12,CÁLCULO!$AB$15:$AL$55)/(ORÇAMENTO!$X$15-CÁLCULO.TotalAdmLocal)*CRONO!$F28,
                        0),
                 AF27*$S26),
          SUMIF(OFFSET($S28,1,0,$R26-2),($M26+1)&amp;"$",OFFSET(AF28,1,0,$R26-2)))</f>
        <v>0</v>
      </c>
      <c r="AG28" s="533"/>
    </row>
    <row r="29" spans="1:33" x14ac:dyDescent="0.2">
      <c r="A29" s="185" t="e">
        <f t="shared" ref="A29" ca="1" si="32">IF($M29&gt;1,_xlfn.CONCAT($I29," ",$J29),"")</f>
        <v>#NAME?</v>
      </c>
      <c r="B29" s="184">
        <f t="shared" ref="B29" ca="1" si="33">OFFSET(B29,-3,0)+1</f>
        <v>6</v>
      </c>
      <c r="C29" s="184">
        <f ca="1">IF($R29&lt;&gt;2,0,IF($S29=0,1,IF(F30&gt;0,OFFSET(QCI!$M$13,SUBSTITUTE(F30,".",""),0),OFFSET(ORÇAMENTO!$AA$15,CRONO!$F29,0))/$S29))</f>
        <v>2.8191147708984355E-3</v>
      </c>
      <c r="D29" s="184">
        <f ca="1">IF($R29&lt;&gt;2,0,IF($S29=0,1,IF(F30&gt;0,OFFSET(QCI!$N$13,SUBSTITUTE(F30,".",""),0),OFFSET(ORÇAMENTO!$AB$15,CRONO!$F29,0))/$S29))</f>
        <v>0</v>
      </c>
      <c r="E29" s="187" cm="1">
        <f t="array" aca="1" ref="E29" ca="1">IF(AND($R29=2,ACOMPANHAMENTO="BM"),ROUND(E30,4),E31/$S29)</f>
        <v>0.28587662149564708</v>
      </c>
      <c r="F29" s="184" cm="1">
        <f t="array" aca="1" ref="F29" ca="1">IF(B29&lt;=ORÇAMENTO.MáximoListaCrono,MATCH(B29,ORÇAMENTO.ListaCrono,0),NA())</f>
        <v>18</v>
      </c>
      <c r="G29" s="184" t="str">
        <f t="shared" ref="G29" ca="1" si="34">IF(AND($F30&lt;&gt;-1,$S29&gt;0),"F","")</f>
        <v>F</v>
      </c>
      <c r="H29" s="188" t="str" cm="1">
        <f t="array" aca="1" ref="H29" ca="1">IF(OR(S29=0,S29=""),"Linha",IF(AND(OR(ACOMPANHAMENTO="PLE",$R29&lt;&gt;2),$F30=0),"Linha",ROUND(1-SUM(U29:AG29),4)))</f>
        <v>Linha</v>
      </c>
      <c r="I29" s="189" t="str">
        <f ca="1">IF($F30=0,OFFSET(ORÇAMENTO!O$15,$F29,0),IF($F30&lt;&gt;-1,OFFSET(QCI!$D$13,$F30,0),""))</f>
        <v>1.5.</v>
      </c>
      <c r="J29" s="190" t="str">
        <f ca="1">IF($F30=0,OFFSET(ORÇAMENTO!R$15,$F29,0),IF($F30&lt;&gt;-1,OFFSET(QCI!$G$13,$F30,0),""))</f>
        <v>MESOESTRUTURA</v>
      </c>
      <c r="K29" s="190"/>
      <c r="L29" s="190"/>
      <c r="M29" s="191">
        <f ca="1">IF($F30=0,OFFSET(ORÇAMENTO!C$15,$F29,0),1)</f>
        <v>2</v>
      </c>
      <c r="N29" s="192">
        <f ca="1">IF($F30=-1,0,IF(N$13&lt;=$M29,IF(ISERROR(MATCH(N$13,OFFSET($M29,1,0,ROW($M$41)-ROW($M29)-1),0)),ROW($M$41)-ROW($M29)-1,MATCH(N$13,OFFSET($M29,1,0,ROW($M$41)-ROW($M29)-1),0)-1),0))</f>
        <v>11</v>
      </c>
      <c r="O29" s="192">
        <f ca="1">IF($F30=-1,0,IF(O$13&lt;=$M29,IF(ISERROR(MATCH(O$13,OFFSET($M29,1,0,ROW($M$41)-ROW($M29)-1),0)),ROW($M$41)-ROW($M29)-1,MATCH(O$13,OFFSET($M29,1,0,ROW($M$41)-ROW($M29)-1),0)-1),0))</f>
        <v>2</v>
      </c>
      <c r="P29" s="192">
        <f ca="1">IF($F30=-1,0,IF(P$13&lt;=$M29,IF(ISERROR(MATCH(P$13,OFFSET($M29,1,0,ROW($M$41)-ROW($M29)-1),0)),ROW($M$41)-ROW($M29)-1,MATCH(P$13,OFFSET($M29,1,0,ROW($M$41)-ROW($M29)-1),0)-1),0))</f>
        <v>0</v>
      </c>
      <c r="Q29" s="192">
        <f ca="1">IF($F30=-1,0,IF(Q$13&lt;=$M29,IF(ISERROR(MATCH(Q$13,OFFSET($M29,1,0,ROW($M$41)-ROW($M29)-1),0)),ROW($M$41)-ROW($M29)-1,MATCH(Q$13,OFFSET($M29,1,0,ROW($M$41)-ROW($M29)-1),0)-1),0))</f>
        <v>0</v>
      </c>
      <c r="R29" s="192">
        <f t="shared" ref="R29" ca="1" si="35">MIN(OFFSET(M29,0,1,,M29))</f>
        <v>2</v>
      </c>
      <c r="S29" s="193">
        <f ca="1">IF($F30=0,OFFSET(ORÇAMENTO!X$15,$F29,0),IF($F30&lt;&gt;-1,OFFSET(QCI!$O$13,$F30,0),""))</f>
        <v>142403.25</v>
      </c>
      <c r="T29" s="194" t="s">
        <v>785</v>
      </c>
      <c r="U29" s="187" cm="1">
        <f t="array" aca="1" ref="U29" ca="1">IF(AND($R29=2,ACOMPANHAMENTO="BM"),ROUND(U30,4),U31/$S29)</f>
        <v>0.28587662149564708</v>
      </c>
      <c r="V29" s="187" cm="1">
        <f t="array" aca="1" ref="V29" ca="1">IF(AND($R29=2,ACOMPANHAMENTO="BM"),ROUND(V30,4),V31/$S29)</f>
        <v>0.71412337850435292</v>
      </c>
      <c r="W29" s="187" cm="1">
        <f t="array" aca="1" ref="W29" ca="1">IF(AND($R29=2,ACOMPANHAMENTO="BM"),ROUND(W30,4),W31/$S29)</f>
        <v>0</v>
      </c>
      <c r="X29" s="187" cm="1">
        <f t="array" aca="1" ref="X29" ca="1">IF(AND($R29=2,ACOMPANHAMENTO="BM"),ROUND(X30,4),X31/$S29)</f>
        <v>0</v>
      </c>
      <c r="Y29" s="187" cm="1">
        <f t="array" aca="1" ref="Y29" ca="1">IF(AND($R29=2,ACOMPANHAMENTO="BM"),ROUND(Y30,4),Y31/$S29)</f>
        <v>0</v>
      </c>
      <c r="Z29" s="187" cm="1">
        <f t="array" aca="1" ref="Z29" ca="1">IF(AND($R29=2,ACOMPANHAMENTO="BM"),ROUND(Z30,4),Z31/$S29)</f>
        <v>0</v>
      </c>
      <c r="AA29" s="187" cm="1">
        <f t="array" aca="1" ref="AA29" ca="1">IF(AND($R29=2,ACOMPANHAMENTO="BM"),ROUND(AA30,4),AA31/$S29)</f>
        <v>0</v>
      </c>
      <c r="AB29" s="187" cm="1">
        <f t="array" aca="1" ref="AB29" ca="1">IF(AND($R29=2,ACOMPANHAMENTO="BM"),ROUND(AB30,4),AB31/$S29)</f>
        <v>0</v>
      </c>
      <c r="AC29" s="187" cm="1">
        <f t="array" aca="1" ref="AC29" ca="1">IF(AND($R29=2,ACOMPANHAMENTO="BM"),ROUND(AC30,4),AC31/$S29)</f>
        <v>0</v>
      </c>
      <c r="AD29" s="187" cm="1">
        <f t="array" aca="1" ref="AD29" ca="1">IF(AND($R29=2,ACOMPANHAMENTO="BM"),ROUND(AD30,4),AD31/$S29)</f>
        <v>0</v>
      </c>
      <c r="AE29" s="187" cm="1">
        <f t="array" aca="1" ref="AE29" ca="1">IF(AND($R29=2,ACOMPANHAMENTO="BM"),ROUND(AE30,4),AE31/$S29)</f>
        <v>0</v>
      </c>
      <c r="AF29" s="187" cm="1">
        <f t="array" aca="1" ref="AF29" ca="1">IF(AND($R29=2,ACOMPANHAMENTO="BM"),ROUND(AF30,4),AF31/$S29)</f>
        <v>0</v>
      </c>
      <c r="AG29" s="533"/>
    </row>
    <row r="30" spans="1:33" ht="12.75" hidden="1" customHeight="1" x14ac:dyDescent="0.2">
      <c r="E30" s="586"/>
      <c r="F30" s="184">
        <f ca="1">IF(ISERROR(F29),IF(1+COUNTIF($M$13:OFFSET(M29,-1,0),1)&lt;=MAX(QCI!$D$13:$D$24),1+COUNTIF($M$13:OFFSET(M29,-1,0),1),-1),0)</f>
        <v>0</v>
      </c>
      <c r="G30" s="184" t="str" cm="1">
        <f t="array" aca="1" ref="G30" ca="1">IF(ACOMPANHAMENTO="BM",OFFSET(G30,-1,0),"")</f>
        <v/>
      </c>
      <c r="H30" s="195" t="str" cm="1">
        <f t="array" aca="1" ref="H30" ca="1">IF(OR(S29=0,S29=""),"vazia",IF(AND(OR(ACOMPANHAMENTO="PLE",$R29&lt;&gt;2),$F30=0),"calculada","--&gt;"))</f>
        <v>calculada</v>
      </c>
      <c r="I30" s="196"/>
      <c r="J30" s="197" t="str">
        <f t="shared" ref="J30" ca="1" si="36">IF(AND(H29&lt;&gt;0,ISNUMBER(H29)),"PREENCHA ESTA LINHA --&gt;","")</f>
        <v/>
      </c>
      <c r="K30" s="197"/>
      <c r="L30" s="197"/>
      <c r="M30" s="198"/>
      <c r="N30" s="198"/>
      <c r="O30" s="198"/>
      <c r="P30" s="198"/>
      <c r="Q30" s="198"/>
      <c r="R30" s="198"/>
      <c r="S30" s="199"/>
      <c r="T30" s="200"/>
      <c r="U30" s="586"/>
      <c r="V30" s="586"/>
      <c r="W30" s="586"/>
      <c r="X30" s="586"/>
      <c r="Y30" s="586"/>
      <c r="Z30" s="586"/>
      <c r="AA30" s="586"/>
      <c r="AB30" s="586"/>
      <c r="AC30" s="586"/>
      <c r="AD30" s="586"/>
      <c r="AE30" s="586"/>
      <c r="AF30" s="586"/>
      <c r="AG30" s="533"/>
    </row>
    <row r="31" spans="1:33" ht="12.75" hidden="1" customHeight="1" x14ac:dyDescent="0.2">
      <c r="D31" s="532"/>
      <c r="E31" s="201" cm="1">
        <f t="array" aca="1" ref="E31" ca="1">IF($R29=2,
         IF(AND(ACOMPANHAMENTO="PLE",ISNUMBER($F29)),
                SUMIF((OFFSET(CÁLCULO!$AM$15:$AW$15,$F29,0,OFFSET(ORÇAMENTO!$D$15,CRONO!$F29,0))),CRONO!E$12,OFFSET(CÁLCULO!$AB$15:$AL$15,$F29,0,OFFSET(ORÇAMENTO!$D$15,CRONO!$F29,0)))
                +IF(AND($F31&lt;&gt;"",$F31&lt;&gt;0),
                        SUMIF(CÁLCULO!$AM$15:$AW$55,CRONO!E$12,CÁLCULO!$AB$15:$AL$55)/(ORÇAMENTO!$X$15-CÁLCULO.TotalAdmLocal)*CRONO!$F31,
                        0),
                 E30*$S29),
          SUMIF(OFFSET($S31,1,0,$R29-2),($M29+1)&amp;"$",OFFSET(E31,1,0,$R29-2)))</f>
        <v>40709.760000000002</v>
      </c>
      <c r="F31" s="184" t="str">
        <f ca="1">IF(OR($R29&lt;&gt;2,AUTOEVENTO&lt;&gt;"manual",$F30&gt;0),"",
        IF(Import.TipoArredondamento="Tradicional",
              SUMIF(OFFSET(CÁLCULO!$M$15,CRONO!$F29,0,OFFSET(ORÇAMENTO!$D$15,CRONO!$F29,0)),1,OFFSET(ORÇAMENTO!$X$15,CRONO!$F29,0,OFFSET(ORÇAMENTO!$D$15,CRONO!$F29,0))),
              0))</f>
        <v/>
      </c>
      <c r="H31" s="202"/>
      <c r="S31" s="203" t="str">
        <f t="shared" ref="S31" ca="1" si="37">M29&amp;"$"</f>
        <v>2$</v>
      </c>
      <c r="T31" s="204"/>
      <c r="U31" s="201" cm="1">
        <f t="array" aca="1" ref="U31" ca="1">IF($R29=2,
         IF(AND(ACOMPANHAMENTO="PLE",ISNUMBER($F29)),
                SUMIF((OFFSET(CÁLCULO!$AM$15:$AW$15,$F29,0,OFFSET(ORÇAMENTO!$D$15,CRONO!$F29,0))),CRONO!U$12,OFFSET(CÁLCULO!$AB$15:$AL$15,$F29,0,OFFSET(ORÇAMENTO!$D$15,CRONO!$F29,0)))
                +IF(AND($F31&lt;&gt;"",$F31&lt;&gt;0),
                        SUMIF(CÁLCULO!$AM$15:$AW$55,CRONO!U$12,CÁLCULO!$AB$15:$AL$55)/(ORÇAMENTO!$X$15-CÁLCULO.TotalAdmLocal)*CRONO!$F31,
                        0),
                 U30*$S29),
          SUMIF(OFFSET($S31,1,0,$R29-2),($M29+1)&amp;"$",OFFSET(U31,1,0,$R29-2)))</f>
        <v>40709.760000000002</v>
      </c>
      <c r="V31" s="201" cm="1">
        <f t="array" aca="1" ref="V31" ca="1">IF($R29=2,
         IF(AND(ACOMPANHAMENTO="PLE",ISNUMBER($F29)),
                SUMIF((OFFSET(CÁLCULO!$AM$15:$AW$15,$F29,0,OFFSET(ORÇAMENTO!$D$15,CRONO!$F29,0))),CRONO!V$12,OFFSET(CÁLCULO!$AB$15:$AL$15,$F29,0,OFFSET(ORÇAMENTO!$D$15,CRONO!$F29,0)))
                +IF(AND($F31&lt;&gt;"",$F31&lt;&gt;0),
                        SUMIF(CÁLCULO!$AM$15:$AW$55,CRONO!V$12,CÁLCULO!$AB$15:$AL$55)/(ORÇAMENTO!$X$15-CÁLCULO.TotalAdmLocal)*CRONO!$F31,
                        0),
                 V30*$S29),
          SUMIF(OFFSET($S31,1,0,$R29-2),($M29+1)&amp;"$",OFFSET(V31,1,0,$R29-2)))</f>
        <v>101693.48999999999</v>
      </c>
      <c r="W31" s="201" cm="1">
        <f t="array" aca="1" ref="W31" ca="1">IF($R29=2,
         IF(AND(ACOMPANHAMENTO="PLE",ISNUMBER($F29)),
                SUMIF((OFFSET(CÁLCULO!$AM$15:$AW$15,$F29,0,OFFSET(ORÇAMENTO!$D$15,CRONO!$F29,0))),CRONO!W$12,OFFSET(CÁLCULO!$AB$15:$AL$15,$F29,0,OFFSET(ORÇAMENTO!$D$15,CRONO!$F29,0)))
                +IF(AND($F31&lt;&gt;"",$F31&lt;&gt;0),
                        SUMIF(CÁLCULO!$AM$15:$AW$55,CRONO!W$12,CÁLCULO!$AB$15:$AL$55)/(ORÇAMENTO!$X$15-CÁLCULO.TotalAdmLocal)*CRONO!$F31,
                        0),
                 W30*$S29),
          SUMIF(OFFSET($S31,1,0,$R29-2),($M29+1)&amp;"$",OFFSET(W31,1,0,$R29-2)))</f>
        <v>0</v>
      </c>
      <c r="X31" s="201" cm="1">
        <f t="array" aca="1" ref="X31" ca="1">IF($R29=2,
         IF(AND(ACOMPANHAMENTO="PLE",ISNUMBER($F29)),
                SUMIF((OFFSET(CÁLCULO!$AM$15:$AW$15,$F29,0,OFFSET(ORÇAMENTO!$D$15,CRONO!$F29,0))),CRONO!X$12,OFFSET(CÁLCULO!$AB$15:$AL$15,$F29,0,OFFSET(ORÇAMENTO!$D$15,CRONO!$F29,0)))
                +IF(AND($F31&lt;&gt;"",$F31&lt;&gt;0),
                        SUMIF(CÁLCULO!$AM$15:$AW$55,CRONO!X$12,CÁLCULO!$AB$15:$AL$55)/(ORÇAMENTO!$X$15-CÁLCULO.TotalAdmLocal)*CRONO!$F31,
                        0),
                 X30*$S29),
          SUMIF(OFFSET($S31,1,0,$R29-2),($M29+1)&amp;"$",OFFSET(X31,1,0,$R29-2)))</f>
        <v>0</v>
      </c>
      <c r="Y31" s="201" cm="1">
        <f t="array" aca="1" ref="Y31" ca="1">IF($R29=2,
         IF(AND(ACOMPANHAMENTO="PLE",ISNUMBER($F29)),
                SUMIF((OFFSET(CÁLCULO!$AM$15:$AW$15,$F29,0,OFFSET(ORÇAMENTO!$D$15,CRONO!$F29,0))),CRONO!Y$12,OFFSET(CÁLCULO!$AB$15:$AL$15,$F29,0,OFFSET(ORÇAMENTO!$D$15,CRONO!$F29,0)))
                +IF(AND($F31&lt;&gt;"",$F31&lt;&gt;0),
                        SUMIF(CÁLCULO!$AM$15:$AW$55,CRONO!Y$12,CÁLCULO!$AB$15:$AL$55)/(ORÇAMENTO!$X$15-CÁLCULO.TotalAdmLocal)*CRONO!$F31,
                        0),
                 Y30*$S29),
          SUMIF(OFFSET($S31,1,0,$R29-2),($M29+1)&amp;"$",OFFSET(Y31,1,0,$R29-2)))</f>
        <v>0</v>
      </c>
      <c r="Z31" s="201" cm="1">
        <f t="array" aca="1" ref="Z31" ca="1">IF($R29=2,
         IF(AND(ACOMPANHAMENTO="PLE",ISNUMBER($F29)),
                SUMIF((OFFSET(CÁLCULO!$AM$15:$AW$15,$F29,0,OFFSET(ORÇAMENTO!$D$15,CRONO!$F29,0))),CRONO!Z$12,OFFSET(CÁLCULO!$AB$15:$AL$15,$F29,0,OFFSET(ORÇAMENTO!$D$15,CRONO!$F29,0)))
                +IF(AND($F31&lt;&gt;"",$F31&lt;&gt;0),
                        SUMIF(CÁLCULO!$AM$15:$AW$55,CRONO!Z$12,CÁLCULO!$AB$15:$AL$55)/(ORÇAMENTO!$X$15-CÁLCULO.TotalAdmLocal)*CRONO!$F31,
                        0),
                 Z30*$S29),
          SUMIF(OFFSET($S31,1,0,$R29-2),($M29+1)&amp;"$",OFFSET(Z31,1,0,$R29-2)))</f>
        <v>0</v>
      </c>
      <c r="AA31" s="201" cm="1">
        <f t="array" aca="1" ref="AA31" ca="1">IF($R29=2,
         IF(AND(ACOMPANHAMENTO="PLE",ISNUMBER($F29)),
                SUMIF((OFFSET(CÁLCULO!$AM$15:$AW$15,$F29,0,OFFSET(ORÇAMENTO!$D$15,CRONO!$F29,0))),CRONO!AA$12,OFFSET(CÁLCULO!$AB$15:$AL$15,$F29,0,OFFSET(ORÇAMENTO!$D$15,CRONO!$F29,0)))
                +IF(AND($F31&lt;&gt;"",$F31&lt;&gt;0),
                        SUMIF(CÁLCULO!$AM$15:$AW$55,CRONO!AA$12,CÁLCULO!$AB$15:$AL$55)/(ORÇAMENTO!$X$15-CÁLCULO.TotalAdmLocal)*CRONO!$F31,
                        0),
                 AA30*$S29),
          SUMIF(OFFSET($S31,1,0,$R29-2),($M29+1)&amp;"$",OFFSET(AA31,1,0,$R29-2)))</f>
        <v>0</v>
      </c>
      <c r="AB31" s="201" cm="1">
        <f t="array" aca="1" ref="AB31" ca="1">IF($R29=2,
         IF(AND(ACOMPANHAMENTO="PLE",ISNUMBER($F29)),
                SUMIF((OFFSET(CÁLCULO!$AM$15:$AW$15,$F29,0,OFFSET(ORÇAMENTO!$D$15,CRONO!$F29,0))),CRONO!AB$12,OFFSET(CÁLCULO!$AB$15:$AL$15,$F29,0,OFFSET(ORÇAMENTO!$D$15,CRONO!$F29,0)))
                +IF(AND($F31&lt;&gt;"",$F31&lt;&gt;0),
                        SUMIF(CÁLCULO!$AM$15:$AW$55,CRONO!AB$12,CÁLCULO!$AB$15:$AL$55)/(ORÇAMENTO!$X$15-CÁLCULO.TotalAdmLocal)*CRONO!$F31,
                        0),
                 AB30*$S29),
          SUMIF(OFFSET($S31,1,0,$R29-2),($M29+1)&amp;"$",OFFSET(AB31,1,0,$R29-2)))</f>
        <v>0</v>
      </c>
      <c r="AC31" s="201" cm="1">
        <f t="array" aca="1" ref="AC31" ca="1">IF($R29=2,
         IF(AND(ACOMPANHAMENTO="PLE",ISNUMBER($F29)),
                SUMIF((OFFSET(CÁLCULO!$AM$15:$AW$15,$F29,0,OFFSET(ORÇAMENTO!$D$15,CRONO!$F29,0))),CRONO!AC$12,OFFSET(CÁLCULO!$AB$15:$AL$15,$F29,0,OFFSET(ORÇAMENTO!$D$15,CRONO!$F29,0)))
                +IF(AND($F31&lt;&gt;"",$F31&lt;&gt;0),
                        SUMIF(CÁLCULO!$AM$15:$AW$55,CRONO!AC$12,CÁLCULO!$AB$15:$AL$55)/(ORÇAMENTO!$X$15-CÁLCULO.TotalAdmLocal)*CRONO!$F31,
                        0),
                 AC30*$S29),
          SUMIF(OFFSET($S31,1,0,$R29-2),($M29+1)&amp;"$",OFFSET(AC31,1,0,$R29-2)))</f>
        <v>0</v>
      </c>
      <c r="AD31" s="201" cm="1">
        <f t="array" aca="1" ref="AD31" ca="1">IF($R29=2,
         IF(AND(ACOMPANHAMENTO="PLE",ISNUMBER($F29)),
                SUMIF((OFFSET(CÁLCULO!$AM$15:$AW$15,$F29,0,OFFSET(ORÇAMENTO!$D$15,CRONO!$F29,0))),CRONO!AD$12,OFFSET(CÁLCULO!$AB$15:$AL$15,$F29,0,OFFSET(ORÇAMENTO!$D$15,CRONO!$F29,0)))
                +IF(AND($F31&lt;&gt;"",$F31&lt;&gt;0),
                        SUMIF(CÁLCULO!$AM$15:$AW$55,CRONO!AD$12,CÁLCULO!$AB$15:$AL$55)/(ORÇAMENTO!$X$15-CÁLCULO.TotalAdmLocal)*CRONO!$F31,
                        0),
                 AD30*$S29),
          SUMIF(OFFSET($S31,1,0,$R29-2),($M29+1)&amp;"$",OFFSET(AD31,1,0,$R29-2)))</f>
        <v>0</v>
      </c>
      <c r="AE31" s="201" cm="1">
        <f t="array" aca="1" ref="AE31" ca="1">IF($R29=2,
         IF(AND(ACOMPANHAMENTO="PLE",ISNUMBER($F29)),
                SUMIF((OFFSET(CÁLCULO!$AM$15:$AW$15,$F29,0,OFFSET(ORÇAMENTO!$D$15,CRONO!$F29,0))),CRONO!AE$12,OFFSET(CÁLCULO!$AB$15:$AL$15,$F29,0,OFFSET(ORÇAMENTO!$D$15,CRONO!$F29,0)))
                +IF(AND($F31&lt;&gt;"",$F31&lt;&gt;0),
                        SUMIF(CÁLCULO!$AM$15:$AW$55,CRONO!AE$12,CÁLCULO!$AB$15:$AL$55)/(ORÇAMENTO!$X$15-CÁLCULO.TotalAdmLocal)*CRONO!$F31,
                        0),
                 AE30*$S29),
          SUMIF(OFFSET($S31,1,0,$R29-2),($M29+1)&amp;"$",OFFSET(AE31,1,0,$R29-2)))</f>
        <v>0</v>
      </c>
      <c r="AF31" s="201" cm="1">
        <f t="array" aca="1" ref="AF31" ca="1">IF($R29=2,
         IF(AND(ACOMPANHAMENTO="PLE",ISNUMBER($F29)),
                SUMIF((OFFSET(CÁLCULO!$AM$15:$AW$15,$F29,0,OFFSET(ORÇAMENTO!$D$15,CRONO!$F29,0))),CRONO!AF$12,OFFSET(CÁLCULO!$AB$15:$AL$15,$F29,0,OFFSET(ORÇAMENTO!$D$15,CRONO!$F29,0)))
                +IF(AND($F31&lt;&gt;"",$F31&lt;&gt;0),
                        SUMIF(CÁLCULO!$AM$15:$AW$55,CRONO!AF$12,CÁLCULO!$AB$15:$AL$55)/(ORÇAMENTO!$X$15-CÁLCULO.TotalAdmLocal)*CRONO!$F31,
                        0),
                 AF30*$S29),
          SUMIF(OFFSET($S31,1,0,$R29-2),($M29+1)&amp;"$",OFFSET(AF31,1,0,$R29-2)))</f>
        <v>0</v>
      </c>
      <c r="AG31" s="533"/>
    </row>
    <row r="32" spans="1:33" x14ac:dyDescent="0.2">
      <c r="A32" s="185" t="e">
        <f t="shared" ref="A32" ca="1" si="38">IF($M32&gt;1,_xlfn.CONCAT($I32," ",$J32),"")</f>
        <v>#NAME?</v>
      </c>
      <c r="B32" s="184">
        <f t="shared" ref="B32" ca="1" si="39">OFFSET(B32,-3,0)+1</f>
        <v>7</v>
      </c>
      <c r="C32" s="184">
        <f ca="1">IF($R32&lt;&gt;2,0,IF($S32=0,1,IF(F33&gt;0,OFFSET(QCI!$M$13,SUBSTITUTE(F33,".",""),0),OFFSET(ORÇAMENTO!$AA$15,CRONO!$F32,0))/$S32))</f>
        <v>2.8191147708984355E-3</v>
      </c>
      <c r="D32" s="184">
        <f ca="1">IF($R32&lt;&gt;2,0,IF($S32=0,1,IF(F33&gt;0,OFFSET(QCI!$N$13,SUBSTITUTE(F33,".",""),0),OFFSET(ORÇAMENTO!$AB$15,CRONO!$F32,0))/$S32))</f>
        <v>0</v>
      </c>
      <c r="E32" s="187" cm="1">
        <f t="array" aca="1" ref="E32" ca="1">IF(AND($R32=2,ACOMPANHAMENTO="BM"),ROUND(E33,4),E34/$S32)</f>
        <v>0</v>
      </c>
      <c r="F32" s="184" cm="1">
        <f t="array" aca="1" ref="F32" ca="1">IF(B32&lt;=ORÇAMENTO.MáximoListaCrono,MATCH(B32,ORÇAMENTO.ListaCrono,0),NA())</f>
        <v>23</v>
      </c>
      <c r="G32" s="184" t="str">
        <f t="shared" ref="G32" ca="1" si="40">IF(AND($F33&lt;&gt;-1,$S32&gt;0),"F","")</f>
        <v>F</v>
      </c>
      <c r="H32" s="188" t="str" cm="1">
        <f t="array" aca="1" ref="H32" ca="1">IF(OR(S32=0,S32=""),"Linha",IF(AND(OR(ACOMPANHAMENTO="PLE",$R32&lt;&gt;2),$F33=0),"Linha",ROUND(1-SUM(U32:AG32),4)))</f>
        <v>Linha</v>
      </c>
      <c r="I32" s="189" t="str">
        <f ca="1">IF($F33=0,OFFSET(ORÇAMENTO!O$15,$F32,0),IF($F33&lt;&gt;-1,OFFSET(QCI!$D$13,$F33,0),""))</f>
        <v>1.6.</v>
      </c>
      <c r="J32" s="190" t="str">
        <f ca="1">IF($F33=0,OFFSET(ORÇAMENTO!R$15,$F32,0),IF($F33&lt;&gt;-1,OFFSET(QCI!$G$13,$F33,0),""))</f>
        <v>SUPERESTRUTURA</v>
      </c>
      <c r="K32" s="190"/>
      <c r="L32" s="190"/>
      <c r="M32" s="191">
        <f ca="1">IF($F33=0,OFFSET(ORÇAMENTO!C$15,$F32,0),1)</f>
        <v>2</v>
      </c>
      <c r="N32" s="192">
        <f ca="1">IF($F33=-1,0,IF(N$13&lt;=$M32,IF(ISERROR(MATCH(N$13,OFFSET($M32,1,0,ROW($M$41)-ROW($M32)-1),0)),ROW($M$41)-ROW($M32)-1,MATCH(N$13,OFFSET($M32,1,0,ROW($M$41)-ROW($M32)-1),0)-1),0))</f>
        <v>8</v>
      </c>
      <c r="O32" s="192">
        <f ca="1">IF($F33=-1,0,IF(O$13&lt;=$M32,IF(ISERROR(MATCH(O$13,OFFSET($M32,1,0,ROW($M$41)-ROW($M32)-1),0)),ROW($M$41)-ROW($M32)-1,MATCH(O$13,OFFSET($M32,1,0,ROW($M$41)-ROW($M32)-1),0)-1),0))</f>
        <v>2</v>
      </c>
      <c r="P32" s="192">
        <f ca="1">IF($F33=-1,0,IF(P$13&lt;=$M32,IF(ISERROR(MATCH(P$13,OFFSET($M32,1,0,ROW($M$41)-ROW($M32)-1),0)),ROW($M$41)-ROW($M32)-1,MATCH(P$13,OFFSET($M32,1,0,ROW($M$41)-ROW($M32)-1),0)-1),0))</f>
        <v>0</v>
      </c>
      <c r="Q32" s="192">
        <f ca="1">IF($F33=-1,0,IF(Q$13&lt;=$M32,IF(ISERROR(MATCH(Q$13,OFFSET($M32,1,0,ROW($M$41)-ROW($M32)-1),0)),ROW($M$41)-ROW($M32)-1,MATCH(Q$13,OFFSET($M32,1,0,ROW($M$41)-ROW($M32)-1),0)-1),0))</f>
        <v>0</v>
      </c>
      <c r="R32" s="192">
        <f t="shared" ref="R32" ca="1" si="41">MIN(OFFSET(M32,0,1,,M32))</f>
        <v>2</v>
      </c>
      <c r="S32" s="193">
        <f ca="1">IF($F33=0,OFFSET(ORÇAMENTO!X$15,$F32,0),IF($F33&lt;&gt;-1,OFFSET(QCI!$O$13,$F33,0),""))</f>
        <v>468010.88</v>
      </c>
      <c r="T32" s="194" t="s">
        <v>785</v>
      </c>
      <c r="U32" s="187" cm="1">
        <f t="array" aca="1" ref="U32" ca="1">IF(AND($R32=2,ACOMPANHAMENTO="BM"),ROUND(U33,4),U34/$S32)</f>
        <v>0</v>
      </c>
      <c r="V32" s="187" cm="1">
        <f t="array" aca="1" ref="V32" ca="1">IF(AND($R32=2,ACOMPANHAMENTO="BM"),ROUND(V33,4),V34/$S32)</f>
        <v>9.7737727806669797E-2</v>
      </c>
      <c r="W32" s="187" cm="1">
        <f t="array" aca="1" ref="W32" ca="1">IF(AND($R32=2,ACOMPANHAMENTO="BM"),ROUND(W33,4),W34/$S32)</f>
        <v>0.52458096700657897</v>
      </c>
      <c r="X32" s="187" cm="1">
        <f t="array" aca="1" ref="X32" ca="1">IF(AND($R32=2,ACOMPANHAMENTO="BM"),ROUND(X33,4),X34/$S32)</f>
        <v>0.37768130518675125</v>
      </c>
      <c r="Y32" s="187" cm="1">
        <f t="array" aca="1" ref="Y32" ca="1">IF(AND($R32=2,ACOMPANHAMENTO="BM"),ROUND(Y33,4),Y34/$S32)</f>
        <v>0</v>
      </c>
      <c r="Z32" s="187" cm="1">
        <f t="array" aca="1" ref="Z32" ca="1">IF(AND($R32=2,ACOMPANHAMENTO="BM"),ROUND(Z33,4),Z34/$S32)</f>
        <v>0</v>
      </c>
      <c r="AA32" s="187" cm="1">
        <f t="array" aca="1" ref="AA32" ca="1">IF(AND($R32=2,ACOMPANHAMENTO="BM"),ROUND(AA33,4),AA34/$S32)</f>
        <v>0</v>
      </c>
      <c r="AB32" s="187" cm="1">
        <f t="array" aca="1" ref="AB32" ca="1">IF(AND($R32=2,ACOMPANHAMENTO="BM"),ROUND(AB33,4),AB34/$S32)</f>
        <v>0</v>
      </c>
      <c r="AC32" s="187" cm="1">
        <f t="array" aca="1" ref="AC32" ca="1">IF(AND($R32=2,ACOMPANHAMENTO="BM"),ROUND(AC33,4),AC34/$S32)</f>
        <v>0</v>
      </c>
      <c r="AD32" s="187" cm="1">
        <f t="array" aca="1" ref="AD32" ca="1">IF(AND($R32=2,ACOMPANHAMENTO="BM"),ROUND(AD33,4),AD34/$S32)</f>
        <v>0</v>
      </c>
      <c r="AE32" s="187" cm="1">
        <f t="array" aca="1" ref="AE32" ca="1">IF(AND($R32=2,ACOMPANHAMENTO="BM"),ROUND(AE33,4),AE34/$S32)</f>
        <v>0</v>
      </c>
      <c r="AF32" s="187" cm="1">
        <f t="array" aca="1" ref="AF32" ca="1">IF(AND($R32=2,ACOMPANHAMENTO="BM"),ROUND(AF33,4),AF34/$S32)</f>
        <v>0</v>
      </c>
      <c r="AG32" s="533"/>
    </row>
    <row r="33" spans="1:33" ht="12.75" hidden="1" customHeight="1" x14ac:dyDescent="0.2">
      <c r="E33" s="586"/>
      <c r="F33" s="184">
        <f ca="1">IF(ISERROR(F32),IF(1+COUNTIF($M$13:OFFSET(M32,-1,0),1)&lt;=MAX(QCI!$D$13:$D$24),1+COUNTIF($M$13:OFFSET(M32,-1,0),1),-1),0)</f>
        <v>0</v>
      </c>
      <c r="G33" s="184" t="str" cm="1">
        <f t="array" aca="1" ref="G33" ca="1">IF(ACOMPANHAMENTO="BM",OFFSET(G33,-1,0),"")</f>
        <v/>
      </c>
      <c r="H33" s="195" t="str" cm="1">
        <f t="array" aca="1" ref="H33" ca="1">IF(OR(S32=0,S32=""),"vazia",IF(AND(OR(ACOMPANHAMENTO="PLE",$R32&lt;&gt;2),$F33=0),"calculada","--&gt;"))</f>
        <v>calculada</v>
      </c>
      <c r="I33" s="196"/>
      <c r="J33" s="197" t="str">
        <f t="shared" ref="J33" ca="1" si="42">IF(AND(H32&lt;&gt;0,ISNUMBER(H32)),"PREENCHA ESTA LINHA --&gt;","")</f>
        <v/>
      </c>
      <c r="K33" s="197"/>
      <c r="L33" s="197"/>
      <c r="M33" s="198"/>
      <c r="N33" s="198"/>
      <c r="O33" s="198"/>
      <c r="P33" s="198"/>
      <c r="Q33" s="198"/>
      <c r="R33" s="198"/>
      <c r="S33" s="199"/>
      <c r="T33" s="200"/>
      <c r="U33" s="586"/>
      <c r="V33" s="586"/>
      <c r="W33" s="586"/>
      <c r="X33" s="586"/>
      <c r="Y33" s="586"/>
      <c r="Z33" s="586"/>
      <c r="AA33" s="586"/>
      <c r="AB33" s="586"/>
      <c r="AC33" s="586"/>
      <c r="AD33" s="586"/>
      <c r="AE33" s="586"/>
      <c r="AF33" s="586"/>
      <c r="AG33" s="533"/>
    </row>
    <row r="34" spans="1:33" ht="12.75" hidden="1" customHeight="1" x14ac:dyDescent="0.2">
      <c r="D34" s="532"/>
      <c r="E34" s="201" cm="1">
        <f t="array" aca="1" ref="E34" ca="1">IF($R32=2,
         IF(AND(ACOMPANHAMENTO="PLE",ISNUMBER($F32)),
                SUMIF((OFFSET(CÁLCULO!$AM$15:$AW$15,$F32,0,OFFSET(ORÇAMENTO!$D$15,CRONO!$F32,0))),CRONO!E$12,OFFSET(CÁLCULO!$AB$15:$AL$15,$F32,0,OFFSET(ORÇAMENTO!$D$15,CRONO!$F32,0)))
                +IF(AND($F34&lt;&gt;"",$F34&lt;&gt;0),
                        SUMIF(CÁLCULO!$AM$15:$AW$55,CRONO!E$12,CÁLCULO!$AB$15:$AL$55)/(ORÇAMENTO!$X$15-CÁLCULO.TotalAdmLocal)*CRONO!$F34,
                        0),
                 E33*$S32),
          SUMIF(OFFSET($S34,1,0,$R32-2),($M32+1)&amp;"$",OFFSET(E34,1,0,$R32-2)))</f>
        <v>0</v>
      </c>
      <c r="F34" s="184" t="str">
        <f ca="1">IF(OR($R32&lt;&gt;2,AUTOEVENTO&lt;&gt;"manual",$F33&gt;0),"",
        IF(Import.TipoArredondamento="Tradicional",
              SUMIF(OFFSET(CÁLCULO!$M$15,CRONO!$F32,0,OFFSET(ORÇAMENTO!$D$15,CRONO!$F32,0)),1,OFFSET(ORÇAMENTO!$X$15,CRONO!$F32,0,OFFSET(ORÇAMENTO!$D$15,CRONO!$F32,0))),
              0))</f>
        <v/>
      </c>
      <c r="H34" s="202"/>
      <c r="S34" s="203" t="str">
        <f t="shared" ref="S34" ca="1" si="43">M32&amp;"$"</f>
        <v>2$</v>
      </c>
      <c r="T34" s="204"/>
      <c r="U34" s="201" cm="1">
        <f t="array" aca="1" ref="U34" ca="1">IF($R32=2,
         IF(AND(ACOMPANHAMENTO="PLE",ISNUMBER($F32)),
                SUMIF((OFFSET(CÁLCULO!$AM$15:$AW$15,$F32,0,OFFSET(ORÇAMENTO!$D$15,CRONO!$F32,0))),CRONO!U$12,OFFSET(CÁLCULO!$AB$15:$AL$15,$F32,0,OFFSET(ORÇAMENTO!$D$15,CRONO!$F32,0)))
                +IF(AND($F34&lt;&gt;"",$F34&lt;&gt;0),
                        SUMIF(CÁLCULO!$AM$15:$AW$55,CRONO!U$12,CÁLCULO!$AB$15:$AL$55)/(ORÇAMENTO!$X$15-CÁLCULO.TotalAdmLocal)*CRONO!$F34,
                        0),
                 U33*$S32),
          SUMIF(OFFSET($S34,1,0,$R32-2),($M32+1)&amp;"$",OFFSET(U34,1,0,$R32-2)))</f>
        <v>0</v>
      </c>
      <c r="V34" s="201" cm="1">
        <f t="array" aca="1" ref="V34" ca="1">IF($R32=2,
         IF(AND(ACOMPANHAMENTO="PLE",ISNUMBER($F32)),
                SUMIF((OFFSET(CÁLCULO!$AM$15:$AW$15,$F32,0,OFFSET(ORÇAMENTO!$D$15,CRONO!$F32,0))),CRONO!V$12,OFFSET(CÁLCULO!$AB$15:$AL$15,$F32,0,OFFSET(ORÇAMENTO!$D$15,CRONO!$F32,0)))
                +IF(AND($F34&lt;&gt;"",$F34&lt;&gt;0),
                        SUMIF(CÁLCULO!$AM$15:$AW$55,CRONO!V$12,CÁLCULO!$AB$15:$AL$55)/(ORÇAMENTO!$X$15-CÁLCULO.TotalAdmLocal)*CRONO!$F34,
                        0),
                 V33*$S32),
          SUMIF(OFFSET($S34,1,0,$R32-2),($M32+1)&amp;"$",OFFSET(V34,1,0,$R32-2)))</f>
        <v>45742.32</v>
      </c>
      <c r="W34" s="201" cm="1">
        <f t="array" aca="1" ref="W34" ca="1">IF($R32=2,
         IF(AND(ACOMPANHAMENTO="PLE",ISNUMBER($F32)),
                SUMIF((OFFSET(CÁLCULO!$AM$15:$AW$15,$F32,0,OFFSET(ORÇAMENTO!$D$15,CRONO!$F32,0))),CRONO!W$12,OFFSET(CÁLCULO!$AB$15:$AL$15,$F32,0,OFFSET(ORÇAMENTO!$D$15,CRONO!$F32,0)))
                +IF(AND($F34&lt;&gt;"",$F34&lt;&gt;0),
                        SUMIF(CÁLCULO!$AM$15:$AW$55,CRONO!W$12,CÁLCULO!$AB$15:$AL$55)/(ORÇAMENTO!$X$15-CÁLCULO.TotalAdmLocal)*CRONO!$F34,
                        0),
                 W33*$S32),
          SUMIF(OFFSET($S34,1,0,$R32-2),($M32+1)&amp;"$",OFFSET(W34,1,0,$R32-2)))</f>
        <v>245509.6</v>
      </c>
      <c r="X34" s="201" cm="1">
        <f t="array" aca="1" ref="X34" ca="1">IF($R32=2,
         IF(AND(ACOMPANHAMENTO="PLE",ISNUMBER($F32)),
                SUMIF((OFFSET(CÁLCULO!$AM$15:$AW$15,$F32,0,OFFSET(ORÇAMENTO!$D$15,CRONO!$F32,0))),CRONO!X$12,OFFSET(CÁLCULO!$AB$15:$AL$15,$F32,0,OFFSET(ORÇAMENTO!$D$15,CRONO!$F32,0)))
                +IF(AND($F34&lt;&gt;"",$F34&lt;&gt;0),
                        SUMIF(CÁLCULO!$AM$15:$AW$55,CRONO!X$12,CÁLCULO!$AB$15:$AL$55)/(ORÇAMENTO!$X$15-CÁLCULO.TotalAdmLocal)*CRONO!$F34,
                        0),
                 X33*$S32),
          SUMIF(OFFSET($S34,1,0,$R32-2),($M32+1)&amp;"$",OFFSET(X34,1,0,$R32-2)))</f>
        <v>176758.96000000002</v>
      </c>
      <c r="Y34" s="201" cm="1">
        <f t="array" aca="1" ref="Y34" ca="1">IF($R32=2,
         IF(AND(ACOMPANHAMENTO="PLE",ISNUMBER($F32)),
                SUMIF((OFFSET(CÁLCULO!$AM$15:$AW$15,$F32,0,OFFSET(ORÇAMENTO!$D$15,CRONO!$F32,0))),CRONO!Y$12,OFFSET(CÁLCULO!$AB$15:$AL$15,$F32,0,OFFSET(ORÇAMENTO!$D$15,CRONO!$F32,0)))
                +IF(AND($F34&lt;&gt;"",$F34&lt;&gt;0),
                        SUMIF(CÁLCULO!$AM$15:$AW$55,CRONO!Y$12,CÁLCULO!$AB$15:$AL$55)/(ORÇAMENTO!$X$15-CÁLCULO.TotalAdmLocal)*CRONO!$F34,
                        0),
                 Y33*$S32),
          SUMIF(OFFSET($S34,1,0,$R32-2),($M32+1)&amp;"$",OFFSET(Y34,1,0,$R32-2)))</f>
        <v>0</v>
      </c>
      <c r="Z34" s="201" cm="1">
        <f t="array" aca="1" ref="Z34" ca="1">IF($R32=2,
         IF(AND(ACOMPANHAMENTO="PLE",ISNUMBER($F32)),
                SUMIF((OFFSET(CÁLCULO!$AM$15:$AW$15,$F32,0,OFFSET(ORÇAMENTO!$D$15,CRONO!$F32,0))),CRONO!Z$12,OFFSET(CÁLCULO!$AB$15:$AL$15,$F32,0,OFFSET(ORÇAMENTO!$D$15,CRONO!$F32,0)))
                +IF(AND($F34&lt;&gt;"",$F34&lt;&gt;0),
                        SUMIF(CÁLCULO!$AM$15:$AW$55,CRONO!Z$12,CÁLCULO!$AB$15:$AL$55)/(ORÇAMENTO!$X$15-CÁLCULO.TotalAdmLocal)*CRONO!$F34,
                        0),
                 Z33*$S32),
          SUMIF(OFFSET($S34,1,0,$R32-2),($M32+1)&amp;"$",OFFSET(Z34,1,0,$R32-2)))</f>
        <v>0</v>
      </c>
      <c r="AA34" s="201" cm="1">
        <f t="array" aca="1" ref="AA34" ca="1">IF($R32=2,
         IF(AND(ACOMPANHAMENTO="PLE",ISNUMBER($F32)),
                SUMIF((OFFSET(CÁLCULO!$AM$15:$AW$15,$F32,0,OFFSET(ORÇAMENTO!$D$15,CRONO!$F32,0))),CRONO!AA$12,OFFSET(CÁLCULO!$AB$15:$AL$15,$F32,0,OFFSET(ORÇAMENTO!$D$15,CRONO!$F32,0)))
                +IF(AND($F34&lt;&gt;"",$F34&lt;&gt;0),
                        SUMIF(CÁLCULO!$AM$15:$AW$55,CRONO!AA$12,CÁLCULO!$AB$15:$AL$55)/(ORÇAMENTO!$X$15-CÁLCULO.TotalAdmLocal)*CRONO!$F34,
                        0),
                 AA33*$S32),
          SUMIF(OFFSET($S34,1,0,$R32-2),($M32+1)&amp;"$",OFFSET(AA34,1,0,$R32-2)))</f>
        <v>0</v>
      </c>
      <c r="AB34" s="201" cm="1">
        <f t="array" aca="1" ref="AB34" ca="1">IF($R32=2,
         IF(AND(ACOMPANHAMENTO="PLE",ISNUMBER($F32)),
                SUMIF((OFFSET(CÁLCULO!$AM$15:$AW$15,$F32,0,OFFSET(ORÇAMENTO!$D$15,CRONO!$F32,0))),CRONO!AB$12,OFFSET(CÁLCULO!$AB$15:$AL$15,$F32,0,OFFSET(ORÇAMENTO!$D$15,CRONO!$F32,0)))
                +IF(AND($F34&lt;&gt;"",$F34&lt;&gt;0),
                        SUMIF(CÁLCULO!$AM$15:$AW$55,CRONO!AB$12,CÁLCULO!$AB$15:$AL$55)/(ORÇAMENTO!$X$15-CÁLCULO.TotalAdmLocal)*CRONO!$F34,
                        0),
                 AB33*$S32),
          SUMIF(OFFSET($S34,1,0,$R32-2),($M32+1)&amp;"$",OFFSET(AB34,1,0,$R32-2)))</f>
        <v>0</v>
      </c>
      <c r="AC34" s="201" cm="1">
        <f t="array" aca="1" ref="AC34" ca="1">IF($R32=2,
         IF(AND(ACOMPANHAMENTO="PLE",ISNUMBER($F32)),
                SUMIF((OFFSET(CÁLCULO!$AM$15:$AW$15,$F32,0,OFFSET(ORÇAMENTO!$D$15,CRONO!$F32,0))),CRONO!AC$12,OFFSET(CÁLCULO!$AB$15:$AL$15,$F32,0,OFFSET(ORÇAMENTO!$D$15,CRONO!$F32,0)))
                +IF(AND($F34&lt;&gt;"",$F34&lt;&gt;0),
                        SUMIF(CÁLCULO!$AM$15:$AW$55,CRONO!AC$12,CÁLCULO!$AB$15:$AL$55)/(ORÇAMENTO!$X$15-CÁLCULO.TotalAdmLocal)*CRONO!$F34,
                        0),
                 AC33*$S32),
          SUMIF(OFFSET($S34,1,0,$R32-2),($M32+1)&amp;"$",OFFSET(AC34,1,0,$R32-2)))</f>
        <v>0</v>
      </c>
      <c r="AD34" s="201" cm="1">
        <f t="array" aca="1" ref="AD34" ca="1">IF($R32=2,
         IF(AND(ACOMPANHAMENTO="PLE",ISNUMBER($F32)),
                SUMIF((OFFSET(CÁLCULO!$AM$15:$AW$15,$F32,0,OFFSET(ORÇAMENTO!$D$15,CRONO!$F32,0))),CRONO!AD$12,OFFSET(CÁLCULO!$AB$15:$AL$15,$F32,0,OFFSET(ORÇAMENTO!$D$15,CRONO!$F32,0)))
                +IF(AND($F34&lt;&gt;"",$F34&lt;&gt;0),
                        SUMIF(CÁLCULO!$AM$15:$AW$55,CRONO!AD$12,CÁLCULO!$AB$15:$AL$55)/(ORÇAMENTO!$X$15-CÁLCULO.TotalAdmLocal)*CRONO!$F34,
                        0),
                 AD33*$S32),
          SUMIF(OFFSET($S34,1,0,$R32-2),($M32+1)&amp;"$",OFFSET(AD34,1,0,$R32-2)))</f>
        <v>0</v>
      </c>
      <c r="AE34" s="201" cm="1">
        <f t="array" aca="1" ref="AE34" ca="1">IF($R32=2,
         IF(AND(ACOMPANHAMENTO="PLE",ISNUMBER($F32)),
                SUMIF((OFFSET(CÁLCULO!$AM$15:$AW$15,$F32,0,OFFSET(ORÇAMENTO!$D$15,CRONO!$F32,0))),CRONO!AE$12,OFFSET(CÁLCULO!$AB$15:$AL$15,$F32,0,OFFSET(ORÇAMENTO!$D$15,CRONO!$F32,0)))
                +IF(AND($F34&lt;&gt;"",$F34&lt;&gt;0),
                        SUMIF(CÁLCULO!$AM$15:$AW$55,CRONO!AE$12,CÁLCULO!$AB$15:$AL$55)/(ORÇAMENTO!$X$15-CÁLCULO.TotalAdmLocal)*CRONO!$F34,
                        0),
                 AE33*$S32),
          SUMIF(OFFSET($S34,1,0,$R32-2),($M32+1)&amp;"$",OFFSET(AE34,1,0,$R32-2)))</f>
        <v>0</v>
      </c>
      <c r="AF34" s="201" cm="1">
        <f t="array" aca="1" ref="AF34" ca="1">IF($R32=2,
         IF(AND(ACOMPANHAMENTO="PLE",ISNUMBER($F32)),
                SUMIF((OFFSET(CÁLCULO!$AM$15:$AW$15,$F32,0,OFFSET(ORÇAMENTO!$D$15,CRONO!$F32,0))),CRONO!AF$12,OFFSET(CÁLCULO!$AB$15:$AL$15,$F32,0,OFFSET(ORÇAMENTO!$D$15,CRONO!$F32,0)))
                +IF(AND($F34&lt;&gt;"",$F34&lt;&gt;0),
                        SUMIF(CÁLCULO!$AM$15:$AW$55,CRONO!AF$12,CÁLCULO!$AB$15:$AL$55)/(ORÇAMENTO!$X$15-CÁLCULO.TotalAdmLocal)*CRONO!$F34,
                        0),
                 AF33*$S32),
          SUMIF(OFFSET($S34,1,0,$R32-2),($M32+1)&amp;"$",OFFSET(AF34,1,0,$R32-2)))</f>
        <v>0</v>
      </c>
      <c r="AG34" s="533"/>
    </row>
    <row r="35" spans="1:33" x14ac:dyDescent="0.2">
      <c r="A35" s="185" t="e">
        <f t="shared" ref="A35" ca="1" si="44">IF($M35&gt;1,_xlfn.CONCAT($I35," ",$J35),"")</f>
        <v>#NAME?</v>
      </c>
      <c r="B35" s="184">
        <f t="shared" ref="B35" ca="1" si="45">OFFSET(B35,-3,0)+1</f>
        <v>8</v>
      </c>
      <c r="C35" s="184">
        <f ca="1">IF($R35&lt;&gt;2,0,IF($S35=0,1,IF(F36&gt;0,OFFSET(QCI!$M$13,SUBSTITUTE(F36,".",""),0),OFFSET(ORÇAMENTO!$AA$15,CRONO!$F35,0))/$S35))</f>
        <v>2.819114770898436E-3</v>
      </c>
      <c r="D35" s="184">
        <f ca="1">IF($R35&lt;&gt;2,0,IF($S35=0,1,IF(F36&gt;0,OFFSET(QCI!$N$13,SUBSTITUTE(F36,".",""),0),OFFSET(ORÇAMENTO!$AB$15,CRONO!$F35,0))/$S35))</f>
        <v>0</v>
      </c>
      <c r="E35" s="187" cm="1">
        <f t="array" aca="1" ref="E35" ca="1">IF(AND($R35=2,ACOMPANHAMENTO="BM"),ROUND(E36,4),E37/$S35)</f>
        <v>0.18812571975184814</v>
      </c>
      <c r="F35" s="184" cm="1">
        <f t="array" aca="1" ref="F35" ca="1">IF(B35&lt;=ORÇAMENTO.MáximoListaCrono,MATCH(B35,ORÇAMENTO.ListaCrono,0),NA())</f>
        <v>33</v>
      </c>
      <c r="G35" s="184" t="str">
        <f t="shared" ref="G35" ca="1" si="46">IF(AND($F36&lt;&gt;-1,$S35&gt;0),"F","")</f>
        <v>F</v>
      </c>
      <c r="H35" s="188" t="str" cm="1">
        <f t="array" aca="1" ref="H35" ca="1">IF(OR(S35=0,S35=""),"Linha",IF(AND(OR(ACOMPANHAMENTO="PLE",$R35&lt;&gt;2),$F36=0),"Linha",ROUND(1-SUM(U35:AG35),4)))</f>
        <v>Linha</v>
      </c>
      <c r="I35" s="189" t="str">
        <f ca="1">IF($F36=0,OFFSET(ORÇAMENTO!O$15,$F35,0),IF($F36&lt;&gt;-1,OFFSET(QCI!$D$13,$F36,0),""))</f>
        <v>1.7.</v>
      </c>
      <c r="J35" s="190" t="str">
        <f ca="1">IF($F36=0,OFFSET(ORÇAMENTO!R$15,$F35,0),IF($F36&lt;&gt;-1,OFFSET(QCI!$G$13,$F36,0),""))</f>
        <v>CALÇAMENTO</v>
      </c>
      <c r="K35" s="190"/>
      <c r="L35" s="190"/>
      <c r="M35" s="191">
        <f ca="1">IF($F36=0,OFFSET(ORÇAMENTO!C$15,$F35,0),1)</f>
        <v>2</v>
      </c>
      <c r="N35" s="192">
        <f ca="1">IF($F36=-1,0,IF(N$13&lt;=$M35,IF(ISERROR(MATCH(N$13,OFFSET($M35,1,0,ROW($M$41)-ROW($M35)-1),0)),ROW($M$41)-ROW($M35)-1,MATCH(N$13,OFFSET($M35,1,0,ROW($M$41)-ROW($M35)-1),0)-1),0))</f>
        <v>5</v>
      </c>
      <c r="O35" s="192">
        <f ca="1">IF($F36=-1,0,IF(O$13&lt;=$M35,IF(ISERROR(MATCH(O$13,OFFSET($M35,1,0,ROW($M$41)-ROW($M35)-1),0)),ROW($M$41)-ROW($M35)-1,MATCH(O$13,OFFSET($M35,1,0,ROW($M$41)-ROW($M35)-1),0)-1),0))</f>
        <v>2</v>
      </c>
      <c r="P35" s="192">
        <f ca="1">IF($F36=-1,0,IF(P$13&lt;=$M35,IF(ISERROR(MATCH(P$13,OFFSET($M35,1,0,ROW($M$41)-ROW($M35)-1),0)),ROW($M$41)-ROW($M35)-1,MATCH(P$13,OFFSET($M35,1,0,ROW($M$41)-ROW($M35)-1),0)-1),0))</f>
        <v>0</v>
      </c>
      <c r="Q35" s="192">
        <f ca="1">IF($F36=-1,0,IF(Q$13&lt;=$M35,IF(ISERROR(MATCH(Q$13,OFFSET($M35,1,0,ROW($M$41)-ROW($M35)-1),0)),ROW($M$41)-ROW($M35)-1,MATCH(Q$13,OFFSET($M35,1,0,ROW($M$41)-ROW($M35)-1),0)-1),0))</f>
        <v>0</v>
      </c>
      <c r="R35" s="192">
        <f t="shared" ref="R35" ca="1" si="47">MIN(OFFSET(M35,0,1,,M35))</f>
        <v>2</v>
      </c>
      <c r="S35" s="193">
        <f ca="1">IF($F36=0,OFFSET(ORÇAMENTO!X$15,$F35,0),IF($F36&lt;&gt;-1,OFFSET(QCI!$O$13,$F36,0),""))</f>
        <v>215352</v>
      </c>
      <c r="T35" s="194" t="s">
        <v>785</v>
      </c>
      <c r="U35" s="187" cm="1">
        <f t="array" aca="1" ref="U35" ca="1">IF(AND($R35=2,ACOMPANHAMENTO="BM"),ROUND(U36,4),U37/$S35)</f>
        <v>0.18812571975184814</v>
      </c>
      <c r="V35" s="187" cm="1">
        <f t="array" aca="1" ref="V35" ca="1">IF(AND($R35=2,ACOMPANHAMENTO="BM"),ROUND(V36,4),V37/$S35)</f>
        <v>0.27270101972584421</v>
      </c>
      <c r="W35" s="187" cm="1">
        <f t="array" aca="1" ref="W35" ca="1">IF(AND($R35=2,ACOMPANHAMENTO="BM"),ROUND(W36,4),W37/$S35)</f>
        <v>0.27283554366804114</v>
      </c>
      <c r="X35" s="187" cm="1">
        <f t="array" aca="1" ref="X35" ca="1">IF(AND($R35=2,ACOMPANHAMENTO="BM"),ROUND(X36,4),X37/$S35)</f>
        <v>0.26633771685426649</v>
      </c>
      <c r="Y35" s="187" cm="1">
        <f t="array" aca="1" ref="Y35" ca="1">IF(AND($R35=2,ACOMPANHAMENTO="BM"),ROUND(Y36,4),Y37/$S35)</f>
        <v>0</v>
      </c>
      <c r="Z35" s="187" cm="1">
        <f t="array" aca="1" ref="Z35" ca="1">IF(AND($R35=2,ACOMPANHAMENTO="BM"),ROUND(Z36,4),Z37/$S35)</f>
        <v>0</v>
      </c>
      <c r="AA35" s="187" cm="1">
        <f t="array" aca="1" ref="AA35" ca="1">IF(AND($R35=2,ACOMPANHAMENTO="BM"),ROUND(AA36,4),AA37/$S35)</f>
        <v>0</v>
      </c>
      <c r="AB35" s="187" cm="1">
        <f t="array" aca="1" ref="AB35" ca="1">IF(AND($R35=2,ACOMPANHAMENTO="BM"),ROUND(AB36,4),AB37/$S35)</f>
        <v>0</v>
      </c>
      <c r="AC35" s="187" cm="1">
        <f t="array" aca="1" ref="AC35" ca="1">IF(AND($R35=2,ACOMPANHAMENTO="BM"),ROUND(AC36,4),AC37/$S35)</f>
        <v>0</v>
      </c>
      <c r="AD35" s="187" cm="1">
        <f t="array" aca="1" ref="AD35" ca="1">IF(AND($R35=2,ACOMPANHAMENTO="BM"),ROUND(AD36,4),AD37/$S35)</f>
        <v>0</v>
      </c>
      <c r="AE35" s="187" cm="1">
        <f t="array" aca="1" ref="AE35" ca="1">IF(AND($R35=2,ACOMPANHAMENTO="BM"),ROUND(AE36,4),AE37/$S35)</f>
        <v>0</v>
      </c>
      <c r="AF35" s="187" cm="1">
        <f t="array" aca="1" ref="AF35" ca="1">IF(AND($R35=2,ACOMPANHAMENTO="BM"),ROUND(AF36,4),AF37/$S35)</f>
        <v>0</v>
      </c>
      <c r="AG35" s="533"/>
    </row>
    <row r="36" spans="1:33" ht="12.75" hidden="1" customHeight="1" x14ac:dyDescent="0.2">
      <c r="E36" s="586"/>
      <c r="F36" s="184">
        <f ca="1">IF(ISERROR(F35),IF(1+COUNTIF($M$13:OFFSET(M35,-1,0),1)&lt;=MAX(QCI!$D$13:$D$24),1+COUNTIF($M$13:OFFSET(M35,-1,0),1),-1),0)</f>
        <v>0</v>
      </c>
      <c r="G36" s="184" t="str" cm="1">
        <f t="array" aca="1" ref="G36" ca="1">IF(ACOMPANHAMENTO="BM",OFFSET(G36,-1,0),"")</f>
        <v/>
      </c>
      <c r="H36" s="195" t="str" cm="1">
        <f t="array" aca="1" ref="H36" ca="1">IF(OR(S35=0,S35=""),"vazia",IF(AND(OR(ACOMPANHAMENTO="PLE",$R35&lt;&gt;2),$F36=0),"calculada","--&gt;"))</f>
        <v>calculada</v>
      </c>
      <c r="I36" s="196"/>
      <c r="J36" s="197" t="str">
        <f t="shared" ref="J36" ca="1" si="48">IF(AND(H35&lt;&gt;0,ISNUMBER(H35)),"PREENCHA ESTA LINHA --&gt;","")</f>
        <v/>
      </c>
      <c r="K36" s="197"/>
      <c r="L36" s="197"/>
      <c r="M36" s="198"/>
      <c r="N36" s="198"/>
      <c r="O36" s="198"/>
      <c r="P36" s="198"/>
      <c r="Q36" s="198"/>
      <c r="R36" s="198"/>
      <c r="S36" s="199"/>
      <c r="T36" s="200"/>
      <c r="U36" s="586"/>
      <c r="V36" s="586"/>
      <c r="W36" s="586"/>
      <c r="X36" s="586"/>
      <c r="Y36" s="586"/>
      <c r="Z36" s="586"/>
      <c r="AA36" s="586"/>
      <c r="AB36" s="586"/>
      <c r="AC36" s="586"/>
      <c r="AD36" s="586"/>
      <c r="AE36" s="586"/>
      <c r="AF36" s="586"/>
      <c r="AG36" s="533"/>
    </row>
    <row r="37" spans="1:33" ht="12.75" hidden="1" customHeight="1" x14ac:dyDescent="0.2">
      <c r="D37" s="532"/>
      <c r="E37" s="201" cm="1">
        <f t="array" aca="1" ref="E37" ca="1">IF($R35=2,
         IF(AND(ACOMPANHAMENTO="PLE",ISNUMBER($F35)),
                SUMIF((OFFSET(CÁLCULO!$AM$15:$AW$15,$F35,0,OFFSET(ORÇAMENTO!$D$15,CRONO!$F35,0))),CRONO!E$12,OFFSET(CÁLCULO!$AB$15:$AL$15,$F35,0,OFFSET(ORÇAMENTO!$D$15,CRONO!$F35,0)))
                +IF(AND($F37&lt;&gt;"",$F37&lt;&gt;0),
                        SUMIF(CÁLCULO!$AM$15:$AW$55,CRONO!E$12,CÁLCULO!$AB$15:$AL$55)/(ORÇAMENTO!$X$15-CÁLCULO.TotalAdmLocal)*CRONO!$F37,
                        0),
                 E36*$S35),
          SUMIF(OFFSET($S37,1,0,$R35-2),($M35+1)&amp;"$",OFFSET(E37,1,0,$R35-2)))</f>
        <v>40513.25</v>
      </c>
      <c r="F37" s="184" t="str">
        <f ca="1">IF(OR($R35&lt;&gt;2,AUTOEVENTO&lt;&gt;"manual",$F36&gt;0),"",
        IF(Import.TipoArredondamento="Tradicional",
              SUMIF(OFFSET(CÁLCULO!$M$15,CRONO!$F35,0,OFFSET(ORÇAMENTO!$D$15,CRONO!$F35,0)),1,OFFSET(ORÇAMENTO!$X$15,CRONO!$F35,0,OFFSET(ORÇAMENTO!$D$15,CRONO!$F35,0))),
              0))</f>
        <v/>
      </c>
      <c r="H37" s="202"/>
      <c r="S37" s="203" t="str">
        <f t="shared" ref="S37" ca="1" si="49">M35&amp;"$"</f>
        <v>2$</v>
      </c>
      <c r="T37" s="204"/>
      <c r="U37" s="201" cm="1">
        <f t="array" aca="1" ref="U37" ca="1">IF($R35=2,
         IF(AND(ACOMPANHAMENTO="PLE",ISNUMBER($F35)),
                SUMIF((OFFSET(CÁLCULO!$AM$15:$AW$15,$F35,0,OFFSET(ORÇAMENTO!$D$15,CRONO!$F35,0))),CRONO!U$12,OFFSET(CÁLCULO!$AB$15:$AL$15,$F35,0,OFFSET(ORÇAMENTO!$D$15,CRONO!$F35,0)))
                +IF(AND($F37&lt;&gt;"",$F37&lt;&gt;0),
                        SUMIF(CÁLCULO!$AM$15:$AW$55,CRONO!U$12,CÁLCULO!$AB$15:$AL$55)/(ORÇAMENTO!$X$15-CÁLCULO.TotalAdmLocal)*CRONO!$F37,
                        0),
                 U36*$S35),
          SUMIF(OFFSET($S37,1,0,$R35-2),($M35+1)&amp;"$",OFFSET(U37,1,0,$R35-2)))</f>
        <v>40513.25</v>
      </c>
      <c r="V37" s="201" cm="1">
        <f t="array" aca="1" ref="V37" ca="1">IF($R35=2,
         IF(AND(ACOMPANHAMENTO="PLE",ISNUMBER($F35)),
                SUMIF((OFFSET(CÁLCULO!$AM$15:$AW$15,$F35,0,OFFSET(ORÇAMENTO!$D$15,CRONO!$F35,0))),CRONO!V$12,OFFSET(CÁLCULO!$AB$15:$AL$15,$F35,0,OFFSET(ORÇAMENTO!$D$15,CRONO!$F35,0)))
                +IF(AND($F37&lt;&gt;"",$F37&lt;&gt;0),
                        SUMIF(CÁLCULO!$AM$15:$AW$55,CRONO!V$12,CÁLCULO!$AB$15:$AL$55)/(ORÇAMENTO!$X$15-CÁLCULO.TotalAdmLocal)*CRONO!$F37,
                        0),
                 V36*$S35),
          SUMIF(OFFSET($S37,1,0,$R35-2),($M35+1)&amp;"$",OFFSET(V37,1,0,$R35-2)))</f>
        <v>58726.71</v>
      </c>
      <c r="W37" s="201" cm="1">
        <f t="array" aca="1" ref="W37" ca="1">IF($R35=2,
         IF(AND(ACOMPANHAMENTO="PLE",ISNUMBER($F35)),
                SUMIF((OFFSET(CÁLCULO!$AM$15:$AW$15,$F35,0,OFFSET(ORÇAMENTO!$D$15,CRONO!$F35,0))),CRONO!W$12,OFFSET(CÁLCULO!$AB$15:$AL$15,$F35,0,OFFSET(ORÇAMENTO!$D$15,CRONO!$F35,0)))
                +IF(AND($F37&lt;&gt;"",$F37&lt;&gt;0),
                        SUMIF(CÁLCULO!$AM$15:$AW$55,CRONO!W$12,CÁLCULO!$AB$15:$AL$55)/(ORÇAMENTO!$X$15-CÁLCULO.TotalAdmLocal)*CRONO!$F37,
                        0),
                 W36*$S35),
          SUMIF(OFFSET($S37,1,0,$R35-2),($M35+1)&amp;"$",OFFSET(W37,1,0,$R35-2)))</f>
        <v>58755.68</v>
      </c>
      <c r="X37" s="201" cm="1">
        <f t="array" aca="1" ref="X37" ca="1">IF($R35=2,
         IF(AND(ACOMPANHAMENTO="PLE",ISNUMBER($F35)),
                SUMIF((OFFSET(CÁLCULO!$AM$15:$AW$15,$F35,0,OFFSET(ORÇAMENTO!$D$15,CRONO!$F35,0))),CRONO!X$12,OFFSET(CÁLCULO!$AB$15:$AL$15,$F35,0,OFFSET(ORÇAMENTO!$D$15,CRONO!$F35,0)))
                +IF(AND($F37&lt;&gt;"",$F37&lt;&gt;0),
                        SUMIF(CÁLCULO!$AM$15:$AW$55,CRONO!X$12,CÁLCULO!$AB$15:$AL$55)/(ORÇAMENTO!$X$15-CÁLCULO.TotalAdmLocal)*CRONO!$F37,
                        0),
                 X36*$S35),
          SUMIF(OFFSET($S37,1,0,$R35-2),($M35+1)&amp;"$",OFFSET(X37,1,0,$R35-2)))</f>
        <v>57356.36</v>
      </c>
      <c r="Y37" s="201" cm="1">
        <f t="array" aca="1" ref="Y37" ca="1">IF($R35=2,
         IF(AND(ACOMPANHAMENTO="PLE",ISNUMBER($F35)),
                SUMIF((OFFSET(CÁLCULO!$AM$15:$AW$15,$F35,0,OFFSET(ORÇAMENTO!$D$15,CRONO!$F35,0))),CRONO!Y$12,OFFSET(CÁLCULO!$AB$15:$AL$15,$F35,0,OFFSET(ORÇAMENTO!$D$15,CRONO!$F35,0)))
                +IF(AND($F37&lt;&gt;"",$F37&lt;&gt;0),
                        SUMIF(CÁLCULO!$AM$15:$AW$55,CRONO!Y$12,CÁLCULO!$AB$15:$AL$55)/(ORÇAMENTO!$X$15-CÁLCULO.TotalAdmLocal)*CRONO!$F37,
                        0),
                 Y36*$S35),
          SUMIF(OFFSET($S37,1,0,$R35-2),($M35+1)&amp;"$",OFFSET(Y37,1,0,$R35-2)))</f>
        <v>0</v>
      </c>
      <c r="Z37" s="201" cm="1">
        <f t="array" aca="1" ref="Z37" ca="1">IF($R35=2,
         IF(AND(ACOMPANHAMENTO="PLE",ISNUMBER($F35)),
                SUMIF((OFFSET(CÁLCULO!$AM$15:$AW$15,$F35,0,OFFSET(ORÇAMENTO!$D$15,CRONO!$F35,0))),CRONO!Z$12,OFFSET(CÁLCULO!$AB$15:$AL$15,$F35,0,OFFSET(ORÇAMENTO!$D$15,CRONO!$F35,0)))
                +IF(AND($F37&lt;&gt;"",$F37&lt;&gt;0),
                        SUMIF(CÁLCULO!$AM$15:$AW$55,CRONO!Z$12,CÁLCULO!$AB$15:$AL$55)/(ORÇAMENTO!$X$15-CÁLCULO.TotalAdmLocal)*CRONO!$F37,
                        0),
                 Z36*$S35),
          SUMIF(OFFSET($S37,1,0,$R35-2),($M35+1)&amp;"$",OFFSET(Z37,1,0,$R35-2)))</f>
        <v>0</v>
      </c>
      <c r="AA37" s="201" cm="1">
        <f t="array" aca="1" ref="AA37" ca="1">IF($R35=2,
         IF(AND(ACOMPANHAMENTO="PLE",ISNUMBER($F35)),
                SUMIF((OFFSET(CÁLCULO!$AM$15:$AW$15,$F35,0,OFFSET(ORÇAMENTO!$D$15,CRONO!$F35,0))),CRONO!AA$12,OFFSET(CÁLCULO!$AB$15:$AL$15,$F35,0,OFFSET(ORÇAMENTO!$D$15,CRONO!$F35,0)))
                +IF(AND($F37&lt;&gt;"",$F37&lt;&gt;0),
                        SUMIF(CÁLCULO!$AM$15:$AW$55,CRONO!AA$12,CÁLCULO!$AB$15:$AL$55)/(ORÇAMENTO!$X$15-CÁLCULO.TotalAdmLocal)*CRONO!$F37,
                        0),
                 AA36*$S35),
          SUMIF(OFFSET($S37,1,0,$R35-2),($M35+1)&amp;"$",OFFSET(AA37,1,0,$R35-2)))</f>
        <v>0</v>
      </c>
      <c r="AB37" s="201" cm="1">
        <f t="array" aca="1" ref="AB37" ca="1">IF($R35=2,
         IF(AND(ACOMPANHAMENTO="PLE",ISNUMBER($F35)),
                SUMIF((OFFSET(CÁLCULO!$AM$15:$AW$15,$F35,0,OFFSET(ORÇAMENTO!$D$15,CRONO!$F35,0))),CRONO!AB$12,OFFSET(CÁLCULO!$AB$15:$AL$15,$F35,0,OFFSET(ORÇAMENTO!$D$15,CRONO!$F35,0)))
                +IF(AND($F37&lt;&gt;"",$F37&lt;&gt;0),
                        SUMIF(CÁLCULO!$AM$15:$AW$55,CRONO!AB$12,CÁLCULO!$AB$15:$AL$55)/(ORÇAMENTO!$X$15-CÁLCULO.TotalAdmLocal)*CRONO!$F37,
                        0),
                 AB36*$S35),
          SUMIF(OFFSET($S37,1,0,$R35-2),($M35+1)&amp;"$",OFFSET(AB37,1,0,$R35-2)))</f>
        <v>0</v>
      </c>
      <c r="AC37" s="201" cm="1">
        <f t="array" aca="1" ref="AC37" ca="1">IF($R35=2,
         IF(AND(ACOMPANHAMENTO="PLE",ISNUMBER($F35)),
                SUMIF((OFFSET(CÁLCULO!$AM$15:$AW$15,$F35,0,OFFSET(ORÇAMENTO!$D$15,CRONO!$F35,0))),CRONO!AC$12,OFFSET(CÁLCULO!$AB$15:$AL$15,$F35,0,OFFSET(ORÇAMENTO!$D$15,CRONO!$F35,0)))
                +IF(AND($F37&lt;&gt;"",$F37&lt;&gt;0),
                        SUMIF(CÁLCULO!$AM$15:$AW$55,CRONO!AC$12,CÁLCULO!$AB$15:$AL$55)/(ORÇAMENTO!$X$15-CÁLCULO.TotalAdmLocal)*CRONO!$F37,
                        0),
                 AC36*$S35),
          SUMIF(OFFSET($S37,1,0,$R35-2),($M35+1)&amp;"$",OFFSET(AC37,1,0,$R35-2)))</f>
        <v>0</v>
      </c>
      <c r="AD37" s="201" cm="1">
        <f t="array" aca="1" ref="AD37" ca="1">IF($R35=2,
         IF(AND(ACOMPANHAMENTO="PLE",ISNUMBER($F35)),
                SUMIF((OFFSET(CÁLCULO!$AM$15:$AW$15,$F35,0,OFFSET(ORÇAMENTO!$D$15,CRONO!$F35,0))),CRONO!AD$12,OFFSET(CÁLCULO!$AB$15:$AL$15,$F35,0,OFFSET(ORÇAMENTO!$D$15,CRONO!$F35,0)))
                +IF(AND($F37&lt;&gt;"",$F37&lt;&gt;0),
                        SUMIF(CÁLCULO!$AM$15:$AW$55,CRONO!AD$12,CÁLCULO!$AB$15:$AL$55)/(ORÇAMENTO!$X$15-CÁLCULO.TotalAdmLocal)*CRONO!$F37,
                        0),
                 AD36*$S35),
          SUMIF(OFFSET($S37,1,0,$R35-2),($M35+1)&amp;"$",OFFSET(AD37,1,0,$R35-2)))</f>
        <v>0</v>
      </c>
      <c r="AE37" s="201" cm="1">
        <f t="array" aca="1" ref="AE37" ca="1">IF($R35=2,
         IF(AND(ACOMPANHAMENTO="PLE",ISNUMBER($F35)),
                SUMIF((OFFSET(CÁLCULO!$AM$15:$AW$15,$F35,0,OFFSET(ORÇAMENTO!$D$15,CRONO!$F35,0))),CRONO!AE$12,OFFSET(CÁLCULO!$AB$15:$AL$15,$F35,0,OFFSET(ORÇAMENTO!$D$15,CRONO!$F35,0)))
                +IF(AND($F37&lt;&gt;"",$F37&lt;&gt;0),
                        SUMIF(CÁLCULO!$AM$15:$AW$55,CRONO!AE$12,CÁLCULO!$AB$15:$AL$55)/(ORÇAMENTO!$X$15-CÁLCULO.TotalAdmLocal)*CRONO!$F37,
                        0),
                 AE36*$S35),
          SUMIF(OFFSET($S37,1,0,$R35-2),($M35+1)&amp;"$",OFFSET(AE37,1,0,$R35-2)))</f>
        <v>0</v>
      </c>
      <c r="AF37" s="201" cm="1">
        <f t="array" aca="1" ref="AF37" ca="1">IF($R35=2,
         IF(AND(ACOMPANHAMENTO="PLE",ISNUMBER($F35)),
                SUMIF((OFFSET(CÁLCULO!$AM$15:$AW$15,$F35,0,OFFSET(ORÇAMENTO!$D$15,CRONO!$F35,0))),CRONO!AF$12,OFFSET(CÁLCULO!$AB$15:$AL$15,$F35,0,OFFSET(ORÇAMENTO!$D$15,CRONO!$F35,0)))
                +IF(AND($F37&lt;&gt;"",$F37&lt;&gt;0),
                        SUMIF(CÁLCULO!$AM$15:$AW$55,CRONO!AF$12,CÁLCULO!$AB$15:$AL$55)/(ORÇAMENTO!$X$15-CÁLCULO.TotalAdmLocal)*CRONO!$F37,
                        0),
                 AF36*$S35),
          SUMIF(OFFSET($S37,1,0,$R35-2),($M35+1)&amp;"$",OFFSET(AF37,1,0,$R35-2)))</f>
        <v>0</v>
      </c>
      <c r="AG37" s="533"/>
    </row>
    <row r="38" spans="1:33" x14ac:dyDescent="0.2">
      <c r="A38" s="185" t="e">
        <f t="shared" ref="A38" ca="1" si="50">IF($M38&gt;1,_xlfn.CONCAT($I38," ",$J38),"")</f>
        <v>#NAME?</v>
      </c>
      <c r="B38" s="184">
        <f t="shared" ref="B38" ca="1" si="51">OFFSET(B38,-3,0)+1</f>
        <v>9</v>
      </c>
      <c r="C38" s="184">
        <f ca="1">IF($R38&lt;&gt;2,0,IF($S38=0,1,IF(F39&gt;0,OFFSET(QCI!$M$13,SUBSTITUTE(F39,".",""),0),OFFSET(ORÇAMENTO!$AA$15,CRONO!$F38,0))/$S38))</f>
        <v>2.819114770898436E-3</v>
      </c>
      <c r="D38" s="184">
        <f ca="1">IF($R38&lt;&gt;2,0,IF($S38=0,1,IF(F39&gt;0,OFFSET(QCI!$N$13,SUBSTITUTE(F39,".",""),0),OFFSET(ORÇAMENTO!$AB$15,CRONO!$F38,0))/$S38))</f>
        <v>0</v>
      </c>
      <c r="E38" s="187" cm="1">
        <f t="array" aca="1" ref="E38" ca="1">IF(AND($R38=2,ACOMPANHAMENTO="BM"),ROUND(E39,4),E40/$S38)</f>
        <v>0</v>
      </c>
      <c r="F38" s="184" cm="1">
        <f t="array" aca="1" ref="F38" ca="1">IF(B38&lt;=ORÇAMENTO.MáximoListaCrono,MATCH(B38,ORÇAMENTO.ListaCrono,0),NA())</f>
        <v>38</v>
      </c>
      <c r="G38" s="184" t="str">
        <f t="shared" ref="G38" ca="1" si="52">IF(AND($F39&lt;&gt;-1,$S38&gt;0),"F","")</f>
        <v>F</v>
      </c>
      <c r="H38" s="188" t="str" cm="1">
        <f t="array" aca="1" ref="H38" ca="1">IF(OR(S38=0,S38=""),"Linha",IF(AND(OR(ACOMPANHAMENTO="PLE",$R38&lt;&gt;2),$F39=0),"Linha",ROUND(1-SUM(U38:AG38),4)))</f>
        <v>Linha</v>
      </c>
      <c r="I38" s="189" t="str">
        <f ca="1">IF($F39=0,OFFSET(ORÇAMENTO!O$15,$F38,0),IF($F39&lt;&gt;-1,OFFSET(QCI!$D$13,$F39,0),""))</f>
        <v>1.8.</v>
      </c>
      <c r="J38" s="190" t="str">
        <f ca="1">IF($F39=0,OFFSET(ORÇAMENTO!R$15,$F38,0),IF($F39&lt;&gt;-1,OFFSET(QCI!$G$13,$F39,0),""))</f>
        <v>SERVIÇOS COMPLEMENTARES</v>
      </c>
      <c r="K38" s="190"/>
      <c r="L38" s="190"/>
      <c r="M38" s="191">
        <f ca="1">IF($F39=0,OFFSET(ORÇAMENTO!C$15,$F38,0),1)</f>
        <v>2</v>
      </c>
      <c r="N38" s="192">
        <f ca="1">IF($F39=-1,0,IF(N$13&lt;=$M38,IF(ISERROR(MATCH(N$13,OFFSET($M38,1,0,ROW($M$41)-ROW($M38)-1),0)),ROW($M$41)-ROW($M38)-1,MATCH(N$13,OFFSET($M38,1,0,ROW($M$41)-ROW($M38)-1),0)-1),0))</f>
        <v>2</v>
      </c>
      <c r="O38" s="192">
        <f ca="1">IF($F39=-1,0,IF(O$13&lt;=$M38,IF(ISERROR(MATCH(O$13,OFFSET($M38,1,0,ROW($M$41)-ROW($M38)-1),0)),ROW($M$41)-ROW($M38)-1,MATCH(O$13,OFFSET($M38,1,0,ROW($M$41)-ROW($M38)-1),0)-1),0))</f>
        <v>2</v>
      </c>
      <c r="P38" s="192">
        <f ca="1">IF($F39=-1,0,IF(P$13&lt;=$M38,IF(ISERROR(MATCH(P$13,OFFSET($M38,1,0,ROW($M$41)-ROW($M38)-1),0)),ROW($M$41)-ROW($M38)-1,MATCH(P$13,OFFSET($M38,1,0,ROW($M$41)-ROW($M38)-1),0)-1),0))</f>
        <v>0</v>
      </c>
      <c r="Q38" s="192">
        <f ca="1">IF($F39=-1,0,IF(Q$13&lt;=$M38,IF(ISERROR(MATCH(Q$13,OFFSET($M38,1,0,ROW($M$41)-ROW($M38)-1),0)),ROW($M$41)-ROW($M38)-1,MATCH(Q$13,OFFSET($M38,1,0,ROW($M$41)-ROW($M38)-1),0)-1),0))</f>
        <v>0</v>
      </c>
      <c r="R38" s="192">
        <f t="shared" ref="R38" ca="1" si="53">MIN(OFFSET(M38,0,1,,M38))</f>
        <v>2</v>
      </c>
      <c r="S38" s="193">
        <f ca="1">IF($F39=0,OFFSET(ORÇAMENTO!X$15,$F38,0),IF($F39&lt;&gt;-1,OFFSET(QCI!$O$13,$F39,0),""))</f>
        <v>5610.47</v>
      </c>
      <c r="T38" s="194" t="s">
        <v>785</v>
      </c>
      <c r="U38" s="187" cm="1">
        <f t="array" aca="1" ref="U38" ca="1">IF(AND($R38=2,ACOMPANHAMENTO="BM"),ROUND(U39,4),U40/$S38)</f>
        <v>0</v>
      </c>
      <c r="V38" s="187" cm="1">
        <f t="array" aca="1" ref="V38" ca="1">IF(AND($R38=2,ACOMPANHAMENTO="BM"),ROUND(V39,4),V40/$S38)</f>
        <v>0</v>
      </c>
      <c r="W38" s="187" cm="1">
        <f t="array" aca="1" ref="W38" ca="1">IF(AND($R38=2,ACOMPANHAMENTO="BM"),ROUND(W39,4),W40/$S38)</f>
        <v>0</v>
      </c>
      <c r="X38" s="187" cm="1">
        <f t="array" aca="1" ref="X38" ca="1">IF(AND($R38=2,ACOMPANHAMENTO="BM"),ROUND(X39,4),X40/$S38)</f>
        <v>1</v>
      </c>
      <c r="Y38" s="187" cm="1">
        <f t="array" aca="1" ref="Y38" ca="1">IF(AND($R38=2,ACOMPANHAMENTO="BM"),ROUND(Y39,4),Y40/$S38)</f>
        <v>0</v>
      </c>
      <c r="Z38" s="187" cm="1">
        <f t="array" aca="1" ref="Z38" ca="1">IF(AND($R38=2,ACOMPANHAMENTO="BM"),ROUND(Z39,4),Z40/$S38)</f>
        <v>0</v>
      </c>
      <c r="AA38" s="187" cm="1">
        <f t="array" aca="1" ref="AA38" ca="1">IF(AND($R38=2,ACOMPANHAMENTO="BM"),ROUND(AA39,4),AA40/$S38)</f>
        <v>0</v>
      </c>
      <c r="AB38" s="187" cm="1">
        <f t="array" aca="1" ref="AB38" ca="1">IF(AND($R38=2,ACOMPANHAMENTO="BM"),ROUND(AB39,4),AB40/$S38)</f>
        <v>0</v>
      </c>
      <c r="AC38" s="187" cm="1">
        <f t="array" aca="1" ref="AC38" ca="1">IF(AND($R38=2,ACOMPANHAMENTO="BM"),ROUND(AC39,4),AC40/$S38)</f>
        <v>0</v>
      </c>
      <c r="AD38" s="187" cm="1">
        <f t="array" aca="1" ref="AD38" ca="1">IF(AND($R38=2,ACOMPANHAMENTO="BM"),ROUND(AD39,4),AD40/$S38)</f>
        <v>0</v>
      </c>
      <c r="AE38" s="187" cm="1">
        <f t="array" aca="1" ref="AE38" ca="1">IF(AND($R38=2,ACOMPANHAMENTO="BM"),ROUND(AE39,4),AE40/$S38)</f>
        <v>0</v>
      </c>
      <c r="AF38" s="187" cm="1">
        <f t="array" aca="1" ref="AF38" ca="1">IF(AND($R38=2,ACOMPANHAMENTO="BM"),ROUND(AF39,4),AF40/$S38)</f>
        <v>0</v>
      </c>
      <c r="AG38" s="533"/>
    </row>
    <row r="39" spans="1:33" ht="12.75" hidden="1" customHeight="1" x14ac:dyDescent="0.2">
      <c r="E39" s="586"/>
      <c r="F39" s="184">
        <f ca="1">IF(ISERROR(F38),IF(1+COUNTIF($M$13:OFFSET(M38,-1,0),1)&lt;=MAX(QCI!$D$13:$D$24),1+COUNTIF($M$13:OFFSET(M38,-1,0),1),-1),0)</f>
        <v>0</v>
      </c>
      <c r="G39" s="184" t="str" cm="1">
        <f t="array" aca="1" ref="G39" ca="1">IF(ACOMPANHAMENTO="BM",OFFSET(G39,-1,0),"")</f>
        <v/>
      </c>
      <c r="H39" s="195" t="str" cm="1">
        <f t="array" aca="1" ref="H39" ca="1">IF(OR(S38=0,S38=""),"vazia",IF(AND(OR(ACOMPANHAMENTO="PLE",$R38&lt;&gt;2),$F39=0),"calculada","--&gt;"))</f>
        <v>calculada</v>
      </c>
      <c r="I39" s="196"/>
      <c r="J39" s="197" t="str">
        <f t="shared" ref="J39" ca="1" si="54">IF(AND(H38&lt;&gt;0,ISNUMBER(H38)),"PREENCHA ESTA LINHA --&gt;","")</f>
        <v/>
      </c>
      <c r="K39" s="197"/>
      <c r="L39" s="197"/>
      <c r="M39" s="198"/>
      <c r="N39" s="198"/>
      <c r="O39" s="198"/>
      <c r="P39" s="198"/>
      <c r="Q39" s="198"/>
      <c r="R39" s="198"/>
      <c r="S39" s="199"/>
      <c r="T39" s="200"/>
      <c r="U39" s="586"/>
      <c r="V39" s="586"/>
      <c r="W39" s="586"/>
      <c r="X39" s="586"/>
      <c r="Y39" s="586"/>
      <c r="Z39" s="586"/>
      <c r="AA39" s="586"/>
      <c r="AB39" s="586"/>
      <c r="AC39" s="586"/>
      <c r="AD39" s="586"/>
      <c r="AE39" s="586"/>
      <c r="AF39" s="586"/>
      <c r="AG39" s="533"/>
    </row>
    <row r="40" spans="1:33" ht="12.75" hidden="1" customHeight="1" x14ac:dyDescent="0.2">
      <c r="D40" s="532"/>
      <c r="E40" s="201" cm="1">
        <f t="array" aca="1" ref="E40" ca="1">IF($R38=2,
         IF(AND(ACOMPANHAMENTO="PLE",ISNUMBER($F38)),
                SUMIF((OFFSET(CÁLCULO!$AM$15:$AW$15,$F38,0,OFFSET(ORÇAMENTO!$D$15,CRONO!$F38,0))),CRONO!E$12,OFFSET(CÁLCULO!$AB$15:$AL$15,$F38,0,OFFSET(ORÇAMENTO!$D$15,CRONO!$F38,0)))
                +IF(AND($F40&lt;&gt;"",$F40&lt;&gt;0),
                        SUMIF(CÁLCULO!$AM$15:$AW$55,CRONO!E$12,CÁLCULO!$AB$15:$AL$55)/(ORÇAMENTO!$X$15-CÁLCULO.TotalAdmLocal)*CRONO!$F40,
                        0),
                 E39*$S38),
          SUMIF(OFFSET($S40,1,0,$R38-2),($M38+1)&amp;"$",OFFSET(E40,1,0,$R38-2)))</f>
        <v>0</v>
      </c>
      <c r="F40" s="184" t="str">
        <f ca="1">IF(OR($R38&lt;&gt;2,AUTOEVENTO&lt;&gt;"manual",$F39&gt;0),"",
        IF(Import.TipoArredondamento="Tradicional",
              SUMIF(OFFSET(CÁLCULO!$M$15,CRONO!$F38,0,OFFSET(ORÇAMENTO!$D$15,CRONO!$F38,0)),1,OFFSET(ORÇAMENTO!$X$15,CRONO!$F38,0,OFFSET(ORÇAMENTO!$D$15,CRONO!$F38,0))),
              0))</f>
        <v/>
      </c>
      <c r="H40" s="202"/>
      <c r="S40" s="203" t="str">
        <f t="shared" ref="S40" ca="1" si="55">M38&amp;"$"</f>
        <v>2$</v>
      </c>
      <c r="T40" s="204"/>
      <c r="U40" s="201" cm="1">
        <f t="array" aca="1" ref="U40" ca="1">IF($R38=2,
         IF(AND(ACOMPANHAMENTO="PLE",ISNUMBER($F38)),
                SUMIF((OFFSET(CÁLCULO!$AM$15:$AW$15,$F38,0,OFFSET(ORÇAMENTO!$D$15,CRONO!$F38,0))),CRONO!U$12,OFFSET(CÁLCULO!$AB$15:$AL$15,$F38,0,OFFSET(ORÇAMENTO!$D$15,CRONO!$F38,0)))
                +IF(AND($F40&lt;&gt;"",$F40&lt;&gt;0),
                        SUMIF(CÁLCULO!$AM$15:$AW$55,CRONO!U$12,CÁLCULO!$AB$15:$AL$55)/(ORÇAMENTO!$X$15-CÁLCULO.TotalAdmLocal)*CRONO!$F40,
                        0),
                 U39*$S38),
          SUMIF(OFFSET($S40,1,0,$R38-2),($M38+1)&amp;"$",OFFSET(U40,1,0,$R38-2)))</f>
        <v>0</v>
      </c>
      <c r="V40" s="201" cm="1">
        <f t="array" aca="1" ref="V40" ca="1">IF($R38=2,
         IF(AND(ACOMPANHAMENTO="PLE",ISNUMBER($F38)),
                SUMIF((OFFSET(CÁLCULO!$AM$15:$AW$15,$F38,0,OFFSET(ORÇAMENTO!$D$15,CRONO!$F38,0))),CRONO!V$12,OFFSET(CÁLCULO!$AB$15:$AL$15,$F38,0,OFFSET(ORÇAMENTO!$D$15,CRONO!$F38,0)))
                +IF(AND($F40&lt;&gt;"",$F40&lt;&gt;0),
                        SUMIF(CÁLCULO!$AM$15:$AW$55,CRONO!V$12,CÁLCULO!$AB$15:$AL$55)/(ORÇAMENTO!$X$15-CÁLCULO.TotalAdmLocal)*CRONO!$F40,
                        0),
                 V39*$S38),
          SUMIF(OFFSET($S40,1,0,$R38-2),($M38+1)&amp;"$",OFFSET(V40,1,0,$R38-2)))</f>
        <v>0</v>
      </c>
      <c r="W40" s="201" cm="1">
        <f t="array" aca="1" ref="W40" ca="1">IF($R38=2,
         IF(AND(ACOMPANHAMENTO="PLE",ISNUMBER($F38)),
                SUMIF((OFFSET(CÁLCULO!$AM$15:$AW$15,$F38,0,OFFSET(ORÇAMENTO!$D$15,CRONO!$F38,0))),CRONO!W$12,OFFSET(CÁLCULO!$AB$15:$AL$15,$F38,0,OFFSET(ORÇAMENTO!$D$15,CRONO!$F38,0)))
                +IF(AND($F40&lt;&gt;"",$F40&lt;&gt;0),
                        SUMIF(CÁLCULO!$AM$15:$AW$55,CRONO!W$12,CÁLCULO!$AB$15:$AL$55)/(ORÇAMENTO!$X$15-CÁLCULO.TotalAdmLocal)*CRONO!$F40,
                        0),
                 W39*$S38),
          SUMIF(OFFSET($S40,1,0,$R38-2),($M38+1)&amp;"$",OFFSET(W40,1,0,$R38-2)))</f>
        <v>0</v>
      </c>
      <c r="X40" s="201" cm="1">
        <f t="array" aca="1" ref="X40" ca="1">IF($R38=2,
         IF(AND(ACOMPANHAMENTO="PLE",ISNUMBER($F38)),
                SUMIF((OFFSET(CÁLCULO!$AM$15:$AW$15,$F38,0,OFFSET(ORÇAMENTO!$D$15,CRONO!$F38,0))),CRONO!X$12,OFFSET(CÁLCULO!$AB$15:$AL$15,$F38,0,OFFSET(ORÇAMENTO!$D$15,CRONO!$F38,0)))
                +IF(AND($F40&lt;&gt;"",$F40&lt;&gt;0),
                        SUMIF(CÁLCULO!$AM$15:$AW$55,CRONO!X$12,CÁLCULO!$AB$15:$AL$55)/(ORÇAMENTO!$X$15-CÁLCULO.TotalAdmLocal)*CRONO!$F40,
                        0),
                 X39*$S38),
          SUMIF(OFFSET($S40,1,0,$R38-2),($M38+1)&amp;"$",OFFSET(X40,1,0,$R38-2)))</f>
        <v>5610.47</v>
      </c>
      <c r="Y40" s="201" cm="1">
        <f t="array" aca="1" ref="Y40" ca="1">IF($R38=2,
         IF(AND(ACOMPANHAMENTO="PLE",ISNUMBER($F38)),
                SUMIF((OFFSET(CÁLCULO!$AM$15:$AW$15,$F38,0,OFFSET(ORÇAMENTO!$D$15,CRONO!$F38,0))),CRONO!Y$12,OFFSET(CÁLCULO!$AB$15:$AL$15,$F38,0,OFFSET(ORÇAMENTO!$D$15,CRONO!$F38,0)))
                +IF(AND($F40&lt;&gt;"",$F40&lt;&gt;0),
                        SUMIF(CÁLCULO!$AM$15:$AW$55,CRONO!Y$12,CÁLCULO!$AB$15:$AL$55)/(ORÇAMENTO!$X$15-CÁLCULO.TotalAdmLocal)*CRONO!$F40,
                        0),
                 Y39*$S38),
          SUMIF(OFFSET($S40,1,0,$R38-2),($M38+1)&amp;"$",OFFSET(Y40,1,0,$R38-2)))</f>
        <v>0</v>
      </c>
      <c r="Z40" s="201" cm="1">
        <f t="array" aca="1" ref="Z40" ca="1">IF($R38=2,
         IF(AND(ACOMPANHAMENTO="PLE",ISNUMBER($F38)),
                SUMIF((OFFSET(CÁLCULO!$AM$15:$AW$15,$F38,0,OFFSET(ORÇAMENTO!$D$15,CRONO!$F38,0))),CRONO!Z$12,OFFSET(CÁLCULO!$AB$15:$AL$15,$F38,0,OFFSET(ORÇAMENTO!$D$15,CRONO!$F38,0)))
                +IF(AND($F40&lt;&gt;"",$F40&lt;&gt;0),
                        SUMIF(CÁLCULO!$AM$15:$AW$55,CRONO!Z$12,CÁLCULO!$AB$15:$AL$55)/(ORÇAMENTO!$X$15-CÁLCULO.TotalAdmLocal)*CRONO!$F40,
                        0),
                 Z39*$S38),
          SUMIF(OFFSET($S40,1,0,$R38-2),($M38+1)&amp;"$",OFFSET(Z40,1,0,$R38-2)))</f>
        <v>0</v>
      </c>
      <c r="AA40" s="201" cm="1">
        <f t="array" aca="1" ref="AA40" ca="1">IF($R38=2,
         IF(AND(ACOMPANHAMENTO="PLE",ISNUMBER($F38)),
                SUMIF((OFFSET(CÁLCULO!$AM$15:$AW$15,$F38,0,OFFSET(ORÇAMENTO!$D$15,CRONO!$F38,0))),CRONO!AA$12,OFFSET(CÁLCULO!$AB$15:$AL$15,$F38,0,OFFSET(ORÇAMENTO!$D$15,CRONO!$F38,0)))
                +IF(AND($F40&lt;&gt;"",$F40&lt;&gt;0),
                        SUMIF(CÁLCULO!$AM$15:$AW$55,CRONO!AA$12,CÁLCULO!$AB$15:$AL$55)/(ORÇAMENTO!$X$15-CÁLCULO.TotalAdmLocal)*CRONO!$F40,
                        0),
                 AA39*$S38),
          SUMIF(OFFSET($S40,1,0,$R38-2),($M38+1)&amp;"$",OFFSET(AA40,1,0,$R38-2)))</f>
        <v>0</v>
      </c>
      <c r="AB40" s="201" cm="1">
        <f t="array" aca="1" ref="AB40" ca="1">IF($R38=2,
         IF(AND(ACOMPANHAMENTO="PLE",ISNUMBER($F38)),
                SUMIF((OFFSET(CÁLCULO!$AM$15:$AW$15,$F38,0,OFFSET(ORÇAMENTO!$D$15,CRONO!$F38,0))),CRONO!AB$12,OFFSET(CÁLCULO!$AB$15:$AL$15,$F38,0,OFFSET(ORÇAMENTO!$D$15,CRONO!$F38,0)))
                +IF(AND($F40&lt;&gt;"",$F40&lt;&gt;0),
                        SUMIF(CÁLCULO!$AM$15:$AW$55,CRONO!AB$12,CÁLCULO!$AB$15:$AL$55)/(ORÇAMENTO!$X$15-CÁLCULO.TotalAdmLocal)*CRONO!$F40,
                        0),
                 AB39*$S38),
          SUMIF(OFFSET($S40,1,0,$R38-2),($M38+1)&amp;"$",OFFSET(AB40,1,0,$R38-2)))</f>
        <v>0</v>
      </c>
      <c r="AC40" s="201" cm="1">
        <f t="array" aca="1" ref="AC40" ca="1">IF($R38=2,
         IF(AND(ACOMPANHAMENTO="PLE",ISNUMBER($F38)),
                SUMIF((OFFSET(CÁLCULO!$AM$15:$AW$15,$F38,0,OFFSET(ORÇAMENTO!$D$15,CRONO!$F38,0))),CRONO!AC$12,OFFSET(CÁLCULO!$AB$15:$AL$15,$F38,0,OFFSET(ORÇAMENTO!$D$15,CRONO!$F38,0)))
                +IF(AND($F40&lt;&gt;"",$F40&lt;&gt;0),
                        SUMIF(CÁLCULO!$AM$15:$AW$55,CRONO!AC$12,CÁLCULO!$AB$15:$AL$55)/(ORÇAMENTO!$X$15-CÁLCULO.TotalAdmLocal)*CRONO!$F40,
                        0),
                 AC39*$S38),
          SUMIF(OFFSET($S40,1,0,$R38-2),($M38+1)&amp;"$",OFFSET(AC40,1,0,$R38-2)))</f>
        <v>0</v>
      </c>
      <c r="AD40" s="201" cm="1">
        <f t="array" aca="1" ref="AD40" ca="1">IF($R38=2,
         IF(AND(ACOMPANHAMENTO="PLE",ISNUMBER($F38)),
                SUMIF((OFFSET(CÁLCULO!$AM$15:$AW$15,$F38,0,OFFSET(ORÇAMENTO!$D$15,CRONO!$F38,0))),CRONO!AD$12,OFFSET(CÁLCULO!$AB$15:$AL$15,$F38,0,OFFSET(ORÇAMENTO!$D$15,CRONO!$F38,0)))
                +IF(AND($F40&lt;&gt;"",$F40&lt;&gt;0),
                        SUMIF(CÁLCULO!$AM$15:$AW$55,CRONO!AD$12,CÁLCULO!$AB$15:$AL$55)/(ORÇAMENTO!$X$15-CÁLCULO.TotalAdmLocal)*CRONO!$F40,
                        0),
                 AD39*$S38),
          SUMIF(OFFSET($S40,1,0,$R38-2),($M38+1)&amp;"$",OFFSET(AD40,1,0,$R38-2)))</f>
        <v>0</v>
      </c>
      <c r="AE40" s="201" cm="1">
        <f t="array" aca="1" ref="AE40" ca="1">IF($R38=2,
         IF(AND(ACOMPANHAMENTO="PLE",ISNUMBER($F38)),
                SUMIF((OFFSET(CÁLCULO!$AM$15:$AW$15,$F38,0,OFFSET(ORÇAMENTO!$D$15,CRONO!$F38,0))),CRONO!AE$12,OFFSET(CÁLCULO!$AB$15:$AL$15,$F38,0,OFFSET(ORÇAMENTO!$D$15,CRONO!$F38,0)))
                +IF(AND($F40&lt;&gt;"",$F40&lt;&gt;0),
                        SUMIF(CÁLCULO!$AM$15:$AW$55,CRONO!AE$12,CÁLCULO!$AB$15:$AL$55)/(ORÇAMENTO!$X$15-CÁLCULO.TotalAdmLocal)*CRONO!$F40,
                        0),
                 AE39*$S38),
          SUMIF(OFFSET($S40,1,0,$R38-2),($M38+1)&amp;"$",OFFSET(AE40,1,0,$R38-2)))</f>
        <v>0</v>
      </c>
      <c r="AF40" s="201" cm="1">
        <f t="array" aca="1" ref="AF40" ca="1">IF($R38=2,
         IF(AND(ACOMPANHAMENTO="PLE",ISNUMBER($F38)),
                SUMIF((OFFSET(CÁLCULO!$AM$15:$AW$15,$F38,0,OFFSET(ORÇAMENTO!$D$15,CRONO!$F38,0))),CRONO!AF$12,OFFSET(CÁLCULO!$AB$15:$AL$15,$F38,0,OFFSET(ORÇAMENTO!$D$15,CRONO!$F38,0)))
                +IF(AND($F40&lt;&gt;"",$F40&lt;&gt;0),
                        SUMIF(CÁLCULO!$AM$15:$AW$55,CRONO!AF$12,CÁLCULO!$AB$15:$AL$55)/(ORÇAMENTO!$X$15-CÁLCULO.TotalAdmLocal)*CRONO!$F40,
                        0),
                 AF39*$S38),
          SUMIF(OFFSET($S40,1,0,$R38-2),($M38+1)&amp;"$",OFFSET(AF40,1,0,$R38-2)))</f>
        <v>0</v>
      </c>
      <c r="AG40" s="533"/>
    </row>
    <row r="41" spans="1:33" ht="5.0999999999999996" customHeight="1" x14ac:dyDescent="0.2">
      <c r="E41" s="639"/>
      <c r="G41" s="184" t="s">
        <v>536</v>
      </c>
      <c r="H41" s="431"/>
      <c r="I41" s="640"/>
      <c r="J41" s="641"/>
      <c r="K41" s="641"/>
      <c r="L41" s="641"/>
      <c r="M41" s="642" t="s">
        <v>797</v>
      </c>
      <c r="N41" s="642"/>
      <c r="O41" s="642"/>
      <c r="P41" s="642"/>
      <c r="Q41" s="642"/>
      <c r="R41" s="642"/>
      <c r="S41" s="643"/>
      <c r="T41" s="643"/>
      <c r="U41" s="641"/>
      <c r="V41" s="641"/>
      <c r="W41" s="641"/>
      <c r="X41" s="641"/>
      <c r="Y41" s="641"/>
      <c r="Z41" s="641"/>
      <c r="AA41" s="641"/>
      <c r="AB41" s="641"/>
      <c r="AC41" s="641"/>
      <c r="AD41" s="641"/>
      <c r="AE41" s="641"/>
      <c r="AF41" s="641"/>
      <c r="AG41" s="533"/>
    </row>
    <row r="42" spans="1:33" ht="12.75" customHeight="1" x14ac:dyDescent="0.2">
      <c r="E42" s="527">
        <f ca="1">E46/$R$42</f>
        <v>0.18000851259896217</v>
      </c>
      <c r="G42" s="184" t="s">
        <v>536</v>
      </c>
      <c r="I42" s="766" t="str">
        <f ca="1">"Total:    R$ "&amp;TEXT(R42,"#.##0,00")</f>
        <v>Total:    R$ 1.064.163,84</v>
      </c>
      <c r="J42" s="766"/>
      <c r="K42" s="766"/>
      <c r="L42" s="226"/>
      <c r="R42" s="227">
        <f ca="1">SUMIF(M12:M41,1,S12:S41)</f>
        <v>1064163.8400000001</v>
      </c>
      <c r="S42" s="228"/>
      <c r="T42" s="229" t="s">
        <v>798</v>
      </c>
      <c r="U42" s="527">
        <f t="shared" ref="U42:AF42" ca="1" si="56">ROUND(U46,2)/$R$42</f>
        <v>0.18000851259896217</v>
      </c>
      <c r="V42" s="527">
        <f t="shared" ca="1" si="56"/>
        <v>0.22573613288720654</v>
      </c>
      <c r="W42" s="527">
        <f t="shared" ca="1" si="56"/>
        <v>0.32935526168602008</v>
      </c>
      <c r="X42" s="527">
        <f t="shared" ca="1" si="56"/>
        <v>0.26490009282781113</v>
      </c>
      <c r="Y42" s="527">
        <f t="shared" ca="1" si="56"/>
        <v>0</v>
      </c>
      <c r="Z42" s="527">
        <f t="shared" ca="1" si="56"/>
        <v>0</v>
      </c>
      <c r="AA42" s="527">
        <f t="shared" ca="1" si="56"/>
        <v>0</v>
      </c>
      <c r="AB42" s="527">
        <f t="shared" ca="1" si="56"/>
        <v>0</v>
      </c>
      <c r="AC42" s="527">
        <f t="shared" ca="1" si="56"/>
        <v>0</v>
      </c>
      <c r="AD42" s="527">
        <f t="shared" ca="1" si="56"/>
        <v>0</v>
      </c>
      <c r="AE42" s="527">
        <f t="shared" ca="1" si="56"/>
        <v>0</v>
      </c>
      <c r="AF42" s="538">
        <f t="shared" ca="1" si="56"/>
        <v>0</v>
      </c>
      <c r="AG42" s="533"/>
    </row>
    <row r="43" spans="1:33" ht="15" customHeight="1" x14ac:dyDescent="0.2">
      <c r="E43" s="230">
        <f ca="1">IF(E$12=1,ROUND(E48,2),ROUND(E48,2)-ROUND(D48,2))</f>
        <v>191018.52</v>
      </c>
      <c r="G43" s="184" t="s">
        <v>536</v>
      </c>
      <c r="I43" s="766"/>
      <c r="J43" s="766"/>
      <c r="K43" s="766"/>
      <c r="L43" s="231"/>
      <c r="R43" s="227"/>
      <c r="S43" s="232"/>
      <c r="T43" s="233" t="str">
        <f>IF(import.recurso="FGTS","Financiamento:","Repasse:")</f>
        <v>Repasse:</v>
      </c>
      <c r="U43" s="230">
        <f t="shared" ref="U43:AF43" ca="1" si="57">IF(U$12=1,ROUND(U48,2),ROUND(U48,2)-ROUND(T48,2))</f>
        <v>191018.52</v>
      </c>
      <c r="V43" s="230">
        <f t="shared" ca="1" si="57"/>
        <v>239543.03</v>
      </c>
      <c r="W43" s="230">
        <f t="shared" ca="1" si="57"/>
        <v>349499.88999999996</v>
      </c>
      <c r="X43" s="230">
        <f t="shared" ca="1" si="57"/>
        <v>281102.40000000014</v>
      </c>
      <c r="Y43" s="230">
        <f t="shared" ca="1" si="57"/>
        <v>0</v>
      </c>
      <c r="Z43" s="230">
        <f t="shared" ca="1" si="57"/>
        <v>0</v>
      </c>
      <c r="AA43" s="230">
        <f t="shared" ca="1" si="57"/>
        <v>0</v>
      </c>
      <c r="AB43" s="230">
        <f t="shared" ca="1" si="57"/>
        <v>0</v>
      </c>
      <c r="AC43" s="230">
        <f t="shared" ca="1" si="57"/>
        <v>0</v>
      </c>
      <c r="AD43" s="230">
        <f t="shared" ca="1" si="57"/>
        <v>0</v>
      </c>
      <c r="AE43" s="230">
        <f t="shared" ca="1" si="57"/>
        <v>0</v>
      </c>
      <c r="AF43" s="230">
        <f t="shared" ca="1" si="57"/>
        <v>0</v>
      </c>
      <c r="AG43" s="533"/>
    </row>
    <row r="44" spans="1:33" ht="12.75" customHeight="1" x14ac:dyDescent="0.2">
      <c r="E44" s="528">
        <f ca="1">IF(E$12=1,ROUND(E49,2),ROUND(E49,2)-ROUND(D49,2))</f>
        <v>540.03</v>
      </c>
      <c r="G44" s="184" t="s">
        <v>536</v>
      </c>
      <c r="I44" s="234"/>
      <c r="L44" s="235" t="s">
        <v>799</v>
      </c>
      <c r="R44" s="227"/>
      <c r="S44" s="236"/>
      <c r="T44" s="237" t="s">
        <v>800</v>
      </c>
      <c r="U44" s="528">
        <f t="shared" ref="U44:AF44" ca="1" si="58">IF(U$12=1,ROUND(U49,2),ROUND(U49,2)-ROUND(T49,2))</f>
        <v>540.03</v>
      </c>
      <c r="V44" s="528">
        <f t="shared" ca="1" si="58"/>
        <v>677.2</v>
      </c>
      <c r="W44" s="528">
        <f t="shared" ca="1" si="58"/>
        <v>988.07000000000016</v>
      </c>
      <c r="X44" s="528">
        <f t="shared" ca="1" si="58"/>
        <v>794.69999999999982</v>
      </c>
      <c r="Y44" s="528">
        <f t="shared" ca="1" si="58"/>
        <v>0</v>
      </c>
      <c r="Z44" s="528">
        <f t="shared" ca="1" si="58"/>
        <v>0</v>
      </c>
      <c r="AA44" s="528">
        <f t="shared" ca="1" si="58"/>
        <v>0</v>
      </c>
      <c r="AB44" s="528">
        <f t="shared" ca="1" si="58"/>
        <v>0</v>
      </c>
      <c r="AC44" s="528">
        <f t="shared" ca="1" si="58"/>
        <v>0</v>
      </c>
      <c r="AD44" s="528">
        <f t="shared" ca="1" si="58"/>
        <v>0</v>
      </c>
      <c r="AE44" s="528">
        <f t="shared" ca="1" si="58"/>
        <v>0</v>
      </c>
      <c r="AF44" s="528">
        <f t="shared" ca="1" si="58"/>
        <v>0</v>
      </c>
      <c r="AG44" s="533"/>
    </row>
    <row r="45" spans="1:33" x14ac:dyDescent="0.2">
      <c r="E45" s="238">
        <f ca="1">IF(E$12=1,ROUND(E50,2),ROUND(E50,2)-ROUND(D50,2))</f>
        <v>0</v>
      </c>
      <c r="G45" s="184" t="s">
        <v>536</v>
      </c>
      <c r="I45" s="234"/>
      <c r="L45" s="235"/>
      <c r="R45" s="227"/>
      <c r="S45" s="239"/>
      <c r="T45" s="240" t="s">
        <v>801</v>
      </c>
      <c r="U45" s="238">
        <f t="shared" ref="U45:AF45" ca="1" si="59">IF(U$12=1,ROUND(U50,2),ROUND(U50,2)-ROUND(T50,2))</f>
        <v>0</v>
      </c>
      <c r="V45" s="238">
        <f t="shared" ca="1" si="59"/>
        <v>0</v>
      </c>
      <c r="W45" s="238">
        <f t="shared" ca="1" si="59"/>
        <v>0</v>
      </c>
      <c r="X45" s="238">
        <f t="shared" ca="1" si="59"/>
        <v>0</v>
      </c>
      <c r="Y45" s="238">
        <f t="shared" ca="1" si="59"/>
        <v>0</v>
      </c>
      <c r="Z45" s="238">
        <f t="shared" ca="1" si="59"/>
        <v>0</v>
      </c>
      <c r="AA45" s="238">
        <f t="shared" ca="1" si="59"/>
        <v>0</v>
      </c>
      <c r="AB45" s="238">
        <f t="shared" ca="1" si="59"/>
        <v>0</v>
      </c>
      <c r="AC45" s="238">
        <f t="shared" ca="1" si="59"/>
        <v>0</v>
      </c>
      <c r="AD45" s="238">
        <f t="shared" ca="1" si="59"/>
        <v>0</v>
      </c>
      <c r="AE45" s="238">
        <f t="shared" ca="1" si="59"/>
        <v>0</v>
      </c>
      <c r="AF45" s="238">
        <f t="shared" ca="1" si="59"/>
        <v>0</v>
      </c>
      <c r="AG45" s="533"/>
    </row>
    <row r="46" spans="1:33" x14ac:dyDescent="0.2">
      <c r="E46" s="529">
        <f ca="1">IF(E$12=1,ROUND(E51,2),ROUND(E51,2)-ROUND(D51,2))</f>
        <v>191558.55</v>
      </c>
      <c r="G46" s="184" t="s">
        <v>536</v>
      </c>
      <c r="H46" s="535"/>
      <c r="L46" s="241"/>
      <c r="S46" s="242"/>
      <c r="T46" s="243" t="s">
        <v>802</v>
      </c>
      <c r="U46" s="529">
        <f t="shared" ref="U46:AF46" ca="1" si="60">IF(U$12=1,ROUND(U51,2),ROUND(U51,2)-ROUND(T51,2))</f>
        <v>191558.55</v>
      </c>
      <c r="V46" s="529">
        <f t="shared" ca="1" si="60"/>
        <v>240220.23000000004</v>
      </c>
      <c r="W46" s="529">
        <f t="shared" ca="1" si="60"/>
        <v>350487.95999999996</v>
      </c>
      <c r="X46" s="529">
        <f t="shared" ca="1" si="60"/>
        <v>281897.10000000009</v>
      </c>
      <c r="Y46" s="529">
        <f t="shared" ca="1" si="60"/>
        <v>0</v>
      </c>
      <c r="Z46" s="529">
        <f t="shared" ca="1" si="60"/>
        <v>0</v>
      </c>
      <c r="AA46" s="529">
        <f t="shared" ca="1" si="60"/>
        <v>0</v>
      </c>
      <c r="AB46" s="529">
        <f t="shared" ca="1" si="60"/>
        <v>0</v>
      </c>
      <c r="AC46" s="529">
        <f t="shared" ca="1" si="60"/>
        <v>0</v>
      </c>
      <c r="AD46" s="529">
        <f t="shared" ca="1" si="60"/>
        <v>0</v>
      </c>
      <c r="AE46" s="529">
        <f t="shared" ca="1" si="60"/>
        <v>0</v>
      </c>
      <c r="AF46" s="529">
        <f t="shared" ca="1" si="60"/>
        <v>0</v>
      </c>
      <c r="AG46" s="533"/>
    </row>
    <row r="47" spans="1:33" x14ac:dyDescent="0.2">
      <c r="E47" s="527">
        <f ca="1">ROUND(ROUND(E51,2)/$R$42,4)</f>
        <v>0.18</v>
      </c>
      <c r="G47" s="184" t="s">
        <v>536</v>
      </c>
      <c r="L47" s="226"/>
      <c r="S47" s="228"/>
      <c r="T47" s="229" t="s">
        <v>798</v>
      </c>
      <c r="U47" s="527">
        <f t="shared" ref="U47:AF47" ca="1" si="61">ROUND(ROUND(U51,2)/$R$42,4)</f>
        <v>0.18</v>
      </c>
      <c r="V47" s="527">
        <f t="shared" ca="1" si="61"/>
        <v>0.40570000000000001</v>
      </c>
      <c r="W47" s="527">
        <f t="shared" ca="1" si="61"/>
        <v>0.73509999999999998</v>
      </c>
      <c r="X47" s="527">
        <f t="shared" ca="1" si="61"/>
        <v>1</v>
      </c>
      <c r="Y47" s="527">
        <f t="shared" ca="1" si="61"/>
        <v>1</v>
      </c>
      <c r="Z47" s="527">
        <f t="shared" ca="1" si="61"/>
        <v>1</v>
      </c>
      <c r="AA47" s="527">
        <f t="shared" ca="1" si="61"/>
        <v>1</v>
      </c>
      <c r="AB47" s="527">
        <f t="shared" ca="1" si="61"/>
        <v>1</v>
      </c>
      <c r="AC47" s="527">
        <f t="shared" ca="1" si="61"/>
        <v>1</v>
      </c>
      <c r="AD47" s="527">
        <f t="shared" ca="1" si="61"/>
        <v>1</v>
      </c>
      <c r="AE47" s="527">
        <f t="shared" ca="1" si="61"/>
        <v>1</v>
      </c>
      <c r="AF47" s="527">
        <f t="shared" ca="1" si="61"/>
        <v>1</v>
      </c>
      <c r="AG47" s="533"/>
    </row>
    <row r="48" spans="1:33" x14ac:dyDescent="0.2">
      <c r="E48" s="230">
        <f ca="1">ROUND(E51-E50-E49,2)</f>
        <v>191018.52</v>
      </c>
      <c r="G48" s="184" t="s">
        <v>536</v>
      </c>
      <c r="L48" s="231"/>
      <c r="S48" s="232"/>
      <c r="T48" s="233" t="str">
        <f>IF(import.recurso="FGTS","Financiamento:","Repasse:")</f>
        <v>Repasse:</v>
      </c>
      <c r="U48" s="230">
        <f t="shared" ref="U48:AF48" ca="1" si="62">ROUND(U51-U50-U49,2)</f>
        <v>191018.52</v>
      </c>
      <c r="V48" s="230">
        <f t="shared" ca="1" si="62"/>
        <v>430561.55</v>
      </c>
      <c r="W48" s="230">
        <f t="shared" ca="1" si="62"/>
        <v>780061.44</v>
      </c>
      <c r="X48" s="230">
        <f t="shared" ca="1" si="62"/>
        <v>1061163.8400000001</v>
      </c>
      <c r="Y48" s="230">
        <f t="shared" ca="1" si="62"/>
        <v>1061163.8400000001</v>
      </c>
      <c r="Z48" s="230">
        <f t="shared" ca="1" si="62"/>
        <v>1061163.8400000001</v>
      </c>
      <c r="AA48" s="230">
        <f t="shared" ca="1" si="62"/>
        <v>1061163.8400000001</v>
      </c>
      <c r="AB48" s="230">
        <f t="shared" ca="1" si="62"/>
        <v>1061163.8400000001</v>
      </c>
      <c r="AC48" s="230">
        <f t="shared" ca="1" si="62"/>
        <v>1061163.8400000001</v>
      </c>
      <c r="AD48" s="230">
        <f t="shared" ca="1" si="62"/>
        <v>1061163.8400000001</v>
      </c>
      <c r="AE48" s="230">
        <f t="shared" ca="1" si="62"/>
        <v>1061163.8400000001</v>
      </c>
      <c r="AF48" s="230">
        <f t="shared" ca="1" si="62"/>
        <v>1061163.8400000001</v>
      </c>
      <c r="AG48" s="533"/>
    </row>
    <row r="49" spans="4:33" x14ac:dyDescent="0.2">
      <c r="E49" s="528" cm="1">
        <f t="array" aca="1" ref="E49" ca="1">IF(E$12=1,0,OFFSET(E49,0,-1))+SUM((OFFSET($C$13,1,0):OFFSET($C$41,-3,0))*IF(ISNUMBER(OFFSET(E$11,5,0):OFFSET(E$41,-1,0)),OFFSET(E$11,5,0):OFFSET(E$41,-1,0),0))</f>
        <v>540.02553779688651</v>
      </c>
      <c r="G49" s="184" t="s">
        <v>536</v>
      </c>
      <c r="L49" s="235" t="s">
        <v>803</v>
      </c>
      <c r="S49" s="236"/>
      <c r="T49" s="237" t="s">
        <v>800</v>
      </c>
      <c r="U49" s="528" cm="1">
        <f t="array" aca="1" ref="U49" ca="1">IF(U$12=1,0,OFFSET(U49,0,-1))+SUM((OFFSET($C$13,1,0):OFFSET($C$41,-3,0))*IF(ISNUMBER(OFFSET(U$11,5,0):OFFSET(U$41,-1,0)),OFFSET(U$11,5,0):OFFSET(U$41,-1,0),0))</f>
        <v>540.02553779688651</v>
      </c>
      <c r="V49" s="528" cm="1">
        <f t="array" aca="1" ref="V49" ca="1">IF(V$12=1,0,OFFSET(V49,0,-1))+SUM((OFFSET($C$13,1,0):OFFSET($C$41,-3,0))*IF(ISNUMBER(OFFSET(V$11,5,0):OFFSET(V$41,-1,0)),OFFSET(V$11,5,0):OFFSET(V$41,-1,0),0))</f>
        <v>1217.2339364585059</v>
      </c>
      <c r="W49" s="528" cm="1">
        <f t="array" aca="1" ref="W49" ca="1">IF(W$12=1,0,OFFSET(W49,0,-1))+SUM((OFFSET($C$13,1,0):OFFSET($C$41,-3,0))*IF(ISNUMBER(OFFSET(W$11,5,0):OFFSET(W$41,-1,0)),OFFSET(W$11,5,0):OFFSET(W$41,-1,0),0))</f>
        <v>2205.299721516566</v>
      </c>
      <c r="X49" s="528" cm="1">
        <f t="array" aca="1" ref="X49" ca="1">IF(X$12=1,0,OFFSET(X49,0,-1))+SUM((OFFSET($C$13,1,0):OFFSET($C$41,-3,0))*IF(ISNUMBER(OFFSET(X$11,5,0):OFFSET(X$41,-1,0)),OFFSET(X$11,5,0):OFFSET(X$41,-1,0),0))</f>
        <v>2999.9999999999995</v>
      </c>
      <c r="Y49" s="528" cm="1">
        <f t="array" aca="1" ref="Y49" ca="1">IF(Y$12=1,0,OFFSET(Y49,0,-1))+SUM((OFFSET($C$13,1,0):OFFSET($C$41,-3,0))*IF(ISNUMBER(OFFSET(Y$11,5,0):OFFSET(Y$41,-1,0)),OFFSET(Y$11,5,0):OFFSET(Y$41,-1,0),0))</f>
        <v>2999.9999999999995</v>
      </c>
      <c r="Z49" s="528" cm="1">
        <f t="array" aca="1" ref="Z49" ca="1">IF(Z$12=1,0,OFFSET(Z49,0,-1))+SUM((OFFSET($C$13,1,0):OFFSET($C$41,-3,0))*IF(ISNUMBER(OFFSET(Z$11,5,0):OFFSET(Z$41,-1,0)),OFFSET(Z$11,5,0):OFFSET(Z$41,-1,0),0))</f>
        <v>2999.9999999999995</v>
      </c>
      <c r="AA49" s="528" cm="1">
        <f t="array" aca="1" ref="AA49" ca="1">IF(AA$12=1,0,OFFSET(AA49,0,-1))+SUM((OFFSET($C$13,1,0):OFFSET($C$41,-3,0))*IF(ISNUMBER(OFFSET(AA$11,5,0):OFFSET(AA$41,-1,0)),OFFSET(AA$11,5,0):OFFSET(AA$41,-1,0),0))</f>
        <v>2999.9999999999995</v>
      </c>
      <c r="AB49" s="528" cm="1">
        <f t="array" aca="1" ref="AB49" ca="1">IF(AB$12=1,0,OFFSET(AB49,0,-1))+SUM((OFFSET($C$13,1,0):OFFSET($C$41,-3,0))*IF(ISNUMBER(OFFSET(AB$11,5,0):OFFSET(AB$41,-1,0)),OFFSET(AB$11,5,0):OFFSET(AB$41,-1,0),0))</f>
        <v>2999.9999999999995</v>
      </c>
      <c r="AC49" s="528" cm="1">
        <f t="array" aca="1" ref="AC49" ca="1">IF(AC$12=1,0,OFFSET(AC49,0,-1))+SUM((OFFSET($C$13,1,0):OFFSET($C$41,-3,0))*IF(ISNUMBER(OFFSET(AC$11,5,0):OFFSET(AC$41,-1,0)),OFFSET(AC$11,5,0):OFFSET(AC$41,-1,0),0))</f>
        <v>2999.9999999999995</v>
      </c>
      <c r="AD49" s="528" cm="1">
        <f t="array" aca="1" ref="AD49" ca="1">IF(AD$12=1,0,OFFSET(AD49,0,-1))+SUM((OFFSET($C$13,1,0):OFFSET($C$41,-3,0))*IF(ISNUMBER(OFFSET(AD$11,5,0):OFFSET(AD$41,-1,0)),OFFSET(AD$11,5,0):OFFSET(AD$41,-1,0),0))</f>
        <v>2999.9999999999995</v>
      </c>
      <c r="AE49" s="528" cm="1">
        <f t="array" aca="1" ref="AE49" ca="1">IF(AE$12=1,0,OFFSET(AE49,0,-1))+SUM((OFFSET($C$13,1,0):OFFSET($C$41,-3,0))*IF(ISNUMBER(OFFSET(AE$11,5,0):OFFSET(AE$41,-1,0)),OFFSET(AE$11,5,0):OFFSET(AE$41,-1,0),0))</f>
        <v>2999.9999999999995</v>
      </c>
      <c r="AF49" s="528" cm="1">
        <f t="array" aca="1" ref="AF49" ca="1">IF(AF$12=1,0,OFFSET(AF49,0,-1))+SUM((OFFSET($C$13,1,0):OFFSET($C$41,-3,0))*IF(ISNUMBER(OFFSET(AF$11,5,0):OFFSET(AF$41,-1,0)),OFFSET(AF$11,5,0):OFFSET(AF$41,-1,0),0))</f>
        <v>2999.9999999999995</v>
      </c>
      <c r="AG49" s="533"/>
    </row>
    <row r="50" spans="4:33" x14ac:dyDescent="0.2">
      <c r="E50" s="238" cm="1">
        <f t="array" aca="1" ref="E50" ca="1">IF(E$12=1,0,OFFSET(E50,0,-1))+SUM((OFFSET($D$13,1,0):OFFSET($D$41,-3,0))*IF(ISNUMBER(OFFSET(E$11,5,0):OFFSET(E$41,-1,0)),OFFSET(E$11,5,0):OFFSET(E$41,-1,0),0))</f>
        <v>0</v>
      </c>
      <c r="G50" s="184" t="s">
        <v>536</v>
      </c>
      <c r="L50" s="235"/>
      <c r="S50" s="239"/>
      <c r="T50" s="240" t="s">
        <v>801</v>
      </c>
      <c r="U50" s="238" cm="1">
        <f t="array" aca="1" ref="U50" ca="1">IF(U$12=1,0,OFFSET(U50,0,-1))+SUM((OFFSET($D$13,1,0):OFFSET($D$41,-3,0))*IF(ISNUMBER(OFFSET(U$11,5,0):OFFSET(U$41,-1,0)),OFFSET(U$11,5,0):OFFSET(U$41,-1,0),0))</f>
        <v>0</v>
      </c>
      <c r="V50" s="238" cm="1">
        <f t="array" aca="1" ref="V50" ca="1">IF(V$12=1,0,OFFSET(V50,0,-1))+SUM((OFFSET($D$13,1,0):OFFSET($D$41,-3,0))*IF(ISNUMBER(OFFSET(V$11,5,0):OFFSET(V$41,-1,0)),OFFSET(V$11,5,0):OFFSET(V$41,-1,0),0))</f>
        <v>0</v>
      </c>
      <c r="W50" s="238" cm="1">
        <f t="array" aca="1" ref="W50" ca="1">IF(W$12=1,0,OFFSET(W50,0,-1))+SUM((OFFSET($D$13,1,0):OFFSET($D$41,-3,0))*IF(ISNUMBER(OFFSET(W$11,5,0):OFFSET(W$41,-1,0)),OFFSET(W$11,5,0):OFFSET(W$41,-1,0),0))</f>
        <v>0</v>
      </c>
      <c r="X50" s="238" cm="1">
        <f t="array" aca="1" ref="X50" ca="1">IF(X$12=1,0,OFFSET(X50,0,-1))+SUM((OFFSET($D$13,1,0):OFFSET($D$41,-3,0))*IF(ISNUMBER(OFFSET(X$11,5,0):OFFSET(X$41,-1,0)),OFFSET(X$11,5,0):OFFSET(X$41,-1,0),0))</f>
        <v>0</v>
      </c>
      <c r="Y50" s="238" cm="1">
        <f t="array" aca="1" ref="Y50" ca="1">IF(Y$12=1,0,OFFSET(Y50,0,-1))+SUM((OFFSET($D$13,1,0):OFFSET($D$41,-3,0))*IF(ISNUMBER(OFFSET(Y$11,5,0):OFFSET(Y$41,-1,0)),OFFSET(Y$11,5,0):OFFSET(Y$41,-1,0),0))</f>
        <v>0</v>
      </c>
      <c r="Z50" s="238" cm="1">
        <f t="array" aca="1" ref="Z50" ca="1">IF(Z$12=1,0,OFFSET(Z50,0,-1))+SUM((OFFSET($D$13,1,0):OFFSET($D$41,-3,0))*IF(ISNUMBER(OFFSET(Z$11,5,0):OFFSET(Z$41,-1,0)),OFFSET(Z$11,5,0):OFFSET(Z$41,-1,0),0))</f>
        <v>0</v>
      </c>
      <c r="AA50" s="238" cm="1">
        <f t="array" aca="1" ref="AA50" ca="1">IF(AA$12=1,0,OFFSET(AA50,0,-1))+SUM((OFFSET($D$13,1,0):OFFSET($D$41,-3,0))*IF(ISNUMBER(OFFSET(AA$11,5,0):OFFSET(AA$41,-1,0)),OFFSET(AA$11,5,0):OFFSET(AA$41,-1,0),0))</f>
        <v>0</v>
      </c>
      <c r="AB50" s="238" cm="1">
        <f t="array" aca="1" ref="AB50" ca="1">IF(AB$12=1,0,OFFSET(AB50,0,-1))+SUM((OFFSET($D$13,1,0):OFFSET($D$41,-3,0))*IF(ISNUMBER(OFFSET(AB$11,5,0):OFFSET(AB$41,-1,0)),OFFSET(AB$11,5,0):OFFSET(AB$41,-1,0),0))</f>
        <v>0</v>
      </c>
      <c r="AC50" s="238" cm="1">
        <f t="array" aca="1" ref="AC50" ca="1">IF(AC$12=1,0,OFFSET(AC50,0,-1))+SUM((OFFSET($D$13,1,0):OFFSET($D$41,-3,0))*IF(ISNUMBER(OFFSET(AC$11,5,0):OFFSET(AC$41,-1,0)),OFFSET(AC$11,5,0):OFFSET(AC$41,-1,0),0))</f>
        <v>0</v>
      </c>
      <c r="AD50" s="238" cm="1">
        <f t="array" aca="1" ref="AD50" ca="1">IF(AD$12=1,0,OFFSET(AD50,0,-1))+SUM((OFFSET($D$13,1,0):OFFSET($D$41,-3,0))*IF(ISNUMBER(OFFSET(AD$11,5,0):OFFSET(AD$41,-1,0)),OFFSET(AD$11,5,0):OFFSET(AD$41,-1,0),0))</f>
        <v>0</v>
      </c>
      <c r="AE50" s="238" cm="1">
        <f t="array" aca="1" ref="AE50" ca="1">IF(AE$12=1,0,OFFSET(AE50,0,-1))+SUM((OFFSET($D$13,1,0):OFFSET($D$41,-3,0))*IF(ISNUMBER(OFFSET(AE$11,5,0):OFFSET(AE$41,-1,0)),OFFSET(AE$11,5,0):OFFSET(AE$41,-1,0),0))</f>
        <v>0</v>
      </c>
      <c r="AF50" s="238" cm="1">
        <f t="array" aca="1" ref="AF50" ca="1">IF(AF$12=1,0,OFFSET(AF50,0,-1))+SUM((OFFSET($D$13,1,0):OFFSET($D$41,-3,0))*IF(ISNUMBER(OFFSET(AF$11,5,0):OFFSET(AF$41,-1,0)),OFFSET(AF$11,5,0):OFFSET(AF$41,-1,0),0))</f>
        <v>0</v>
      </c>
      <c r="AG50" s="533"/>
    </row>
    <row r="51" spans="4:33" ht="13.5" thickBot="1" x14ac:dyDescent="0.25">
      <c r="D51" s="532"/>
      <c r="E51" s="530">
        <f ca="1">SUMIF($S$12:$S$41,"1$",E12:E41)+IF(E$12&gt;1,OFFSET(E51,0,-1),0)</f>
        <v>191558.55</v>
      </c>
      <c r="G51" s="184" t="s">
        <v>536</v>
      </c>
      <c r="H51" s="521" t="str" cm="1">
        <f t="array" ref="H51">IF(ACOMPANHAMENTO="BM","Selecione o Macrosserviço da Administração Local:","")</f>
        <v/>
      </c>
      <c r="I51"/>
      <c r="L51" s="235"/>
      <c r="S51" s="236"/>
      <c r="T51" s="525" t="s">
        <v>802</v>
      </c>
      <c r="U51" s="530">
        <f t="shared" ref="U51:AF51" ca="1" si="63">SUMIF($S$12:$S$41,"1$",U12:U41)+IF(U$12&gt;1,OFFSET(U51,0,-1),0)</f>
        <v>191558.55</v>
      </c>
      <c r="V51" s="530">
        <f t="shared" ca="1" si="63"/>
        <v>431778.77999999997</v>
      </c>
      <c r="W51" s="530">
        <f t="shared" ca="1" si="63"/>
        <v>782266.74</v>
      </c>
      <c r="X51" s="530">
        <f t="shared" ca="1" si="63"/>
        <v>1064163.8399999999</v>
      </c>
      <c r="Y51" s="530">
        <f t="shared" ca="1" si="63"/>
        <v>1064163.8399999999</v>
      </c>
      <c r="Z51" s="530">
        <f t="shared" ca="1" si="63"/>
        <v>1064163.8399999999</v>
      </c>
      <c r="AA51" s="530">
        <f t="shared" ca="1" si="63"/>
        <v>1064163.8399999999</v>
      </c>
      <c r="AB51" s="530">
        <f t="shared" ca="1" si="63"/>
        <v>1064163.8399999999</v>
      </c>
      <c r="AC51" s="530">
        <f t="shared" ca="1" si="63"/>
        <v>1064163.8399999999</v>
      </c>
      <c r="AD51" s="530">
        <f t="shared" ca="1" si="63"/>
        <v>1064163.8399999999</v>
      </c>
      <c r="AE51" s="530">
        <f t="shared" ca="1" si="63"/>
        <v>1064163.8399999999</v>
      </c>
      <c r="AF51" s="539">
        <f t="shared" ca="1" si="63"/>
        <v>1064163.8399999999</v>
      </c>
      <c r="AG51" s="533"/>
    </row>
    <row r="52" spans="4:33" ht="13.5" thickBot="1" x14ac:dyDescent="0.25">
      <c r="D52" s="532"/>
      <c r="E52" s="531">
        <f ca="1">IF($F$52="","",
  IF(ACOMPANHAMENTO="PLE",
     IF(AUTOEVENTO="Manual",
         IF(AdmLocal="Automática",
              E47,
              SUMIF(OFFSET(CRONOPLE!$F$14,CRONOPLE!$A$8+1,1,1,OFFSET(CRONOPLE!$AF$12,0,-1)),"&lt;="&amp;E$12,OFFSET(EVENTOS!$G$14,CRONOPLE!$A$8+1,1,1,OFFSET(CRONOPLE!$AF$12,0,-1)))/OFFSET(EVENTOS!$G$14,CRONOPLE!$A$8+1,-1)),
         SUMIFS(OFFSET(CÁLCULO!$AA$15,$F$52,1,OFFSET(ORÇAMENTO!$D$15,$F$52,0),CÁLCULO.FrentesPreenchidas),OFFSET(CÁLCULO!$AL$15,$F$52,1,OFFSET(ORÇAMENTO!$D$15,$F$52,0),CÁLCULO.FrentesPreenchidas),"&lt;="&amp;E$12)/OFFSET(ORÇAMENTO!$X$15,$F$52,0)),
     IF(ACOMPANHAMENTO="BM",SUM(OFFSET($T$13,$F$52+2,1,1,E$12))/OFFSET($S$13,$F$52,0),"")))</f>
        <v>0.24999999999999997</v>
      </c>
      <c r="F52" s="184">
        <f ca="1">IF(ACOMPANHAMENTO="PLE",
    IF(AUTOEVENTO="Manual",
        IF(AdmLocal="Automática",1,IF(CRONOPLE!$D$8&lt;&gt;"","",MATCH(Import.EventoAdmLocal,EVENTOS!$B$15:$B$24,0))),
        IF(CRONOPLE!$D$8&lt;&gt;"","",CRONOPLE!$A$10)),
    IF($H$53&lt;&gt;"","",MATCH(Import.MacrosserviçoAdmLocal,$A$13:$A$41,0)-1))</f>
        <v>2</v>
      </c>
      <c r="G52" s="184" t="s">
        <v>536</v>
      </c>
      <c r="H52" s="731"/>
      <c r="I52" s="771"/>
      <c r="J52" s="732"/>
      <c r="L52" s="241"/>
      <c r="S52" s="524"/>
      <c r="T52" s="526" t="s">
        <v>804</v>
      </c>
      <c r="U52" s="531">
        <f ca="1">IF($F$52="","",
  IF(ACOMPANHAMENTO="PLE",
     IF(AUTOEVENTO="Manual",
         IF(AdmLocal="Automática",
              U47,
              SUMIF(OFFSET(CRONOPLE!$F$14,CRONOPLE!$A$8+1,1,1,OFFSET(CRONOPLE!$AF$12,0,-1)),"&lt;="&amp;U$12,OFFSET(EVENTOS!$G$14,CRONOPLE!$A$8+1,1,1,OFFSET(CRONOPLE!$AF$12,0,-1)))/OFFSET(EVENTOS!$G$14,CRONOPLE!$A$8+1,-1)),
         SUMIFS(OFFSET(CÁLCULO!$AA$15,$F$52,1,OFFSET(ORÇAMENTO!$D$15,$F$52,0),CÁLCULO.FrentesPreenchidas),OFFSET(CÁLCULO!$AL$15,$F$52,1,OFFSET(ORÇAMENTO!$D$15,$F$52,0),CÁLCULO.FrentesPreenchidas),"&lt;="&amp;U$12)/OFFSET(ORÇAMENTO!$X$15,$F$52,0)),
     IF(ACOMPANHAMENTO="BM",SUM(OFFSET($T$13,$F$52+2,1,1,U$12))/OFFSET($S$13,$F$52,0),"")))</f>
        <v>0.24999999999999997</v>
      </c>
      <c r="V52" s="531">
        <f ca="1">IF($F$52="","",
  IF(ACOMPANHAMENTO="PLE",
     IF(AUTOEVENTO="Manual",
         IF(AdmLocal="Automática",
              V47,
              SUMIF(OFFSET(CRONOPLE!$F$14,CRONOPLE!$A$8+1,1,1,OFFSET(CRONOPLE!$AF$12,0,-1)),"&lt;="&amp;V$12,OFFSET(EVENTOS!$G$14,CRONOPLE!$A$8+1,1,1,OFFSET(CRONOPLE!$AF$12,0,-1)))/OFFSET(EVENTOS!$G$14,CRONOPLE!$A$8+1,-1)),
         SUMIFS(OFFSET(CÁLCULO!$AA$15,$F$52,1,OFFSET(ORÇAMENTO!$D$15,$F$52,0),CÁLCULO.FrentesPreenchidas),OFFSET(CÁLCULO!$AL$15,$F$52,1,OFFSET(ORÇAMENTO!$D$15,$F$52,0),CÁLCULO.FrentesPreenchidas),"&lt;="&amp;V$12)/OFFSET(ORÇAMENTO!$X$15,$F$52,0)),
     IF(ACOMPANHAMENTO="BM",SUM(OFFSET($T$13,$F$52+2,1,1,V$12))/OFFSET($S$13,$F$52,0),"")))</f>
        <v>0.5</v>
      </c>
      <c r="W52" s="531">
        <f ca="1">IF($F$52="","",
  IF(ACOMPANHAMENTO="PLE",
     IF(AUTOEVENTO="Manual",
         IF(AdmLocal="Automática",
              W47,
              SUMIF(OFFSET(CRONOPLE!$F$14,CRONOPLE!$A$8+1,1,1,OFFSET(CRONOPLE!$AF$12,0,-1)),"&lt;="&amp;W$12,OFFSET(EVENTOS!$G$14,CRONOPLE!$A$8+1,1,1,OFFSET(CRONOPLE!$AF$12,0,-1)))/OFFSET(EVENTOS!$G$14,CRONOPLE!$A$8+1,-1)),
         SUMIFS(OFFSET(CÁLCULO!$AA$15,$F$52,1,OFFSET(ORÇAMENTO!$D$15,$F$52,0),CÁLCULO.FrentesPreenchidas),OFFSET(CÁLCULO!$AL$15,$F$52,1,OFFSET(ORÇAMENTO!$D$15,$F$52,0),CÁLCULO.FrentesPreenchidas),"&lt;="&amp;W$12)/OFFSET(ORÇAMENTO!$X$15,$F$52,0)),
     IF(ACOMPANHAMENTO="BM",SUM(OFFSET($T$13,$F$52+2,1,1,W$12))/OFFSET($S$13,$F$52,0),"")))</f>
        <v>0.74999999999999989</v>
      </c>
      <c r="X52" s="531">
        <f ca="1">IF($F$52="","",
  IF(ACOMPANHAMENTO="PLE",
     IF(AUTOEVENTO="Manual",
         IF(AdmLocal="Automática",
              X47,
              SUMIF(OFFSET(CRONOPLE!$F$14,CRONOPLE!$A$8+1,1,1,OFFSET(CRONOPLE!$AF$12,0,-1)),"&lt;="&amp;X$12,OFFSET(EVENTOS!$G$14,CRONOPLE!$A$8+1,1,1,OFFSET(CRONOPLE!$AF$12,0,-1)))/OFFSET(EVENTOS!$G$14,CRONOPLE!$A$8+1,-1)),
         SUMIFS(OFFSET(CÁLCULO!$AA$15,$F$52,1,OFFSET(ORÇAMENTO!$D$15,$F$52,0),CÁLCULO.FrentesPreenchidas),OFFSET(CÁLCULO!$AL$15,$F$52,1,OFFSET(ORÇAMENTO!$D$15,$F$52,0),CÁLCULO.FrentesPreenchidas),"&lt;="&amp;X$12)/OFFSET(ORÇAMENTO!$X$15,$F$52,0)),
     IF(ACOMPANHAMENTO="BM",SUM(OFFSET($T$13,$F$52+2,1,1,X$12))/OFFSET($S$13,$F$52,0),"")))</f>
        <v>0.99999999999999989</v>
      </c>
      <c r="Y52" s="531">
        <f ca="1">IF($F$52="","",
  IF(ACOMPANHAMENTO="PLE",
     IF(AUTOEVENTO="Manual",
         IF(AdmLocal="Automática",
              Y47,
              SUMIF(OFFSET(CRONOPLE!$F$14,CRONOPLE!$A$8+1,1,1,OFFSET(CRONOPLE!$AF$12,0,-1)),"&lt;="&amp;Y$12,OFFSET(EVENTOS!$G$14,CRONOPLE!$A$8+1,1,1,OFFSET(CRONOPLE!$AF$12,0,-1)))/OFFSET(EVENTOS!$G$14,CRONOPLE!$A$8+1,-1)),
         SUMIFS(OFFSET(CÁLCULO!$AA$15,$F$52,1,OFFSET(ORÇAMENTO!$D$15,$F$52,0),CÁLCULO.FrentesPreenchidas),OFFSET(CÁLCULO!$AL$15,$F$52,1,OFFSET(ORÇAMENTO!$D$15,$F$52,0),CÁLCULO.FrentesPreenchidas),"&lt;="&amp;Y$12)/OFFSET(ORÇAMENTO!$X$15,$F$52,0)),
     IF(ACOMPANHAMENTO="BM",SUM(OFFSET($T$13,$F$52+2,1,1,Y$12))/OFFSET($S$13,$F$52,0),"")))</f>
        <v>0.99999999999999989</v>
      </c>
      <c r="Z52" s="531">
        <f ca="1">IF($F$52="","",
  IF(ACOMPANHAMENTO="PLE",
     IF(AUTOEVENTO="Manual",
         IF(AdmLocal="Automática",
              Z47,
              SUMIF(OFFSET(CRONOPLE!$F$14,CRONOPLE!$A$8+1,1,1,OFFSET(CRONOPLE!$AF$12,0,-1)),"&lt;="&amp;Z$12,OFFSET(EVENTOS!$G$14,CRONOPLE!$A$8+1,1,1,OFFSET(CRONOPLE!$AF$12,0,-1)))/OFFSET(EVENTOS!$G$14,CRONOPLE!$A$8+1,-1)),
         SUMIFS(OFFSET(CÁLCULO!$AA$15,$F$52,1,OFFSET(ORÇAMENTO!$D$15,$F$52,0),CÁLCULO.FrentesPreenchidas),OFFSET(CÁLCULO!$AL$15,$F$52,1,OFFSET(ORÇAMENTO!$D$15,$F$52,0),CÁLCULO.FrentesPreenchidas),"&lt;="&amp;Z$12)/OFFSET(ORÇAMENTO!$X$15,$F$52,0)),
     IF(ACOMPANHAMENTO="BM",SUM(OFFSET($T$13,$F$52+2,1,1,Z$12))/OFFSET($S$13,$F$52,0),"")))</f>
        <v>0.99999999999999989</v>
      </c>
      <c r="AA52" s="531">
        <f ca="1">IF($F$52="","",
  IF(ACOMPANHAMENTO="PLE",
     IF(AUTOEVENTO="Manual",
         IF(AdmLocal="Automática",
              AA47,
              SUMIF(OFFSET(CRONOPLE!$F$14,CRONOPLE!$A$8+1,1,1,OFFSET(CRONOPLE!$AF$12,0,-1)),"&lt;="&amp;AA$12,OFFSET(EVENTOS!$G$14,CRONOPLE!$A$8+1,1,1,OFFSET(CRONOPLE!$AF$12,0,-1)))/OFFSET(EVENTOS!$G$14,CRONOPLE!$A$8+1,-1)),
         SUMIFS(OFFSET(CÁLCULO!$AA$15,$F$52,1,OFFSET(ORÇAMENTO!$D$15,$F$52,0),CÁLCULO.FrentesPreenchidas),OFFSET(CÁLCULO!$AL$15,$F$52,1,OFFSET(ORÇAMENTO!$D$15,$F$52,0),CÁLCULO.FrentesPreenchidas),"&lt;="&amp;AA$12)/OFFSET(ORÇAMENTO!$X$15,$F$52,0)),
     IF(ACOMPANHAMENTO="BM",SUM(OFFSET($T$13,$F$52+2,1,1,AA$12))/OFFSET($S$13,$F$52,0),"")))</f>
        <v>0.99999999999999989</v>
      </c>
      <c r="AB52" s="531">
        <f ca="1">IF($F$52="","",
  IF(ACOMPANHAMENTO="PLE",
     IF(AUTOEVENTO="Manual",
         IF(AdmLocal="Automática",
              AB47,
              SUMIF(OFFSET(CRONOPLE!$F$14,CRONOPLE!$A$8+1,1,1,OFFSET(CRONOPLE!$AF$12,0,-1)),"&lt;="&amp;AB$12,OFFSET(EVENTOS!$G$14,CRONOPLE!$A$8+1,1,1,OFFSET(CRONOPLE!$AF$12,0,-1)))/OFFSET(EVENTOS!$G$14,CRONOPLE!$A$8+1,-1)),
         SUMIFS(OFFSET(CÁLCULO!$AA$15,$F$52,1,OFFSET(ORÇAMENTO!$D$15,$F$52,0),CÁLCULO.FrentesPreenchidas),OFFSET(CÁLCULO!$AL$15,$F$52,1,OFFSET(ORÇAMENTO!$D$15,$F$52,0),CÁLCULO.FrentesPreenchidas),"&lt;="&amp;AB$12)/OFFSET(ORÇAMENTO!$X$15,$F$52,0)),
     IF(ACOMPANHAMENTO="BM",SUM(OFFSET($T$13,$F$52+2,1,1,AB$12))/OFFSET($S$13,$F$52,0),"")))</f>
        <v>0.99999999999999989</v>
      </c>
      <c r="AC52" s="531">
        <f ca="1">IF($F$52="","",
  IF(ACOMPANHAMENTO="PLE",
     IF(AUTOEVENTO="Manual",
         IF(AdmLocal="Automática",
              AC47,
              SUMIF(OFFSET(CRONOPLE!$F$14,CRONOPLE!$A$8+1,1,1,OFFSET(CRONOPLE!$AF$12,0,-1)),"&lt;="&amp;AC$12,OFFSET(EVENTOS!$G$14,CRONOPLE!$A$8+1,1,1,OFFSET(CRONOPLE!$AF$12,0,-1)))/OFFSET(EVENTOS!$G$14,CRONOPLE!$A$8+1,-1)),
         SUMIFS(OFFSET(CÁLCULO!$AA$15,$F$52,1,OFFSET(ORÇAMENTO!$D$15,$F$52,0),CÁLCULO.FrentesPreenchidas),OFFSET(CÁLCULO!$AL$15,$F$52,1,OFFSET(ORÇAMENTO!$D$15,$F$52,0),CÁLCULO.FrentesPreenchidas),"&lt;="&amp;AC$12)/OFFSET(ORÇAMENTO!$X$15,$F$52,0)),
     IF(ACOMPANHAMENTO="BM",SUM(OFFSET($T$13,$F$52+2,1,1,AC$12))/OFFSET($S$13,$F$52,0),"")))</f>
        <v>0.99999999999999989</v>
      </c>
      <c r="AD52" s="531">
        <f ca="1">IF($F$52="","",
  IF(ACOMPANHAMENTO="PLE",
     IF(AUTOEVENTO="Manual",
         IF(AdmLocal="Automática",
              AD47,
              SUMIF(OFFSET(CRONOPLE!$F$14,CRONOPLE!$A$8+1,1,1,OFFSET(CRONOPLE!$AF$12,0,-1)),"&lt;="&amp;AD$12,OFFSET(EVENTOS!$G$14,CRONOPLE!$A$8+1,1,1,OFFSET(CRONOPLE!$AF$12,0,-1)))/OFFSET(EVENTOS!$G$14,CRONOPLE!$A$8+1,-1)),
         SUMIFS(OFFSET(CÁLCULO!$AA$15,$F$52,1,OFFSET(ORÇAMENTO!$D$15,$F$52,0),CÁLCULO.FrentesPreenchidas),OFFSET(CÁLCULO!$AL$15,$F$52,1,OFFSET(ORÇAMENTO!$D$15,$F$52,0),CÁLCULO.FrentesPreenchidas),"&lt;="&amp;AD$12)/OFFSET(ORÇAMENTO!$X$15,$F$52,0)),
     IF(ACOMPANHAMENTO="BM",SUM(OFFSET($T$13,$F$52+2,1,1,AD$12))/OFFSET($S$13,$F$52,0),"")))</f>
        <v>0.99999999999999989</v>
      </c>
      <c r="AE52" s="531">
        <f ca="1">IF($F$52="","",
  IF(ACOMPANHAMENTO="PLE",
     IF(AUTOEVENTO="Manual",
         IF(AdmLocal="Automática",
              AE47,
              SUMIF(OFFSET(CRONOPLE!$F$14,CRONOPLE!$A$8+1,1,1,OFFSET(CRONOPLE!$AF$12,0,-1)),"&lt;="&amp;AE$12,OFFSET(EVENTOS!$G$14,CRONOPLE!$A$8+1,1,1,OFFSET(CRONOPLE!$AF$12,0,-1)))/OFFSET(EVENTOS!$G$14,CRONOPLE!$A$8+1,-1)),
         SUMIFS(OFFSET(CÁLCULO!$AA$15,$F$52,1,OFFSET(ORÇAMENTO!$D$15,$F$52,0),CÁLCULO.FrentesPreenchidas),OFFSET(CÁLCULO!$AL$15,$F$52,1,OFFSET(ORÇAMENTO!$D$15,$F$52,0),CÁLCULO.FrentesPreenchidas),"&lt;="&amp;AE$12)/OFFSET(ORÇAMENTO!$X$15,$F$52,0)),
     IF(ACOMPANHAMENTO="BM",SUM(OFFSET($T$13,$F$52+2,1,1,AE$12))/OFFSET($S$13,$F$52,0),"")))</f>
        <v>0.99999999999999989</v>
      </c>
      <c r="AF52" s="531">
        <f ca="1">IF($F$52="","",
  IF(ACOMPANHAMENTO="PLE",
     IF(AUTOEVENTO="Manual",
         IF(AdmLocal="Automática",
              AF47,
              SUMIF(OFFSET(CRONOPLE!$F$14,CRONOPLE!$A$8+1,1,1,OFFSET(CRONOPLE!$AF$12,0,-1)),"&lt;="&amp;AF$12,OFFSET(EVENTOS!$G$14,CRONOPLE!$A$8+1,1,1,OFFSET(CRONOPLE!$AF$12,0,-1)))/OFFSET(EVENTOS!$G$14,CRONOPLE!$A$8+1,-1)),
         SUMIFS(OFFSET(CÁLCULO!$AA$15,$F$52,1,OFFSET(ORÇAMENTO!$D$15,$F$52,0),CÁLCULO.FrentesPreenchidas),OFFSET(CÁLCULO!$AL$15,$F$52,1,OFFSET(ORÇAMENTO!$D$15,$F$52,0),CÁLCULO.FrentesPreenchidas),"&lt;="&amp;AF$12)/OFFSET(ORÇAMENTO!$X$15,$F$52,0)),
     IF(ACOMPANHAMENTO="BM",SUM(OFFSET($T$13,$F$52+2,1,1,AF$12))/OFFSET($S$13,$F$52,0),"")))</f>
        <v>0.99999999999999989</v>
      </c>
      <c r="AG52" s="533"/>
    </row>
    <row r="53" spans="4:33" ht="17.100000000000001" customHeight="1" x14ac:dyDescent="0.25">
      <c r="G53" s="184" t="s">
        <v>536</v>
      </c>
      <c r="H53" s="570" t="str" cm="1">
        <f t="array" ref="H53">IF(AND(ACOMPANHAMENTO="BM",$H$52=""),"↑ Não foi indicado o Macrosserviço de Administração Local","")</f>
        <v/>
      </c>
      <c r="T53" s="582" t="str">
        <f ca="1">IF(COUNTIF(U53:AG53,"%Adm&gt;%Global")&gt;0,"Verificar proporcionalidade da Administração Local","")</f>
        <v>Verificar proporcionalidade da Administração Local</v>
      </c>
      <c r="U53" s="534" t="str">
        <f ca="1">IF(U52="","",IF(ROUND(U52,4)&gt;ROUND(U47,4),"%Adm&gt;%Global",""))</f>
        <v>%Adm&gt;%Global</v>
      </c>
      <c r="V53" s="534" t="str">
        <f t="shared" ref="V53:AG53" ca="1" si="64">IF(V52="","",IF(ROUND(V52,4)&gt;ROUND(V47,4),"%Adm&gt;%Global",""))</f>
        <v>%Adm&gt;%Global</v>
      </c>
      <c r="W53" s="534" t="str">
        <f t="shared" ca="1" si="64"/>
        <v>%Adm&gt;%Global</v>
      </c>
      <c r="X53" s="534" t="str">
        <f t="shared" ca="1" si="64"/>
        <v/>
      </c>
      <c r="Y53" s="534" t="str">
        <f t="shared" ca="1" si="64"/>
        <v/>
      </c>
      <c r="Z53" s="534" t="str">
        <f t="shared" ca="1" si="64"/>
        <v/>
      </c>
      <c r="AA53" s="534" t="str">
        <f t="shared" ca="1" si="64"/>
        <v/>
      </c>
      <c r="AB53" s="534" t="str">
        <f t="shared" ca="1" si="64"/>
        <v/>
      </c>
      <c r="AC53" s="534" t="str">
        <f t="shared" ca="1" si="64"/>
        <v/>
      </c>
      <c r="AD53" s="534" t="str">
        <f t="shared" ca="1" si="64"/>
        <v/>
      </c>
      <c r="AE53" s="534" t="str">
        <f t="shared" ca="1" si="64"/>
        <v/>
      </c>
      <c r="AF53" s="534" t="str">
        <f t="shared" ca="1" si="64"/>
        <v/>
      </c>
      <c r="AG53" s="534" t="str">
        <f t="shared" si="64"/>
        <v/>
      </c>
    </row>
    <row r="54" spans="4:33" ht="32.25" customHeight="1" x14ac:dyDescent="0.2">
      <c r="G54" s="184" t="s">
        <v>536</v>
      </c>
      <c r="I54" s="722" t="str">
        <f>Import.Município</f>
        <v>Liberdade - MG</v>
      </c>
      <c r="J54" s="722"/>
      <c r="K54" s="722"/>
      <c r="L54" s="722"/>
      <c r="M54" s="722"/>
      <c r="N54" s="722"/>
      <c r="O54" s="722"/>
      <c r="P54" s="722"/>
      <c r="Q54" s="722"/>
      <c r="R54" s="722"/>
      <c r="S54" s="722"/>
      <c r="AA54" s="459"/>
      <c r="AB54" s="459"/>
      <c r="AC54" s="459"/>
      <c r="AD54" s="459"/>
      <c r="AE54" s="461"/>
      <c r="AF54" s="461"/>
    </row>
    <row r="55" spans="4:33" x14ac:dyDescent="0.2">
      <c r="G55" s="184" t="s">
        <v>536</v>
      </c>
      <c r="I55" s="9" t="s">
        <v>693</v>
      </c>
      <c r="J55"/>
      <c r="K55"/>
      <c r="L55"/>
      <c r="AA55" s="180" t="s">
        <v>696</v>
      </c>
      <c r="AB55" s="180"/>
      <c r="AC55" s="180"/>
      <c r="AD55" s="180"/>
      <c r="AE55" s="184"/>
      <c r="AF55" s="184"/>
    </row>
    <row r="56" spans="4:33" x14ac:dyDescent="0.2">
      <c r="G56" s="184" t="s">
        <v>536</v>
      </c>
      <c r="I56"/>
      <c r="J56"/>
      <c r="K56"/>
      <c r="L56"/>
      <c r="AA56" s="397" t="str">
        <f t="array" aca="1" ref="AA56:AA58" ca="1">OFFSET(Import.RespOrçamento,0,-1) &amp; " " &amp; Import.RespOrçamento</f>
        <v>Nome: Antônio Carlos Sampaio Alves</v>
      </c>
      <c r="AC56"/>
      <c r="AD56" s="78"/>
      <c r="AE56" s="184"/>
      <c r="AF56" s="184"/>
    </row>
    <row r="57" spans="4:33" x14ac:dyDescent="0.2">
      <c r="G57" s="184" t="s">
        <v>536</v>
      </c>
      <c r="I57" s="770">
        <f>DADOS!$C$25</f>
        <v>45880</v>
      </c>
      <c r="J57" s="770"/>
      <c r="K57" s="770"/>
      <c r="L57" s="179"/>
      <c r="M57" s="244"/>
      <c r="N57" s="244"/>
      <c r="O57" s="244"/>
      <c r="P57" s="244"/>
      <c r="Q57" s="244"/>
      <c r="R57" s="244"/>
      <c r="S57" s="245"/>
      <c r="AA57" s="397" t="str">
        <f ca="1"/>
        <v>CREA/CAU: 214010-D</v>
      </c>
      <c r="AC57" s="78"/>
      <c r="AD57" s="78"/>
      <c r="AE57" s="184"/>
      <c r="AF57" s="184"/>
    </row>
    <row r="58" spans="4:33" x14ac:dyDescent="0.2">
      <c r="G58" s="184" t="s">
        <v>536</v>
      </c>
      <c r="I58" s="9" t="s">
        <v>694</v>
      </c>
      <c r="J58"/>
      <c r="K58"/>
      <c r="L58"/>
      <c r="AA58" s="397" t="str">
        <f ca="1"/>
        <v>ART/RRT: MG 20254192207</v>
      </c>
      <c r="AC58" s="78"/>
      <c r="AD58" s="78"/>
      <c r="AE58" s="184"/>
      <c r="AF58" s="184"/>
    </row>
  </sheetData>
  <sheetProtection algorithmName="SHA-512" hashValue="cl/oGf+KGScJUfZrlPgsEyLZU5TbW8FQolMMdxD2IbdJVIyKUhHAtPdc80KJMkkevzR+UF5hkoe6kKWBPZvi4g==" saltValue="zHzis4FFLJmWESNyZZROxw==" spinCount="100000" sheet="1" objects="1" scenarios="1" autoFilter="0"/>
  <autoFilter ref="G13:G58">
    <filterColumn colId="0">
      <filters>
        <filter val="F"/>
      </filters>
    </filterColumn>
  </autoFilter>
  <mergeCells count="18">
    <mergeCell ref="G8:G11"/>
    <mergeCell ref="I8:J8"/>
    <mergeCell ref="H7:H9"/>
    <mergeCell ref="AE4:AF4"/>
    <mergeCell ref="AE5:AF5"/>
    <mergeCell ref="Z8:AE8"/>
    <mergeCell ref="H12:H13"/>
    <mergeCell ref="I12:I13"/>
    <mergeCell ref="J12:J13"/>
    <mergeCell ref="I57:K57"/>
    <mergeCell ref="I54:S54"/>
    <mergeCell ref="H52:J52"/>
    <mergeCell ref="S12:S13"/>
    <mergeCell ref="T12:T13"/>
    <mergeCell ref="L8:T8"/>
    <mergeCell ref="U8:Y8"/>
    <mergeCell ref="K10:T11"/>
    <mergeCell ref="I42:K43"/>
  </mergeCells>
  <phoneticPr fontId="38" type="noConversion"/>
  <conditionalFormatting sqref="U12:U13">
    <cfRule type="expression" dxfId="176" priority="16179" stopIfTrue="1">
      <formula>NOT(ISNUMBER(T$12))</formula>
    </cfRule>
  </conditionalFormatting>
  <conditionalFormatting sqref="E2 U2:AF2">
    <cfRule type="expression" dxfId="175" priority="16180" stopIfTrue="1">
      <formula>AND(ISNUMBER($H1),$H1&lt;&gt;0)</formula>
    </cfRule>
  </conditionalFormatting>
  <conditionalFormatting sqref="I2:S2">
    <cfRule type="expression" dxfId="174" priority="16181" stopIfTrue="1">
      <formula>$M1=2</formula>
    </cfRule>
    <cfRule type="expression" dxfId="173" priority="16182" stopIfTrue="1">
      <formula>AND($M1=1,$S1&lt;&gt;"")</formula>
    </cfRule>
  </conditionalFormatting>
  <conditionalFormatting sqref="I1:S1">
    <cfRule type="expression" dxfId="172" priority="16183" stopIfTrue="1">
      <formula>$M1=2</formula>
    </cfRule>
    <cfRule type="expression" dxfId="171" priority="16184" stopIfTrue="1">
      <formula>AND($M1=1,$S1&lt;&gt;"")</formula>
    </cfRule>
  </conditionalFormatting>
  <conditionalFormatting sqref="E42 E44 E46:E47 E49 E51 U51:AF51 U42:AF42 U44:AF44 U46:AF47 U49:AF49">
    <cfRule type="expression" dxfId="170" priority="16185" stopIfTrue="1">
      <formula>D$47=1</formula>
    </cfRule>
  </conditionalFormatting>
  <conditionalFormatting sqref="E43 E45 E48 E50 E52 U43:AF43 U45:AF45 U48:AF48 U50:AF50 U52:AF52">
    <cfRule type="expression" dxfId="169" priority="16186" stopIfTrue="1">
      <formula>D$47=1</formula>
    </cfRule>
  </conditionalFormatting>
  <conditionalFormatting sqref="AF7:AF8">
    <cfRule type="expression" dxfId="168" priority="16190" stopIfTrue="1">
      <formula>OR(TIPOORCAMENTO&lt;&gt;"Licitado",QCI.ExisteManual)</formula>
    </cfRule>
  </conditionalFormatting>
  <conditionalFormatting sqref="Z7:AE8">
    <cfRule type="expression" dxfId="167" priority="16178" stopIfTrue="1">
      <formula>QCI.ExisteManual</formula>
    </cfRule>
  </conditionalFormatting>
  <conditionalFormatting sqref="H2">
    <cfRule type="expression" dxfId="166" priority="12324">
      <formula>AND(H1&lt;&gt;0,ISNUMBER(H1))</formula>
    </cfRule>
  </conditionalFormatting>
  <conditionalFormatting sqref="E52 U52:AF52">
    <cfRule type="expression" dxfId="165" priority="12315">
      <formula>ROUND(E52,4)&gt;ROUND(E47,4)</formula>
    </cfRule>
  </conditionalFormatting>
  <conditionalFormatting sqref="H1">
    <cfRule type="expression" dxfId="164" priority="12314">
      <formula>AND(H1&lt;&gt;0,ISNUMBER(H1))</formula>
    </cfRule>
  </conditionalFormatting>
  <conditionalFormatting sqref="H52:J52">
    <cfRule type="expression" dxfId="163" priority="12313">
      <formula>$H$51=""</formula>
    </cfRule>
  </conditionalFormatting>
  <conditionalFormatting sqref="E52">
    <cfRule type="expression" dxfId="162" priority="12306" stopIfTrue="1">
      <formula>D$47=1</formula>
    </cfRule>
  </conditionalFormatting>
  <conditionalFormatting sqref="E1">
    <cfRule type="expression" dxfId="161" priority="12303" stopIfTrue="1">
      <formula>E1&lt;&gt;0</formula>
    </cfRule>
  </conditionalFormatting>
  <conditionalFormatting sqref="E2">
    <cfRule type="expression" dxfId="160" priority="12302">
      <formula>AND(_xlfn.SINGLE(ACOMPANHAMENTO)="BM",E2&gt;ROUND(E2,4))</formula>
    </cfRule>
  </conditionalFormatting>
  <conditionalFormatting sqref="E52">
    <cfRule type="expression" dxfId="159" priority="12301" stopIfTrue="1">
      <formula>D$47=1</formula>
    </cfRule>
  </conditionalFormatting>
  <conditionalFormatting sqref="U1:AF1">
    <cfRule type="expression" dxfId="158" priority="2257" stopIfTrue="1">
      <formula>U1&lt;&gt;0</formula>
    </cfRule>
  </conditionalFormatting>
  <conditionalFormatting sqref="U2:AF2">
    <cfRule type="expression" dxfId="157" priority="2256">
      <formula>AND(_xlfn.SINGLE(ACOMPANHAMENTO)="BM",U2&gt;ROUND(U2,4))</formula>
    </cfRule>
  </conditionalFormatting>
  <conditionalFormatting sqref="E15 E18 E21 U15:AF15 U18:AF18 U21:AF21">
    <cfRule type="expression" dxfId="156" priority="183" stopIfTrue="1">
      <formula>AND(ISNUMBER($H14),$H14&lt;&gt;0)</formula>
    </cfRule>
  </conditionalFormatting>
  <conditionalFormatting sqref="I15:S15 I18:S18 I21:S21">
    <cfRule type="expression" dxfId="155" priority="184" stopIfTrue="1">
      <formula>$M14=2</formula>
    </cfRule>
    <cfRule type="expression" dxfId="154" priority="185" stopIfTrue="1">
      <formula>AND($M14=1,$S14&lt;&gt;"")</formula>
    </cfRule>
  </conditionalFormatting>
  <conditionalFormatting sqref="I14:S14 I17:S17 I20:S20">
    <cfRule type="expression" dxfId="153" priority="186" stopIfTrue="1">
      <formula>$M14=2</formula>
    </cfRule>
    <cfRule type="expression" dxfId="152" priority="187" stopIfTrue="1">
      <formula>AND($M14=1,$S14&lt;&gt;"")</formula>
    </cfRule>
  </conditionalFormatting>
  <conditionalFormatting sqref="H15 H18 H21">
    <cfRule type="expression" dxfId="151" priority="182">
      <formula>AND(H14&lt;&gt;0,ISNUMBER(H14))</formula>
    </cfRule>
  </conditionalFormatting>
  <conditionalFormatting sqref="H14 H17 H20">
    <cfRule type="expression" dxfId="150" priority="181">
      <formula>AND(H14&lt;&gt;0,ISNUMBER(H14))</formula>
    </cfRule>
  </conditionalFormatting>
  <conditionalFormatting sqref="E14 E17 E20">
    <cfRule type="expression" dxfId="149" priority="180" stopIfTrue="1">
      <formula>E14&lt;&gt;0</formula>
    </cfRule>
  </conditionalFormatting>
  <conditionalFormatting sqref="E15 E18 E21">
    <cfRule type="expression" dxfId="148" priority="179">
      <formula>AND(_xlfn.SINGLE(ACOMPANHAMENTO)="BM",E15&gt;ROUND(E15,4))</formula>
    </cfRule>
  </conditionalFormatting>
  <conditionalFormatting sqref="U14:AF14 U17:AF17 U20:AF20">
    <cfRule type="expression" dxfId="147" priority="178" stopIfTrue="1">
      <formula>U14&lt;&gt;0</formula>
    </cfRule>
  </conditionalFormatting>
  <conditionalFormatting sqref="U15:AF15 U18:AF18 U21:AF21">
    <cfRule type="expression" dxfId="146" priority="177">
      <formula>AND(_xlfn.SINGLE(ACOMPANHAMENTO)="BM",U15&gt;ROUND(U15,4))</formula>
    </cfRule>
  </conditionalFormatting>
  <conditionalFormatting sqref="E24 E27 E30 U24:AF24 U27:AF27 U30:AF30">
    <cfRule type="expression" dxfId="145" priority="172" stopIfTrue="1">
      <formula>AND(ISNUMBER($H23),$H23&lt;&gt;0)</formula>
    </cfRule>
  </conditionalFormatting>
  <conditionalFormatting sqref="I24:S24 I27:S27 I30:S30">
    <cfRule type="expression" dxfId="144" priority="173" stopIfTrue="1">
      <formula>$M23=2</formula>
    </cfRule>
    <cfRule type="expression" dxfId="143" priority="174" stopIfTrue="1">
      <formula>AND($M23=1,$S23&lt;&gt;"")</formula>
    </cfRule>
  </conditionalFormatting>
  <conditionalFormatting sqref="I23:S23 I26:S26 I29:S29">
    <cfRule type="expression" dxfId="142" priority="175" stopIfTrue="1">
      <formula>$M23=2</formula>
    </cfRule>
    <cfRule type="expression" dxfId="141" priority="176" stopIfTrue="1">
      <formula>AND($M23=1,$S23&lt;&gt;"")</formula>
    </cfRule>
  </conditionalFormatting>
  <conditionalFormatting sqref="H24 H27 H30">
    <cfRule type="expression" dxfId="140" priority="171">
      <formula>AND(H23&lt;&gt;0,ISNUMBER(H23))</formula>
    </cfRule>
  </conditionalFormatting>
  <conditionalFormatting sqref="H23 H26 H29">
    <cfRule type="expression" dxfId="139" priority="170">
      <formula>AND(H23&lt;&gt;0,ISNUMBER(H23))</formula>
    </cfRule>
  </conditionalFormatting>
  <conditionalFormatting sqref="E23 E26 E29">
    <cfRule type="expression" dxfId="138" priority="169" stopIfTrue="1">
      <formula>E23&lt;&gt;0</formula>
    </cfRule>
  </conditionalFormatting>
  <conditionalFormatting sqref="E24 E27 E30">
    <cfRule type="expression" dxfId="137" priority="168">
      <formula>AND(_xlfn.SINGLE(ACOMPANHAMENTO)="BM",E24&gt;ROUND(E24,4))</formula>
    </cfRule>
  </conditionalFormatting>
  <conditionalFormatting sqref="U23:AF23 U26:AF26 U29:AF29">
    <cfRule type="expression" dxfId="136" priority="167" stopIfTrue="1">
      <formula>U23&lt;&gt;0</formula>
    </cfRule>
  </conditionalFormatting>
  <conditionalFormatting sqref="U24:AF24 U27:AF27 U30:AF30">
    <cfRule type="expression" dxfId="135" priority="166">
      <formula>AND(_xlfn.SINGLE(ACOMPANHAMENTO)="BM",U24&gt;ROUND(U24,4))</formula>
    </cfRule>
  </conditionalFormatting>
  <conditionalFormatting sqref="E33 E36 E39 U33:AF33 U36:AF36 U39:AF39">
    <cfRule type="expression" dxfId="134" priority="161" stopIfTrue="1">
      <formula>AND(ISNUMBER($H32),$H32&lt;&gt;0)</formula>
    </cfRule>
  </conditionalFormatting>
  <conditionalFormatting sqref="I33:S33 I36:S36 I39:S39">
    <cfRule type="expression" dxfId="133" priority="162" stopIfTrue="1">
      <formula>$M32=2</formula>
    </cfRule>
    <cfRule type="expression" dxfId="132" priority="163" stopIfTrue="1">
      <formula>AND($M32=1,$S32&lt;&gt;"")</formula>
    </cfRule>
  </conditionalFormatting>
  <conditionalFormatting sqref="I32:S32 I35:S35 I38:S38">
    <cfRule type="expression" dxfId="131" priority="164" stopIfTrue="1">
      <formula>$M32=2</formula>
    </cfRule>
    <cfRule type="expression" dxfId="130" priority="165" stopIfTrue="1">
      <formula>AND($M32=1,$S32&lt;&gt;"")</formula>
    </cfRule>
  </conditionalFormatting>
  <conditionalFormatting sqref="H33 H36 H39">
    <cfRule type="expression" dxfId="129" priority="160">
      <formula>AND(H32&lt;&gt;0,ISNUMBER(H32))</formula>
    </cfRule>
  </conditionalFormatting>
  <conditionalFormatting sqref="H32 H35 H38">
    <cfRule type="expression" dxfId="128" priority="159">
      <formula>AND(H32&lt;&gt;0,ISNUMBER(H32))</formula>
    </cfRule>
  </conditionalFormatting>
  <conditionalFormatting sqref="E32 E35 E38">
    <cfRule type="expression" dxfId="127" priority="158" stopIfTrue="1">
      <formula>E32&lt;&gt;0</formula>
    </cfRule>
  </conditionalFormatting>
  <conditionalFormatting sqref="E33 E36 E39">
    <cfRule type="expression" dxfId="126" priority="157">
      <formula>AND(_xlfn.SINGLE(ACOMPANHAMENTO)="BM",E33&gt;ROUND(E33,4))</formula>
    </cfRule>
  </conditionalFormatting>
  <conditionalFormatting sqref="U32:AF32 U35:AF35 U38:AF38">
    <cfRule type="expression" dxfId="125" priority="156" stopIfTrue="1">
      <formula>U32&lt;&gt;0</formula>
    </cfRule>
  </conditionalFormatting>
  <conditionalFormatting sqref="U33:AF33 U36:AF36 U39:AF39">
    <cfRule type="expression" dxfId="124" priority="155">
      <formula>AND(_xlfn.SINGLE(ACOMPANHAMENTO)="BM",U33&gt;ROUND(U33,4))</formula>
    </cfRule>
  </conditionalFormatting>
  <dataValidations count="6">
    <dataValidation type="list" allowBlank="1" showInputMessage="1" showErrorMessage="1" errorTitle="Obrigatório:" error="Selecione o nível (2, 3 ou 4) do agrupador a exibir no cronograma." prompt="Selecione uma opção da lista de níveis a exibir." sqref="H10">
      <formula1>CRONO.Lista.Níveis</formula1>
    </dataValidation>
    <dataValidation allowBlank="1" showInputMessage="1" showErrorMessage="1" prompt="Preencha na célula de baixo. Se o acompanhamento for PLE, preencha no botão PREENCHIMENTO POR EVENTOS, acima." sqref="E1 U1:AF1 E14 E17 E20 U14:AF14 U17:AF17 U20:AF20 E23 E26 E29 U23:AF23 U26:AF26 U29:AF29 E32 E35 E38 U32:AF32 U35:AF35 U38:AF38"/>
    <dataValidation type="whole" operator="greaterThan" allowBlank="1" showErrorMessage="1" sqref="U12">
      <formula1>0</formula1>
      <formula2>0</formula2>
    </dataValidation>
    <dataValidation type="decimal" allowBlank="1" showErrorMessage="1" error="Porcentagem Acumulada &gt; 100%." sqref="E2 U2:AG2 E15 E18 E21 U15:AG15 U18:AG18 U21:AG21 E24 E27 E30 U24:AG24 U27:AG27 U30:AG30 E33 E36 E39 U33:AG33 U36:AG36 U39:AG39">
      <formula1>0</formula1>
      <formula2>CRONO.MaxParc</formula2>
    </dataValidation>
    <dataValidation type="date" operator="greaterThan" allowBlank="1" showInputMessage="1" showErrorMessage="1" errorTitle="Erro" error="Digite somente datas." sqref="U13">
      <formula1>36526</formula1>
    </dataValidation>
    <dataValidation type="list" allowBlank="1" showErrorMessage="1" errorTitle="Atenção" error="Selecione uma opção da lista." sqref="H52:J52">
      <formula1>CRONO.Lista.AdmLocal</formula1>
    </dataValidation>
  </dataValidations>
  <pageMargins left="0.78740157480314998" right="0.78740157480314998" top="0.78740157480314998" bottom="0.78740157480314998" header="0.59055118110236204" footer="0.59055118110236204"/>
  <pageSetup paperSize="9" scale="66" firstPageNumber="0" orientation="landscape" r:id="rId1"/>
  <headerFooter alignWithMargins="0">
    <oddHeader>&amp;C&amp;14I</oddHeader>
    <oddFooter>&amp;LPMv3.14&amp;R&amp;P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19</vt:i4>
      </vt:variant>
    </vt:vector>
  </HeadingPairs>
  <TitlesOfParts>
    <vt:vector size="37" baseType="lpstr">
      <vt:lpstr>NOVO</vt:lpstr>
      <vt:lpstr>MENU</vt:lpstr>
      <vt:lpstr>DADOS</vt:lpstr>
      <vt:lpstr>BDI</vt:lpstr>
      <vt:lpstr>ORÇAMENTO</vt:lpstr>
      <vt:lpstr>EVENTOS</vt:lpstr>
      <vt:lpstr>CÁLCULO</vt:lpstr>
      <vt:lpstr>CRONOPLE</vt:lpstr>
      <vt:lpstr>CRONO</vt:lpstr>
      <vt:lpstr>QCI</vt:lpstr>
      <vt:lpstr>PLE</vt:lpstr>
      <vt:lpstr>BM</vt:lpstr>
      <vt:lpstr>RRE</vt:lpstr>
      <vt:lpstr>OFÍCIO</vt:lpstr>
      <vt:lpstr>PO-PLE</vt:lpstr>
      <vt:lpstr>CFF-PLE</vt:lpstr>
      <vt:lpstr>PO-BM</vt:lpstr>
      <vt:lpstr>CFF-BM</vt:lpstr>
      <vt:lpstr>BDI!Area_de_impressao</vt:lpstr>
      <vt:lpstr>BM!Area_de_impressao</vt:lpstr>
      <vt:lpstr>CÁLCULO!Area_de_impressao</vt:lpstr>
      <vt:lpstr>CRONO!Area_de_impressao</vt:lpstr>
      <vt:lpstr>EVENTOS!Area_de_impressao</vt:lpstr>
      <vt:lpstr>MENU!Area_de_impressao</vt:lpstr>
      <vt:lpstr>OFÍCIO!Area_de_impressao</vt:lpstr>
      <vt:lpstr>ORÇAMENTO!Area_de_impressao</vt:lpstr>
      <vt:lpstr>PLE!Area_de_impressao</vt:lpstr>
      <vt:lpstr>QCI!Area_de_impressao</vt:lpstr>
      <vt:lpstr>RRE!Area_de_impressao</vt:lpstr>
      <vt:lpstr>BDI!Titulos_de_impressao</vt:lpstr>
      <vt:lpstr>BM!Titulos_de_impressao</vt:lpstr>
      <vt:lpstr>CÁLCULO!Titulos_de_impressao</vt:lpstr>
      <vt:lpstr>CRONO!Titulos_de_impressao</vt:lpstr>
      <vt:lpstr>ORÇAMENTO!Titulos_de_impressao</vt:lpstr>
      <vt:lpstr>PLE!Titulos_de_impressao</vt:lpstr>
      <vt:lpstr>QCI!Titulos_de_impressao</vt:lpstr>
      <vt:lpstr>RRE!Titulos_de_impressao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CAIXA - GN Padronização e normas técnicas</dc:creator>
  <cp:keywords/>
  <dc:description/>
  <cp:lastModifiedBy>Licitacao</cp:lastModifiedBy>
  <cp:revision>5</cp:revision>
  <cp:lastPrinted>2025-08-15T16:44:36Z</cp:lastPrinted>
  <dcterms:created xsi:type="dcterms:W3CDTF">1997-01-10T22:22:50Z</dcterms:created>
  <dcterms:modified xsi:type="dcterms:W3CDTF">2025-12-23T14:24:05Z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e7aacd-7cc4-4c31-9e6f-7ef306428f09_Enabled">
    <vt:lpwstr>true</vt:lpwstr>
  </property>
  <property fmtid="{D5CDD505-2E9C-101B-9397-08002B2CF9AE}" pid="3" name="MSIP_Label_fde7aacd-7cc4-4c31-9e6f-7ef306428f09_SetDate">
    <vt:lpwstr>2023-11-21T19:16:23Z</vt:lpwstr>
  </property>
  <property fmtid="{D5CDD505-2E9C-101B-9397-08002B2CF9AE}" pid="4" name="MSIP_Label_fde7aacd-7cc4-4c31-9e6f-7ef306428f09_Method">
    <vt:lpwstr>Privileged</vt:lpwstr>
  </property>
  <property fmtid="{D5CDD505-2E9C-101B-9397-08002B2CF9AE}" pid="5" name="MSIP_Label_fde7aacd-7cc4-4c31-9e6f-7ef306428f09_Name">
    <vt:lpwstr>_PUBLICO</vt:lpwstr>
  </property>
  <property fmtid="{D5CDD505-2E9C-101B-9397-08002B2CF9AE}" pid="6" name="MSIP_Label_fde7aacd-7cc4-4c31-9e6f-7ef306428f09_SiteId">
    <vt:lpwstr>ab9bba98-684a-43fb-add8-9c2bebede229</vt:lpwstr>
  </property>
  <property fmtid="{D5CDD505-2E9C-101B-9397-08002B2CF9AE}" pid="7" name="MSIP_Label_fde7aacd-7cc4-4c31-9e6f-7ef306428f09_ActionId">
    <vt:lpwstr>a35afa61-0e86-4f3f-84ac-6edb60dde1d6</vt:lpwstr>
  </property>
  <property fmtid="{D5CDD505-2E9C-101B-9397-08002B2CF9AE}" pid="8" name="MSIP_Label_fde7aacd-7cc4-4c31-9e6f-7ef306428f09_ContentBits">
    <vt:lpwstr>1</vt:lpwstr>
  </property>
</Properties>
</file>